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dil\Desktop\"/>
    </mc:Choice>
  </mc:AlternateContent>
  <xr:revisionPtr revIDLastSave="0" documentId="13_ncr:1_{92202940-7DB3-4077-9519-5F79B5F48E4A}" xr6:coauthVersionLast="44" xr6:coauthVersionMax="44" xr10:uidLastSave="{00000000-0000-0000-0000-000000000000}"/>
  <bookViews>
    <workbookView xWindow="-120" yWindow="-120" windowWidth="20730" windowHeight="11160" activeTab="3" xr2:uid="{00000000-000D-0000-FFFF-FFFF00000000}"/>
  </bookViews>
  <sheets>
    <sheet name="Costs+Deprec" sheetId="1" r:id="rId1"/>
    <sheet name="Break-even point" sheetId="4" state="hidden" r:id="rId2"/>
    <sheet name="Revenue+Startup budget" sheetId="2" r:id="rId3"/>
    <sheet name="Break-even+Investmen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21" i="3"/>
  <c r="G24" i="3"/>
  <c r="H24" i="3"/>
  <c r="D101" i="2"/>
  <c r="E101" i="2"/>
  <c r="F101" i="2"/>
  <c r="G101" i="2"/>
  <c r="C101" i="2"/>
  <c r="E94" i="2"/>
  <c r="F94" i="2" s="1"/>
  <c r="G94" i="2" s="1"/>
  <c r="D94" i="2"/>
  <c r="D66" i="2"/>
  <c r="E66" i="2"/>
  <c r="F66" i="2"/>
  <c r="G66" i="2"/>
  <c r="C66" i="2"/>
  <c r="E59" i="2"/>
  <c r="F59" i="2" s="1"/>
  <c r="D59" i="2"/>
  <c r="D60" i="2"/>
  <c r="E60" i="2"/>
  <c r="C60" i="2"/>
  <c r="F33" i="2"/>
  <c r="G33" i="2"/>
  <c r="E33" i="2"/>
  <c r="D26" i="2"/>
  <c r="D25" i="2"/>
  <c r="E25" i="2" s="1"/>
  <c r="F25" i="2" s="1"/>
  <c r="G25" i="2" s="1"/>
  <c r="G26" i="2" s="1"/>
  <c r="D33" i="2"/>
  <c r="C33" i="2"/>
  <c r="C26" i="2"/>
  <c r="C29" i="3" l="1"/>
  <c r="G59" i="2"/>
  <c r="G60" i="2" s="1"/>
  <c r="F60" i="2"/>
  <c r="F26" i="2"/>
  <c r="E26" i="2"/>
  <c r="E113" i="1" l="1"/>
  <c r="C93" i="1" l="1"/>
  <c r="G83" i="1" l="1"/>
  <c r="D24" i="3" l="1"/>
  <c r="D25" i="3" s="1"/>
  <c r="D27" i="3" s="1"/>
  <c r="E24" i="3"/>
  <c r="E25" i="3" s="1"/>
  <c r="E27" i="3" s="1"/>
  <c r="E28" i="3" s="1"/>
  <c r="F24" i="3"/>
  <c r="F25" i="3" s="1"/>
  <c r="F27" i="3" s="1"/>
  <c r="F28" i="3" s="1"/>
  <c r="G25" i="3"/>
  <c r="G27" i="3" s="1"/>
  <c r="G28" i="3" s="1"/>
  <c r="H25" i="3"/>
  <c r="H27" i="3" s="1"/>
  <c r="H28" i="3" s="1"/>
  <c r="C11" i="3"/>
  <c r="E8" i="1"/>
  <c r="F8" i="1" s="1"/>
  <c r="C12" i="2"/>
  <c r="G102" i="2"/>
  <c r="G105" i="2" s="1"/>
  <c r="F102" i="2"/>
  <c r="F105" i="2" s="1"/>
  <c r="E102" i="2"/>
  <c r="E105" i="2" s="1"/>
  <c r="D102" i="2"/>
  <c r="D105" i="2" s="1"/>
  <c r="C102" i="2"/>
  <c r="C105" i="2" s="1"/>
  <c r="C95" i="2"/>
  <c r="D93" i="2"/>
  <c r="D95" i="2" s="1"/>
  <c r="F34" i="2"/>
  <c r="F37" i="2" s="1"/>
  <c r="G34" i="2"/>
  <c r="G37" i="2" s="1"/>
  <c r="E34" i="2"/>
  <c r="E37" i="2" s="1"/>
  <c r="D34" i="2"/>
  <c r="D37" i="2" s="1"/>
  <c r="C34" i="2"/>
  <c r="C37" i="2" s="1"/>
  <c r="D24" i="2"/>
  <c r="E24" i="2" s="1"/>
  <c r="D58" i="2"/>
  <c r="C132" i="1"/>
  <c r="G130" i="1"/>
  <c r="F130" i="1"/>
  <c r="E130" i="1"/>
  <c r="D130" i="1"/>
  <c r="C130" i="1"/>
  <c r="C124" i="1"/>
  <c r="D122" i="1"/>
  <c r="D123" i="1" s="1"/>
  <c r="E122" i="1"/>
  <c r="F122" i="1"/>
  <c r="G122" i="1"/>
  <c r="G134" i="1" s="1"/>
  <c r="C122" i="1"/>
  <c r="C113" i="1"/>
  <c r="C106" i="1"/>
  <c r="C107" i="1" s="1"/>
  <c r="C99" i="1"/>
  <c r="C100" i="1" s="1"/>
  <c r="G78" i="1"/>
  <c r="H78" i="1" s="1"/>
  <c r="G79" i="1"/>
  <c r="H79" i="1" s="1"/>
  <c r="C50" i="1"/>
  <c r="C44" i="1"/>
  <c r="E28" i="1"/>
  <c r="E29" i="1"/>
  <c r="E30" i="1"/>
  <c r="E31" i="1"/>
  <c r="E32" i="1"/>
  <c r="E33" i="1"/>
  <c r="E34" i="1"/>
  <c r="E27" i="1"/>
  <c r="E68" i="1"/>
  <c r="G77" i="1"/>
  <c r="H77" i="1" s="1"/>
  <c r="E59" i="1"/>
  <c r="F59" i="1" s="1"/>
  <c r="E58" i="1"/>
  <c r="F58" i="1" s="1"/>
  <c r="E54" i="1"/>
  <c r="F54" i="1" s="1"/>
  <c r="E57" i="1"/>
  <c r="F57" i="1" s="1"/>
  <c r="E56" i="1"/>
  <c r="F56" i="1" s="1"/>
  <c r="E55" i="1"/>
  <c r="F55" i="1" s="1"/>
  <c r="G71" i="1"/>
  <c r="H71" i="1" s="1"/>
  <c r="E14" i="1"/>
  <c r="G22" i="1"/>
  <c r="G80" i="1"/>
  <c r="H80" i="1" s="1"/>
  <c r="E17" i="1"/>
  <c r="E13" i="1"/>
  <c r="E12" i="1"/>
  <c r="E64" i="1"/>
  <c r="D28" i="3" l="1"/>
  <c r="D29" i="3" s="1"/>
  <c r="D31" i="3" s="1"/>
  <c r="C39" i="2"/>
  <c r="C43" i="2" s="1"/>
  <c r="C45" i="2" s="1"/>
  <c r="C47" i="2" s="1"/>
  <c r="F134" i="1"/>
  <c r="C134" i="1"/>
  <c r="E134" i="1"/>
  <c r="D134" i="1"/>
  <c r="E123" i="1"/>
  <c r="D124" i="1"/>
  <c r="F60" i="1"/>
  <c r="E18" i="1"/>
  <c r="G29" i="3"/>
  <c r="G31" i="3" s="1"/>
  <c r="F29" i="3"/>
  <c r="F31" i="3" s="1"/>
  <c r="H29" i="3"/>
  <c r="H31" i="3" s="1"/>
  <c r="E29" i="3"/>
  <c r="E31" i="3" s="1"/>
  <c r="C67" i="2"/>
  <c r="C70" i="2" s="1"/>
  <c r="C72" i="2" s="1"/>
  <c r="C76" i="2" s="1"/>
  <c r="C78" i="2" s="1"/>
  <c r="C80" i="2" s="1"/>
  <c r="E67" i="2"/>
  <c r="E70" i="2" s="1"/>
  <c r="D67" i="2"/>
  <c r="D70" i="2" s="1"/>
  <c r="D72" i="2" s="1"/>
  <c r="D76" i="2" s="1"/>
  <c r="D78" i="2" s="1"/>
  <c r="D80" i="2" s="1"/>
  <c r="C107" i="2"/>
  <c r="C111" i="2" s="1"/>
  <c r="C113" i="2" s="1"/>
  <c r="C115" i="2" s="1"/>
  <c r="F67" i="2"/>
  <c r="F70" i="2" s="1"/>
  <c r="D39" i="2"/>
  <c r="D43" i="2" s="1"/>
  <c r="D45" i="2" s="1"/>
  <c r="D47" i="2" s="1"/>
  <c r="D107" i="2"/>
  <c r="D111" i="2" s="1"/>
  <c r="D113" i="2" s="1"/>
  <c r="D115" i="2" s="1"/>
  <c r="E93" i="2"/>
  <c r="E95" i="2" s="1"/>
  <c r="E107" i="2" s="1"/>
  <c r="E111" i="2" s="1"/>
  <c r="G67" i="2"/>
  <c r="G70" i="2" s="1"/>
  <c r="E39" i="2"/>
  <c r="E43" i="2" s="1"/>
  <c r="F24" i="2"/>
  <c r="E58" i="2"/>
  <c r="F58" i="2" s="1"/>
  <c r="H81" i="1"/>
  <c r="D131" i="1"/>
  <c r="D132" i="1" s="1"/>
  <c r="E35" i="1"/>
  <c r="E131" i="1" l="1"/>
  <c r="E37" i="3"/>
  <c r="C37" i="3"/>
  <c r="F93" i="2"/>
  <c r="F72" i="2"/>
  <c r="F76" i="2" s="1"/>
  <c r="F78" i="2" s="1"/>
  <c r="F80" i="2" s="1"/>
  <c r="E124" i="1"/>
  <c r="F123" i="1"/>
  <c r="E72" i="2"/>
  <c r="E76" i="2" s="1"/>
  <c r="E78" i="2" s="1"/>
  <c r="E80" i="2" s="1"/>
  <c r="G58" i="2"/>
  <c r="G72" i="2" s="1"/>
  <c r="G76" i="2" s="1"/>
  <c r="G78" i="2" s="1"/>
  <c r="G80" i="2" s="1"/>
  <c r="F95" i="2"/>
  <c r="F107" i="2" s="1"/>
  <c r="F111" i="2" s="1"/>
  <c r="G93" i="2"/>
  <c r="G95" i="2" s="1"/>
  <c r="G107" i="2" s="1"/>
  <c r="G111" i="2" s="1"/>
  <c r="E113" i="2"/>
  <c r="E115" i="2" s="1"/>
  <c r="G24" i="2"/>
  <c r="G39" i="2" s="1"/>
  <c r="G43" i="2" s="1"/>
  <c r="F39" i="2"/>
  <c r="F43" i="2" s="1"/>
  <c r="E45" i="2"/>
  <c r="E47" i="2" s="1"/>
  <c r="E132" i="1"/>
  <c r="F131" i="1"/>
  <c r="J37" i="3" l="1"/>
  <c r="F124" i="1"/>
  <c r="G123" i="1"/>
  <c r="G124" i="1" s="1"/>
  <c r="G113" i="2"/>
  <c r="G115" i="2" s="1"/>
  <c r="F113" i="2"/>
  <c r="F115" i="2" s="1"/>
  <c r="F45" i="2"/>
  <c r="F47" i="2" s="1"/>
  <c r="G45" i="2"/>
  <c r="G47" i="2" s="1"/>
  <c r="F132" i="1"/>
  <c r="G131" i="1"/>
  <c r="G132" i="1" s="1"/>
</calcChain>
</file>

<file path=xl/sharedStrings.xml><?xml version="1.0" encoding="utf-8"?>
<sst xmlns="http://schemas.openxmlformats.org/spreadsheetml/2006/main" count="275" uniqueCount="179">
  <si>
    <t>Costs of production</t>
  </si>
  <si>
    <t>Services</t>
  </si>
  <si>
    <t>Employees</t>
  </si>
  <si>
    <t>Rent</t>
  </si>
  <si>
    <t>Total costs</t>
  </si>
  <si>
    <t>Utilities</t>
  </si>
  <si>
    <t>Energy</t>
  </si>
  <si>
    <t>Cost, tenge</t>
  </si>
  <si>
    <t>Kilowatt/hour</t>
  </si>
  <si>
    <t>Hours</t>
  </si>
  <si>
    <t>Cost of 1 kilowatt, tenge (without VAT)</t>
  </si>
  <si>
    <t>40 kg per hour</t>
  </si>
  <si>
    <t>Carding machine</t>
  </si>
  <si>
    <t>Washing machine</t>
  </si>
  <si>
    <t>VAT, %</t>
  </si>
  <si>
    <t>Yarning machine</t>
  </si>
  <si>
    <t>1 dollar</t>
  </si>
  <si>
    <t>389.5 tenge</t>
  </si>
  <si>
    <t>1 ruble</t>
  </si>
  <si>
    <t>6.12 tenge</t>
  </si>
  <si>
    <t>75 kg per hour</t>
  </si>
  <si>
    <t>Building</t>
  </si>
  <si>
    <t>Technology</t>
  </si>
  <si>
    <t>Cost per kg, tenge</t>
  </si>
  <si>
    <t>Total, tenge</t>
  </si>
  <si>
    <t>Preparation for inner space (special brigade)</t>
  </si>
  <si>
    <t>Lawyer</t>
  </si>
  <si>
    <t>Industrial drying machine</t>
  </si>
  <si>
    <t>Sheep wool</t>
  </si>
  <si>
    <t>Quantity per month, kg</t>
  </si>
  <si>
    <t>Quantity, kg</t>
  </si>
  <si>
    <t>Total costs, tenge</t>
  </si>
  <si>
    <t>30 kg for 40 min</t>
  </si>
  <si>
    <t>Quantity per a washing cycle, kg</t>
  </si>
  <si>
    <t>Number of washing cycles per day</t>
  </si>
  <si>
    <t>Average number of working days</t>
  </si>
  <si>
    <t>Quantity</t>
  </si>
  <si>
    <t>Average cost, tenge</t>
  </si>
  <si>
    <t>Cost per month, tenge</t>
  </si>
  <si>
    <t>Number of months</t>
  </si>
  <si>
    <t>Total (without VAT), tenge</t>
  </si>
  <si>
    <t>Total (with VAT), tenge</t>
  </si>
  <si>
    <t>Variable costs</t>
  </si>
  <si>
    <t>Detergent for processing  wool</t>
  </si>
  <si>
    <t>Costs, tenge</t>
  </si>
  <si>
    <t>Creation of website</t>
  </si>
  <si>
    <t>Advertising on social networks</t>
  </si>
  <si>
    <t>Creation of logos</t>
  </si>
  <si>
    <t>Accountant</t>
  </si>
  <si>
    <t>One time</t>
  </si>
  <si>
    <t>Each month services</t>
  </si>
  <si>
    <t>25*8*24</t>
  </si>
  <si>
    <t>Average number of working days per month</t>
  </si>
  <si>
    <t>Chemicals</t>
  </si>
  <si>
    <t>Furniture and equipment</t>
  </si>
  <si>
    <t>Expences on salary after taxation, tenge</t>
  </si>
  <si>
    <t>Salary per person, tenge</t>
  </si>
  <si>
    <t>Security guard</t>
  </si>
  <si>
    <t>Storekeeper</t>
  </si>
  <si>
    <t>Washer-dryer</t>
  </si>
  <si>
    <t>Stacker of inputs/outputs</t>
  </si>
  <si>
    <t>Repairman</t>
  </si>
  <si>
    <t>Cleaning woman</t>
  </si>
  <si>
    <t>Other fixed costs</t>
  </si>
  <si>
    <t>Internet, telephone</t>
  </si>
  <si>
    <t>Furniture (for director)</t>
  </si>
  <si>
    <t>Computer</t>
  </si>
  <si>
    <t>Printer and scanner</t>
  </si>
  <si>
    <t>Refrigerator</t>
  </si>
  <si>
    <t>Cupboard</t>
  </si>
  <si>
    <t>Microwave</t>
  </si>
  <si>
    <t>Electric kettle</t>
  </si>
  <si>
    <t>Furniture for kitchen</t>
  </si>
  <si>
    <t>Total</t>
  </si>
  <si>
    <t>Total, per month</t>
  </si>
  <si>
    <t>Total fixed costs including taxes</t>
  </si>
  <si>
    <t>Salaries</t>
  </si>
  <si>
    <t>Accountant per month</t>
  </si>
  <si>
    <t>Advertising per month</t>
  </si>
  <si>
    <t>Variable costs including taxes</t>
  </si>
  <si>
    <t>Costs per month including taxes, tenge</t>
  </si>
  <si>
    <t>at high power</t>
  </si>
  <si>
    <t>Initial investment</t>
  </si>
  <si>
    <t>Costs including taxes, tenge</t>
  </si>
  <si>
    <t>Detergent</t>
  </si>
  <si>
    <t>One time services</t>
  </si>
  <si>
    <t>0.5 kg of clean wool gives 512 metres of yarns</t>
  </si>
  <si>
    <t>1 kg of unclean wool after washing and drying losses 17% of its weight</t>
  </si>
  <si>
    <t>Depreciation</t>
  </si>
  <si>
    <t>Price</t>
  </si>
  <si>
    <t>Years</t>
  </si>
  <si>
    <t>Depreciation rate, %</t>
  </si>
  <si>
    <t>Price, tenge</t>
  </si>
  <si>
    <t>Depreciation, tenge</t>
  </si>
  <si>
    <t>Accumulated depreciation, tenge</t>
  </si>
  <si>
    <t>Residual price, tenge</t>
  </si>
  <si>
    <t>Startup budget</t>
  </si>
  <si>
    <t>Initial investment, tenge</t>
  </si>
  <si>
    <t>Revenue Projections</t>
  </si>
  <si>
    <t>Base scenario</t>
  </si>
  <si>
    <t>25 kg per hour</t>
  </si>
  <si>
    <t>Costs</t>
  </si>
  <si>
    <t>Total per month</t>
  </si>
  <si>
    <t>Total per year</t>
  </si>
  <si>
    <t>Revenue</t>
  </si>
  <si>
    <t>Total revenue</t>
  </si>
  <si>
    <t>Operating profit</t>
  </si>
  <si>
    <t>EBIT</t>
  </si>
  <si>
    <t>Best scenario</t>
  </si>
  <si>
    <t>Total depreciation</t>
  </si>
  <si>
    <t>Maximum power of machines is 25 kg per hour</t>
  </si>
  <si>
    <t>25 kg of unclean wool gives 20.75 kg of clean wool, which is 21,248 metres of yarns</t>
  </si>
  <si>
    <t>Fixed costs (5% inflation)</t>
  </si>
  <si>
    <t>1st year - 70%</t>
  </si>
  <si>
    <t>2nd year - 80%</t>
  </si>
  <si>
    <t>3rd year - 90%</t>
  </si>
  <si>
    <t>Performing at max.power in the 4th and 5th years and annual 10% growth rate during first three years</t>
  </si>
  <si>
    <t>Working hours per day</t>
  </si>
  <si>
    <t>Producing yarns per hour</t>
  </si>
  <si>
    <t>Income tax, 15%</t>
  </si>
  <si>
    <t>Operating profit after tax</t>
  </si>
  <si>
    <t>Producing yarns per year</t>
  </si>
  <si>
    <t>Producing yarns per month</t>
  </si>
  <si>
    <t>Working days per month</t>
  </si>
  <si>
    <t>Performing at  average power in the 4th and 5th years and annual 10% growth rate during first three years</t>
  </si>
  <si>
    <t>Power at average of machines is 10.2 kg per hour</t>
  </si>
  <si>
    <t>12.3 kg of unclean wool gives 10.2 kg of clean wool, which is 10,417 metres of yarns</t>
  </si>
  <si>
    <t>Worst scenario</t>
  </si>
  <si>
    <t>According to statistics of sheep wool processing, at average manufacturies produce about 2 mln meters of yarns per month.</t>
  </si>
  <si>
    <t>For this scenario max.performance will be a half of average production, 1 mln meter per month</t>
  </si>
  <si>
    <t>6.2 kg of unclean wool gives 5.1 kg of clean wool, which is 5,208 metres of yarns</t>
  </si>
  <si>
    <t>Selling price, tg</t>
  </si>
  <si>
    <t>Total VC, tg</t>
  </si>
  <si>
    <t>Total FC, tg</t>
  </si>
  <si>
    <t>Break-even point</t>
  </si>
  <si>
    <t>Cash Flow</t>
  </si>
  <si>
    <t>Year</t>
  </si>
  <si>
    <t>Cash</t>
  </si>
  <si>
    <t>Capital expenditures</t>
  </si>
  <si>
    <t>Operational costs</t>
  </si>
  <si>
    <t>Gross profit</t>
  </si>
  <si>
    <t>Tax 15%</t>
  </si>
  <si>
    <t>Net profit</t>
  </si>
  <si>
    <t>CF</t>
  </si>
  <si>
    <t>NPV</t>
  </si>
  <si>
    <t>rate, %</t>
  </si>
  <si>
    <t>IRR, %</t>
  </si>
  <si>
    <t>https://biznesinfo.kz/services/avto-nalog</t>
  </si>
  <si>
    <t>taxes for 1 year on trucks for transportation</t>
  </si>
  <si>
    <t>https://russian.alibaba.com/product-detail/sheep-wool-processing-machinery-production-line-industrial-washing-machine-wool-cleaning-machine-60620789258.html?spm=a2700.8699010.normalList.10.773931acK1oqtG</t>
  </si>
  <si>
    <t>https://tiu.ru/p351783819-stanok-dlya-obrabotki.html</t>
  </si>
  <si>
    <t>https://russian.alibaba.com/product-detail/a186-sheep-wool-spinning-machinery-cashmere-carding-machine-60033584296.html?spm=a2700.8699010.normalList.34.5cc426c1C6lQX6</t>
  </si>
  <si>
    <r>
      <t>A</t>
    </r>
    <r>
      <rPr>
        <sz val="11"/>
        <rFont val="Calibri"/>
        <family val="2"/>
        <charset val="204"/>
        <scheme val="minor"/>
      </rPr>
      <t>dvertising by bloggers through the instagram, facebook and google</t>
    </r>
  </si>
  <si>
    <t>https://krisha.kz/a/show/53699591</t>
  </si>
  <si>
    <t>https://www.semey-vodokanal.kz/tarif_entities.html</t>
  </si>
  <si>
    <t>According to statistics of sheep wool processing, at average manufacturies produce about 2 tonnes of yarns per month</t>
  </si>
  <si>
    <t>Price per kg, tenge</t>
  </si>
  <si>
    <t>BEV on monthly basis, kg</t>
  </si>
  <si>
    <t>BEV on daily basis, kg</t>
  </si>
  <si>
    <t>https://maktex.ru/dostavka/Kazakhstan/postelnoe_bele_Kazakhstan.php</t>
  </si>
  <si>
    <t>http://www.qbh-fab.com/</t>
  </si>
  <si>
    <t>www.tamish.kz</t>
  </si>
  <si>
    <t>https://www.altinbasak.com/</t>
  </si>
  <si>
    <t>water from well(electro pump)</t>
  </si>
  <si>
    <t>Failure</t>
  </si>
  <si>
    <t>Electro pump deep</t>
  </si>
  <si>
    <t>number of working hours</t>
  </si>
  <si>
    <t>Truck</t>
  </si>
  <si>
    <t>Workshop (800 m2)</t>
  </si>
  <si>
    <t>Electro car</t>
  </si>
  <si>
    <t>Taxation, 20%</t>
  </si>
  <si>
    <t xml:space="preserve">  </t>
  </si>
  <si>
    <t>Producing yarns per month,kg</t>
  </si>
  <si>
    <t>Producing yarns per hour,kg</t>
  </si>
  <si>
    <t>2% from revenue</t>
  </si>
  <si>
    <t>Price (kg)</t>
  </si>
  <si>
    <t>21,669,996</t>
  </si>
  <si>
    <t xml:space="preserve">Variable costs for </t>
  </si>
  <si>
    <t xml:space="preserve">Fixed costs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</si>
</sst>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2" borderId="0" xfId="1" applyNumberFormat="1" applyFont="1" applyFill="1"/>
    <xf numFmtId="166" fontId="0" fillId="0" borderId="0" xfId="0" applyNumberFormat="1"/>
    <xf numFmtId="166" fontId="0" fillId="2" borderId="0" xfId="0" applyNumberFormat="1" applyFill="1"/>
    <xf numFmtId="166" fontId="0" fillId="3" borderId="0" xfId="0" applyNumberFormat="1" applyFill="1"/>
    <xf numFmtId="0" fontId="6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2" borderId="0" xfId="0" applyFont="1" applyFill="1"/>
    <xf numFmtId="0" fontId="0" fillId="2" borderId="0" xfId="0" applyFill="1"/>
    <xf numFmtId="0" fontId="8" fillId="0" borderId="0" xfId="2"/>
    <xf numFmtId="0" fontId="7" fillId="5" borderId="0" xfId="0" applyFont="1" applyFill="1" applyAlignment="1">
      <alignment horizontal="center"/>
    </xf>
    <xf numFmtId="166" fontId="7" fillId="0" borderId="0" xfId="1" applyNumberFormat="1" applyFont="1"/>
    <xf numFmtId="166" fontId="7" fillId="0" borderId="0" xfId="1" applyNumberFormat="1" applyFont="1" applyFill="1"/>
    <xf numFmtId="0" fontId="9" fillId="6" borderId="0" xfId="0" applyFont="1" applyFill="1"/>
    <xf numFmtId="3" fontId="0" fillId="0" borderId="0" xfId="0" applyNumberFormat="1"/>
    <xf numFmtId="0" fontId="2" fillId="0" borderId="0" xfId="0" applyFont="1"/>
    <xf numFmtId="0" fontId="0" fillId="5" borderId="1" xfId="0" applyFill="1" applyBorder="1"/>
    <xf numFmtId="0" fontId="0" fillId="0" borderId="1" xfId="0" applyBorder="1"/>
    <xf numFmtId="166" fontId="0" fillId="0" borderId="1" xfId="1" applyNumberFormat="1" applyFont="1" applyBorder="1"/>
    <xf numFmtId="166" fontId="0" fillId="0" borderId="1" xfId="1" applyNumberFormat="1" applyFont="1" applyBorder="1" applyAlignment="1">
      <alignment wrapText="1"/>
    </xf>
    <xf numFmtId="166" fontId="7" fillId="0" borderId="1" xfId="1" applyNumberFormat="1" applyFont="1" applyBorder="1"/>
    <xf numFmtId="9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" xfId="0" applyFont="1" applyFill="1" applyBorder="1" applyAlignment="1">
      <alignment wrapText="1"/>
    </xf>
    <xf numFmtId="166" fontId="0" fillId="2" borderId="1" xfId="1" applyNumberFormat="1" applyFont="1" applyFill="1" applyBorder="1"/>
    <xf numFmtId="166" fontId="7" fillId="0" borderId="1" xfId="0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0" xfId="0" applyBorder="1"/>
    <xf numFmtId="0" fontId="7" fillId="0" borderId="0" xfId="0" applyFont="1" applyFill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u.ru/p351783819-stanok-dlya-obrabotki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russian.alibaba.com/product-detail/sheep-wool-processing-machinery-production-line-industrial-washing-machine-wool-cleaning-machine-60620789258.html?spm=a2700.8699010.normalList.10.773931acK1oqtG" TargetMode="External"/><Relationship Id="rId1" Type="http://schemas.openxmlformats.org/officeDocument/2006/relationships/hyperlink" Target="https://biznesinfo.kz/services/avto-nalog" TargetMode="External"/><Relationship Id="rId6" Type="http://schemas.openxmlformats.org/officeDocument/2006/relationships/hyperlink" Target="https://www.semey-vodokanal.kz/tarif_entities.html" TargetMode="External"/><Relationship Id="rId5" Type="http://schemas.openxmlformats.org/officeDocument/2006/relationships/hyperlink" Target="https://krisha.kz/a/show/53699591" TargetMode="External"/><Relationship Id="rId4" Type="http://schemas.openxmlformats.org/officeDocument/2006/relationships/hyperlink" Target="https://russian.alibaba.com/product-detail/a186-sheep-wool-spinning-machinery-cashmere-carding-machine-60033584296.html?spm=a2700.8699010.normalList.34.5cc426c1C6lQX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away.php?to=http%3A%2F%2Fwww.tamish.kz&amp;cc_key=" TargetMode="External"/><Relationship Id="rId2" Type="http://schemas.openxmlformats.org/officeDocument/2006/relationships/hyperlink" Target="http://www.qbh-fab.com/" TargetMode="External"/><Relationship Id="rId1" Type="http://schemas.openxmlformats.org/officeDocument/2006/relationships/hyperlink" Target="https://maktex.ru/dostavka/Kazakhstan/postelnoe_bele_Kazakhstan.php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ltinbasa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4"/>
  <sheetViews>
    <sheetView topLeftCell="A175" zoomScale="96" zoomScaleNormal="96" workbookViewId="0">
      <selection activeCell="G7" sqref="G7"/>
    </sheetView>
  </sheetViews>
  <sheetFormatPr defaultRowHeight="15" x14ac:dyDescent="0.25"/>
  <cols>
    <col min="1" max="1" width="3.5703125" customWidth="1"/>
    <col min="2" max="2" width="21.5703125" customWidth="1"/>
    <col min="3" max="3" width="17.85546875" customWidth="1"/>
    <col min="4" max="4" width="18.7109375" customWidth="1"/>
    <col min="5" max="5" width="15.42578125" customWidth="1"/>
    <col min="6" max="6" width="14.28515625" customWidth="1"/>
    <col min="7" max="7" width="17.85546875" customWidth="1"/>
    <col min="8" max="8" width="39" customWidth="1"/>
  </cols>
  <sheetData>
    <row r="2" spans="1:8" x14ac:dyDescent="0.25">
      <c r="B2" s="45" t="s">
        <v>14</v>
      </c>
      <c r="C2" s="45">
        <v>12</v>
      </c>
    </row>
    <row r="3" spans="1:8" x14ac:dyDescent="0.25">
      <c r="B3" s="45" t="s">
        <v>18</v>
      </c>
      <c r="C3" s="45" t="s">
        <v>19</v>
      </c>
    </row>
    <row r="4" spans="1:8" x14ac:dyDescent="0.25">
      <c r="B4" s="44" t="s">
        <v>16</v>
      </c>
      <c r="C4" s="44" t="s">
        <v>17</v>
      </c>
    </row>
    <row r="6" spans="1:8" ht="15.75" x14ac:dyDescent="0.25">
      <c r="A6" s="1" t="s">
        <v>0</v>
      </c>
    </row>
    <row r="7" spans="1:8" ht="45" x14ac:dyDescent="0.25">
      <c r="C7" s="2" t="s">
        <v>30</v>
      </c>
      <c r="D7" s="2" t="s">
        <v>37</v>
      </c>
      <c r="E7" s="2" t="s">
        <v>29</v>
      </c>
      <c r="F7" s="2" t="s">
        <v>31</v>
      </c>
      <c r="H7" s="44"/>
    </row>
    <row r="8" spans="1:8" x14ac:dyDescent="0.25">
      <c r="A8">
        <v>1</v>
      </c>
      <c r="B8" t="s">
        <v>28</v>
      </c>
      <c r="C8">
        <v>1</v>
      </c>
      <c r="D8" s="22">
        <v>700</v>
      </c>
      <c r="E8" s="4">
        <f>12.3*8*24</f>
        <v>2361.6000000000004</v>
      </c>
      <c r="F8" s="9">
        <f>E8*D8</f>
        <v>1653120.0000000002</v>
      </c>
      <c r="G8" t="s">
        <v>51</v>
      </c>
    </row>
    <row r="10" spans="1:8" ht="15.75" x14ac:dyDescent="0.25">
      <c r="A10" s="1" t="s">
        <v>22</v>
      </c>
    </row>
    <row r="11" spans="1:8" x14ac:dyDescent="0.25">
      <c r="C11" t="s">
        <v>7</v>
      </c>
      <c r="D11" t="s">
        <v>36</v>
      </c>
      <c r="E11" t="s">
        <v>4</v>
      </c>
    </row>
    <row r="12" spans="1:8" x14ac:dyDescent="0.25">
      <c r="A12">
        <v>1</v>
      </c>
      <c r="B12" t="s">
        <v>12</v>
      </c>
      <c r="C12" s="4">
        <v>2693440</v>
      </c>
      <c r="D12">
        <v>1</v>
      </c>
      <c r="E12" s="4">
        <f>C12*D12</f>
        <v>2693440</v>
      </c>
      <c r="G12" t="s">
        <v>11</v>
      </c>
      <c r="H12" s="21" t="s">
        <v>150</v>
      </c>
    </row>
    <row r="13" spans="1:8" x14ac:dyDescent="0.25">
      <c r="A13">
        <v>2</v>
      </c>
      <c r="B13" t="s">
        <v>13</v>
      </c>
      <c r="C13" s="4">
        <v>3298000</v>
      </c>
      <c r="D13">
        <v>1</v>
      </c>
      <c r="E13" s="4">
        <f>C13*D13</f>
        <v>3298000</v>
      </c>
      <c r="G13" t="s">
        <v>32</v>
      </c>
      <c r="H13" s="21" t="s">
        <v>149</v>
      </c>
    </row>
    <row r="14" spans="1:8" x14ac:dyDescent="0.25">
      <c r="A14">
        <v>3</v>
      </c>
      <c r="B14" t="s">
        <v>27</v>
      </c>
      <c r="C14" s="4">
        <v>1558000</v>
      </c>
      <c r="D14">
        <v>1</v>
      </c>
      <c r="E14" s="4">
        <f>C14*D14</f>
        <v>1558000</v>
      </c>
      <c r="G14" t="s">
        <v>100</v>
      </c>
    </row>
    <row r="15" spans="1:8" x14ac:dyDescent="0.25">
      <c r="A15">
        <v>4</v>
      </c>
      <c r="B15" t="s">
        <v>165</v>
      </c>
      <c r="C15" s="4">
        <v>80000</v>
      </c>
      <c r="D15">
        <v>1</v>
      </c>
      <c r="E15" s="4">
        <v>80000</v>
      </c>
    </row>
    <row r="16" spans="1:8" x14ac:dyDescent="0.25">
      <c r="A16">
        <v>5</v>
      </c>
      <c r="B16" t="s">
        <v>169</v>
      </c>
      <c r="C16" s="4">
        <v>1500000</v>
      </c>
      <c r="D16">
        <v>1</v>
      </c>
      <c r="E16" s="4">
        <v>1500000</v>
      </c>
    </row>
    <row r="17" spans="1:8" x14ac:dyDescent="0.25">
      <c r="A17">
        <v>6</v>
      </c>
      <c r="B17" t="s">
        <v>15</v>
      </c>
      <c r="C17" s="4">
        <v>2711160</v>
      </c>
      <c r="D17">
        <v>1</v>
      </c>
      <c r="E17" s="4">
        <f>C17*D17</f>
        <v>2711160</v>
      </c>
      <c r="G17" t="s">
        <v>20</v>
      </c>
      <c r="H17" s="21" t="s">
        <v>151</v>
      </c>
    </row>
    <row r="18" spans="1:8" x14ac:dyDescent="0.25">
      <c r="B18" t="s">
        <v>73</v>
      </c>
      <c r="C18" s="4"/>
      <c r="E18" s="9">
        <f>SUM(E12:E17)</f>
        <v>11840600</v>
      </c>
    </row>
    <row r="20" spans="1:8" ht="15.75" x14ac:dyDescent="0.25">
      <c r="A20" s="1" t="s">
        <v>53</v>
      </c>
    </row>
    <row r="21" spans="1:8" ht="75" x14ac:dyDescent="0.25">
      <c r="C21" t="s">
        <v>23</v>
      </c>
      <c r="D21" s="2" t="s">
        <v>33</v>
      </c>
      <c r="E21" s="2" t="s">
        <v>34</v>
      </c>
      <c r="F21" s="2" t="s">
        <v>52</v>
      </c>
      <c r="G21" s="2" t="s">
        <v>24</v>
      </c>
    </row>
    <row r="22" spans="1:8" ht="30" x14ac:dyDescent="0.25">
      <c r="A22" s="7">
        <v>1</v>
      </c>
      <c r="B22" s="2" t="s">
        <v>43</v>
      </c>
      <c r="C22">
        <v>200</v>
      </c>
      <c r="D22">
        <v>9</v>
      </c>
      <c r="E22">
        <v>8</v>
      </c>
      <c r="F22">
        <v>24</v>
      </c>
      <c r="G22" s="9">
        <f>C22*D22*E22*F22</f>
        <v>345600</v>
      </c>
    </row>
    <row r="24" spans="1:8" ht="15.75" x14ac:dyDescent="0.25">
      <c r="A24" s="1" t="s">
        <v>54</v>
      </c>
    </row>
    <row r="26" spans="1:8" x14ac:dyDescent="0.25">
      <c r="C26" t="s">
        <v>7</v>
      </c>
      <c r="D26" t="s">
        <v>36</v>
      </c>
      <c r="E26" t="s">
        <v>4</v>
      </c>
    </row>
    <row r="27" spans="1:8" x14ac:dyDescent="0.25">
      <c r="A27">
        <v>1</v>
      </c>
      <c r="B27" t="s">
        <v>65</v>
      </c>
      <c r="C27" s="4">
        <v>160000</v>
      </c>
      <c r="D27">
        <v>1</v>
      </c>
      <c r="E27" s="4">
        <f>C27*D27</f>
        <v>160000</v>
      </c>
    </row>
    <row r="28" spans="1:8" x14ac:dyDescent="0.25">
      <c r="A28">
        <v>2</v>
      </c>
      <c r="B28" t="s">
        <v>66</v>
      </c>
      <c r="C28" s="4">
        <v>200000</v>
      </c>
      <c r="D28">
        <v>1</v>
      </c>
      <c r="E28" s="4">
        <f t="shared" ref="E28:E34" si="0">C28*D28</f>
        <v>200000</v>
      </c>
    </row>
    <row r="29" spans="1:8" x14ac:dyDescent="0.25">
      <c r="A29">
        <v>3</v>
      </c>
      <c r="B29" t="s">
        <v>67</v>
      </c>
      <c r="C29" s="4">
        <v>50000</v>
      </c>
      <c r="D29">
        <v>1</v>
      </c>
      <c r="E29" s="4">
        <f t="shared" si="0"/>
        <v>50000</v>
      </c>
    </row>
    <row r="30" spans="1:8" x14ac:dyDescent="0.25">
      <c r="A30">
        <v>4</v>
      </c>
      <c r="B30" t="s">
        <v>68</v>
      </c>
      <c r="C30" s="4">
        <v>90000</v>
      </c>
      <c r="D30">
        <v>1</v>
      </c>
      <c r="E30" s="4">
        <f t="shared" si="0"/>
        <v>90000</v>
      </c>
    </row>
    <row r="31" spans="1:8" x14ac:dyDescent="0.25">
      <c r="A31">
        <v>5</v>
      </c>
      <c r="B31" t="s">
        <v>69</v>
      </c>
      <c r="C31" s="4">
        <v>20000</v>
      </c>
      <c r="D31">
        <v>6</v>
      </c>
      <c r="E31" s="4">
        <f t="shared" si="0"/>
        <v>120000</v>
      </c>
    </row>
    <row r="32" spans="1:8" x14ac:dyDescent="0.25">
      <c r="A32">
        <v>6</v>
      </c>
      <c r="B32" t="s">
        <v>70</v>
      </c>
      <c r="C32" s="4">
        <v>20000</v>
      </c>
      <c r="D32">
        <v>1</v>
      </c>
      <c r="E32" s="4">
        <f t="shared" si="0"/>
        <v>20000</v>
      </c>
    </row>
    <row r="33" spans="1:5" x14ac:dyDescent="0.25">
      <c r="A33">
        <v>7</v>
      </c>
      <c r="B33" t="s">
        <v>71</v>
      </c>
      <c r="C33" s="4">
        <v>3000</v>
      </c>
      <c r="D33">
        <v>1</v>
      </c>
      <c r="E33" s="4">
        <f t="shared" si="0"/>
        <v>3000</v>
      </c>
    </row>
    <row r="34" spans="1:5" x14ac:dyDescent="0.25">
      <c r="A34">
        <v>8</v>
      </c>
      <c r="B34" t="s">
        <v>72</v>
      </c>
      <c r="C34" s="4">
        <v>100000</v>
      </c>
      <c r="D34">
        <v>1</v>
      </c>
      <c r="E34" s="4">
        <f t="shared" si="0"/>
        <v>100000</v>
      </c>
    </row>
    <row r="35" spans="1:5" x14ac:dyDescent="0.25">
      <c r="B35" t="s">
        <v>73</v>
      </c>
      <c r="E35" s="9">
        <f>SUM(E27:E34)</f>
        <v>743000</v>
      </c>
    </row>
    <row r="36" spans="1:5" x14ac:dyDescent="0.25">
      <c r="B36" s="19"/>
    </row>
    <row r="37" spans="1:5" ht="15.75" x14ac:dyDescent="0.25">
      <c r="A37" s="1" t="s">
        <v>1</v>
      </c>
    </row>
    <row r="38" spans="1:5" ht="15.75" x14ac:dyDescent="0.25">
      <c r="A38" s="1"/>
      <c r="B38" s="6" t="s">
        <v>49</v>
      </c>
    </row>
    <row r="39" spans="1:5" x14ac:dyDescent="0.25">
      <c r="C39" s="2" t="s">
        <v>44</v>
      </c>
      <c r="D39" s="2"/>
    </row>
    <row r="40" spans="1:5" ht="30" x14ac:dyDescent="0.25">
      <c r="A40">
        <v>1</v>
      </c>
      <c r="B40" s="2" t="s">
        <v>25</v>
      </c>
      <c r="C40" s="4">
        <v>30000</v>
      </c>
    </row>
    <row r="41" spans="1:5" x14ac:dyDescent="0.25">
      <c r="A41">
        <v>2</v>
      </c>
      <c r="B41" t="s">
        <v>26</v>
      </c>
      <c r="C41" s="4">
        <v>150000</v>
      </c>
    </row>
    <row r="42" spans="1:5" x14ac:dyDescent="0.25">
      <c r="A42">
        <v>3</v>
      </c>
      <c r="B42" t="s">
        <v>45</v>
      </c>
      <c r="C42" s="4">
        <v>185000</v>
      </c>
    </row>
    <row r="43" spans="1:5" x14ac:dyDescent="0.25">
      <c r="A43">
        <v>4</v>
      </c>
      <c r="B43" t="s">
        <v>47</v>
      </c>
      <c r="C43" s="4">
        <v>10000</v>
      </c>
    </row>
    <row r="44" spans="1:5" x14ac:dyDescent="0.25">
      <c r="B44" t="s">
        <v>73</v>
      </c>
      <c r="C44" s="9">
        <f>SUM(C40:C43)</f>
        <v>375000</v>
      </c>
    </row>
    <row r="46" spans="1:5" x14ac:dyDescent="0.25">
      <c r="B46" s="6" t="s">
        <v>50</v>
      </c>
    </row>
    <row r="47" spans="1:5" x14ac:dyDescent="0.25">
      <c r="C47" t="s">
        <v>7</v>
      </c>
      <c r="D47" s="2"/>
    </row>
    <row r="48" spans="1:5" x14ac:dyDescent="0.25">
      <c r="A48">
        <v>1</v>
      </c>
      <c r="B48" t="s">
        <v>46</v>
      </c>
      <c r="C48" s="4">
        <v>30000</v>
      </c>
      <c r="D48" s="17" t="s">
        <v>152</v>
      </c>
      <c r="E48" s="4"/>
    </row>
    <row r="49" spans="1:8" x14ac:dyDescent="0.25">
      <c r="A49">
        <v>2</v>
      </c>
      <c r="B49" t="s">
        <v>48</v>
      </c>
      <c r="C49" s="4">
        <v>80000</v>
      </c>
      <c r="E49" s="4"/>
    </row>
    <row r="50" spans="1:8" x14ac:dyDescent="0.25">
      <c r="B50" t="s">
        <v>73</v>
      </c>
      <c r="C50" s="11">
        <f>SUM(C48:C49)</f>
        <v>110000</v>
      </c>
    </row>
    <row r="52" spans="1:8" ht="15.75" x14ac:dyDescent="0.25">
      <c r="A52" s="1"/>
      <c r="B52" t="s">
        <v>171</v>
      </c>
      <c r="G52" t="s">
        <v>170</v>
      </c>
    </row>
    <row r="53" spans="1:8" ht="45" x14ac:dyDescent="0.25">
      <c r="B53" s="1" t="s">
        <v>2</v>
      </c>
      <c r="C53" t="s">
        <v>36</v>
      </c>
      <c r="D53" s="2" t="s">
        <v>56</v>
      </c>
      <c r="E53" s="2" t="s">
        <v>55</v>
      </c>
      <c r="F53" t="s">
        <v>24</v>
      </c>
      <c r="G53" s="2" t="s">
        <v>166</v>
      </c>
    </row>
    <row r="54" spans="1:8" x14ac:dyDescent="0.25">
      <c r="A54">
        <v>1</v>
      </c>
      <c r="B54" t="s">
        <v>59</v>
      </c>
      <c r="C54">
        <v>2</v>
      </c>
      <c r="D54" s="4">
        <v>60000</v>
      </c>
      <c r="E54" s="4">
        <f t="shared" ref="E54:E59" si="1">D54*1.2</f>
        <v>72000</v>
      </c>
      <c r="F54" s="4">
        <f t="shared" ref="F54:F59" si="2">C54*E54</f>
        <v>144000</v>
      </c>
      <c r="G54">
        <v>9</v>
      </c>
    </row>
    <row r="55" spans="1:8" x14ac:dyDescent="0.25">
      <c r="A55">
        <v>2</v>
      </c>
      <c r="B55" t="s">
        <v>58</v>
      </c>
      <c r="C55">
        <v>1</v>
      </c>
      <c r="D55" s="4">
        <v>60000</v>
      </c>
      <c r="E55" s="4">
        <f t="shared" si="1"/>
        <v>72000</v>
      </c>
      <c r="F55" s="4">
        <f t="shared" si="2"/>
        <v>72000</v>
      </c>
      <c r="G55">
        <v>9</v>
      </c>
    </row>
    <row r="56" spans="1:8" x14ac:dyDescent="0.25">
      <c r="A56">
        <v>3</v>
      </c>
      <c r="B56" t="s">
        <v>60</v>
      </c>
      <c r="C56">
        <v>2</v>
      </c>
      <c r="D56" s="4">
        <v>40000</v>
      </c>
      <c r="E56" s="4">
        <f t="shared" si="1"/>
        <v>48000</v>
      </c>
      <c r="F56" s="4">
        <f t="shared" si="2"/>
        <v>96000</v>
      </c>
      <c r="G56">
        <v>6</v>
      </c>
    </row>
    <row r="57" spans="1:8" x14ac:dyDescent="0.25">
      <c r="A57">
        <v>4</v>
      </c>
      <c r="B57" t="s">
        <v>57</v>
      </c>
      <c r="C57">
        <v>1</v>
      </c>
      <c r="D57" s="4">
        <v>45000</v>
      </c>
      <c r="E57" s="4">
        <f t="shared" si="1"/>
        <v>54000</v>
      </c>
      <c r="F57" s="4">
        <f t="shared" si="2"/>
        <v>54000</v>
      </c>
      <c r="G57">
        <v>12</v>
      </c>
    </row>
    <row r="58" spans="1:8" x14ac:dyDescent="0.25">
      <c r="A58">
        <v>5</v>
      </c>
      <c r="B58" t="s">
        <v>61</v>
      </c>
      <c r="C58">
        <v>1</v>
      </c>
      <c r="D58" s="4">
        <v>70000</v>
      </c>
      <c r="E58" s="4">
        <f t="shared" si="1"/>
        <v>84000</v>
      </c>
      <c r="F58" s="4">
        <f t="shared" si="2"/>
        <v>84000</v>
      </c>
      <c r="G58">
        <v>9</v>
      </c>
    </row>
    <row r="59" spans="1:8" x14ac:dyDescent="0.25">
      <c r="A59">
        <v>6</v>
      </c>
      <c r="B59" t="s">
        <v>62</v>
      </c>
      <c r="C59">
        <v>2</v>
      </c>
      <c r="D59" s="4">
        <v>40000</v>
      </c>
      <c r="E59" s="4">
        <f t="shared" si="1"/>
        <v>48000</v>
      </c>
      <c r="F59" s="4">
        <f t="shared" si="2"/>
        <v>96000</v>
      </c>
      <c r="G59">
        <v>6</v>
      </c>
    </row>
    <row r="60" spans="1:8" x14ac:dyDescent="0.25">
      <c r="B60" t="s">
        <v>73</v>
      </c>
      <c r="F60" s="11">
        <f>SUM(F54:F59)</f>
        <v>546000</v>
      </c>
    </row>
    <row r="62" spans="1:8" ht="15.75" x14ac:dyDescent="0.25">
      <c r="A62" s="1" t="s">
        <v>3</v>
      </c>
    </row>
    <row r="63" spans="1:8" ht="30" x14ac:dyDescent="0.25">
      <c r="C63" s="2" t="s">
        <v>38</v>
      </c>
      <c r="D63" s="2" t="s">
        <v>39</v>
      </c>
      <c r="E63" t="s">
        <v>24</v>
      </c>
      <c r="H63" s="21" t="s">
        <v>153</v>
      </c>
    </row>
    <row r="64" spans="1:8" x14ac:dyDescent="0.25">
      <c r="A64">
        <v>1</v>
      </c>
      <c r="B64" t="s">
        <v>168</v>
      </c>
      <c r="C64" s="4">
        <v>500000</v>
      </c>
      <c r="D64">
        <v>12</v>
      </c>
      <c r="E64" s="9">
        <f>C64*D64</f>
        <v>6000000</v>
      </c>
      <c r="G64" s="20"/>
      <c r="H64" s="21"/>
    </row>
    <row r="65" spans="1:8" x14ac:dyDescent="0.25">
      <c r="A65">
        <v>2</v>
      </c>
      <c r="B65" t="s">
        <v>167</v>
      </c>
      <c r="C65" s="26">
        <v>120000</v>
      </c>
      <c r="D65">
        <v>12</v>
      </c>
      <c r="E65" s="26">
        <v>1440000</v>
      </c>
    </row>
    <row r="66" spans="1:8" ht="15.75" x14ac:dyDescent="0.25">
      <c r="A66" s="1" t="s">
        <v>63</v>
      </c>
    </row>
    <row r="67" spans="1:8" ht="30" x14ac:dyDescent="0.25">
      <c r="C67" s="2" t="s">
        <v>38</v>
      </c>
      <c r="D67" s="2" t="s">
        <v>39</v>
      </c>
      <c r="E67" t="s">
        <v>24</v>
      </c>
    </row>
    <row r="68" spans="1:8" x14ac:dyDescent="0.25">
      <c r="A68">
        <v>1</v>
      </c>
      <c r="B68" t="s">
        <v>64</v>
      </c>
      <c r="C68" s="9">
        <v>4000</v>
      </c>
      <c r="D68">
        <v>12</v>
      </c>
      <c r="E68" s="4">
        <f>C68*D68</f>
        <v>48000</v>
      </c>
    </row>
    <row r="70" spans="1:8" ht="45" x14ac:dyDescent="0.25">
      <c r="A70">
        <v>2</v>
      </c>
      <c r="B70" t="s">
        <v>6</v>
      </c>
      <c r="C70" t="s">
        <v>8</v>
      </c>
      <c r="D70" s="2" t="s">
        <v>10</v>
      </c>
      <c r="E70" t="s">
        <v>9</v>
      </c>
      <c r="F70" s="2" t="s">
        <v>35</v>
      </c>
      <c r="G70" s="2" t="s">
        <v>40</v>
      </c>
      <c r="H70" s="2" t="s">
        <v>41</v>
      </c>
    </row>
    <row r="71" spans="1:8" x14ac:dyDescent="0.25">
      <c r="B71" t="s">
        <v>21</v>
      </c>
      <c r="C71">
        <v>30</v>
      </c>
      <c r="D71">
        <v>13.79</v>
      </c>
      <c r="E71">
        <v>12</v>
      </c>
      <c r="F71">
        <v>24</v>
      </c>
      <c r="G71" s="4">
        <f>C71*D71*E71*F71</f>
        <v>119145.59999999999</v>
      </c>
      <c r="H71" s="9">
        <f>G71*1.12</f>
        <v>133443.07200000001</v>
      </c>
    </row>
    <row r="73" spans="1:8" ht="15.75" x14ac:dyDescent="0.25">
      <c r="A73" s="1" t="s">
        <v>42</v>
      </c>
    </row>
    <row r="74" spans="1:8" ht="15.75" x14ac:dyDescent="0.25">
      <c r="A74" s="1"/>
    </row>
    <row r="75" spans="1:8" ht="15.75" x14ac:dyDescent="0.25">
      <c r="A75" s="1" t="s">
        <v>5</v>
      </c>
    </row>
    <row r="76" spans="1:8" ht="45" x14ac:dyDescent="0.25">
      <c r="A76">
        <v>1</v>
      </c>
      <c r="B76" t="s">
        <v>6</v>
      </c>
      <c r="C76" t="s">
        <v>8</v>
      </c>
      <c r="D76" s="2" t="s">
        <v>10</v>
      </c>
      <c r="E76" t="s">
        <v>9</v>
      </c>
      <c r="F76" s="2" t="s">
        <v>35</v>
      </c>
      <c r="G76" s="2" t="s">
        <v>40</v>
      </c>
      <c r="H76" s="2" t="s">
        <v>41</v>
      </c>
    </row>
    <row r="77" spans="1:8" x14ac:dyDescent="0.25">
      <c r="B77" t="s">
        <v>12</v>
      </c>
      <c r="C77">
        <v>4</v>
      </c>
      <c r="D77">
        <v>13.79</v>
      </c>
      <c r="E77">
        <v>9</v>
      </c>
      <c r="F77">
        <v>24</v>
      </c>
      <c r="G77" s="4">
        <f>C77*D77*E77*F77</f>
        <v>11914.559999999998</v>
      </c>
      <c r="H77" s="4">
        <f>G77*1.12</f>
        <v>13344.307199999999</v>
      </c>
    </row>
    <row r="78" spans="1:8" x14ac:dyDescent="0.25">
      <c r="B78" t="s">
        <v>13</v>
      </c>
      <c r="C78">
        <v>1.1000000000000001</v>
      </c>
      <c r="D78">
        <v>13.79</v>
      </c>
      <c r="E78">
        <v>9</v>
      </c>
      <c r="F78">
        <v>24</v>
      </c>
      <c r="G78" s="4">
        <f>C78*D78*E78*F78</f>
        <v>3276.5040000000004</v>
      </c>
      <c r="H78" s="4">
        <f>G78*1.12</f>
        <v>3669.6844800000008</v>
      </c>
    </row>
    <row r="79" spans="1:8" x14ac:dyDescent="0.25">
      <c r="B79" t="s">
        <v>27</v>
      </c>
      <c r="C79">
        <v>1.1000000000000001</v>
      </c>
      <c r="D79">
        <v>13.79</v>
      </c>
      <c r="E79">
        <v>9</v>
      </c>
      <c r="F79">
        <v>24</v>
      </c>
      <c r="G79" s="4">
        <f>C79*D79*E79*F79</f>
        <v>3276.5040000000004</v>
      </c>
      <c r="H79" s="4">
        <f>G79*1.12</f>
        <v>3669.6844800000008</v>
      </c>
    </row>
    <row r="80" spans="1:8" x14ac:dyDescent="0.25">
      <c r="B80" t="s">
        <v>15</v>
      </c>
      <c r="C80">
        <v>2.2000000000000002</v>
      </c>
      <c r="D80">
        <v>13.79</v>
      </c>
      <c r="E80">
        <v>9</v>
      </c>
      <c r="F80">
        <v>24</v>
      </c>
      <c r="G80" s="4">
        <f>C80*D80*E80*F80</f>
        <v>6553.0080000000007</v>
      </c>
      <c r="H80" s="4">
        <f>G80*1.12</f>
        <v>7339.3689600000016</v>
      </c>
    </row>
    <row r="81" spans="1:9" x14ac:dyDescent="0.25">
      <c r="B81" t="s">
        <v>74</v>
      </c>
      <c r="G81" s="3"/>
      <c r="H81" s="9">
        <f>SUM(H77:H80)</f>
        <v>28023.045120000002</v>
      </c>
    </row>
    <row r="82" spans="1:9" x14ac:dyDescent="0.25">
      <c r="G82" s="3"/>
      <c r="H82" s="9"/>
    </row>
    <row r="83" spans="1:9" x14ac:dyDescent="0.25">
      <c r="B83" t="s">
        <v>163</v>
      </c>
      <c r="C83">
        <v>2</v>
      </c>
      <c r="D83">
        <v>13.79</v>
      </c>
      <c r="E83">
        <v>9</v>
      </c>
      <c r="F83">
        <v>24</v>
      </c>
      <c r="G83" s="3">
        <f>C83*D83*E83*F83</f>
        <v>5957.2799999999988</v>
      </c>
      <c r="H83" s="9">
        <v>15250</v>
      </c>
    </row>
    <row r="85" spans="1:9" x14ac:dyDescent="0.25">
      <c r="B85" s="16"/>
      <c r="C85" s="18"/>
      <c r="D85" s="18"/>
      <c r="E85" s="16"/>
      <c r="F85" s="18"/>
      <c r="G85" s="18"/>
      <c r="H85" s="18"/>
    </row>
    <row r="86" spans="1:9" x14ac:dyDescent="0.25">
      <c r="B86" s="16"/>
      <c r="C86" s="16"/>
      <c r="D86" s="46"/>
      <c r="E86" s="16"/>
      <c r="F86" s="16"/>
      <c r="G86" s="23"/>
      <c r="H86" s="24"/>
    </row>
    <row r="87" spans="1:9" x14ac:dyDescent="0.25">
      <c r="B87" s="16"/>
      <c r="C87" s="16"/>
      <c r="D87" s="16"/>
      <c r="E87" s="16"/>
      <c r="F87" s="16"/>
      <c r="G87" s="23"/>
      <c r="H87" s="24"/>
      <c r="I87" s="21" t="s">
        <v>154</v>
      </c>
    </row>
    <row r="88" spans="1:9" x14ac:dyDescent="0.25">
      <c r="B88" s="16"/>
      <c r="C88" s="16"/>
      <c r="D88" s="16"/>
      <c r="E88" s="16"/>
      <c r="F88" s="16"/>
      <c r="G88" s="23"/>
      <c r="H88" s="24"/>
    </row>
    <row r="89" spans="1:9" x14ac:dyDescent="0.25">
      <c r="H89" s="5"/>
    </row>
    <row r="90" spans="1:9" ht="15.75" x14ac:dyDescent="0.25">
      <c r="A90" s="1" t="s">
        <v>4</v>
      </c>
    </row>
    <row r="92" spans="1:9" ht="60" x14ac:dyDescent="0.25">
      <c r="B92" s="6" t="s">
        <v>75</v>
      </c>
      <c r="C92" s="2" t="s">
        <v>80</v>
      </c>
    </row>
    <row r="93" spans="1:9" x14ac:dyDescent="0.25">
      <c r="B93" t="s">
        <v>3</v>
      </c>
      <c r="C93" s="4">
        <f>500000+120000</f>
        <v>620000</v>
      </c>
    </row>
    <row r="94" spans="1:9" x14ac:dyDescent="0.25">
      <c r="B94" t="s">
        <v>76</v>
      </c>
      <c r="C94" s="4">
        <v>606000</v>
      </c>
    </row>
    <row r="95" spans="1:9" x14ac:dyDescent="0.25">
      <c r="B95" t="s">
        <v>5</v>
      </c>
      <c r="C95" s="4">
        <v>133443</v>
      </c>
    </row>
    <row r="96" spans="1:9" x14ac:dyDescent="0.25">
      <c r="B96" t="s">
        <v>77</v>
      </c>
      <c r="C96" s="4">
        <v>80000</v>
      </c>
    </row>
    <row r="97" spans="2:4" x14ac:dyDescent="0.25">
      <c r="B97" t="s">
        <v>78</v>
      </c>
      <c r="C97" s="4">
        <v>30000</v>
      </c>
    </row>
    <row r="98" spans="2:4" x14ac:dyDescent="0.25">
      <c r="B98" t="s">
        <v>64</v>
      </c>
      <c r="C98" s="4">
        <v>4000</v>
      </c>
    </row>
    <row r="99" spans="2:4" x14ac:dyDescent="0.25">
      <c r="B99" s="6" t="s">
        <v>102</v>
      </c>
      <c r="C99" s="12">
        <f>SUM(C93:C98)</f>
        <v>1473443</v>
      </c>
    </row>
    <row r="100" spans="2:4" x14ac:dyDescent="0.25">
      <c r="B100" s="6" t="s">
        <v>103</v>
      </c>
      <c r="C100" s="10">
        <f>C99*12</f>
        <v>17681316</v>
      </c>
    </row>
    <row r="102" spans="2:4" ht="60" x14ac:dyDescent="0.25">
      <c r="B102" s="6" t="s">
        <v>79</v>
      </c>
      <c r="C102" s="2" t="s">
        <v>80</v>
      </c>
      <c r="D102" t="s">
        <v>81</v>
      </c>
    </row>
    <row r="103" spans="2:4" x14ac:dyDescent="0.25">
      <c r="B103" s="16" t="s">
        <v>28</v>
      </c>
      <c r="C103" s="4">
        <v>1416960</v>
      </c>
    </row>
    <row r="104" spans="2:4" x14ac:dyDescent="0.25">
      <c r="B104" t="s">
        <v>5</v>
      </c>
      <c r="C104" s="4">
        <v>43273</v>
      </c>
    </row>
    <row r="105" spans="2:4" x14ac:dyDescent="0.25">
      <c r="B105" t="s">
        <v>84</v>
      </c>
      <c r="C105" s="4">
        <v>345600</v>
      </c>
    </row>
    <row r="106" spans="2:4" x14ac:dyDescent="0.25">
      <c r="B106" s="6" t="s">
        <v>102</v>
      </c>
      <c r="C106" s="12">
        <f>SUM(C103:C105)</f>
        <v>1805833</v>
      </c>
    </row>
    <row r="107" spans="2:4" x14ac:dyDescent="0.25">
      <c r="B107" s="6" t="s">
        <v>103</v>
      </c>
      <c r="C107" s="10">
        <f>C106*12</f>
        <v>21669996</v>
      </c>
    </row>
    <row r="108" spans="2:4" x14ac:dyDescent="0.25">
      <c r="B108" s="6"/>
      <c r="C108" s="10"/>
    </row>
    <row r="109" spans="2:4" ht="30" x14ac:dyDescent="0.25">
      <c r="B109" s="6" t="s">
        <v>82</v>
      </c>
      <c r="C109" s="2" t="s">
        <v>83</v>
      </c>
    </row>
    <row r="110" spans="2:4" x14ac:dyDescent="0.25">
      <c r="B110" t="s">
        <v>22</v>
      </c>
      <c r="C110" s="4">
        <v>11840600</v>
      </c>
    </row>
    <row r="111" spans="2:4" x14ac:dyDescent="0.25">
      <c r="B111" t="s">
        <v>54</v>
      </c>
      <c r="C111" s="4">
        <v>743000</v>
      </c>
    </row>
    <row r="112" spans="2:4" x14ac:dyDescent="0.25">
      <c r="B112" t="s">
        <v>85</v>
      </c>
      <c r="C112" s="4">
        <v>375000</v>
      </c>
    </row>
    <row r="113" spans="1:8" x14ac:dyDescent="0.25">
      <c r="B113" s="6" t="s">
        <v>73</v>
      </c>
      <c r="C113" s="12">
        <f>SUM(C110:C112)</f>
        <v>12958600</v>
      </c>
      <c r="E113">
        <f>8927160+20000</f>
        <v>8947160</v>
      </c>
      <c r="H113" s="21" t="s">
        <v>147</v>
      </c>
    </row>
    <row r="114" spans="1:8" x14ac:dyDescent="0.25">
      <c r="H114" t="s">
        <v>148</v>
      </c>
    </row>
    <row r="116" spans="1:8" x14ac:dyDescent="0.25">
      <c r="A116" s="6" t="s">
        <v>88</v>
      </c>
    </row>
    <row r="118" spans="1:8" x14ac:dyDescent="0.25">
      <c r="B118" s="6" t="s">
        <v>22</v>
      </c>
    </row>
    <row r="119" spans="1:8" x14ac:dyDescent="0.25">
      <c r="B119" t="s">
        <v>90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</row>
    <row r="120" spans="1:8" x14ac:dyDescent="0.25">
      <c r="B120" t="s">
        <v>92</v>
      </c>
      <c r="C120" s="4">
        <v>11840600</v>
      </c>
      <c r="D120" s="4">
        <v>11840600</v>
      </c>
      <c r="E120" s="4">
        <v>11840600</v>
      </c>
      <c r="F120" s="4">
        <v>11840600</v>
      </c>
      <c r="G120" s="4">
        <v>11840600</v>
      </c>
    </row>
    <row r="121" spans="1:8" x14ac:dyDescent="0.25">
      <c r="B121" t="s">
        <v>91</v>
      </c>
      <c r="C121">
        <v>20</v>
      </c>
      <c r="D121">
        <v>20</v>
      </c>
      <c r="E121">
        <v>20</v>
      </c>
      <c r="F121">
        <v>20</v>
      </c>
      <c r="G121">
        <v>20</v>
      </c>
    </row>
    <row r="122" spans="1:8" x14ac:dyDescent="0.25">
      <c r="B122" t="s">
        <v>93</v>
      </c>
      <c r="C122" s="10">
        <f>C120*C121/100</f>
        <v>2368120</v>
      </c>
      <c r="D122" s="10">
        <f t="shared" ref="D122:G122" si="3">D120*D121/100</f>
        <v>2368120</v>
      </c>
      <c r="E122" s="10">
        <f t="shared" si="3"/>
        <v>2368120</v>
      </c>
      <c r="F122" s="10">
        <f t="shared" si="3"/>
        <v>2368120</v>
      </c>
      <c r="G122" s="10">
        <f t="shared" si="3"/>
        <v>2368120</v>
      </c>
    </row>
    <row r="123" spans="1:8" x14ac:dyDescent="0.25">
      <c r="B123" t="s">
        <v>94</v>
      </c>
      <c r="C123" s="10">
        <v>2368120</v>
      </c>
      <c r="D123" s="10">
        <f>C123+D122</f>
        <v>4736240</v>
      </c>
      <c r="E123" s="10">
        <f>D123+E122</f>
        <v>7104360</v>
      </c>
      <c r="F123" s="10">
        <f t="shared" ref="F123:G123" si="4">E123+F122</f>
        <v>9472480</v>
      </c>
      <c r="G123" s="10">
        <f t="shared" si="4"/>
        <v>11840600</v>
      </c>
    </row>
    <row r="124" spans="1:8" x14ac:dyDescent="0.25">
      <c r="B124" t="s">
        <v>95</v>
      </c>
      <c r="C124" s="10">
        <f>C120-C123</f>
        <v>9472480</v>
      </c>
      <c r="D124" s="10">
        <f t="shared" ref="D124:G124" si="5">D120-D123</f>
        <v>7104360</v>
      </c>
      <c r="E124" s="10">
        <f t="shared" si="5"/>
        <v>4736240</v>
      </c>
      <c r="F124" s="10">
        <f t="shared" si="5"/>
        <v>2368120</v>
      </c>
      <c r="G124" s="10">
        <f t="shared" si="5"/>
        <v>0</v>
      </c>
    </row>
    <row r="126" spans="1:8" x14ac:dyDescent="0.25">
      <c r="B126" s="6" t="s">
        <v>54</v>
      </c>
    </row>
    <row r="127" spans="1:8" x14ac:dyDescent="0.25">
      <c r="B127" t="s">
        <v>90</v>
      </c>
      <c r="C127" s="8">
        <v>1</v>
      </c>
      <c r="D127" s="8">
        <v>2</v>
      </c>
      <c r="E127" s="8">
        <v>3</v>
      </c>
      <c r="F127" s="8">
        <v>4</v>
      </c>
      <c r="G127" s="8">
        <v>5</v>
      </c>
    </row>
    <row r="128" spans="1:8" x14ac:dyDescent="0.25">
      <c r="B128" t="s">
        <v>92</v>
      </c>
      <c r="C128" s="4">
        <v>743000</v>
      </c>
      <c r="D128" s="4">
        <v>743000</v>
      </c>
      <c r="E128" s="4">
        <v>743000</v>
      </c>
      <c r="F128" s="4">
        <v>743000</v>
      </c>
      <c r="G128" s="4">
        <v>743000</v>
      </c>
    </row>
    <row r="129" spans="2:7" x14ac:dyDescent="0.25">
      <c r="B129" t="s">
        <v>91</v>
      </c>
      <c r="C129">
        <v>20</v>
      </c>
      <c r="D129">
        <v>20</v>
      </c>
      <c r="E129">
        <v>20</v>
      </c>
      <c r="F129">
        <v>20</v>
      </c>
      <c r="G129">
        <v>20</v>
      </c>
    </row>
    <row r="130" spans="2:7" x14ac:dyDescent="0.25">
      <c r="B130" t="s">
        <v>93</v>
      </c>
      <c r="C130" s="10">
        <f>C128*C129/100</f>
        <v>148600</v>
      </c>
      <c r="D130" s="10">
        <f t="shared" ref="D130" si="6">D128*D129/100</f>
        <v>148600</v>
      </c>
      <c r="E130" s="10">
        <f t="shared" ref="E130" si="7">E128*E129/100</f>
        <v>148600</v>
      </c>
      <c r="F130" s="10">
        <f t="shared" ref="F130" si="8">F128*F129/100</f>
        <v>148600</v>
      </c>
      <c r="G130" s="10">
        <f t="shared" ref="G130" si="9">G128*G129/100</f>
        <v>148600</v>
      </c>
    </row>
    <row r="131" spans="2:7" x14ac:dyDescent="0.25">
      <c r="B131" t="s">
        <v>94</v>
      </c>
      <c r="C131" s="10">
        <v>148600</v>
      </c>
      <c r="D131" s="10">
        <f>C131+D130</f>
        <v>297200</v>
      </c>
      <c r="E131" s="10">
        <f>D131+E130</f>
        <v>445800</v>
      </c>
      <c r="F131" s="10">
        <f t="shared" ref="F131" si="10">E131+F130</f>
        <v>594400</v>
      </c>
      <c r="G131" s="10">
        <f t="shared" ref="G131" si="11">F131+G130</f>
        <v>743000</v>
      </c>
    </row>
    <row r="132" spans="2:7" x14ac:dyDescent="0.25">
      <c r="B132" t="s">
        <v>95</v>
      </c>
      <c r="C132" s="10">
        <f>C128-C131</f>
        <v>594400</v>
      </c>
      <c r="D132" s="10">
        <f t="shared" ref="D132" si="12">D128-D131</f>
        <v>445800</v>
      </c>
      <c r="E132" s="10">
        <f t="shared" ref="E132" si="13">E128-E131</f>
        <v>297200</v>
      </c>
      <c r="F132" s="10">
        <f t="shared" ref="F132" si="14">F128-F131</f>
        <v>148600</v>
      </c>
      <c r="G132" s="10">
        <f t="shared" ref="G132" si="15">G128-G131</f>
        <v>0</v>
      </c>
    </row>
    <row r="134" spans="2:7" x14ac:dyDescent="0.25">
      <c r="B134" t="s">
        <v>109</v>
      </c>
      <c r="C134" s="10">
        <f>C122+C130</f>
        <v>2516720</v>
      </c>
      <c r="D134" s="10">
        <f t="shared" ref="D134:G134" si="16">D122+D130</f>
        <v>2516720</v>
      </c>
      <c r="E134" s="10">
        <f t="shared" si="16"/>
        <v>2516720</v>
      </c>
      <c r="F134" s="10">
        <f t="shared" si="16"/>
        <v>2516720</v>
      </c>
      <c r="G134" s="10">
        <f t="shared" si="16"/>
        <v>2516720</v>
      </c>
    </row>
  </sheetData>
  <hyperlinks>
    <hyperlink ref="H113" r:id="rId1" xr:uid="{00000000-0004-0000-0000-000001000000}"/>
    <hyperlink ref="H13" r:id="rId2" xr:uid="{00000000-0004-0000-0000-000002000000}"/>
    <hyperlink ref="H12" r:id="rId3" xr:uid="{00000000-0004-0000-0000-000003000000}"/>
    <hyperlink ref="H17" r:id="rId4" xr:uid="{00000000-0004-0000-0000-000004000000}"/>
    <hyperlink ref="H63" r:id="rId5" xr:uid="{00000000-0004-0000-0000-000005000000}"/>
    <hyperlink ref="I87" r:id="rId6" xr:uid="{00000000-0004-0000-0000-000006000000}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>
      <selection activeCell="I19" sqref="I19"/>
    </sheetView>
  </sheetViews>
  <sheetFormatPr defaultRowHeight="15" x14ac:dyDescent="0.25"/>
  <cols>
    <col min="2" max="2" width="17.5703125" customWidth="1"/>
    <col min="3" max="3" width="14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5"/>
  <sheetViews>
    <sheetView topLeftCell="A76" zoomScale="70" zoomScaleNormal="70" workbookViewId="0">
      <selection activeCell="C12" sqref="C12"/>
    </sheetView>
  </sheetViews>
  <sheetFormatPr defaultRowHeight="15" x14ac:dyDescent="0.25"/>
  <cols>
    <col min="1" max="1" width="4.140625" customWidth="1"/>
    <col min="2" max="2" width="23.5703125" customWidth="1"/>
    <col min="3" max="3" width="21.42578125" customWidth="1"/>
    <col min="4" max="4" width="16.5703125" customWidth="1"/>
    <col min="5" max="5" width="17.140625" customWidth="1"/>
    <col min="6" max="6" width="18.85546875" customWidth="1"/>
    <col min="7" max="7" width="18.5703125" customWidth="1"/>
  </cols>
  <sheetData>
    <row r="2" spans="1:4" x14ac:dyDescent="0.25">
      <c r="B2" t="s">
        <v>86</v>
      </c>
    </row>
    <row r="3" spans="1:4" x14ac:dyDescent="0.25">
      <c r="B3" t="s">
        <v>87</v>
      </c>
    </row>
    <row r="4" spans="1:4" x14ac:dyDescent="0.25">
      <c r="B4" t="s">
        <v>156</v>
      </c>
      <c r="C4" s="17">
        <v>2000</v>
      </c>
      <c r="D4" s="17"/>
    </row>
    <row r="7" spans="1:4" ht="15.75" x14ac:dyDescent="0.25">
      <c r="A7" s="1" t="s">
        <v>96</v>
      </c>
      <c r="B7" s="6"/>
    </row>
    <row r="9" spans="1:4" x14ac:dyDescent="0.25">
      <c r="B9" t="s">
        <v>97</v>
      </c>
      <c r="C9" s="4">
        <v>12958600</v>
      </c>
    </row>
    <row r="10" spans="1:4" x14ac:dyDescent="0.25">
      <c r="B10" t="s">
        <v>178</v>
      </c>
      <c r="C10" s="4">
        <v>17681316</v>
      </c>
    </row>
    <row r="11" spans="1:4" x14ac:dyDescent="0.25">
      <c r="B11" t="s">
        <v>177</v>
      </c>
      <c r="C11" s="43" t="s">
        <v>176</v>
      </c>
    </row>
    <row r="12" spans="1:4" x14ac:dyDescent="0.25">
      <c r="B12" s="6" t="s">
        <v>73</v>
      </c>
      <c r="C12" s="10">
        <f>SUM(C9:C11)</f>
        <v>30639916</v>
      </c>
    </row>
    <row r="14" spans="1:4" ht="15.75" x14ac:dyDescent="0.25">
      <c r="A14" s="1" t="s">
        <v>98</v>
      </c>
    </row>
    <row r="16" spans="1:4" x14ac:dyDescent="0.25">
      <c r="B16" s="6" t="s">
        <v>99</v>
      </c>
      <c r="C16" t="s">
        <v>155</v>
      </c>
    </row>
    <row r="17" spans="1:9" x14ac:dyDescent="0.25">
      <c r="B17" s="6"/>
      <c r="C17" t="s">
        <v>124</v>
      </c>
    </row>
    <row r="18" spans="1:9" x14ac:dyDescent="0.25">
      <c r="B18" s="13"/>
      <c r="C18" t="s">
        <v>113</v>
      </c>
      <c r="D18" t="s">
        <v>114</v>
      </c>
      <c r="E18" t="s">
        <v>115</v>
      </c>
    </row>
    <row r="19" spans="1:9" x14ac:dyDescent="0.25">
      <c r="C19" s="27" t="s">
        <v>125</v>
      </c>
    </row>
    <row r="20" spans="1:9" x14ac:dyDescent="0.25">
      <c r="C20" t="s">
        <v>126</v>
      </c>
    </row>
    <row r="21" spans="1:9" x14ac:dyDescent="0.25">
      <c r="B21" s="14"/>
    </row>
    <row r="22" spans="1:9" x14ac:dyDescent="0.25">
      <c r="A22" s="29"/>
      <c r="B22" s="34" t="s">
        <v>90</v>
      </c>
      <c r="C22" s="35">
        <v>1</v>
      </c>
      <c r="D22" s="35">
        <v>2</v>
      </c>
      <c r="E22" s="35">
        <v>3</v>
      </c>
      <c r="F22" s="35">
        <v>4</v>
      </c>
      <c r="G22" s="35">
        <v>5</v>
      </c>
    </row>
    <row r="23" spans="1:9" x14ac:dyDescent="0.25">
      <c r="A23" s="29" t="s">
        <v>101</v>
      </c>
      <c r="B23" s="29"/>
      <c r="C23" s="29"/>
      <c r="D23" s="29"/>
      <c r="E23" s="29"/>
      <c r="F23" s="29"/>
      <c r="G23" s="29"/>
    </row>
    <row r="24" spans="1:9" x14ac:dyDescent="0.25">
      <c r="A24" s="29"/>
      <c r="B24" s="29" t="s">
        <v>112</v>
      </c>
      <c r="C24" s="36">
        <v>17681316</v>
      </c>
      <c r="D24" s="36">
        <f>C24*1.05</f>
        <v>18565381.800000001</v>
      </c>
      <c r="E24" s="36">
        <f t="shared" ref="E24:F25" si="0">D24*1.05</f>
        <v>19493650.890000001</v>
      </c>
      <c r="F24" s="36">
        <f t="shared" si="0"/>
        <v>20468333.434500001</v>
      </c>
      <c r="G24" s="36">
        <f>F24*1.05</f>
        <v>21491750.106225003</v>
      </c>
      <c r="H24" s="14"/>
      <c r="I24" s="14"/>
    </row>
    <row r="25" spans="1:9" x14ac:dyDescent="0.25">
      <c r="A25" s="29"/>
      <c r="B25" s="29" t="s">
        <v>42</v>
      </c>
      <c r="C25" s="30">
        <v>21669996</v>
      </c>
      <c r="D25" s="30">
        <f>C25*1.05</f>
        <v>22753495.800000001</v>
      </c>
      <c r="E25" s="30">
        <f t="shared" si="0"/>
        <v>23891170.590000004</v>
      </c>
      <c r="F25" s="30">
        <f t="shared" si="0"/>
        <v>25085729.119500004</v>
      </c>
      <c r="G25" s="30">
        <f t="shared" ref="G25" si="1">F25*1.05</f>
        <v>26340015.575475004</v>
      </c>
      <c r="H25" s="14"/>
      <c r="I25" s="14"/>
    </row>
    <row r="26" spans="1:9" x14ac:dyDescent="0.25">
      <c r="A26" s="29"/>
      <c r="B26" s="29" t="s">
        <v>4</v>
      </c>
      <c r="C26" s="40">
        <f>SUM(C25,C24)</f>
        <v>39351312</v>
      </c>
      <c r="D26" s="40">
        <f t="shared" ref="D26:G26" si="2">SUM(D25,D24)</f>
        <v>41318877.600000001</v>
      </c>
      <c r="E26" s="40">
        <f t="shared" si="2"/>
        <v>43384821.480000004</v>
      </c>
      <c r="F26" s="40">
        <f t="shared" si="2"/>
        <v>45554062.554000005</v>
      </c>
      <c r="G26" s="40">
        <f t="shared" si="2"/>
        <v>47831765.681700006</v>
      </c>
      <c r="H26" s="14"/>
      <c r="I26" s="14"/>
    </row>
    <row r="27" spans="1:9" x14ac:dyDescent="0.25">
      <c r="A27" s="29"/>
      <c r="B27" s="29"/>
      <c r="C27" s="29"/>
      <c r="D27" s="29"/>
      <c r="E27" s="29"/>
      <c r="F27" s="29"/>
      <c r="G27" s="29"/>
      <c r="H27" s="14"/>
      <c r="I27" s="14"/>
    </row>
    <row r="28" spans="1:9" x14ac:dyDescent="0.25">
      <c r="A28" s="29" t="s">
        <v>104</v>
      </c>
      <c r="B28" s="29"/>
      <c r="C28" s="30"/>
      <c r="D28" s="29"/>
      <c r="E28" s="29"/>
      <c r="F28" s="29"/>
      <c r="G28" s="29"/>
      <c r="H28" s="14"/>
      <c r="I28" s="14"/>
    </row>
    <row r="29" spans="1:9" x14ac:dyDescent="0.25">
      <c r="A29" s="29"/>
      <c r="B29" s="29" t="s">
        <v>118</v>
      </c>
      <c r="C29" s="30">
        <v>8</v>
      </c>
      <c r="D29" s="30">
        <v>10</v>
      </c>
      <c r="E29" s="30">
        <v>11</v>
      </c>
      <c r="F29" s="30">
        <v>12</v>
      </c>
      <c r="G29" s="30">
        <v>13</v>
      </c>
      <c r="H29" s="15"/>
      <c r="I29" s="14"/>
    </row>
    <row r="30" spans="1:9" x14ac:dyDescent="0.25">
      <c r="A30" s="29"/>
      <c r="B30" s="29" t="s">
        <v>117</v>
      </c>
      <c r="C30" s="30">
        <v>8</v>
      </c>
      <c r="D30" s="30">
        <v>8</v>
      </c>
      <c r="E30" s="30">
        <v>8</v>
      </c>
      <c r="F30" s="30">
        <v>8</v>
      </c>
      <c r="G30" s="30">
        <v>8</v>
      </c>
      <c r="H30" s="15"/>
    </row>
    <row r="31" spans="1:9" x14ac:dyDescent="0.25">
      <c r="A31" s="29"/>
      <c r="B31" s="29" t="s">
        <v>123</v>
      </c>
      <c r="C31" s="30">
        <v>24</v>
      </c>
      <c r="D31" s="30">
        <v>24</v>
      </c>
      <c r="E31" s="30">
        <v>24</v>
      </c>
      <c r="F31" s="30">
        <v>24</v>
      </c>
      <c r="G31" s="30">
        <v>24</v>
      </c>
    </row>
    <row r="32" spans="1:9" x14ac:dyDescent="0.25">
      <c r="A32" s="29"/>
      <c r="B32" s="29" t="s">
        <v>164</v>
      </c>
      <c r="C32" s="30" t="s">
        <v>174</v>
      </c>
      <c r="D32" s="30"/>
      <c r="E32" s="30"/>
      <c r="F32" s="30"/>
      <c r="G32" s="30"/>
    </row>
    <row r="33" spans="1:8" ht="30" x14ac:dyDescent="0.25">
      <c r="A33" s="29"/>
      <c r="B33" s="37" t="s">
        <v>122</v>
      </c>
      <c r="C33" s="30">
        <f>C29*C30*C31</f>
        <v>1536</v>
      </c>
      <c r="D33" s="30">
        <f>D29*D30*D31</f>
        <v>1920</v>
      </c>
      <c r="E33" s="30">
        <f>E29*E30*E31</f>
        <v>2112</v>
      </c>
      <c r="F33" s="30">
        <f t="shared" ref="F33:G33" si="3">F29*F30*F31</f>
        <v>2304</v>
      </c>
      <c r="G33" s="30">
        <f t="shared" si="3"/>
        <v>2496</v>
      </c>
    </row>
    <row r="34" spans="1:8" x14ac:dyDescent="0.25">
      <c r="A34" s="29"/>
      <c r="B34" s="38" t="s">
        <v>121</v>
      </c>
      <c r="C34" s="36">
        <f>C33*12</f>
        <v>18432</v>
      </c>
      <c r="D34" s="36">
        <f t="shared" ref="D34" si="4">D33*12</f>
        <v>23040</v>
      </c>
      <c r="E34" s="36">
        <f t="shared" ref="E34" si="5">E33*12</f>
        <v>25344</v>
      </c>
      <c r="F34" s="36">
        <f t="shared" ref="F34" si="6">F33*12</f>
        <v>27648</v>
      </c>
      <c r="G34" s="36">
        <f t="shared" ref="G34" si="7">G33*12</f>
        <v>29952</v>
      </c>
      <c r="H34" s="25"/>
    </row>
    <row r="35" spans="1:8" x14ac:dyDescent="0.25">
      <c r="A35" s="29"/>
      <c r="B35" s="29" t="s">
        <v>175</v>
      </c>
      <c r="C35" s="30">
        <v>2000</v>
      </c>
      <c r="D35" s="30">
        <v>2000</v>
      </c>
      <c r="E35" s="30">
        <v>2000</v>
      </c>
      <c r="F35" s="30">
        <v>2000</v>
      </c>
      <c r="G35" s="30">
        <v>2000</v>
      </c>
    </row>
    <row r="36" spans="1:8" x14ac:dyDescent="0.25">
      <c r="A36" s="29"/>
      <c r="B36" s="29"/>
      <c r="C36" s="30"/>
      <c r="D36" s="30"/>
      <c r="E36" s="30"/>
      <c r="F36" s="30"/>
      <c r="G36" s="30"/>
    </row>
    <row r="37" spans="1:8" x14ac:dyDescent="0.25">
      <c r="A37" s="29"/>
      <c r="B37" s="29" t="s">
        <v>104</v>
      </c>
      <c r="C37" s="39">
        <f>(C34*C35)</f>
        <v>36864000</v>
      </c>
      <c r="D37" s="39">
        <f t="shared" ref="D37" si="8">D34*D35</f>
        <v>46080000</v>
      </c>
      <c r="E37" s="39">
        <f t="shared" ref="E37" si="9">E34*E35</f>
        <v>50688000</v>
      </c>
      <c r="F37" s="39">
        <f t="shared" ref="F37" si="10">F34*F35</f>
        <v>55296000</v>
      </c>
      <c r="G37" s="39">
        <f t="shared" ref="G37" si="11">G34*G35</f>
        <v>59904000</v>
      </c>
    </row>
    <row r="38" spans="1:8" x14ac:dyDescent="0.25">
      <c r="A38" s="29"/>
      <c r="B38" s="29"/>
      <c r="C38" s="29"/>
      <c r="D38" s="29"/>
      <c r="E38" s="29"/>
      <c r="F38" s="29"/>
      <c r="G38" s="29"/>
    </row>
    <row r="39" spans="1:8" x14ac:dyDescent="0.25">
      <c r="A39" s="29"/>
      <c r="B39" s="29" t="s">
        <v>106</v>
      </c>
      <c r="C39" s="36">
        <f>C37-C26</f>
        <v>-2487312</v>
      </c>
      <c r="D39" s="36">
        <f t="shared" ref="D39:G39" si="12">D37-D26</f>
        <v>4761122.3999999985</v>
      </c>
      <c r="E39" s="36">
        <f t="shared" si="12"/>
        <v>7303178.5199999958</v>
      </c>
      <c r="F39" s="36">
        <f t="shared" si="12"/>
        <v>9741937.4459999949</v>
      </c>
      <c r="G39" s="36">
        <f t="shared" si="12"/>
        <v>12072234.318299994</v>
      </c>
    </row>
    <row r="40" spans="1:8" x14ac:dyDescent="0.25">
      <c r="A40" s="29"/>
      <c r="B40" s="29"/>
      <c r="C40" s="29"/>
      <c r="D40" s="29"/>
      <c r="E40" s="29"/>
      <c r="F40" s="29"/>
      <c r="G40" s="29"/>
    </row>
    <row r="41" spans="1:8" x14ac:dyDescent="0.25">
      <c r="A41" s="29"/>
      <c r="B41" s="29" t="s">
        <v>88</v>
      </c>
      <c r="C41" s="31">
        <v>2516720</v>
      </c>
      <c r="D41" s="31">
        <v>2516720</v>
      </c>
      <c r="E41" s="31">
        <v>2516720</v>
      </c>
      <c r="F41" s="31">
        <v>2516720</v>
      </c>
      <c r="G41" s="31">
        <v>2516720</v>
      </c>
    </row>
    <row r="42" spans="1:8" x14ac:dyDescent="0.25">
      <c r="A42" s="29"/>
      <c r="B42" s="29"/>
      <c r="C42" s="29"/>
      <c r="D42" s="29"/>
      <c r="E42" s="29"/>
      <c r="F42" s="29"/>
      <c r="G42" s="29"/>
    </row>
    <row r="43" spans="1:8" x14ac:dyDescent="0.25">
      <c r="A43" s="29"/>
      <c r="B43" s="29" t="s">
        <v>107</v>
      </c>
      <c r="C43" s="30">
        <f>C39-C41</f>
        <v>-5004032</v>
      </c>
      <c r="D43" s="30">
        <f t="shared" ref="D43:G43" si="13">D39-D41</f>
        <v>2244402.3999999985</v>
      </c>
      <c r="E43" s="30">
        <f t="shared" si="13"/>
        <v>4786458.5199999958</v>
      </c>
      <c r="F43" s="30">
        <f t="shared" si="13"/>
        <v>7225217.4459999949</v>
      </c>
      <c r="G43" s="30">
        <f t="shared" si="13"/>
        <v>9555514.3182999939</v>
      </c>
    </row>
    <row r="44" spans="1:8" x14ac:dyDescent="0.25">
      <c r="A44" s="29"/>
      <c r="B44" s="29"/>
      <c r="C44" s="29"/>
      <c r="D44" s="29"/>
      <c r="E44" s="29"/>
      <c r="F44" s="29"/>
      <c r="G44" s="29"/>
    </row>
    <row r="45" spans="1:8" x14ac:dyDescent="0.25">
      <c r="A45" s="29"/>
      <c r="B45" s="29" t="s">
        <v>119</v>
      </c>
      <c r="C45" s="36">
        <f>C43*0.15</f>
        <v>-750604.79999999993</v>
      </c>
      <c r="D45" s="36">
        <f t="shared" ref="D45:G45" si="14">D43*0.15</f>
        <v>336660.35999999975</v>
      </c>
      <c r="E45" s="36">
        <f t="shared" si="14"/>
        <v>717968.77799999935</v>
      </c>
      <c r="F45" s="36">
        <f t="shared" si="14"/>
        <v>1083782.6168999991</v>
      </c>
      <c r="G45" s="36">
        <f t="shared" si="14"/>
        <v>1433327.147744999</v>
      </c>
    </row>
    <row r="46" spans="1:8" x14ac:dyDescent="0.25">
      <c r="A46" s="29"/>
      <c r="B46" s="29"/>
      <c r="C46" s="29"/>
      <c r="D46" s="29"/>
      <c r="E46" s="29"/>
      <c r="F46" s="29"/>
      <c r="G46" s="29"/>
    </row>
    <row r="47" spans="1:8" x14ac:dyDescent="0.25">
      <c r="A47" s="29"/>
      <c r="B47" s="37" t="s">
        <v>120</v>
      </c>
      <c r="C47" s="36">
        <f>C43-C45</f>
        <v>-4253427.2</v>
      </c>
      <c r="D47" s="36">
        <f t="shared" ref="D47:G47" si="15">D43-D45</f>
        <v>1907742.0399999986</v>
      </c>
      <c r="E47" s="36">
        <f t="shared" si="15"/>
        <v>4068489.7419999964</v>
      </c>
      <c r="F47" s="36">
        <f t="shared" si="15"/>
        <v>6141434.829099996</v>
      </c>
      <c r="G47" s="36">
        <f t="shared" si="15"/>
        <v>8122187.1705549946</v>
      </c>
    </row>
    <row r="50" spans="1:7" x14ac:dyDescent="0.25">
      <c r="B50" s="6" t="s">
        <v>108</v>
      </c>
      <c r="C50" t="s">
        <v>116</v>
      </c>
    </row>
    <row r="51" spans="1:7" x14ac:dyDescent="0.25">
      <c r="B51" s="6"/>
      <c r="C51" t="s">
        <v>113</v>
      </c>
      <c r="D51" t="s">
        <v>114</v>
      </c>
      <c r="E51" t="s">
        <v>115</v>
      </c>
    </row>
    <row r="52" spans="1:7" x14ac:dyDescent="0.25">
      <c r="C52" s="27" t="s">
        <v>110</v>
      </c>
    </row>
    <row r="53" spans="1:7" x14ac:dyDescent="0.25">
      <c r="C53" t="s">
        <v>111</v>
      </c>
    </row>
    <row r="55" spans="1:7" x14ac:dyDescent="0.25">
      <c r="A55" s="29"/>
      <c r="B55" s="34" t="s">
        <v>90</v>
      </c>
      <c r="C55" s="35">
        <v>1</v>
      </c>
      <c r="D55" s="35">
        <v>2</v>
      </c>
      <c r="E55" s="35">
        <v>3</v>
      </c>
      <c r="F55" s="35">
        <v>4</v>
      </c>
      <c r="G55" s="35">
        <v>5</v>
      </c>
    </row>
    <row r="56" spans="1:7" x14ac:dyDescent="0.25">
      <c r="A56" s="29"/>
      <c r="B56" s="41"/>
      <c r="C56" s="42"/>
      <c r="D56" s="42"/>
      <c r="E56" s="42"/>
      <c r="F56" s="42"/>
      <c r="G56" s="42"/>
    </row>
    <row r="57" spans="1:7" x14ac:dyDescent="0.25">
      <c r="A57" s="29" t="s">
        <v>101</v>
      </c>
      <c r="B57" s="29"/>
      <c r="C57" s="29"/>
      <c r="D57" s="29"/>
      <c r="E57" s="29"/>
      <c r="F57" s="29"/>
      <c r="G57" s="29"/>
    </row>
    <row r="58" spans="1:7" x14ac:dyDescent="0.25">
      <c r="A58" s="29"/>
      <c r="B58" s="29" t="s">
        <v>112</v>
      </c>
      <c r="C58" s="36">
        <v>17681316</v>
      </c>
      <c r="D58" s="36">
        <f>C58*1.05</f>
        <v>18565381.800000001</v>
      </c>
      <c r="E58" s="36">
        <f t="shared" ref="E58:F59" si="16">D58*1.05</f>
        <v>19493650.890000001</v>
      </c>
      <c r="F58" s="36">
        <f t="shared" si="16"/>
        <v>20468333.434500001</v>
      </c>
      <c r="G58" s="36">
        <f>F58*1.05</f>
        <v>21491750.106225003</v>
      </c>
    </row>
    <row r="59" spans="1:7" x14ac:dyDescent="0.25">
      <c r="A59" s="29"/>
      <c r="B59" s="29" t="s">
        <v>42</v>
      </c>
      <c r="C59" s="30">
        <v>21669996</v>
      </c>
      <c r="D59" s="30">
        <f>C59*1.05</f>
        <v>22753495.800000001</v>
      </c>
      <c r="E59" s="30">
        <f t="shared" si="16"/>
        <v>23891170.590000004</v>
      </c>
      <c r="F59" s="30">
        <f t="shared" si="16"/>
        <v>25085729.119500004</v>
      </c>
      <c r="G59" s="30">
        <f t="shared" ref="G59" si="17">F59*1.05</f>
        <v>26340015.575475004</v>
      </c>
    </row>
    <row r="60" spans="1:7" x14ac:dyDescent="0.25">
      <c r="A60" s="29"/>
      <c r="B60" s="29" t="s">
        <v>4</v>
      </c>
      <c r="C60" s="40">
        <f>SUM(C58,C59)</f>
        <v>39351312</v>
      </c>
      <c r="D60" s="40">
        <f t="shared" ref="D60:G60" si="18">SUM(D58,D59)</f>
        <v>41318877.600000001</v>
      </c>
      <c r="E60" s="40">
        <f t="shared" si="18"/>
        <v>43384821.480000004</v>
      </c>
      <c r="F60" s="40">
        <f t="shared" si="18"/>
        <v>45554062.554000005</v>
      </c>
      <c r="G60" s="40">
        <f t="shared" si="18"/>
        <v>47831765.681700006</v>
      </c>
    </row>
    <row r="61" spans="1:7" x14ac:dyDescent="0.25">
      <c r="A61" s="29"/>
      <c r="B61" s="29"/>
      <c r="C61" s="29"/>
      <c r="D61" s="29"/>
      <c r="E61" s="29"/>
      <c r="F61" s="29"/>
      <c r="G61" s="29"/>
    </row>
    <row r="62" spans="1:7" x14ac:dyDescent="0.25">
      <c r="A62" s="29" t="s">
        <v>104</v>
      </c>
      <c r="B62" s="29"/>
      <c r="C62" s="30"/>
      <c r="D62" s="29"/>
      <c r="E62" s="29"/>
      <c r="F62" s="29"/>
      <c r="G62" s="29"/>
    </row>
    <row r="63" spans="1:7" x14ac:dyDescent="0.25">
      <c r="A63" s="29"/>
      <c r="B63" s="29" t="s">
        <v>118</v>
      </c>
      <c r="C63" s="30">
        <v>13</v>
      </c>
      <c r="D63" s="30">
        <v>15</v>
      </c>
      <c r="E63" s="30">
        <v>17</v>
      </c>
      <c r="F63" s="30">
        <v>19</v>
      </c>
      <c r="G63" s="30">
        <v>20</v>
      </c>
    </row>
    <row r="64" spans="1:7" x14ac:dyDescent="0.25">
      <c r="A64" s="29"/>
      <c r="B64" s="29" t="s">
        <v>117</v>
      </c>
      <c r="C64" s="30">
        <v>8</v>
      </c>
      <c r="D64" s="30">
        <v>8</v>
      </c>
      <c r="E64" s="30">
        <v>8</v>
      </c>
      <c r="F64" s="30">
        <v>8</v>
      </c>
      <c r="G64" s="30">
        <v>8</v>
      </c>
    </row>
    <row r="65" spans="1:7" x14ac:dyDescent="0.25">
      <c r="A65" s="29"/>
      <c r="B65" s="29" t="s">
        <v>123</v>
      </c>
      <c r="C65" s="30">
        <v>24</v>
      </c>
      <c r="D65" s="30">
        <v>24</v>
      </c>
      <c r="E65" s="30">
        <v>24</v>
      </c>
      <c r="F65" s="30">
        <v>24</v>
      </c>
      <c r="G65" s="30">
        <v>24</v>
      </c>
    </row>
    <row r="66" spans="1:7" ht="30" x14ac:dyDescent="0.25">
      <c r="A66" s="29"/>
      <c r="B66" s="37" t="s">
        <v>172</v>
      </c>
      <c r="C66" s="30">
        <f>C63*C64*C65</f>
        <v>2496</v>
      </c>
      <c r="D66" s="30">
        <f t="shared" ref="D66:G66" si="19">D63*D64*D65</f>
        <v>2880</v>
      </c>
      <c r="E66" s="30">
        <f t="shared" si="19"/>
        <v>3264</v>
      </c>
      <c r="F66" s="30">
        <f t="shared" si="19"/>
        <v>3648</v>
      </c>
      <c r="G66" s="30">
        <f t="shared" si="19"/>
        <v>3840</v>
      </c>
    </row>
    <row r="67" spans="1:7" x14ac:dyDescent="0.25">
      <c r="A67" s="29"/>
      <c r="B67" s="37" t="s">
        <v>121</v>
      </c>
      <c r="C67" s="36">
        <f>C66*12</f>
        <v>29952</v>
      </c>
      <c r="D67" s="36">
        <f t="shared" ref="D67:G67" si="20">D66*12</f>
        <v>34560</v>
      </c>
      <c r="E67" s="36">
        <f t="shared" si="20"/>
        <v>39168</v>
      </c>
      <c r="F67" s="36">
        <f t="shared" si="20"/>
        <v>43776</v>
      </c>
      <c r="G67" s="36">
        <f t="shared" si="20"/>
        <v>46080</v>
      </c>
    </row>
    <row r="68" spans="1:7" x14ac:dyDescent="0.25">
      <c r="A68" s="29"/>
      <c r="B68" s="29" t="s">
        <v>89</v>
      </c>
      <c r="C68" s="30">
        <v>2000</v>
      </c>
      <c r="D68" s="30">
        <v>2000</v>
      </c>
      <c r="E68" s="30">
        <v>2000</v>
      </c>
      <c r="F68" s="30">
        <v>2000</v>
      </c>
      <c r="G68" s="30">
        <v>2000</v>
      </c>
    </row>
    <row r="69" spans="1:7" x14ac:dyDescent="0.25">
      <c r="A69" s="29"/>
      <c r="B69" s="29"/>
      <c r="C69" s="30"/>
      <c r="D69" s="30"/>
      <c r="E69" s="30"/>
      <c r="F69" s="30"/>
      <c r="G69" s="30"/>
    </row>
    <row r="70" spans="1:7" x14ac:dyDescent="0.25">
      <c r="A70" s="29"/>
      <c r="B70" s="29" t="s">
        <v>104</v>
      </c>
      <c r="C70" s="39">
        <f>C67*C68</f>
        <v>59904000</v>
      </c>
      <c r="D70" s="39">
        <f t="shared" ref="D70:G70" si="21">D67*D68</f>
        <v>69120000</v>
      </c>
      <c r="E70" s="39">
        <f t="shared" si="21"/>
        <v>78336000</v>
      </c>
      <c r="F70" s="39">
        <f t="shared" si="21"/>
        <v>87552000</v>
      </c>
      <c r="G70" s="39">
        <f t="shared" si="21"/>
        <v>92160000</v>
      </c>
    </row>
    <row r="71" spans="1:7" x14ac:dyDescent="0.25">
      <c r="A71" s="29"/>
      <c r="B71" s="29"/>
      <c r="C71" s="29"/>
      <c r="D71" s="29"/>
      <c r="E71" s="29"/>
      <c r="F71" s="29"/>
      <c r="G71" s="29"/>
    </row>
    <row r="72" spans="1:7" x14ac:dyDescent="0.25">
      <c r="A72" s="29"/>
      <c r="B72" s="29" t="s">
        <v>106</v>
      </c>
      <c r="C72" s="36">
        <f>C70-C60</f>
        <v>20552688</v>
      </c>
      <c r="D72" s="36">
        <f t="shared" ref="D72:G72" si="22">D70-D60</f>
        <v>27801122.399999999</v>
      </c>
      <c r="E72" s="36">
        <f t="shared" si="22"/>
        <v>34951178.519999996</v>
      </c>
      <c r="F72" s="36">
        <f t="shared" si="22"/>
        <v>41997937.445999995</v>
      </c>
      <c r="G72" s="36">
        <f t="shared" si="22"/>
        <v>44328234.318299994</v>
      </c>
    </row>
    <row r="73" spans="1:7" x14ac:dyDescent="0.25">
      <c r="A73" s="29"/>
      <c r="B73" s="29"/>
      <c r="C73" s="29"/>
      <c r="D73" s="29"/>
      <c r="E73" s="29"/>
      <c r="F73" s="29"/>
      <c r="G73" s="29"/>
    </row>
    <row r="74" spans="1:7" x14ac:dyDescent="0.25">
      <c r="A74" s="29"/>
      <c r="B74" s="29" t="s">
        <v>88</v>
      </c>
      <c r="C74" s="31">
        <v>2516720</v>
      </c>
      <c r="D74" s="31">
        <v>2516720</v>
      </c>
      <c r="E74" s="31">
        <v>2516720</v>
      </c>
      <c r="F74" s="31">
        <v>2516720</v>
      </c>
      <c r="G74" s="31">
        <v>2516720</v>
      </c>
    </row>
    <row r="75" spans="1:7" x14ac:dyDescent="0.25">
      <c r="A75" s="29"/>
      <c r="B75" s="29"/>
      <c r="C75" s="29"/>
      <c r="D75" s="29"/>
      <c r="E75" s="29"/>
      <c r="F75" s="29"/>
      <c r="G75" s="29"/>
    </row>
    <row r="76" spans="1:7" x14ac:dyDescent="0.25">
      <c r="A76" s="29"/>
      <c r="B76" s="29" t="s">
        <v>107</v>
      </c>
      <c r="C76" s="30">
        <f>C72-C74</f>
        <v>18035968</v>
      </c>
      <c r="D76" s="30">
        <f t="shared" ref="D76:G76" si="23">D72-D74</f>
        <v>25284402.399999999</v>
      </c>
      <c r="E76" s="30">
        <f t="shared" si="23"/>
        <v>32434458.519999996</v>
      </c>
      <c r="F76" s="30">
        <f t="shared" si="23"/>
        <v>39481217.445999995</v>
      </c>
      <c r="G76" s="30">
        <f t="shared" si="23"/>
        <v>41811514.318299994</v>
      </c>
    </row>
    <row r="77" spans="1:7" x14ac:dyDescent="0.25">
      <c r="A77" s="29"/>
      <c r="B77" s="29"/>
      <c r="C77" s="29"/>
      <c r="D77" s="29"/>
      <c r="E77" s="29"/>
      <c r="F77" s="29"/>
      <c r="G77" s="29"/>
    </row>
    <row r="78" spans="1:7" x14ac:dyDescent="0.25">
      <c r="A78" s="29"/>
      <c r="B78" s="29" t="s">
        <v>119</v>
      </c>
      <c r="C78" s="36">
        <f>C76*0.15</f>
        <v>2705395.1999999997</v>
      </c>
      <c r="D78" s="36">
        <f t="shared" ref="D78:G78" si="24">D76*0.15</f>
        <v>3792660.3599999994</v>
      </c>
      <c r="E78" s="36">
        <f t="shared" si="24"/>
        <v>4865168.777999999</v>
      </c>
      <c r="F78" s="36">
        <f t="shared" si="24"/>
        <v>5922182.6168999989</v>
      </c>
      <c r="G78" s="36">
        <f t="shared" si="24"/>
        <v>6271727.1477449993</v>
      </c>
    </row>
    <row r="79" spans="1:7" x14ac:dyDescent="0.25">
      <c r="A79" s="29"/>
      <c r="B79" s="29"/>
      <c r="C79" s="29"/>
      <c r="D79" s="29"/>
      <c r="E79" s="29"/>
      <c r="F79" s="29"/>
      <c r="G79" s="29"/>
    </row>
    <row r="80" spans="1:7" x14ac:dyDescent="0.25">
      <c r="A80" s="29"/>
      <c r="B80" s="37" t="s">
        <v>120</v>
      </c>
      <c r="C80" s="36">
        <f>C76-C78</f>
        <v>15330572.800000001</v>
      </c>
      <c r="D80" s="36">
        <f t="shared" ref="D80:G80" si="25">D76-D78</f>
        <v>21491742.039999999</v>
      </c>
      <c r="E80" s="36">
        <f t="shared" si="25"/>
        <v>27569289.741999999</v>
      </c>
      <c r="F80" s="36">
        <f t="shared" si="25"/>
        <v>33559034.829099998</v>
      </c>
      <c r="G80" s="36">
        <f t="shared" si="25"/>
        <v>35539787.170554996</v>
      </c>
    </row>
    <row r="84" spans="1:7" x14ac:dyDescent="0.25">
      <c r="B84" s="6" t="s">
        <v>127</v>
      </c>
      <c r="C84" t="s">
        <v>128</v>
      </c>
    </row>
    <row r="85" spans="1:7" x14ac:dyDescent="0.25">
      <c r="B85" s="6"/>
      <c r="C85" t="s">
        <v>129</v>
      </c>
    </row>
    <row r="86" spans="1:7" x14ac:dyDescent="0.25">
      <c r="B86" s="6"/>
      <c r="C86" t="s">
        <v>124</v>
      </c>
    </row>
    <row r="87" spans="1:7" x14ac:dyDescent="0.25">
      <c r="B87" s="13"/>
      <c r="C87" t="s">
        <v>113</v>
      </c>
      <c r="D87" t="s">
        <v>114</v>
      </c>
      <c r="E87" t="s">
        <v>115</v>
      </c>
    </row>
    <row r="88" spans="1:7" x14ac:dyDescent="0.25">
      <c r="C88" s="27" t="s">
        <v>125</v>
      </c>
    </row>
    <row r="89" spans="1:7" x14ac:dyDescent="0.25">
      <c r="C89" t="s">
        <v>130</v>
      </c>
    </row>
    <row r="90" spans="1:7" x14ac:dyDescent="0.25">
      <c r="B90" s="14"/>
    </row>
    <row r="91" spans="1:7" x14ac:dyDescent="0.25">
      <c r="A91" s="29"/>
      <c r="B91" s="34" t="s">
        <v>90</v>
      </c>
      <c r="C91" s="35">
        <v>1</v>
      </c>
      <c r="D91" s="35">
        <v>2</v>
      </c>
      <c r="E91" s="35">
        <v>3</v>
      </c>
      <c r="F91" s="35">
        <v>4</v>
      </c>
      <c r="G91" s="35">
        <v>5</v>
      </c>
    </row>
    <row r="92" spans="1:7" x14ac:dyDescent="0.25">
      <c r="A92" s="29" t="s">
        <v>101</v>
      </c>
      <c r="B92" s="29"/>
      <c r="C92" s="29"/>
      <c r="D92" s="29"/>
      <c r="E92" s="29"/>
      <c r="F92" s="29"/>
      <c r="G92" s="29"/>
    </row>
    <row r="93" spans="1:7" x14ac:dyDescent="0.25">
      <c r="A93" s="29"/>
      <c r="B93" s="29" t="s">
        <v>112</v>
      </c>
      <c r="C93" s="36">
        <v>17681316</v>
      </c>
      <c r="D93" s="36">
        <f>C93*1.05</f>
        <v>18565381.800000001</v>
      </c>
      <c r="E93" s="36">
        <f t="shared" ref="E93:F94" si="26">D93*1.05</f>
        <v>19493650.890000001</v>
      </c>
      <c r="F93" s="36">
        <f t="shared" si="26"/>
        <v>20468333.434500001</v>
      </c>
      <c r="G93" s="36">
        <f>F93*1.05</f>
        <v>21491750.106225003</v>
      </c>
    </row>
    <row r="94" spans="1:7" x14ac:dyDescent="0.25">
      <c r="A94" s="29"/>
      <c r="B94" s="29" t="s">
        <v>42</v>
      </c>
      <c r="C94" s="30">
        <v>21669996</v>
      </c>
      <c r="D94" s="30">
        <f>C94*1.05</f>
        <v>22753495.800000001</v>
      </c>
      <c r="E94" s="30">
        <f t="shared" si="26"/>
        <v>23891170.590000004</v>
      </c>
      <c r="F94" s="30">
        <f t="shared" si="26"/>
        <v>25085729.119500004</v>
      </c>
      <c r="G94" s="30">
        <f t="shared" ref="G94" si="27">F94*1.05</f>
        <v>26340015.575475004</v>
      </c>
    </row>
    <row r="95" spans="1:7" x14ac:dyDescent="0.25">
      <c r="A95" s="29"/>
      <c r="B95" s="29" t="s">
        <v>4</v>
      </c>
      <c r="C95" s="40">
        <f>SUM(C93:C94)</f>
        <v>39351312</v>
      </c>
      <c r="D95" s="40">
        <f t="shared" ref="D95" si="28">SUM(D93:D94)</f>
        <v>41318877.600000001</v>
      </c>
      <c r="E95" s="40">
        <f t="shared" ref="E95" si="29">SUM(E93:E94)</f>
        <v>43384821.480000004</v>
      </c>
      <c r="F95" s="40">
        <f t="shared" ref="F95" si="30">SUM(F93:F94)</f>
        <v>45554062.554000005</v>
      </c>
      <c r="G95" s="40">
        <f t="shared" ref="G95" si="31">SUM(G93:G94)</f>
        <v>47831765.681700006</v>
      </c>
    </row>
    <row r="96" spans="1:7" x14ac:dyDescent="0.25">
      <c r="A96" s="29"/>
      <c r="B96" s="29"/>
      <c r="C96" s="29"/>
      <c r="D96" s="29"/>
      <c r="E96" s="29"/>
      <c r="F96" s="29"/>
      <c r="G96" s="29"/>
    </row>
    <row r="97" spans="1:7" x14ac:dyDescent="0.25">
      <c r="A97" s="29" t="s">
        <v>104</v>
      </c>
      <c r="B97" s="29"/>
      <c r="C97" s="30"/>
      <c r="D97" s="29"/>
      <c r="E97" s="29"/>
      <c r="F97" s="29"/>
      <c r="G97" s="29"/>
    </row>
    <row r="98" spans="1:7" x14ac:dyDescent="0.25">
      <c r="A98" s="29"/>
      <c r="B98" s="29" t="s">
        <v>173</v>
      </c>
      <c r="C98" s="30">
        <v>4</v>
      </c>
      <c r="D98" s="30">
        <v>5</v>
      </c>
      <c r="E98" s="30">
        <v>6</v>
      </c>
      <c r="F98" s="30">
        <v>7</v>
      </c>
      <c r="G98" s="30">
        <v>8</v>
      </c>
    </row>
    <row r="99" spans="1:7" x14ac:dyDescent="0.25">
      <c r="A99" s="29"/>
      <c r="B99" s="29" t="s">
        <v>117</v>
      </c>
      <c r="C99" s="30">
        <v>8</v>
      </c>
      <c r="D99" s="30">
        <v>8</v>
      </c>
      <c r="E99" s="30">
        <v>8</v>
      </c>
      <c r="F99" s="30">
        <v>8</v>
      </c>
      <c r="G99" s="30">
        <v>8</v>
      </c>
    </row>
    <row r="100" spans="1:7" x14ac:dyDescent="0.25">
      <c r="A100" s="29"/>
      <c r="B100" s="29" t="s">
        <v>123</v>
      </c>
      <c r="C100" s="30">
        <v>24</v>
      </c>
      <c r="D100" s="30">
        <v>24</v>
      </c>
      <c r="E100" s="30">
        <v>24</v>
      </c>
      <c r="F100" s="30">
        <v>24</v>
      </c>
      <c r="G100" s="30">
        <v>24</v>
      </c>
    </row>
    <row r="101" spans="1:7" ht="30" x14ac:dyDescent="0.25">
      <c r="A101" s="29"/>
      <c r="B101" s="37" t="s">
        <v>122</v>
      </c>
      <c r="C101" s="30">
        <f>C98*C99*C100</f>
        <v>768</v>
      </c>
      <c r="D101" s="30">
        <f t="shared" ref="D101:G101" si="32">D98*D99*D100</f>
        <v>960</v>
      </c>
      <c r="E101" s="30">
        <f t="shared" si="32"/>
        <v>1152</v>
      </c>
      <c r="F101" s="30">
        <f t="shared" si="32"/>
        <v>1344</v>
      </c>
      <c r="G101" s="30">
        <f t="shared" si="32"/>
        <v>1536</v>
      </c>
    </row>
    <row r="102" spans="1:7" x14ac:dyDescent="0.25">
      <c r="A102" s="29"/>
      <c r="B102" s="37" t="s">
        <v>121</v>
      </c>
      <c r="C102" s="36">
        <f>C101*12</f>
        <v>9216</v>
      </c>
      <c r="D102" s="36">
        <f t="shared" ref="D102" si="33">D101*12</f>
        <v>11520</v>
      </c>
      <c r="E102" s="36">
        <f t="shared" ref="E102" si="34">E101*12</f>
        <v>13824</v>
      </c>
      <c r="F102" s="36">
        <f t="shared" ref="F102" si="35">F101*12</f>
        <v>16128</v>
      </c>
      <c r="G102" s="36">
        <f t="shared" ref="G102" si="36">G101*12</f>
        <v>18432</v>
      </c>
    </row>
    <row r="103" spans="1:7" x14ac:dyDescent="0.25">
      <c r="A103" s="29"/>
      <c r="B103" s="29" t="s">
        <v>89</v>
      </c>
      <c r="C103" s="30">
        <v>2000</v>
      </c>
      <c r="D103" s="30">
        <v>2000</v>
      </c>
      <c r="E103" s="30">
        <v>2000</v>
      </c>
      <c r="F103" s="30">
        <v>2000</v>
      </c>
      <c r="G103" s="30">
        <v>2000</v>
      </c>
    </row>
    <row r="104" spans="1:7" x14ac:dyDescent="0.25">
      <c r="A104" s="29"/>
      <c r="B104" s="29"/>
      <c r="C104" s="30"/>
      <c r="D104" s="30"/>
      <c r="E104" s="30"/>
      <c r="F104" s="30"/>
      <c r="G104" s="30"/>
    </row>
    <row r="105" spans="1:7" x14ac:dyDescent="0.25">
      <c r="A105" s="29"/>
      <c r="B105" s="29" t="s">
        <v>104</v>
      </c>
      <c r="C105" s="39">
        <f>C102*C103</f>
        <v>18432000</v>
      </c>
      <c r="D105" s="39">
        <f t="shared" ref="D105" si="37">D102*D103</f>
        <v>23040000</v>
      </c>
      <c r="E105" s="39">
        <f t="shared" ref="E105" si="38">E102*E103</f>
        <v>27648000</v>
      </c>
      <c r="F105" s="39">
        <f t="shared" ref="F105" si="39">F102*F103</f>
        <v>32256000</v>
      </c>
      <c r="G105" s="39">
        <f t="shared" ref="G105" si="40">G102*G103</f>
        <v>36864000</v>
      </c>
    </row>
    <row r="106" spans="1:7" x14ac:dyDescent="0.25">
      <c r="A106" s="29"/>
      <c r="B106" s="29"/>
      <c r="C106" s="29"/>
      <c r="D106" s="29"/>
      <c r="E106" s="29"/>
      <c r="F106" s="29"/>
      <c r="G106" s="29"/>
    </row>
    <row r="107" spans="1:7" x14ac:dyDescent="0.25">
      <c r="A107" s="29"/>
      <c r="B107" s="29" t="s">
        <v>106</v>
      </c>
      <c r="C107" s="36">
        <f>C105-C95</f>
        <v>-20919312</v>
      </c>
      <c r="D107" s="36">
        <f t="shared" ref="D107:G107" si="41">D105-D95</f>
        <v>-18278877.600000001</v>
      </c>
      <c r="E107" s="36">
        <f t="shared" si="41"/>
        <v>-15736821.480000004</v>
      </c>
      <c r="F107" s="36">
        <f t="shared" si="41"/>
        <v>-13298062.554000005</v>
      </c>
      <c r="G107" s="36">
        <f t="shared" si="41"/>
        <v>-10967765.681700006</v>
      </c>
    </row>
    <row r="108" spans="1:7" x14ac:dyDescent="0.25">
      <c r="A108" s="29"/>
      <c r="B108" s="29"/>
      <c r="C108" s="29"/>
      <c r="D108" s="29"/>
      <c r="E108" s="29"/>
      <c r="F108" s="29"/>
      <c r="G108" s="29"/>
    </row>
    <row r="109" spans="1:7" x14ac:dyDescent="0.25">
      <c r="A109" s="29"/>
      <c r="B109" s="29" t="s">
        <v>88</v>
      </c>
      <c r="C109" s="31">
        <v>2516720</v>
      </c>
      <c r="D109" s="31">
        <v>2516720</v>
      </c>
      <c r="E109" s="31">
        <v>2516720</v>
      </c>
      <c r="F109" s="31">
        <v>2516720</v>
      </c>
      <c r="G109" s="31">
        <v>2516720</v>
      </c>
    </row>
    <row r="110" spans="1:7" x14ac:dyDescent="0.25">
      <c r="A110" s="29"/>
      <c r="B110" s="29"/>
      <c r="C110" s="29"/>
      <c r="D110" s="29"/>
      <c r="E110" s="29"/>
      <c r="F110" s="29"/>
      <c r="G110" s="29"/>
    </row>
    <row r="111" spans="1:7" x14ac:dyDescent="0.25">
      <c r="A111" s="29"/>
      <c r="B111" s="29" t="s">
        <v>107</v>
      </c>
      <c r="C111" s="30">
        <f>C107-C109</f>
        <v>-23436032</v>
      </c>
      <c r="D111" s="30">
        <f t="shared" ref="D111:G111" si="42">D107-D109</f>
        <v>-20795597.600000001</v>
      </c>
      <c r="E111" s="30">
        <f t="shared" si="42"/>
        <v>-18253541.480000004</v>
      </c>
      <c r="F111" s="30">
        <f t="shared" si="42"/>
        <v>-15814782.554000005</v>
      </c>
      <c r="G111" s="30">
        <f t="shared" si="42"/>
        <v>-13484485.681700006</v>
      </c>
    </row>
    <row r="112" spans="1:7" x14ac:dyDescent="0.25">
      <c r="A112" s="29"/>
      <c r="B112" s="29"/>
      <c r="C112" s="29"/>
      <c r="D112" s="29"/>
      <c r="E112" s="29"/>
      <c r="F112" s="29"/>
      <c r="G112" s="29"/>
    </row>
    <row r="113" spans="1:7" x14ac:dyDescent="0.25">
      <c r="A113" s="29"/>
      <c r="B113" s="29" t="s">
        <v>119</v>
      </c>
      <c r="C113" s="36">
        <f>C111*0.15</f>
        <v>-3515404.8</v>
      </c>
      <c r="D113" s="36">
        <f t="shared" ref="D113:G113" si="43">D111*0.15</f>
        <v>-3119339.64</v>
      </c>
      <c r="E113" s="36">
        <f t="shared" si="43"/>
        <v>-2738031.2220000005</v>
      </c>
      <c r="F113" s="36">
        <f t="shared" si="43"/>
        <v>-2372217.3831000007</v>
      </c>
      <c r="G113" s="36">
        <f t="shared" si="43"/>
        <v>-2022672.8522550007</v>
      </c>
    </row>
    <row r="114" spans="1:7" x14ac:dyDescent="0.25">
      <c r="A114" s="29"/>
      <c r="B114" s="29"/>
      <c r="C114" s="29"/>
      <c r="D114" s="29"/>
      <c r="E114" s="29"/>
      <c r="F114" s="29"/>
      <c r="G114" s="29"/>
    </row>
    <row r="115" spans="1:7" x14ac:dyDescent="0.25">
      <c r="A115" s="29"/>
      <c r="B115" s="37" t="s">
        <v>120</v>
      </c>
      <c r="C115" s="36">
        <f>C111-C113</f>
        <v>-19920627.199999999</v>
      </c>
      <c r="D115" s="36">
        <f t="shared" ref="D115:G115" si="44">D111-D113</f>
        <v>-17676257.960000001</v>
      </c>
      <c r="E115" s="36">
        <f t="shared" si="44"/>
        <v>-15515510.258000003</v>
      </c>
      <c r="F115" s="36">
        <f t="shared" si="44"/>
        <v>-13442565.170900004</v>
      </c>
      <c r="G115" s="36">
        <f t="shared" si="44"/>
        <v>-11461812.829445004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38"/>
  <sheetViews>
    <sheetView tabSelected="1" zoomScale="85" zoomScaleNormal="85" workbookViewId="0">
      <selection activeCell="L5" sqref="L5"/>
    </sheetView>
  </sheetViews>
  <sheetFormatPr defaultRowHeight="15" x14ac:dyDescent="0.25"/>
  <cols>
    <col min="2" max="2" width="17.5703125" customWidth="1"/>
    <col min="3" max="3" width="14.42578125" customWidth="1"/>
    <col min="4" max="4" width="15.42578125" customWidth="1"/>
    <col min="5" max="8" width="15.28515625" customWidth="1"/>
    <col min="10" max="10" width="12.28515625" bestFit="1" customWidth="1"/>
  </cols>
  <sheetData>
    <row r="3" spans="1:12" ht="15.75" x14ac:dyDescent="0.25">
      <c r="A3" s="1" t="s">
        <v>134</v>
      </c>
    </row>
    <row r="5" spans="1:12" x14ac:dyDescent="0.25">
      <c r="B5" t="s">
        <v>133</v>
      </c>
      <c r="C5" s="4">
        <v>17681316</v>
      </c>
    </row>
    <row r="6" spans="1:12" x14ac:dyDescent="0.25">
      <c r="B6" t="s">
        <v>132</v>
      </c>
      <c r="C6" s="4">
        <v>21669996</v>
      </c>
      <c r="L6" s="21" t="s">
        <v>159</v>
      </c>
    </row>
    <row r="7" spans="1:12" x14ac:dyDescent="0.25">
      <c r="B7" t="s">
        <v>131</v>
      </c>
      <c r="C7">
        <v>2000</v>
      </c>
    </row>
    <row r="8" spans="1:12" x14ac:dyDescent="0.25">
      <c r="L8" s="21" t="s">
        <v>160</v>
      </c>
    </row>
    <row r="9" spans="1:12" ht="30" x14ac:dyDescent="0.25">
      <c r="B9" s="2" t="s">
        <v>157</v>
      </c>
      <c r="C9" s="10">
        <v>21457</v>
      </c>
      <c r="L9" s="21" t="s">
        <v>161</v>
      </c>
    </row>
    <row r="11" spans="1:12" ht="30" x14ac:dyDescent="0.25">
      <c r="B11" s="2" t="s">
        <v>158</v>
      </c>
      <c r="C11" s="10">
        <f>C9/24</f>
        <v>894.04166666666663</v>
      </c>
      <c r="L11" s="21" t="s">
        <v>162</v>
      </c>
    </row>
    <row r="17" spans="1:8" ht="15.75" x14ac:dyDescent="0.25">
      <c r="A17" s="1" t="s">
        <v>135</v>
      </c>
    </row>
    <row r="19" spans="1:8" x14ac:dyDescent="0.25">
      <c r="B19" s="28" t="s">
        <v>136</v>
      </c>
      <c r="C19" s="28">
        <v>0</v>
      </c>
      <c r="D19" s="28">
        <v>1</v>
      </c>
      <c r="E19" s="28">
        <v>2</v>
      </c>
      <c r="F19" s="28">
        <v>3</v>
      </c>
      <c r="G19" s="28">
        <v>4</v>
      </c>
      <c r="H19" s="28">
        <v>5</v>
      </c>
    </row>
    <row r="20" spans="1:8" x14ac:dyDescent="0.25">
      <c r="B20" s="29" t="s">
        <v>137</v>
      </c>
      <c r="C20" s="30">
        <v>52309912</v>
      </c>
      <c r="D20" s="30"/>
      <c r="E20" s="30"/>
      <c r="F20" s="30"/>
      <c r="G20" s="30"/>
      <c r="H20" s="30"/>
    </row>
    <row r="21" spans="1:8" x14ac:dyDescent="0.25">
      <c r="B21" s="29" t="s">
        <v>105</v>
      </c>
      <c r="C21" s="30">
        <f>SUM(D21,E21,F21,G21,H21)</f>
        <v>248832000</v>
      </c>
      <c r="D21" s="30">
        <v>36864000</v>
      </c>
      <c r="E21" s="30">
        <v>46080000</v>
      </c>
      <c r="F21" s="30">
        <v>50688000</v>
      </c>
      <c r="G21" s="30">
        <v>55296000</v>
      </c>
      <c r="H21" s="30">
        <v>59904000</v>
      </c>
    </row>
    <row r="22" spans="1:8" x14ac:dyDescent="0.25">
      <c r="B22" s="29" t="s">
        <v>138</v>
      </c>
      <c r="C22" s="30">
        <v>52309912</v>
      </c>
      <c r="D22" s="30"/>
      <c r="E22" s="30"/>
      <c r="F22" s="30"/>
      <c r="G22" s="30"/>
      <c r="H22" s="30"/>
    </row>
    <row r="23" spans="1:8" x14ac:dyDescent="0.25">
      <c r="B23" s="29" t="s">
        <v>139</v>
      </c>
      <c r="C23" s="30"/>
      <c r="D23" s="30">
        <v>39351312</v>
      </c>
      <c r="E23" s="30">
        <v>41318878</v>
      </c>
      <c r="F23" s="30">
        <v>43384821</v>
      </c>
      <c r="G23" s="30">
        <v>45554063</v>
      </c>
      <c r="H23" s="30">
        <v>47837766</v>
      </c>
    </row>
    <row r="24" spans="1:8" x14ac:dyDescent="0.25">
      <c r="B24" s="29" t="s">
        <v>4</v>
      </c>
      <c r="C24" s="30">
        <f>SUM(D24,E24,F24,G24,H24)</f>
        <v>217446840</v>
      </c>
      <c r="D24" s="30">
        <f t="shared" ref="D24:H24" si="0">D22+D23</f>
        <v>39351312</v>
      </c>
      <c r="E24" s="30">
        <f t="shared" si="0"/>
        <v>41318878</v>
      </c>
      <c r="F24" s="30">
        <f t="shared" si="0"/>
        <v>43384821</v>
      </c>
      <c r="G24" s="30">
        <f t="shared" si="0"/>
        <v>45554063</v>
      </c>
      <c r="H24" s="30">
        <f t="shared" si="0"/>
        <v>47837766</v>
      </c>
    </row>
    <row r="25" spans="1:8" x14ac:dyDescent="0.25">
      <c r="B25" s="29" t="s">
        <v>106</v>
      </c>
      <c r="C25" s="30"/>
      <c r="D25" s="30">
        <f>D21-D24</f>
        <v>-2487312</v>
      </c>
      <c r="E25" s="30">
        <f t="shared" ref="E25:H25" si="1">E21-E24</f>
        <v>4761122</v>
      </c>
      <c r="F25" s="30">
        <f t="shared" si="1"/>
        <v>7303179</v>
      </c>
      <c r="G25" s="30">
        <f t="shared" si="1"/>
        <v>9741937</v>
      </c>
      <c r="H25" s="30">
        <f t="shared" si="1"/>
        <v>12066234</v>
      </c>
    </row>
    <row r="26" spans="1:8" x14ac:dyDescent="0.25">
      <c r="B26" s="29" t="s">
        <v>88</v>
      </c>
      <c r="C26" s="30"/>
      <c r="D26" s="31">
        <v>2516720</v>
      </c>
      <c r="E26" s="31">
        <v>2516720</v>
      </c>
      <c r="F26" s="31">
        <v>2516720</v>
      </c>
      <c r="G26" s="31">
        <v>2516720</v>
      </c>
      <c r="H26" s="31">
        <v>2516720</v>
      </c>
    </row>
    <row r="27" spans="1:8" x14ac:dyDescent="0.25">
      <c r="B27" s="29" t="s">
        <v>140</v>
      </c>
      <c r="C27" s="30"/>
      <c r="D27" s="30">
        <f>D25-D26</f>
        <v>-5004032</v>
      </c>
      <c r="E27" s="30">
        <f>E25-E26</f>
        <v>2244402</v>
      </c>
      <c r="F27" s="30">
        <f>F25-F26</f>
        <v>4786459</v>
      </c>
      <c r="G27" s="30">
        <f>G25-G26</f>
        <v>7225217</v>
      </c>
      <c r="H27" s="30">
        <f>H25-H26</f>
        <v>9549514</v>
      </c>
    </row>
    <row r="28" spans="1:8" x14ac:dyDescent="0.25">
      <c r="B28" s="29" t="s">
        <v>141</v>
      </c>
      <c r="C28" s="30"/>
      <c r="D28" s="30">
        <f>D27*0.15</f>
        <v>-750604.79999999993</v>
      </c>
      <c r="E28" s="30">
        <f t="shared" ref="E28:H28" si="2">E27*0.15</f>
        <v>336660.3</v>
      </c>
      <c r="F28" s="30">
        <f t="shared" si="2"/>
        <v>717968.85</v>
      </c>
      <c r="G28" s="30">
        <f t="shared" si="2"/>
        <v>1083782.55</v>
      </c>
      <c r="H28" s="30">
        <f t="shared" si="2"/>
        <v>1432427.0999999999</v>
      </c>
    </row>
    <row r="29" spans="1:8" x14ac:dyDescent="0.25">
      <c r="B29" s="29" t="s">
        <v>142</v>
      </c>
      <c r="C29" s="30">
        <f>C21-C24</f>
        <v>31385160</v>
      </c>
      <c r="D29" s="30">
        <f>D27-D28</f>
        <v>-4253427.2</v>
      </c>
      <c r="E29" s="30">
        <f t="shared" ref="E29:H29" si="3">E27-E28</f>
        <v>1907741.7</v>
      </c>
      <c r="F29" s="30">
        <f t="shared" si="3"/>
        <v>4068490.15</v>
      </c>
      <c r="G29" s="30">
        <f t="shared" si="3"/>
        <v>6141434.4500000002</v>
      </c>
      <c r="H29" s="30">
        <f t="shared" si="3"/>
        <v>8117086.9000000004</v>
      </c>
    </row>
    <row r="30" spans="1:8" x14ac:dyDescent="0.25">
      <c r="B30" s="29"/>
      <c r="C30" s="30"/>
      <c r="D30" s="30"/>
      <c r="E30" s="30"/>
      <c r="F30" s="30"/>
      <c r="G30" s="30"/>
      <c r="H30" s="30"/>
    </row>
    <row r="31" spans="1:8" x14ac:dyDescent="0.25">
      <c r="B31" s="29" t="s">
        <v>143</v>
      </c>
      <c r="C31" s="30"/>
      <c r="D31" s="32">
        <f>D29</f>
        <v>-4253427.2</v>
      </c>
      <c r="E31" s="30">
        <f>E29</f>
        <v>1907741.7</v>
      </c>
      <c r="F31" s="30">
        <f>F29</f>
        <v>4068490.15</v>
      </c>
      <c r="G31" s="30">
        <f>G29</f>
        <v>6141434.4500000002</v>
      </c>
      <c r="H31" s="30">
        <f>H29</f>
        <v>8117086.9000000004</v>
      </c>
    </row>
    <row r="32" spans="1:8" x14ac:dyDescent="0.25">
      <c r="D32" s="10"/>
    </row>
    <row r="34" spans="2:10" x14ac:dyDescent="0.25">
      <c r="B34" s="29" t="s">
        <v>144</v>
      </c>
      <c r="C34" s="29"/>
    </row>
    <row r="35" spans="2:10" x14ac:dyDescent="0.25">
      <c r="B35" s="29" t="s">
        <v>145</v>
      </c>
      <c r="C35" s="29">
        <v>5</v>
      </c>
    </row>
    <row r="37" spans="2:10" x14ac:dyDescent="0.25">
      <c r="B37" s="29" t="s">
        <v>144</v>
      </c>
      <c r="C37" s="30">
        <f>C29+(D31/(1.05^1))+(E31/(1.05^2))+(F31/(1.05^3))+(G31/(1.05^4))+(H31/(1.05^5))</f>
        <v>43991692.974825062</v>
      </c>
      <c r="E37" s="10">
        <f>C29+(D31/(1.03^1))+(E31/(1.03^2))+(F31/(1.03^3))+(G31/(1.03^4))+(H31/(1.03^5))</f>
        <v>45235548.806160904</v>
      </c>
      <c r="J37" s="10">
        <f>(C37/E37-C37)*0.02</f>
        <v>-879833.84004644735</v>
      </c>
    </row>
    <row r="38" spans="2:10" x14ac:dyDescent="0.25">
      <c r="B38" s="29" t="s">
        <v>146</v>
      </c>
      <c r="C38" s="33">
        <v>0.08</v>
      </c>
      <c r="G38" s="10"/>
    </row>
  </sheetData>
  <hyperlinks>
    <hyperlink ref="L6" r:id="rId1" xr:uid="{C1C272A0-DF46-476F-956C-010790A868EE}"/>
    <hyperlink ref="L8" r:id="rId2" xr:uid="{3646FAF6-9C79-4BDE-874F-87BBAB0628EE}"/>
    <hyperlink ref="L9" r:id="rId3" display="https://vk.com/away.php?to=http%3A%2F%2Fwww.tamish.kz&amp;cc_key=" xr:uid="{F722DD89-35C7-42AF-AAFE-D2A31BC119DD}"/>
    <hyperlink ref="L11" r:id="rId4" xr:uid="{9C996868-5F02-472A-92C8-C5AF1BEEAB41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Costs+Deprec</vt:lpstr>
      <vt:lpstr>Break-even point</vt:lpstr>
      <vt:lpstr>Revenue+Startup budget</vt:lpstr>
      <vt:lpstr>Break-even+Investment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Nurken Maratov</dc:creator>
  <cp:lastModifiedBy>Adil Bejsekeev</cp:lastModifiedBy>
  <cp:lastPrinted>2019-11-28T18:42:02Z</cp:lastPrinted>
  <dcterms:created xsi:type="dcterms:W3CDTF">2019-10-23T08:54:12Z</dcterms:created>
  <dcterms:modified xsi:type="dcterms:W3CDTF">2019-11-28T18:50:22Z</dcterms:modified>
</cp:coreProperties>
</file>