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96" i="1" l="1"/>
  <c r="AA96" i="1"/>
  <c r="AB96" i="1"/>
  <c r="AC96" i="1"/>
  <c r="AD96" i="1"/>
  <c r="AE96" i="1"/>
  <c r="AF96" i="1"/>
  <c r="AG96" i="1"/>
  <c r="AH96" i="1"/>
  <c r="AI96" i="1"/>
  <c r="AJ96" i="1"/>
  <c r="Z97" i="1"/>
  <c r="AA97" i="1"/>
  <c r="AB97" i="1"/>
  <c r="AC97" i="1"/>
  <c r="AD97" i="1"/>
  <c r="AE97" i="1"/>
  <c r="AF97" i="1"/>
  <c r="AG97" i="1"/>
  <c r="AH97" i="1"/>
  <c r="AI97" i="1"/>
  <c r="AJ97" i="1"/>
  <c r="Z98" i="1"/>
  <c r="AA98" i="1"/>
  <c r="AB98" i="1"/>
  <c r="AC98" i="1"/>
  <c r="AD98" i="1"/>
  <c r="AE98" i="1"/>
  <c r="AF98" i="1"/>
  <c r="AG98" i="1"/>
  <c r="AH98" i="1"/>
  <c r="AI98" i="1"/>
  <c r="AJ98" i="1"/>
  <c r="Z99" i="1"/>
  <c r="AA99" i="1"/>
  <c r="AB99" i="1"/>
  <c r="AC99" i="1"/>
  <c r="AD99" i="1"/>
  <c r="AE99" i="1"/>
  <c r="AF99" i="1"/>
  <c r="AG99" i="1"/>
  <c r="AH99" i="1"/>
  <c r="AI99" i="1"/>
  <c r="AJ99" i="1"/>
  <c r="Z100" i="1"/>
  <c r="AA100" i="1"/>
  <c r="AB100" i="1"/>
  <c r="AC100" i="1"/>
  <c r="AD100" i="1"/>
  <c r="AE100" i="1"/>
  <c r="AF100" i="1"/>
  <c r="AG100" i="1"/>
  <c r="AH100" i="1"/>
  <c r="AI100" i="1"/>
  <c r="AJ100" i="1"/>
  <c r="Z101" i="1"/>
  <c r="AA101" i="1"/>
  <c r="AB101" i="1"/>
  <c r="AC101" i="1"/>
  <c r="AD101" i="1"/>
  <c r="AE101" i="1"/>
  <c r="AF101" i="1"/>
  <c r="AG101" i="1"/>
  <c r="AH101" i="1"/>
  <c r="AI101" i="1"/>
  <c r="AJ101" i="1"/>
  <c r="Z102" i="1"/>
  <c r="AA102" i="1"/>
  <c r="AB102" i="1"/>
  <c r="AC102" i="1"/>
  <c r="AD102" i="1"/>
  <c r="AE102" i="1"/>
  <c r="AF102" i="1"/>
  <c r="AG102" i="1"/>
  <c r="AH102" i="1"/>
  <c r="AI102" i="1"/>
  <c r="AJ102" i="1"/>
  <c r="Z103" i="1"/>
  <c r="AA103" i="1"/>
  <c r="AB103" i="1"/>
  <c r="AC103" i="1"/>
  <c r="AD103" i="1"/>
  <c r="AE103" i="1"/>
  <c r="AF103" i="1"/>
  <c r="AG103" i="1"/>
  <c r="AH103" i="1"/>
  <c r="AI103" i="1"/>
  <c r="AJ103" i="1"/>
  <c r="Z104" i="1"/>
  <c r="AA104" i="1"/>
  <c r="AB104" i="1"/>
  <c r="AC104" i="1"/>
  <c r="AD104" i="1"/>
  <c r="AE104" i="1"/>
  <c r="AF104" i="1"/>
  <c r="AG104" i="1"/>
  <c r="AH104" i="1"/>
  <c r="AI104" i="1"/>
  <c r="AJ104" i="1"/>
  <c r="Z105" i="1"/>
  <c r="AA105" i="1"/>
  <c r="AB105" i="1"/>
  <c r="AC105" i="1"/>
  <c r="AD105" i="1"/>
  <c r="AE105" i="1"/>
  <c r="AF105" i="1"/>
  <c r="AG105" i="1"/>
  <c r="AH105" i="1"/>
  <c r="AI105" i="1"/>
  <c r="AJ105" i="1"/>
  <c r="Z106" i="1"/>
  <c r="AA106" i="1"/>
  <c r="AB106" i="1"/>
  <c r="AC106" i="1"/>
  <c r="AD106" i="1"/>
  <c r="AE106" i="1"/>
  <c r="AF106" i="1"/>
  <c r="AG106" i="1"/>
  <c r="AH106" i="1"/>
  <c r="AI106" i="1"/>
  <c r="AJ106" i="1"/>
  <c r="Z107" i="1"/>
  <c r="AA107" i="1"/>
  <c r="AB107" i="1"/>
  <c r="AC107" i="1"/>
  <c r="AD107" i="1"/>
  <c r="AE107" i="1"/>
  <c r="AF107" i="1"/>
  <c r="AG107" i="1"/>
  <c r="AH107" i="1"/>
  <c r="AI107" i="1"/>
  <c r="AJ107" i="1"/>
  <c r="AA95" i="1"/>
  <c r="AB95" i="1"/>
  <c r="AC95" i="1"/>
  <c r="AD95" i="1"/>
  <c r="AE95" i="1"/>
  <c r="AF95" i="1"/>
  <c r="AG95" i="1"/>
  <c r="AH95" i="1"/>
  <c r="AI95" i="1"/>
  <c r="AJ95" i="1"/>
  <c r="Z95" i="1"/>
  <c r="C149" i="1" l="1"/>
  <c r="D149" i="1"/>
  <c r="E149" i="1"/>
  <c r="F149" i="1"/>
  <c r="G149" i="1"/>
  <c r="H149" i="1"/>
  <c r="I149" i="1"/>
  <c r="J149" i="1"/>
  <c r="K149" i="1"/>
  <c r="L149" i="1"/>
  <c r="B149" i="1"/>
  <c r="B141" i="1"/>
  <c r="C136" i="1"/>
  <c r="D136" i="1"/>
  <c r="E136" i="1"/>
  <c r="F136" i="1"/>
  <c r="G136" i="1"/>
  <c r="H136" i="1"/>
  <c r="I136" i="1"/>
  <c r="J136" i="1"/>
  <c r="K136" i="1"/>
  <c r="L136" i="1"/>
  <c r="C137" i="1"/>
  <c r="D137" i="1"/>
  <c r="E137" i="1"/>
  <c r="F137" i="1"/>
  <c r="G137" i="1"/>
  <c r="H137" i="1"/>
  <c r="I137" i="1"/>
  <c r="J137" i="1"/>
  <c r="K137" i="1"/>
  <c r="L137" i="1"/>
  <c r="B136" i="1"/>
  <c r="X33" i="1"/>
  <c r="R33" i="1"/>
  <c r="X32" i="1"/>
  <c r="W32" i="1"/>
  <c r="V32" i="1"/>
  <c r="U32" i="1"/>
  <c r="T32" i="1"/>
  <c r="S32" i="1"/>
  <c r="R32" i="1"/>
  <c r="Q32" i="1"/>
  <c r="P32" i="1"/>
  <c r="O32" i="1"/>
  <c r="N32" i="1"/>
  <c r="N28" i="1" s="1"/>
  <c r="O28" i="1"/>
  <c r="P28" i="1"/>
  <c r="Q28" i="1"/>
  <c r="R28" i="1"/>
  <c r="S28" i="1"/>
  <c r="S51" i="1" s="1"/>
  <c r="G147" i="1" s="1"/>
  <c r="T28" i="1"/>
  <c r="T51" i="1" s="1"/>
  <c r="H147" i="1" s="1"/>
  <c r="U28" i="1"/>
  <c r="V28" i="1"/>
  <c r="W28" i="1"/>
  <c r="K142" i="1" s="1"/>
  <c r="X28" i="1"/>
  <c r="X25" i="1"/>
  <c r="L141" i="1" s="1"/>
  <c r="W25" i="1"/>
  <c r="V25" i="1"/>
  <c r="J141" i="1" s="1"/>
  <c r="U25" i="1"/>
  <c r="T25" i="1"/>
  <c r="H141" i="1" s="1"/>
  <c r="S25" i="1"/>
  <c r="R25" i="1"/>
  <c r="F141" i="1" s="1"/>
  <c r="Q25" i="1"/>
  <c r="P25" i="1"/>
  <c r="D141" i="1" s="1"/>
  <c r="O25" i="1"/>
  <c r="N25" i="1"/>
  <c r="X13" i="1"/>
  <c r="W13" i="1"/>
  <c r="V13" i="1"/>
  <c r="U13" i="1"/>
  <c r="T13" i="1"/>
  <c r="S13" i="1"/>
  <c r="R13" i="1"/>
  <c r="Q13" i="1"/>
  <c r="P13" i="1"/>
  <c r="O13" i="1"/>
  <c r="N13" i="1"/>
  <c r="X7" i="1"/>
  <c r="L138" i="1" s="1"/>
  <c r="W7" i="1"/>
  <c r="V7" i="1"/>
  <c r="J138" i="1" s="1"/>
  <c r="U7" i="1"/>
  <c r="T7" i="1"/>
  <c r="H138" i="1" s="1"/>
  <c r="S7" i="1"/>
  <c r="R7" i="1"/>
  <c r="F138" i="1" s="1"/>
  <c r="Q7" i="1"/>
  <c r="P7" i="1"/>
  <c r="D138" i="1" s="1"/>
  <c r="O7" i="1"/>
  <c r="N7" i="1"/>
  <c r="B139" i="1" s="1"/>
  <c r="C145" i="1"/>
  <c r="D145" i="1"/>
  <c r="E145" i="1"/>
  <c r="F145" i="1"/>
  <c r="G145" i="1"/>
  <c r="H145" i="1"/>
  <c r="I145" i="1"/>
  <c r="J145" i="1"/>
  <c r="K145" i="1"/>
  <c r="L145" i="1"/>
  <c r="B145" i="1"/>
  <c r="C143" i="1"/>
  <c r="C144" i="1" s="1"/>
  <c r="D143" i="1"/>
  <c r="D144" i="1" s="1"/>
  <c r="E143" i="1"/>
  <c r="E144" i="1" s="1"/>
  <c r="F143" i="1"/>
  <c r="F144" i="1" s="1"/>
  <c r="G143" i="1"/>
  <c r="G144" i="1" s="1"/>
  <c r="H143" i="1"/>
  <c r="H144" i="1" s="1"/>
  <c r="I143" i="1"/>
  <c r="I144" i="1" s="1"/>
  <c r="J143" i="1"/>
  <c r="J144" i="1" s="1"/>
  <c r="K143" i="1"/>
  <c r="K144" i="1" s="1"/>
  <c r="L143" i="1"/>
  <c r="L144" i="1" s="1"/>
  <c r="B143" i="1"/>
  <c r="B144" i="1" s="1"/>
  <c r="C141" i="1"/>
  <c r="E141" i="1"/>
  <c r="G141" i="1"/>
  <c r="I141" i="1"/>
  <c r="K141" i="1"/>
  <c r="C139" i="1"/>
  <c r="D139" i="1"/>
  <c r="E139" i="1"/>
  <c r="F139" i="1"/>
  <c r="G139" i="1"/>
  <c r="H139" i="1"/>
  <c r="I139" i="1"/>
  <c r="J139" i="1"/>
  <c r="K139" i="1"/>
  <c r="L139" i="1"/>
  <c r="C138" i="1"/>
  <c r="E138" i="1"/>
  <c r="G138" i="1"/>
  <c r="I138" i="1"/>
  <c r="K138" i="1"/>
  <c r="B138" i="1"/>
  <c r="B137" i="1" l="1"/>
  <c r="X51" i="1"/>
  <c r="L147" i="1" s="1"/>
  <c r="P51" i="1"/>
  <c r="D147" i="1" s="1"/>
  <c r="G148" i="1"/>
  <c r="N51" i="1"/>
  <c r="B147" i="1" s="1"/>
  <c r="U51" i="1"/>
  <c r="I147" i="1" s="1"/>
  <c r="Q51" i="1"/>
  <c r="E147" i="1" s="1"/>
  <c r="O51" i="1"/>
  <c r="C147" i="1" s="1"/>
  <c r="W51" i="1"/>
  <c r="K147" i="1" s="1"/>
  <c r="V51" i="1"/>
  <c r="J147" i="1" s="1"/>
  <c r="H148" i="1"/>
  <c r="R51" i="1"/>
  <c r="F147" i="1" s="1"/>
  <c r="L142" i="1"/>
  <c r="J142" i="1"/>
  <c r="I142" i="1"/>
  <c r="H142" i="1"/>
  <c r="G142" i="1"/>
  <c r="F142" i="1"/>
  <c r="E142" i="1"/>
  <c r="D142" i="1"/>
  <c r="C142" i="1"/>
  <c r="B142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91" i="1"/>
  <c r="N89" i="1"/>
  <c r="O89" i="1"/>
  <c r="P89" i="1"/>
  <c r="N87" i="1"/>
  <c r="O87" i="1"/>
  <c r="P87" i="1"/>
  <c r="N88" i="1"/>
  <c r="O88" i="1"/>
  <c r="P88" i="1"/>
  <c r="O86" i="1"/>
  <c r="P86" i="1"/>
  <c r="N86" i="1"/>
  <c r="I86" i="1"/>
  <c r="J86" i="1"/>
  <c r="K86" i="1"/>
  <c r="L86" i="1"/>
  <c r="H86" i="1"/>
  <c r="I89" i="1"/>
  <c r="J89" i="1"/>
  <c r="K89" i="1"/>
  <c r="L89" i="1"/>
  <c r="H89" i="1"/>
  <c r="H88" i="1"/>
  <c r="I88" i="1"/>
  <c r="J88" i="1"/>
  <c r="K88" i="1"/>
  <c r="L88" i="1"/>
  <c r="I87" i="1"/>
  <c r="J87" i="1"/>
  <c r="K87" i="1"/>
  <c r="L87" i="1"/>
  <c r="H87" i="1"/>
  <c r="H92" i="1"/>
  <c r="I92" i="1"/>
  <c r="J92" i="1"/>
  <c r="K92" i="1"/>
  <c r="L92" i="1"/>
  <c r="H93" i="1"/>
  <c r="I93" i="1"/>
  <c r="J93" i="1"/>
  <c r="K93" i="1"/>
  <c r="L93" i="1"/>
  <c r="H94" i="1"/>
  <c r="I94" i="1"/>
  <c r="J94" i="1"/>
  <c r="K94" i="1"/>
  <c r="L94" i="1"/>
  <c r="H95" i="1"/>
  <c r="I95" i="1"/>
  <c r="J95" i="1"/>
  <c r="K95" i="1"/>
  <c r="L95" i="1"/>
  <c r="H96" i="1"/>
  <c r="I96" i="1"/>
  <c r="J96" i="1"/>
  <c r="K96" i="1"/>
  <c r="L96" i="1"/>
  <c r="H97" i="1"/>
  <c r="I97" i="1"/>
  <c r="J97" i="1"/>
  <c r="K97" i="1"/>
  <c r="L97" i="1"/>
  <c r="H98" i="1"/>
  <c r="I98" i="1"/>
  <c r="J98" i="1"/>
  <c r="K98" i="1"/>
  <c r="L98" i="1"/>
  <c r="H99" i="1"/>
  <c r="I99" i="1"/>
  <c r="J99" i="1"/>
  <c r="K99" i="1"/>
  <c r="L99" i="1"/>
  <c r="H100" i="1"/>
  <c r="I100" i="1"/>
  <c r="J100" i="1"/>
  <c r="K100" i="1"/>
  <c r="L100" i="1"/>
  <c r="H101" i="1"/>
  <c r="I101" i="1"/>
  <c r="J101" i="1"/>
  <c r="K101" i="1"/>
  <c r="L101" i="1"/>
  <c r="H102" i="1"/>
  <c r="I102" i="1"/>
  <c r="J102" i="1"/>
  <c r="K102" i="1"/>
  <c r="L102" i="1"/>
  <c r="H103" i="1"/>
  <c r="I103" i="1"/>
  <c r="J103" i="1"/>
  <c r="K103" i="1"/>
  <c r="L103" i="1"/>
  <c r="H104" i="1"/>
  <c r="I104" i="1"/>
  <c r="J104" i="1"/>
  <c r="K104" i="1"/>
  <c r="L104" i="1"/>
  <c r="H105" i="1"/>
  <c r="I105" i="1"/>
  <c r="J105" i="1"/>
  <c r="K105" i="1"/>
  <c r="L105" i="1"/>
  <c r="H106" i="1"/>
  <c r="I106" i="1"/>
  <c r="J106" i="1"/>
  <c r="K106" i="1"/>
  <c r="L106" i="1"/>
  <c r="H107" i="1"/>
  <c r="I107" i="1"/>
  <c r="J107" i="1"/>
  <c r="K107" i="1"/>
  <c r="L107" i="1"/>
  <c r="H108" i="1"/>
  <c r="I108" i="1"/>
  <c r="J108" i="1"/>
  <c r="K108" i="1"/>
  <c r="L108" i="1"/>
  <c r="H109" i="1"/>
  <c r="I109" i="1"/>
  <c r="J109" i="1"/>
  <c r="K109" i="1"/>
  <c r="L109" i="1"/>
  <c r="H110" i="1"/>
  <c r="I110" i="1"/>
  <c r="J110" i="1"/>
  <c r="K110" i="1"/>
  <c r="L110" i="1"/>
  <c r="H111" i="1"/>
  <c r="I111" i="1"/>
  <c r="J111" i="1"/>
  <c r="K111" i="1"/>
  <c r="L111" i="1"/>
  <c r="H112" i="1"/>
  <c r="I112" i="1"/>
  <c r="J112" i="1"/>
  <c r="K112" i="1"/>
  <c r="L112" i="1"/>
  <c r="H113" i="1"/>
  <c r="I113" i="1"/>
  <c r="J113" i="1"/>
  <c r="K113" i="1"/>
  <c r="L113" i="1"/>
  <c r="H114" i="1"/>
  <c r="I114" i="1"/>
  <c r="J114" i="1"/>
  <c r="K114" i="1"/>
  <c r="L114" i="1"/>
  <c r="H115" i="1"/>
  <c r="I115" i="1"/>
  <c r="J115" i="1"/>
  <c r="K115" i="1"/>
  <c r="L115" i="1"/>
  <c r="H116" i="1"/>
  <c r="I116" i="1"/>
  <c r="J116" i="1"/>
  <c r="K116" i="1"/>
  <c r="L116" i="1"/>
  <c r="H117" i="1"/>
  <c r="I117" i="1"/>
  <c r="J117" i="1"/>
  <c r="K117" i="1"/>
  <c r="L117" i="1"/>
  <c r="H118" i="1"/>
  <c r="I118" i="1"/>
  <c r="J118" i="1"/>
  <c r="K118" i="1"/>
  <c r="L118" i="1"/>
  <c r="H119" i="1"/>
  <c r="I119" i="1"/>
  <c r="J119" i="1"/>
  <c r="K119" i="1"/>
  <c r="L119" i="1"/>
  <c r="H120" i="1"/>
  <c r="I120" i="1"/>
  <c r="J120" i="1"/>
  <c r="K120" i="1"/>
  <c r="L120" i="1"/>
  <c r="H121" i="1"/>
  <c r="I121" i="1"/>
  <c r="J121" i="1"/>
  <c r="K121" i="1"/>
  <c r="L121" i="1"/>
  <c r="H122" i="1"/>
  <c r="I122" i="1"/>
  <c r="J122" i="1"/>
  <c r="K122" i="1"/>
  <c r="L122" i="1"/>
  <c r="H123" i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H126" i="1"/>
  <c r="I126" i="1"/>
  <c r="J126" i="1"/>
  <c r="K126" i="1"/>
  <c r="L126" i="1"/>
  <c r="H127" i="1"/>
  <c r="I127" i="1"/>
  <c r="J127" i="1"/>
  <c r="K127" i="1"/>
  <c r="L127" i="1"/>
  <c r="H128" i="1"/>
  <c r="I128" i="1"/>
  <c r="J128" i="1"/>
  <c r="K128" i="1"/>
  <c r="L128" i="1"/>
  <c r="H129" i="1"/>
  <c r="I129" i="1"/>
  <c r="J129" i="1"/>
  <c r="K129" i="1"/>
  <c r="L129" i="1"/>
  <c r="H130" i="1"/>
  <c r="I130" i="1"/>
  <c r="J130" i="1"/>
  <c r="K130" i="1"/>
  <c r="L130" i="1"/>
  <c r="H131" i="1"/>
  <c r="I131" i="1"/>
  <c r="J131" i="1"/>
  <c r="K131" i="1"/>
  <c r="L131" i="1"/>
  <c r="H132" i="1"/>
  <c r="I132" i="1"/>
  <c r="J132" i="1"/>
  <c r="K132" i="1"/>
  <c r="L132" i="1"/>
  <c r="I91" i="1"/>
  <c r="J91" i="1"/>
  <c r="K91" i="1"/>
  <c r="L91" i="1"/>
  <c r="H91" i="1"/>
  <c r="F148" i="1" l="1"/>
  <c r="B148" i="1"/>
  <c r="C148" i="1"/>
  <c r="D148" i="1"/>
  <c r="E148" i="1"/>
  <c r="I148" i="1"/>
  <c r="L148" i="1"/>
  <c r="J148" i="1"/>
  <c r="K148" i="1"/>
  <c r="AA29" i="1"/>
  <c r="AB29" i="1"/>
  <c r="AC29" i="1"/>
  <c r="AD29" i="1"/>
  <c r="AE29" i="1"/>
  <c r="AF29" i="1"/>
  <c r="AG29" i="1"/>
  <c r="AH29" i="1"/>
  <c r="AI29" i="1"/>
  <c r="AJ29" i="1"/>
  <c r="AA30" i="1"/>
  <c r="AB30" i="1"/>
  <c r="AC30" i="1"/>
  <c r="AD30" i="1"/>
  <c r="AE30" i="1"/>
  <c r="AF30" i="1"/>
  <c r="AG30" i="1"/>
  <c r="AH30" i="1"/>
  <c r="AI30" i="1"/>
  <c r="AJ30" i="1"/>
  <c r="AA31" i="1"/>
  <c r="AB31" i="1"/>
  <c r="AC31" i="1"/>
  <c r="AD31" i="1"/>
  <c r="AE31" i="1"/>
  <c r="AF31" i="1"/>
  <c r="AG31" i="1"/>
  <c r="AH31" i="1"/>
  <c r="AI31" i="1"/>
  <c r="AJ31" i="1"/>
  <c r="AA32" i="1"/>
  <c r="AB32" i="1"/>
  <c r="AC32" i="1"/>
  <c r="AD32" i="1"/>
  <c r="AE32" i="1"/>
  <c r="AF32" i="1"/>
  <c r="AG32" i="1"/>
  <c r="AH32" i="1"/>
  <c r="AI32" i="1"/>
  <c r="AJ32" i="1"/>
  <c r="AA33" i="1"/>
  <c r="AB33" i="1"/>
  <c r="AC33" i="1"/>
  <c r="AD33" i="1"/>
  <c r="AE33" i="1"/>
  <c r="AF33" i="1"/>
  <c r="AG33" i="1"/>
  <c r="AH33" i="1"/>
  <c r="AI33" i="1"/>
  <c r="AJ33" i="1"/>
  <c r="AA34" i="1"/>
  <c r="AB34" i="1"/>
  <c r="AC34" i="1"/>
  <c r="AD34" i="1"/>
  <c r="AE34" i="1"/>
  <c r="AF34" i="1"/>
  <c r="AG34" i="1"/>
  <c r="AH34" i="1"/>
  <c r="AI34" i="1"/>
  <c r="AJ34" i="1"/>
  <c r="AA35" i="1"/>
  <c r="AB35" i="1"/>
  <c r="AC35" i="1"/>
  <c r="AD35" i="1"/>
  <c r="AE35" i="1"/>
  <c r="AF35" i="1"/>
  <c r="AG35" i="1"/>
  <c r="AH35" i="1"/>
  <c r="AI35" i="1"/>
  <c r="AJ35" i="1"/>
  <c r="AA36" i="1"/>
  <c r="AB36" i="1"/>
  <c r="AC36" i="1"/>
  <c r="AD36" i="1"/>
  <c r="AE36" i="1"/>
  <c r="AF36" i="1"/>
  <c r="AG36" i="1"/>
  <c r="AH36" i="1"/>
  <c r="AI36" i="1"/>
  <c r="AJ36" i="1"/>
  <c r="AA37" i="1"/>
  <c r="AB37" i="1"/>
  <c r="AC37" i="1"/>
  <c r="AD37" i="1"/>
  <c r="AE37" i="1"/>
  <c r="AF37" i="1"/>
  <c r="AG37" i="1"/>
  <c r="AH37" i="1"/>
  <c r="AI37" i="1"/>
  <c r="AJ37" i="1"/>
  <c r="AA38" i="1"/>
  <c r="AB38" i="1"/>
  <c r="AC38" i="1"/>
  <c r="AD38" i="1"/>
  <c r="AE38" i="1"/>
  <c r="AF38" i="1"/>
  <c r="AG38" i="1"/>
  <c r="AH38" i="1"/>
  <c r="AI38" i="1"/>
  <c r="AJ38" i="1"/>
  <c r="AA39" i="1"/>
  <c r="AB39" i="1"/>
  <c r="AC39" i="1"/>
  <c r="AD39" i="1"/>
  <c r="AE39" i="1"/>
  <c r="AF39" i="1"/>
  <c r="AG39" i="1"/>
  <c r="AH39" i="1"/>
  <c r="AI39" i="1"/>
  <c r="AJ39" i="1"/>
  <c r="AA40" i="1"/>
  <c r="AB40" i="1"/>
  <c r="AC40" i="1"/>
  <c r="AD40" i="1"/>
  <c r="AE40" i="1"/>
  <c r="AF40" i="1"/>
  <c r="AG40" i="1"/>
  <c r="AH40" i="1"/>
  <c r="AI40" i="1"/>
  <c r="AJ40" i="1"/>
  <c r="AA41" i="1"/>
  <c r="AB41" i="1"/>
  <c r="AC41" i="1"/>
  <c r="AD41" i="1"/>
  <c r="AE41" i="1"/>
  <c r="AF41" i="1"/>
  <c r="AG41" i="1"/>
  <c r="AH41" i="1"/>
  <c r="AI41" i="1"/>
  <c r="AJ41" i="1"/>
  <c r="AA42" i="1"/>
  <c r="AB42" i="1"/>
  <c r="AC42" i="1"/>
  <c r="AD42" i="1"/>
  <c r="AE42" i="1"/>
  <c r="AF42" i="1"/>
  <c r="AG42" i="1"/>
  <c r="AH42" i="1"/>
  <c r="AI42" i="1"/>
  <c r="AJ42" i="1"/>
  <c r="AA43" i="1"/>
  <c r="AB43" i="1"/>
  <c r="AC43" i="1"/>
  <c r="AD43" i="1"/>
  <c r="AE43" i="1"/>
  <c r="AF43" i="1"/>
  <c r="AG43" i="1"/>
  <c r="AH43" i="1"/>
  <c r="AI43" i="1"/>
  <c r="AJ43" i="1"/>
  <c r="AA44" i="1"/>
  <c r="AB44" i="1"/>
  <c r="AC44" i="1"/>
  <c r="AD44" i="1"/>
  <c r="AE44" i="1"/>
  <c r="AF44" i="1"/>
  <c r="AG44" i="1"/>
  <c r="AH44" i="1"/>
  <c r="AI44" i="1"/>
  <c r="AJ44" i="1"/>
  <c r="AA45" i="1"/>
  <c r="AB45" i="1"/>
  <c r="AC45" i="1"/>
  <c r="AD45" i="1"/>
  <c r="AE45" i="1"/>
  <c r="AF45" i="1"/>
  <c r="AG45" i="1"/>
  <c r="AH45" i="1"/>
  <c r="AI45" i="1"/>
  <c r="AJ45" i="1"/>
  <c r="AA46" i="1"/>
  <c r="AB46" i="1"/>
  <c r="AC46" i="1"/>
  <c r="AD46" i="1"/>
  <c r="AE46" i="1"/>
  <c r="AF46" i="1"/>
  <c r="AG46" i="1"/>
  <c r="AH46" i="1"/>
  <c r="AI46" i="1"/>
  <c r="AJ46" i="1"/>
  <c r="AA47" i="1"/>
  <c r="AB47" i="1"/>
  <c r="AC47" i="1"/>
  <c r="AD47" i="1"/>
  <c r="AE47" i="1"/>
  <c r="AF47" i="1"/>
  <c r="AG47" i="1"/>
  <c r="AH47" i="1"/>
  <c r="AI47" i="1"/>
  <c r="AJ47" i="1"/>
  <c r="AA48" i="1"/>
  <c r="AB48" i="1"/>
  <c r="AC48" i="1"/>
  <c r="AD48" i="1"/>
  <c r="AE48" i="1"/>
  <c r="AF48" i="1"/>
  <c r="AG48" i="1"/>
  <c r="AH48" i="1"/>
  <c r="AI48" i="1"/>
  <c r="AJ48" i="1"/>
  <c r="AA49" i="1"/>
  <c r="AB49" i="1"/>
  <c r="AC49" i="1"/>
  <c r="AD49" i="1"/>
  <c r="AE49" i="1"/>
  <c r="AF49" i="1"/>
  <c r="AG49" i="1"/>
  <c r="AH49" i="1"/>
  <c r="AI49" i="1"/>
  <c r="AJ49" i="1"/>
  <c r="AA50" i="1"/>
  <c r="AB50" i="1"/>
  <c r="AC50" i="1"/>
  <c r="AD50" i="1"/>
  <c r="AE50" i="1"/>
  <c r="AF50" i="1"/>
  <c r="AG50" i="1"/>
  <c r="AH50" i="1"/>
  <c r="AI50" i="1"/>
  <c r="AJ50" i="1"/>
  <c r="AA51" i="1"/>
  <c r="AB51" i="1"/>
  <c r="AC51" i="1"/>
  <c r="AD51" i="1"/>
  <c r="AE51" i="1"/>
  <c r="AF51" i="1"/>
  <c r="AG51" i="1"/>
  <c r="AH51" i="1"/>
  <c r="AI51" i="1"/>
  <c r="AJ51" i="1"/>
  <c r="AB28" i="1"/>
  <c r="AC28" i="1"/>
  <c r="AD28" i="1"/>
  <c r="AE28" i="1"/>
  <c r="AF28" i="1"/>
  <c r="AG28" i="1"/>
  <c r="AH28" i="1"/>
  <c r="AI28" i="1"/>
  <c r="AJ28" i="1"/>
  <c r="AA28" i="1"/>
  <c r="AA4" i="1"/>
  <c r="AB4" i="1"/>
  <c r="AC4" i="1"/>
  <c r="AD4" i="1"/>
  <c r="AE4" i="1"/>
  <c r="AF4" i="1"/>
  <c r="AG4" i="1"/>
  <c r="AH4" i="1"/>
  <c r="AI4" i="1"/>
  <c r="AJ4" i="1"/>
  <c r="AA5" i="1"/>
  <c r="AB5" i="1"/>
  <c r="AC5" i="1"/>
  <c r="AD5" i="1"/>
  <c r="AE5" i="1"/>
  <c r="AF5" i="1"/>
  <c r="AG5" i="1"/>
  <c r="AH5" i="1"/>
  <c r="AI5" i="1"/>
  <c r="AJ5" i="1"/>
  <c r="AA6" i="1"/>
  <c r="AB6" i="1"/>
  <c r="AC6" i="1"/>
  <c r="AD6" i="1"/>
  <c r="AE6" i="1"/>
  <c r="AF6" i="1"/>
  <c r="AG6" i="1"/>
  <c r="AH6" i="1"/>
  <c r="AI6" i="1"/>
  <c r="AJ6" i="1"/>
  <c r="AA7" i="1"/>
  <c r="AB7" i="1"/>
  <c r="AC7" i="1"/>
  <c r="AD7" i="1"/>
  <c r="AE7" i="1"/>
  <c r="AF7" i="1"/>
  <c r="AG7" i="1"/>
  <c r="AH7" i="1"/>
  <c r="AI7" i="1"/>
  <c r="AJ7" i="1"/>
  <c r="AA8" i="1"/>
  <c r="AB8" i="1"/>
  <c r="AC8" i="1"/>
  <c r="AD8" i="1"/>
  <c r="AE8" i="1"/>
  <c r="AF8" i="1"/>
  <c r="AG8" i="1"/>
  <c r="AH8" i="1"/>
  <c r="AI8" i="1"/>
  <c r="AJ8" i="1"/>
  <c r="AA9" i="1"/>
  <c r="AB9" i="1"/>
  <c r="AC9" i="1"/>
  <c r="AD9" i="1"/>
  <c r="AE9" i="1"/>
  <c r="AF9" i="1"/>
  <c r="AG9" i="1"/>
  <c r="AH9" i="1"/>
  <c r="AI9" i="1"/>
  <c r="AJ9" i="1"/>
  <c r="AA10" i="1"/>
  <c r="AB10" i="1"/>
  <c r="AC10" i="1"/>
  <c r="AD10" i="1"/>
  <c r="AE10" i="1"/>
  <c r="AF10" i="1"/>
  <c r="AG10" i="1"/>
  <c r="AH10" i="1"/>
  <c r="AI10" i="1"/>
  <c r="AJ10" i="1"/>
  <c r="AA11" i="1"/>
  <c r="AB11" i="1"/>
  <c r="AC11" i="1"/>
  <c r="AD11" i="1"/>
  <c r="AE11" i="1"/>
  <c r="AF11" i="1"/>
  <c r="AG11" i="1"/>
  <c r="AH11" i="1"/>
  <c r="AI11" i="1"/>
  <c r="AJ11" i="1"/>
  <c r="AA12" i="1"/>
  <c r="AB12" i="1"/>
  <c r="AC12" i="1"/>
  <c r="AD12" i="1"/>
  <c r="AE12" i="1"/>
  <c r="AF12" i="1"/>
  <c r="AG12" i="1"/>
  <c r="AH12" i="1"/>
  <c r="AI12" i="1"/>
  <c r="AJ12" i="1"/>
  <c r="AA13" i="1"/>
  <c r="AB13" i="1"/>
  <c r="AC13" i="1"/>
  <c r="AD13" i="1"/>
  <c r="AE13" i="1"/>
  <c r="AF13" i="1"/>
  <c r="AG13" i="1"/>
  <c r="AH13" i="1"/>
  <c r="AI13" i="1"/>
  <c r="AJ13" i="1"/>
  <c r="AA14" i="1"/>
  <c r="AB14" i="1"/>
  <c r="AC14" i="1"/>
  <c r="AD14" i="1"/>
  <c r="AE14" i="1"/>
  <c r="AF14" i="1"/>
  <c r="AG14" i="1"/>
  <c r="AH14" i="1"/>
  <c r="AI14" i="1"/>
  <c r="AJ14" i="1"/>
  <c r="AA15" i="1"/>
  <c r="AB15" i="1"/>
  <c r="AC15" i="1"/>
  <c r="AD15" i="1"/>
  <c r="AE15" i="1"/>
  <c r="AF15" i="1"/>
  <c r="AG15" i="1"/>
  <c r="AH15" i="1"/>
  <c r="AI15" i="1"/>
  <c r="AJ15" i="1"/>
  <c r="AA16" i="1"/>
  <c r="AB16" i="1"/>
  <c r="AC16" i="1"/>
  <c r="AD16" i="1"/>
  <c r="AE16" i="1"/>
  <c r="AF16" i="1"/>
  <c r="AG16" i="1"/>
  <c r="AH16" i="1"/>
  <c r="AI16" i="1"/>
  <c r="AJ16" i="1"/>
  <c r="AA18" i="1"/>
  <c r="AB18" i="1"/>
  <c r="AC18" i="1"/>
  <c r="AD18" i="1"/>
  <c r="AE18" i="1"/>
  <c r="AF18" i="1"/>
  <c r="AG18" i="1"/>
  <c r="AH18" i="1"/>
  <c r="AI18" i="1"/>
  <c r="AJ18" i="1"/>
  <c r="AA19" i="1"/>
  <c r="AB19" i="1"/>
  <c r="AC19" i="1"/>
  <c r="AD19" i="1"/>
  <c r="AE19" i="1"/>
  <c r="AF19" i="1"/>
  <c r="AG19" i="1"/>
  <c r="AH19" i="1"/>
  <c r="AI19" i="1"/>
  <c r="AJ19" i="1"/>
  <c r="AA20" i="1"/>
  <c r="AB20" i="1"/>
  <c r="AC20" i="1"/>
  <c r="AD20" i="1"/>
  <c r="AE20" i="1"/>
  <c r="AF20" i="1"/>
  <c r="AG20" i="1"/>
  <c r="AH20" i="1"/>
  <c r="AI20" i="1"/>
  <c r="AJ20" i="1"/>
  <c r="AA21" i="1"/>
  <c r="AB21" i="1"/>
  <c r="AC21" i="1"/>
  <c r="AD21" i="1"/>
  <c r="AE21" i="1"/>
  <c r="AF21" i="1"/>
  <c r="AG21" i="1"/>
  <c r="AH21" i="1"/>
  <c r="AI21" i="1"/>
  <c r="AJ21" i="1"/>
  <c r="AA22" i="1"/>
  <c r="AB22" i="1"/>
  <c r="AC22" i="1"/>
  <c r="AD22" i="1"/>
  <c r="AE22" i="1"/>
  <c r="AF22" i="1"/>
  <c r="AG22" i="1"/>
  <c r="AH22" i="1"/>
  <c r="AI22" i="1"/>
  <c r="AJ22" i="1"/>
  <c r="AA23" i="1"/>
  <c r="AB23" i="1"/>
  <c r="AC23" i="1"/>
  <c r="AD23" i="1"/>
  <c r="AE23" i="1"/>
  <c r="AF23" i="1"/>
  <c r="AG23" i="1"/>
  <c r="AH23" i="1"/>
  <c r="AI23" i="1"/>
  <c r="AJ23" i="1"/>
  <c r="AA24" i="1"/>
  <c r="AB24" i="1"/>
  <c r="AC24" i="1"/>
  <c r="AD24" i="1"/>
  <c r="AE24" i="1"/>
  <c r="AF24" i="1"/>
  <c r="AG24" i="1"/>
  <c r="AH24" i="1"/>
  <c r="AI24" i="1"/>
  <c r="AJ24" i="1"/>
  <c r="AA25" i="1"/>
  <c r="AB25" i="1"/>
  <c r="AC25" i="1"/>
  <c r="AD25" i="1"/>
  <c r="AE25" i="1"/>
  <c r="AF25" i="1"/>
  <c r="AG25" i="1"/>
  <c r="AH25" i="1"/>
  <c r="AI25" i="1"/>
  <c r="AJ25" i="1"/>
  <c r="AB3" i="1"/>
  <c r="AC3" i="1"/>
  <c r="AD3" i="1"/>
  <c r="AE3" i="1"/>
  <c r="AF3" i="1"/>
  <c r="AG3" i="1"/>
  <c r="AH3" i="1"/>
  <c r="AI3" i="1"/>
  <c r="AJ3" i="1"/>
  <c r="AA3" i="1"/>
  <c r="AF68" i="1"/>
  <c r="Z55" i="1"/>
  <c r="AA55" i="1"/>
  <c r="AB55" i="1"/>
  <c r="AC55" i="1"/>
  <c r="AD55" i="1"/>
  <c r="AE55" i="1"/>
  <c r="AF55" i="1"/>
  <c r="AG55" i="1"/>
  <c r="AH55" i="1"/>
  <c r="AI55" i="1"/>
  <c r="Z56" i="1"/>
  <c r="AA56" i="1"/>
  <c r="AB56" i="1"/>
  <c r="AC56" i="1"/>
  <c r="AD56" i="1"/>
  <c r="AE56" i="1"/>
  <c r="AF56" i="1"/>
  <c r="AG56" i="1"/>
  <c r="AH56" i="1"/>
  <c r="AI56" i="1"/>
  <c r="Z57" i="1"/>
  <c r="AA57" i="1"/>
  <c r="AB57" i="1"/>
  <c r="AC57" i="1"/>
  <c r="AD57" i="1"/>
  <c r="AE57" i="1"/>
  <c r="AF57" i="1"/>
  <c r="AG57" i="1"/>
  <c r="AH57" i="1"/>
  <c r="AI57" i="1"/>
  <c r="Z58" i="1"/>
  <c r="AA58" i="1"/>
  <c r="AB58" i="1"/>
  <c r="AC58" i="1"/>
  <c r="AD58" i="1"/>
  <c r="AE58" i="1"/>
  <c r="AF58" i="1"/>
  <c r="AG58" i="1"/>
  <c r="AH58" i="1"/>
  <c r="AI58" i="1"/>
  <c r="Z59" i="1"/>
  <c r="AA59" i="1"/>
  <c r="AB59" i="1"/>
  <c r="AC59" i="1"/>
  <c r="AD59" i="1"/>
  <c r="AE59" i="1"/>
  <c r="AF59" i="1"/>
  <c r="Z61" i="1"/>
  <c r="AA61" i="1"/>
  <c r="AB61" i="1"/>
  <c r="AC61" i="1"/>
  <c r="AD61" i="1"/>
  <c r="AE61" i="1"/>
  <c r="AF61" i="1"/>
  <c r="AG61" i="1"/>
  <c r="AH61" i="1"/>
  <c r="AI61" i="1"/>
  <c r="Z62" i="1"/>
  <c r="AA62" i="1"/>
  <c r="AB62" i="1"/>
  <c r="AC62" i="1"/>
  <c r="AD62" i="1"/>
  <c r="AE62" i="1"/>
  <c r="AF62" i="1"/>
  <c r="AG62" i="1"/>
  <c r="AH62" i="1"/>
  <c r="AI62" i="1"/>
  <c r="Z63" i="1"/>
  <c r="AA63" i="1"/>
  <c r="AB63" i="1"/>
  <c r="AC63" i="1"/>
  <c r="AD63" i="1"/>
  <c r="AE63" i="1"/>
  <c r="AF63" i="1"/>
  <c r="AG63" i="1"/>
  <c r="AH63" i="1"/>
  <c r="AI63" i="1"/>
  <c r="Z65" i="1"/>
  <c r="AA65" i="1"/>
  <c r="AB65" i="1"/>
  <c r="AC65" i="1"/>
  <c r="AD65" i="1"/>
  <c r="AE65" i="1"/>
  <c r="AF65" i="1"/>
  <c r="AG65" i="1"/>
  <c r="AH65" i="1"/>
  <c r="AI65" i="1"/>
  <c r="Z66" i="1"/>
  <c r="AA66" i="1"/>
  <c r="AB66" i="1"/>
  <c r="AC66" i="1"/>
  <c r="AD66" i="1"/>
  <c r="AE66" i="1"/>
  <c r="AF66" i="1"/>
  <c r="AG66" i="1"/>
  <c r="AH66" i="1"/>
  <c r="AI66" i="1"/>
  <c r="Z67" i="1"/>
  <c r="AA67" i="1"/>
  <c r="AB67" i="1"/>
  <c r="AC67" i="1"/>
  <c r="AD67" i="1"/>
  <c r="AE67" i="1"/>
  <c r="AF67" i="1"/>
  <c r="AG67" i="1"/>
  <c r="AH67" i="1"/>
  <c r="AI67" i="1"/>
  <c r="Z68" i="1"/>
  <c r="AA68" i="1"/>
  <c r="AB68" i="1"/>
  <c r="AC68" i="1"/>
  <c r="AD68" i="1"/>
  <c r="Z69" i="1"/>
  <c r="AA69" i="1"/>
  <c r="AB69" i="1"/>
  <c r="AC69" i="1"/>
  <c r="AD69" i="1"/>
  <c r="AE69" i="1"/>
  <c r="AF69" i="1"/>
  <c r="AG69" i="1"/>
  <c r="AH69" i="1"/>
  <c r="AI69" i="1"/>
  <c r="AB70" i="1"/>
  <c r="AC70" i="1"/>
  <c r="AD70" i="1"/>
  <c r="AE70" i="1"/>
  <c r="AF70" i="1"/>
  <c r="AG70" i="1"/>
  <c r="AH70" i="1"/>
  <c r="AI70" i="1"/>
  <c r="Z71" i="1"/>
  <c r="AA71" i="1"/>
  <c r="AB71" i="1"/>
  <c r="AC71" i="1"/>
  <c r="AD71" i="1"/>
  <c r="AE71" i="1"/>
  <c r="AF71" i="1"/>
  <c r="AG71" i="1"/>
  <c r="AH71" i="1"/>
  <c r="AI71" i="1"/>
  <c r="Z72" i="1"/>
  <c r="AA72" i="1"/>
  <c r="AB72" i="1"/>
  <c r="AC72" i="1"/>
  <c r="AD72" i="1"/>
  <c r="AE72" i="1"/>
  <c r="AF72" i="1"/>
  <c r="AG72" i="1"/>
  <c r="AH72" i="1"/>
  <c r="Z73" i="1"/>
  <c r="AA73" i="1"/>
  <c r="AB73" i="1"/>
  <c r="AC73" i="1"/>
  <c r="AD73" i="1"/>
  <c r="AE73" i="1"/>
  <c r="AF73" i="1"/>
  <c r="AG73" i="1"/>
  <c r="AH73" i="1"/>
  <c r="AI73" i="1"/>
  <c r="Z74" i="1"/>
  <c r="AA74" i="1"/>
  <c r="AB74" i="1"/>
  <c r="AC74" i="1"/>
  <c r="AD74" i="1"/>
  <c r="AE74" i="1"/>
  <c r="AF74" i="1"/>
  <c r="AG74" i="1"/>
  <c r="AH74" i="1"/>
  <c r="AI74" i="1"/>
  <c r="AC75" i="1"/>
  <c r="AD75" i="1"/>
  <c r="Z76" i="1"/>
  <c r="AA76" i="1"/>
  <c r="AB76" i="1"/>
  <c r="AC76" i="1"/>
  <c r="AD76" i="1"/>
  <c r="AE76" i="1"/>
  <c r="AF76" i="1"/>
  <c r="AG76" i="1"/>
  <c r="AH76" i="1"/>
  <c r="AI76" i="1"/>
  <c r="Z77" i="1"/>
  <c r="AA77" i="1"/>
  <c r="AB77" i="1"/>
  <c r="AC77" i="1"/>
  <c r="AD77" i="1"/>
  <c r="AE77" i="1"/>
  <c r="AF77" i="1"/>
  <c r="AG77" i="1"/>
  <c r="AH77" i="1"/>
  <c r="AI77" i="1"/>
  <c r="Z78" i="1"/>
  <c r="AA78" i="1"/>
  <c r="AB78" i="1"/>
  <c r="AC78" i="1"/>
  <c r="AD78" i="1"/>
  <c r="AE78" i="1"/>
  <c r="AF78" i="1"/>
  <c r="AG78" i="1"/>
  <c r="AH78" i="1"/>
  <c r="AI78" i="1"/>
  <c r="AC79" i="1"/>
  <c r="AD79" i="1"/>
  <c r="AF79" i="1"/>
  <c r="AH79" i="1"/>
  <c r="AI79" i="1"/>
  <c r="AC80" i="1"/>
  <c r="AD80" i="1"/>
  <c r="AF80" i="1"/>
  <c r="AH80" i="1"/>
  <c r="AI80" i="1"/>
  <c r="Z82" i="1"/>
  <c r="AA82" i="1"/>
  <c r="AB82" i="1"/>
  <c r="AC82" i="1"/>
  <c r="AD82" i="1"/>
  <c r="AE82" i="1"/>
  <c r="AF82" i="1"/>
  <c r="AG82" i="1"/>
  <c r="AH82" i="1"/>
  <c r="AI82" i="1"/>
  <c r="AA54" i="1"/>
  <c r="AB54" i="1"/>
  <c r="AC54" i="1"/>
  <c r="AD54" i="1"/>
  <c r="AE54" i="1"/>
  <c r="AF54" i="1"/>
  <c r="AG54" i="1"/>
  <c r="AH54" i="1"/>
  <c r="AI54" i="1"/>
  <c r="Z54" i="1"/>
  <c r="O54" i="1" l="1"/>
  <c r="O55" i="1"/>
  <c r="O56" i="1"/>
  <c r="O57" i="1"/>
  <c r="O58" i="1"/>
  <c r="O59" i="1"/>
  <c r="O60" i="1"/>
  <c r="O61" i="1"/>
  <c r="O62" i="1"/>
  <c r="O63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P54" i="1"/>
  <c r="Q54" i="1"/>
  <c r="R54" i="1"/>
  <c r="S54" i="1"/>
  <c r="T54" i="1"/>
  <c r="U54" i="1"/>
  <c r="V54" i="1"/>
  <c r="W54" i="1"/>
  <c r="X54" i="1"/>
  <c r="P55" i="1"/>
  <c r="Q55" i="1"/>
  <c r="R55" i="1"/>
  <c r="S55" i="1"/>
  <c r="T55" i="1"/>
  <c r="U55" i="1"/>
  <c r="V55" i="1"/>
  <c r="W55" i="1"/>
  <c r="X55" i="1"/>
  <c r="P56" i="1"/>
  <c r="Q56" i="1"/>
  <c r="R56" i="1"/>
  <c r="S56" i="1"/>
  <c r="T56" i="1"/>
  <c r="U56" i="1"/>
  <c r="V56" i="1"/>
  <c r="W56" i="1"/>
  <c r="X56" i="1"/>
  <c r="P57" i="1"/>
  <c r="Q57" i="1"/>
  <c r="R57" i="1"/>
  <c r="S57" i="1"/>
  <c r="T57" i="1"/>
  <c r="U57" i="1"/>
  <c r="V57" i="1"/>
  <c r="W57" i="1"/>
  <c r="X57" i="1"/>
  <c r="P58" i="1"/>
  <c r="Q58" i="1"/>
  <c r="R58" i="1"/>
  <c r="S58" i="1"/>
  <c r="T58" i="1"/>
  <c r="U58" i="1"/>
  <c r="V58" i="1"/>
  <c r="W58" i="1"/>
  <c r="X58" i="1"/>
  <c r="P59" i="1"/>
  <c r="Q59" i="1"/>
  <c r="R59" i="1"/>
  <c r="S59" i="1"/>
  <c r="T59" i="1"/>
  <c r="U59" i="1"/>
  <c r="V59" i="1"/>
  <c r="W59" i="1"/>
  <c r="X59" i="1"/>
  <c r="P60" i="1"/>
  <c r="Q60" i="1"/>
  <c r="R60" i="1"/>
  <c r="S60" i="1"/>
  <c r="T60" i="1"/>
  <c r="U60" i="1"/>
  <c r="V60" i="1"/>
  <c r="W60" i="1"/>
  <c r="X60" i="1"/>
  <c r="P61" i="1"/>
  <c r="Q61" i="1"/>
  <c r="R61" i="1"/>
  <c r="S61" i="1"/>
  <c r="T61" i="1"/>
  <c r="U61" i="1"/>
  <c r="V61" i="1"/>
  <c r="W61" i="1"/>
  <c r="X61" i="1"/>
  <c r="P62" i="1"/>
  <c r="Q62" i="1"/>
  <c r="R62" i="1"/>
  <c r="S62" i="1"/>
  <c r="T62" i="1"/>
  <c r="U62" i="1"/>
  <c r="V62" i="1"/>
  <c r="W62" i="1"/>
  <c r="X62" i="1"/>
  <c r="P63" i="1"/>
  <c r="Q63" i="1"/>
  <c r="R63" i="1"/>
  <c r="S63" i="1"/>
  <c r="T63" i="1"/>
  <c r="U63" i="1"/>
  <c r="V63" i="1"/>
  <c r="W63" i="1"/>
  <c r="X63" i="1"/>
  <c r="P65" i="1"/>
  <c r="Q65" i="1"/>
  <c r="R65" i="1"/>
  <c r="S65" i="1"/>
  <c r="T65" i="1"/>
  <c r="U65" i="1"/>
  <c r="V65" i="1"/>
  <c r="W65" i="1"/>
  <c r="X65" i="1"/>
  <c r="P66" i="1"/>
  <c r="Q66" i="1"/>
  <c r="R66" i="1"/>
  <c r="S66" i="1"/>
  <c r="T66" i="1"/>
  <c r="U66" i="1"/>
  <c r="V66" i="1"/>
  <c r="W66" i="1"/>
  <c r="X66" i="1"/>
  <c r="P67" i="1"/>
  <c r="Q67" i="1"/>
  <c r="R67" i="1"/>
  <c r="S67" i="1"/>
  <c r="T67" i="1"/>
  <c r="U67" i="1"/>
  <c r="V67" i="1"/>
  <c r="W67" i="1"/>
  <c r="X67" i="1"/>
  <c r="P68" i="1"/>
  <c r="Q68" i="1"/>
  <c r="R68" i="1"/>
  <c r="S68" i="1"/>
  <c r="T68" i="1"/>
  <c r="U68" i="1"/>
  <c r="V68" i="1"/>
  <c r="W68" i="1"/>
  <c r="X68" i="1"/>
  <c r="P69" i="1"/>
  <c r="Q69" i="1"/>
  <c r="R69" i="1"/>
  <c r="S69" i="1"/>
  <c r="T69" i="1"/>
  <c r="U69" i="1"/>
  <c r="V69" i="1"/>
  <c r="W69" i="1"/>
  <c r="X69" i="1"/>
  <c r="P70" i="1"/>
  <c r="Q70" i="1"/>
  <c r="R70" i="1"/>
  <c r="S70" i="1"/>
  <c r="T70" i="1"/>
  <c r="U70" i="1"/>
  <c r="V70" i="1"/>
  <c r="W70" i="1"/>
  <c r="X70" i="1"/>
  <c r="P71" i="1"/>
  <c r="Q71" i="1"/>
  <c r="R71" i="1"/>
  <c r="S71" i="1"/>
  <c r="T71" i="1"/>
  <c r="U71" i="1"/>
  <c r="V71" i="1"/>
  <c r="W71" i="1"/>
  <c r="X71" i="1"/>
  <c r="P72" i="1"/>
  <c r="Q72" i="1"/>
  <c r="R72" i="1"/>
  <c r="S72" i="1"/>
  <c r="T72" i="1"/>
  <c r="U72" i="1"/>
  <c r="V72" i="1"/>
  <c r="W72" i="1"/>
  <c r="X72" i="1"/>
  <c r="P73" i="1"/>
  <c r="Q73" i="1"/>
  <c r="R73" i="1"/>
  <c r="S73" i="1"/>
  <c r="T73" i="1"/>
  <c r="U73" i="1"/>
  <c r="V73" i="1"/>
  <c r="W73" i="1"/>
  <c r="X73" i="1"/>
  <c r="P74" i="1"/>
  <c r="Q74" i="1"/>
  <c r="R74" i="1"/>
  <c r="S74" i="1"/>
  <c r="T74" i="1"/>
  <c r="U74" i="1"/>
  <c r="V74" i="1"/>
  <c r="W74" i="1"/>
  <c r="X74" i="1"/>
  <c r="P75" i="1"/>
  <c r="Q75" i="1"/>
  <c r="R75" i="1"/>
  <c r="S75" i="1"/>
  <c r="T75" i="1"/>
  <c r="U75" i="1"/>
  <c r="V75" i="1"/>
  <c r="W75" i="1"/>
  <c r="X75" i="1"/>
  <c r="P76" i="1"/>
  <c r="Q76" i="1"/>
  <c r="R76" i="1"/>
  <c r="S76" i="1"/>
  <c r="T76" i="1"/>
  <c r="U76" i="1"/>
  <c r="V76" i="1"/>
  <c r="W76" i="1"/>
  <c r="X76" i="1"/>
  <c r="P77" i="1"/>
  <c r="Q77" i="1"/>
  <c r="R77" i="1"/>
  <c r="S77" i="1"/>
  <c r="T77" i="1"/>
  <c r="U77" i="1"/>
  <c r="V77" i="1"/>
  <c r="W77" i="1"/>
  <c r="X77" i="1"/>
  <c r="P78" i="1"/>
  <c r="Q78" i="1"/>
  <c r="R78" i="1"/>
  <c r="S78" i="1"/>
  <c r="T78" i="1"/>
  <c r="U78" i="1"/>
  <c r="V78" i="1"/>
  <c r="W78" i="1"/>
  <c r="X78" i="1"/>
  <c r="P79" i="1"/>
  <c r="Q79" i="1"/>
  <c r="R79" i="1"/>
  <c r="S79" i="1"/>
  <c r="T79" i="1"/>
  <c r="U79" i="1"/>
  <c r="V79" i="1"/>
  <c r="W79" i="1"/>
  <c r="X79" i="1"/>
  <c r="P80" i="1"/>
  <c r="Q80" i="1"/>
  <c r="R80" i="1"/>
  <c r="S80" i="1"/>
  <c r="T80" i="1"/>
  <c r="U80" i="1"/>
  <c r="V80" i="1"/>
  <c r="W80" i="1"/>
  <c r="X80" i="1"/>
  <c r="P81" i="1"/>
  <c r="Q81" i="1"/>
  <c r="R81" i="1"/>
  <c r="S81" i="1"/>
  <c r="T81" i="1"/>
  <c r="U81" i="1"/>
  <c r="V81" i="1"/>
  <c r="W81" i="1"/>
  <c r="X81" i="1"/>
  <c r="P82" i="1"/>
  <c r="Q82" i="1"/>
  <c r="R82" i="1"/>
  <c r="S82" i="1"/>
  <c r="T82" i="1"/>
  <c r="U82" i="1"/>
  <c r="V82" i="1"/>
  <c r="W82" i="1"/>
  <c r="X82" i="1"/>
  <c r="L64" i="1"/>
  <c r="K64" i="1"/>
  <c r="J64" i="1"/>
  <c r="I64" i="1"/>
  <c r="H64" i="1"/>
  <c r="G64" i="1"/>
  <c r="F64" i="1"/>
  <c r="E64" i="1"/>
  <c r="D64" i="1"/>
  <c r="C64" i="1"/>
  <c r="B64" i="1"/>
  <c r="B29" i="1"/>
  <c r="C29" i="1"/>
  <c r="D29" i="1"/>
  <c r="E29" i="1"/>
  <c r="F29" i="1"/>
  <c r="G29" i="1"/>
  <c r="H29" i="1"/>
  <c r="I29" i="1"/>
  <c r="J29" i="1"/>
  <c r="K29" i="1"/>
  <c r="L29" i="1"/>
  <c r="B30" i="1"/>
  <c r="C30" i="1"/>
  <c r="D30" i="1"/>
  <c r="E30" i="1"/>
  <c r="F30" i="1"/>
  <c r="G30" i="1"/>
  <c r="H30" i="1"/>
  <c r="I30" i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  <c r="L34" i="1"/>
  <c r="B35" i="1"/>
  <c r="C35" i="1"/>
  <c r="D35" i="1"/>
  <c r="E35" i="1"/>
  <c r="F35" i="1"/>
  <c r="G35" i="1"/>
  <c r="H35" i="1"/>
  <c r="I35" i="1"/>
  <c r="J35" i="1"/>
  <c r="K35" i="1"/>
  <c r="L35" i="1"/>
  <c r="B36" i="1"/>
  <c r="C36" i="1"/>
  <c r="D36" i="1"/>
  <c r="E36" i="1"/>
  <c r="F36" i="1"/>
  <c r="G36" i="1"/>
  <c r="H36" i="1"/>
  <c r="I36" i="1"/>
  <c r="J36" i="1"/>
  <c r="K36" i="1"/>
  <c r="L36" i="1"/>
  <c r="B37" i="1"/>
  <c r="C37" i="1"/>
  <c r="D37" i="1"/>
  <c r="E37" i="1"/>
  <c r="F37" i="1"/>
  <c r="G37" i="1"/>
  <c r="H37" i="1"/>
  <c r="I37" i="1"/>
  <c r="J37" i="1"/>
  <c r="K37" i="1"/>
  <c r="L37" i="1"/>
  <c r="B38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B40" i="1"/>
  <c r="C40" i="1"/>
  <c r="D40" i="1"/>
  <c r="E40" i="1"/>
  <c r="F40" i="1"/>
  <c r="G40" i="1"/>
  <c r="H40" i="1"/>
  <c r="I40" i="1"/>
  <c r="J40" i="1"/>
  <c r="K40" i="1"/>
  <c r="L40" i="1"/>
  <c r="B41" i="1"/>
  <c r="C41" i="1"/>
  <c r="D41" i="1"/>
  <c r="E41" i="1"/>
  <c r="F41" i="1"/>
  <c r="G41" i="1"/>
  <c r="H41" i="1"/>
  <c r="I41" i="1"/>
  <c r="J41" i="1"/>
  <c r="K41" i="1"/>
  <c r="L41" i="1"/>
  <c r="B42" i="1"/>
  <c r="C42" i="1"/>
  <c r="D42" i="1"/>
  <c r="E42" i="1"/>
  <c r="F42" i="1"/>
  <c r="G42" i="1"/>
  <c r="H42" i="1"/>
  <c r="I42" i="1"/>
  <c r="J42" i="1"/>
  <c r="K42" i="1"/>
  <c r="L42" i="1"/>
  <c r="B43" i="1"/>
  <c r="C43" i="1"/>
  <c r="D43" i="1"/>
  <c r="E43" i="1"/>
  <c r="F43" i="1"/>
  <c r="G43" i="1"/>
  <c r="H43" i="1"/>
  <c r="I43" i="1"/>
  <c r="J43" i="1"/>
  <c r="K43" i="1"/>
  <c r="L43" i="1"/>
  <c r="B44" i="1"/>
  <c r="C44" i="1"/>
  <c r="D44" i="1"/>
  <c r="E44" i="1"/>
  <c r="F44" i="1"/>
  <c r="G44" i="1"/>
  <c r="H44" i="1"/>
  <c r="I44" i="1"/>
  <c r="J44" i="1"/>
  <c r="K44" i="1"/>
  <c r="L44" i="1"/>
  <c r="B45" i="1"/>
  <c r="C45" i="1"/>
  <c r="D45" i="1"/>
  <c r="E45" i="1"/>
  <c r="F45" i="1"/>
  <c r="G45" i="1"/>
  <c r="H45" i="1"/>
  <c r="I45" i="1"/>
  <c r="J45" i="1"/>
  <c r="K45" i="1"/>
  <c r="L45" i="1"/>
  <c r="B46" i="1"/>
  <c r="C46" i="1"/>
  <c r="D46" i="1"/>
  <c r="E46" i="1"/>
  <c r="F46" i="1"/>
  <c r="G46" i="1"/>
  <c r="H46" i="1"/>
  <c r="I46" i="1"/>
  <c r="J46" i="1"/>
  <c r="K46" i="1"/>
  <c r="L46" i="1"/>
  <c r="B47" i="1"/>
  <c r="C47" i="1"/>
  <c r="D47" i="1"/>
  <c r="E47" i="1"/>
  <c r="F47" i="1"/>
  <c r="G47" i="1"/>
  <c r="H47" i="1"/>
  <c r="I47" i="1"/>
  <c r="J47" i="1"/>
  <c r="K47" i="1"/>
  <c r="L47" i="1"/>
  <c r="B48" i="1"/>
  <c r="C48" i="1"/>
  <c r="D48" i="1"/>
  <c r="E48" i="1"/>
  <c r="F48" i="1"/>
  <c r="G48" i="1"/>
  <c r="H48" i="1"/>
  <c r="I48" i="1"/>
  <c r="J48" i="1"/>
  <c r="K48" i="1"/>
  <c r="L48" i="1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C28" i="1"/>
  <c r="D28" i="1"/>
  <c r="E28" i="1"/>
  <c r="F28" i="1"/>
  <c r="G28" i="1"/>
  <c r="H28" i="1"/>
  <c r="I28" i="1"/>
  <c r="J28" i="1"/>
  <c r="K28" i="1"/>
  <c r="L28" i="1"/>
  <c r="B28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0" i="1"/>
  <c r="C20" i="1"/>
  <c r="D20" i="1"/>
  <c r="E20" i="1"/>
  <c r="F20" i="1"/>
  <c r="G20" i="1"/>
  <c r="H20" i="1"/>
  <c r="I20" i="1"/>
  <c r="J20" i="1"/>
  <c r="K20" i="1"/>
  <c r="L20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4" i="1"/>
  <c r="C24" i="1"/>
  <c r="D24" i="1"/>
  <c r="E24" i="1"/>
  <c r="F24" i="1"/>
  <c r="G24" i="1"/>
  <c r="H24" i="1"/>
  <c r="I24" i="1"/>
  <c r="J24" i="1"/>
  <c r="K24" i="1"/>
  <c r="L24" i="1"/>
  <c r="B25" i="1"/>
  <c r="C25" i="1"/>
  <c r="D25" i="1"/>
  <c r="E25" i="1"/>
  <c r="F25" i="1"/>
  <c r="G25" i="1"/>
  <c r="H25" i="1"/>
  <c r="I25" i="1"/>
  <c r="J25" i="1"/>
  <c r="K25" i="1"/>
  <c r="L25" i="1"/>
  <c r="C3" i="1"/>
  <c r="D3" i="1"/>
  <c r="E3" i="1"/>
  <c r="F3" i="1"/>
  <c r="G3" i="1"/>
  <c r="H3" i="1"/>
  <c r="I3" i="1"/>
  <c r="J3" i="1"/>
  <c r="K3" i="1"/>
  <c r="L3" i="1"/>
  <c r="B3" i="1"/>
  <c r="Z64" i="1" l="1"/>
  <c r="AB64" i="1"/>
  <c r="AD64" i="1"/>
  <c r="AF64" i="1"/>
  <c r="AH64" i="1"/>
  <c r="AA64" i="1"/>
  <c r="AC64" i="1"/>
  <c r="AE64" i="1"/>
  <c r="AG64" i="1"/>
  <c r="AI64" i="1"/>
  <c r="P64" i="1"/>
  <c r="R64" i="1"/>
  <c r="T64" i="1"/>
  <c r="V64" i="1"/>
  <c r="X64" i="1"/>
  <c r="O64" i="1"/>
  <c r="Q64" i="1"/>
  <c r="S64" i="1"/>
  <c r="U64" i="1"/>
  <c r="W64" i="1"/>
</calcChain>
</file>

<file path=xl/sharedStrings.xml><?xml version="1.0" encoding="utf-8"?>
<sst xmlns="http://schemas.openxmlformats.org/spreadsheetml/2006/main" count="182" uniqueCount="153">
  <si>
    <t>Stálá a.</t>
  </si>
  <si>
    <t>DNM</t>
  </si>
  <si>
    <t>DHM</t>
  </si>
  <si>
    <t>DFM</t>
  </si>
  <si>
    <t>Oběžná a.</t>
  </si>
  <si>
    <t>ZÁSOBY</t>
  </si>
  <si>
    <t>Materiál</t>
  </si>
  <si>
    <t>Výrobky</t>
  </si>
  <si>
    <t>Zboží</t>
  </si>
  <si>
    <t>DL.POHLEDÁVKY</t>
  </si>
  <si>
    <t>KR.POHLEDÁVKY</t>
  </si>
  <si>
    <t>Pohledávky z obch. vztahů</t>
  </si>
  <si>
    <t>Daňové pohledávky</t>
  </si>
  <si>
    <t>Krátkodobé posk. zálohy</t>
  </si>
  <si>
    <t>Jiné pohledávky</t>
  </si>
  <si>
    <t>FINANČNÍ MAJETEK</t>
  </si>
  <si>
    <t>Peníze</t>
  </si>
  <si>
    <t>Účty v bankách</t>
  </si>
  <si>
    <t>Ostatní aktiva</t>
  </si>
  <si>
    <t>Náklady příštích ob.</t>
  </si>
  <si>
    <t>Komplexní NPO</t>
  </si>
  <si>
    <t>Příjmy přístích období</t>
  </si>
  <si>
    <t>Aktiva celkem (100%)</t>
  </si>
  <si>
    <t>AKTIVA</t>
  </si>
  <si>
    <t>PASIVA</t>
  </si>
  <si>
    <t>Vlastní kapitál</t>
  </si>
  <si>
    <t>ZÁKLADNÍ KAPITÁL</t>
  </si>
  <si>
    <t>KAPITÁLOVÉ FONDY</t>
  </si>
  <si>
    <t>FONDY ZE ZISKU</t>
  </si>
  <si>
    <t>VÝSLEDEK HOSPODAŘENÍ MINULÝCH LET</t>
  </si>
  <si>
    <t>Nerozdělený zisk</t>
  </si>
  <si>
    <t>Nerozdělená ztráta</t>
  </si>
  <si>
    <t>Cizí zdroje</t>
  </si>
  <si>
    <t>REZERVY</t>
  </si>
  <si>
    <t>DL.ZÁVAZKY</t>
  </si>
  <si>
    <t>KR.ZÁVAZKY</t>
  </si>
  <si>
    <t>Závazky z obch. vztahů</t>
  </si>
  <si>
    <t>Závazky ke společníkům</t>
  </si>
  <si>
    <t>Závazky k zaměstnancům</t>
  </si>
  <si>
    <t>Stát - daňové závazky</t>
  </si>
  <si>
    <t>BANKOVNÍ ÚVĚRY</t>
  </si>
  <si>
    <t>Ostatní pasiva</t>
  </si>
  <si>
    <t>Pasiva celkem (100%)</t>
  </si>
  <si>
    <t>Závazky ze soc. a zdrav. poj</t>
  </si>
  <si>
    <t>Dohadné účty pasivní</t>
  </si>
  <si>
    <t>Jiné závazky</t>
  </si>
  <si>
    <t>Krátkodobé přijaté zálohy</t>
  </si>
  <si>
    <t>VZZ</t>
  </si>
  <si>
    <t>Tržby za prodej zboží</t>
  </si>
  <si>
    <t>Vynaložené náklady</t>
  </si>
  <si>
    <t>Obchodní marže</t>
  </si>
  <si>
    <t>Výkony</t>
  </si>
  <si>
    <t>Tržby za prodej vlastních výrobků a služeb</t>
  </si>
  <si>
    <t>Změna stavu zásob</t>
  </si>
  <si>
    <t>Aktivace</t>
  </si>
  <si>
    <t>Výkonová spotřeba</t>
  </si>
  <si>
    <t>Spotřeba materiálu a energ.</t>
  </si>
  <si>
    <t>Služby</t>
  </si>
  <si>
    <t>Přidaná hodnota (56-61)</t>
  </si>
  <si>
    <t>Osobní náklady</t>
  </si>
  <si>
    <t>Mzdové náklady</t>
  </si>
  <si>
    <t>Náklady na soc. a zdrav. p.</t>
  </si>
  <si>
    <t>Daně a poplatky</t>
  </si>
  <si>
    <t>Odpisy DNM a DHM</t>
  </si>
  <si>
    <t>Tržby z prodeje DHM a mat.</t>
  </si>
  <si>
    <t>Ostatní provozní výnosy</t>
  </si>
  <si>
    <t>Ostatní provozní náklady</t>
  </si>
  <si>
    <t>Provozní VH</t>
  </si>
  <si>
    <t>Nákladové úroky</t>
  </si>
  <si>
    <t>Finanční VH</t>
  </si>
  <si>
    <t>Sociální náklady</t>
  </si>
  <si>
    <t>Ostatní finanční náklady</t>
  </si>
  <si>
    <t>Výnosové úroky</t>
  </si>
  <si>
    <t>Daň z příjmu</t>
  </si>
  <si>
    <t>Splatná</t>
  </si>
  <si>
    <t>Odložená</t>
  </si>
  <si>
    <t>Výsledek hospodaření za běžnou činnost před zdaněním</t>
  </si>
  <si>
    <t>VÝSLEDEK HOSPODAŘENÍ BĚŽNÉHO OBDOBÍ před ZD.</t>
  </si>
  <si>
    <t>HORIZONTÁLNÍ ANALÝZA   -&gt;</t>
  </si>
  <si>
    <t>VERTIKÁLNÍ ANALÝZA  &lt;-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</si>
  <si>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</si>
  <si>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</si>
  <si>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</si>
  <si>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</si>
  <si>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</si>
  <si>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</si>
  <si>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</si>
  <si>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</si>
  <si>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</si>
  <si>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</si>
  <si>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Aceton</t>
  </si>
  <si>
    <t>TOTAL</t>
  </si>
  <si>
    <t>Rok</t>
  </si>
  <si>
    <t>z toho cena doprava</t>
  </si>
  <si>
    <t>z toho balné</t>
  </si>
  <si>
    <t>Tržby čisté</t>
  </si>
  <si>
    <t>PRODUKTY</t>
  </si>
  <si>
    <t>Biolíh do interiérových biokrbů</t>
  </si>
  <si>
    <t>Čistič monitorů a autoplastů</t>
  </si>
  <si>
    <t>Čistič nerezu</t>
  </si>
  <si>
    <t>Destilovaná voda</t>
  </si>
  <si>
    <t>Hadice plovoucí</t>
  </si>
  <si>
    <t>Hladinová síťka</t>
  </si>
  <si>
    <t>Hydroxid sodný perličky</t>
  </si>
  <si>
    <t>Chlorinátor střední/velký</t>
  </si>
  <si>
    <t>Chlornan sodný</t>
  </si>
  <si>
    <t>Chlorové tablety Laguna</t>
  </si>
  <si>
    <t>Isopropylalkohol</t>
  </si>
  <si>
    <t>Kartáč malý</t>
  </si>
  <si>
    <t>Koncentrovaný průmyslový čistič Kalif</t>
  </si>
  <si>
    <t>Kyselina citronová</t>
  </si>
  <si>
    <t>Kyselina chlorovodíková</t>
  </si>
  <si>
    <t>Kyselina sírová akumulátorová</t>
  </si>
  <si>
    <t>Laguna (co to je - zazimovač, Ca??)</t>
  </si>
  <si>
    <t>Laguna tester papírky</t>
  </si>
  <si>
    <t>Likvidátor chlorového zápachu</t>
  </si>
  <si>
    <t>Likvidátor řas</t>
  </si>
  <si>
    <t>Nemrznoucí kapalina do ostřikovačů</t>
  </si>
  <si>
    <t>Odstraňovač samolepek</t>
  </si>
  <si>
    <t>Odvápňovač</t>
  </si>
  <si>
    <t>Písek do bazénové filtrace</t>
  </si>
  <si>
    <t>Podpalovač pro krby, grily</t>
  </si>
  <si>
    <t>Separační kapalina pro svařování</t>
  </si>
  <si>
    <t>Síťka hladinová na alu. tyči</t>
  </si>
  <si>
    <t>Soda</t>
  </si>
  <si>
    <t>Sůl granulovaná do myčky</t>
  </si>
  <si>
    <t>Sůl mořská do bazénu Margherita</t>
  </si>
  <si>
    <t>Sůl posypová</t>
  </si>
  <si>
    <t>Sůl tabletovaná - regenerační</t>
  </si>
  <si>
    <t>Super koncentrát do ostřikovačů</t>
  </si>
  <si>
    <t>Šelak Lemon</t>
  </si>
  <si>
    <t>Teploměr SILVER a POOL</t>
  </si>
  <si>
    <t>Tester kapičkový</t>
  </si>
  <si>
    <t>Tester pH/chlor kapkový</t>
  </si>
  <si>
    <t>Tester pro bazény 4 v 1 Laguna</t>
  </si>
  <si>
    <t>Vakuový nástavec DE LUX</t>
  </si>
  <si>
    <t>Vločkovač</t>
  </si>
  <si>
    <t>Třzby e-shop (Kč)</t>
  </si>
  <si>
    <t>Vertikální analýza     -&gt;</t>
  </si>
  <si>
    <t>Horizontální analýza      -&gt;</t>
  </si>
  <si>
    <t>Poměrové ukazatele</t>
  </si>
  <si>
    <t>Pohotová likvidita</t>
  </si>
  <si>
    <t>Běžná likvidita</t>
  </si>
  <si>
    <t>Čistý pracovní kapitál</t>
  </si>
  <si>
    <t>ROA</t>
  </si>
  <si>
    <t>ROE</t>
  </si>
  <si>
    <t>Rentabilita tržeb</t>
  </si>
  <si>
    <t>Rentabilita nákladů</t>
  </si>
  <si>
    <t>Debt ratio</t>
  </si>
  <si>
    <t>Equity ratio</t>
  </si>
  <si>
    <t>Okamžitá likvidita</t>
  </si>
  <si>
    <t>Debt-equity ratio</t>
  </si>
  <si>
    <t>Obchodní marže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</si>
</sst>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0" fontId="4" fillId="0" borderId="0" xfId="0" applyFont="1"/>
    <xf numFmtId="0" fontId="0" fillId="3" borderId="0" xfId="0" applyFill="1"/>
    <xf numFmtId="0" fontId="0" fillId="4" borderId="0" xfId="0" applyFill="1"/>
    <xf numFmtId="10" fontId="0" fillId="3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/>
    <xf numFmtId="10" fontId="4" fillId="0" borderId="1" xfId="1" applyNumberFormat="1" applyFont="1" applyBorder="1"/>
    <xf numFmtId="0" fontId="4" fillId="0" borderId="1" xfId="0" applyFont="1" applyBorder="1"/>
    <xf numFmtId="0" fontId="4" fillId="0" borderId="2" xfId="0" applyFont="1" applyBorder="1"/>
    <xf numFmtId="10" fontId="0" fillId="3" borderId="3" xfId="1" applyNumberFormat="1" applyFont="1" applyFill="1" applyBorder="1"/>
    <xf numFmtId="10" fontId="0" fillId="3" borderId="4" xfId="1" applyNumberFormat="1" applyFont="1" applyFill="1" applyBorder="1"/>
    <xf numFmtId="10" fontId="4" fillId="0" borderId="4" xfId="1" applyNumberFormat="1" applyFont="1" applyBorder="1"/>
    <xf numFmtId="0" fontId="0" fillId="3" borderId="4" xfId="0" applyFill="1" applyBorder="1"/>
    <xf numFmtId="0" fontId="4" fillId="0" borderId="4" xfId="0" applyFont="1" applyBorder="1"/>
    <xf numFmtId="0" fontId="0" fillId="3" borderId="8" xfId="0" applyFill="1" applyBorder="1"/>
    <xf numFmtId="0" fontId="0" fillId="3" borderId="2" xfId="0" applyFill="1" applyBorder="1"/>
    <xf numFmtId="0" fontId="4" fillId="0" borderId="8" xfId="0" applyFont="1" applyBorder="1"/>
    <xf numFmtId="0" fontId="0" fillId="4" borderId="2" xfId="0" applyFill="1" applyBorder="1"/>
    <xf numFmtId="10" fontId="0" fillId="4" borderId="5" xfId="1" applyNumberFormat="1" applyFont="1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6" xfId="0" applyFill="1" applyBorder="1"/>
    <xf numFmtId="0" fontId="3" fillId="5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0" fontId="3" fillId="2" borderId="10" xfId="1" applyNumberFormat="1" applyFont="1" applyFill="1" applyBorder="1"/>
    <xf numFmtId="0" fontId="3" fillId="2" borderId="11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0" fillId="3" borderId="7" xfId="0" applyFill="1" applyBorder="1"/>
    <xf numFmtId="0" fontId="0" fillId="3" borderId="3" xfId="0" applyFill="1" applyBorder="1"/>
    <xf numFmtId="10" fontId="4" fillId="0" borderId="3" xfId="1" applyNumberFormat="1" applyFont="1" applyBorder="1"/>
    <xf numFmtId="0" fontId="4" fillId="0" borderId="7" xfId="0" applyFont="1" applyBorder="1"/>
    <xf numFmtId="0" fontId="4" fillId="0" borderId="3" xfId="0" applyFont="1" applyBorder="1"/>
    <xf numFmtId="0" fontId="0" fillId="5" borderId="0" xfId="0" applyFill="1"/>
    <xf numFmtId="10" fontId="3" fillId="2" borderId="11" xfId="1" applyNumberFormat="1" applyFont="1" applyFill="1" applyBorder="1"/>
    <xf numFmtId="0" fontId="0" fillId="3" borderId="1" xfId="0" applyFont="1" applyFill="1" applyBorder="1"/>
    <xf numFmtId="0" fontId="3" fillId="4" borderId="1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3" fillId="2" borderId="13" xfId="0" applyFont="1" applyFill="1" applyBorder="1"/>
    <xf numFmtId="0" fontId="3" fillId="4" borderId="5" xfId="0" applyFont="1" applyFill="1" applyBorder="1"/>
    <xf numFmtId="0" fontId="0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0" xfId="0" applyFont="1" applyFill="1"/>
    <xf numFmtId="0" fontId="5" fillId="0" borderId="3" xfId="0" applyFont="1" applyBorder="1" applyAlignment="1">
      <alignment horizontal="center"/>
    </xf>
    <xf numFmtId="0" fontId="2" fillId="4" borderId="1" xfId="0" applyFont="1" applyFill="1" applyBorder="1"/>
    <xf numFmtId="0" fontId="4" fillId="5" borderId="1" xfId="0" applyFont="1" applyFill="1" applyBorder="1"/>
    <xf numFmtId="0" fontId="0" fillId="3" borderId="3" xfId="0" applyFont="1" applyFill="1" applyBorder="1" applyAlignment="1">
      <alignment wrapText="1"/>
    </xf>
    <xf numFmtId="0" fontId="2" fillId="3" borderId="4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10" fontId="0" fillId="3" borderId="4" xfId="0" applyNumberFormat="1" applyFill="1" applyBorder="1"/>
    <xf numFmtId="10" fontId="0" fillId="3" borderId="1" xfId="0" applyNumberFormat="1" applyFill="1" applyBorder="1"/>
    <xf numFmtId="10" fontId="0" fillId="3" borderId="3" xfId="0" applyNumberFormat="1" applyFill="1" applyBorder="1"/>
    <xf numFmtId="10" fontId="0" fillId="4" borderId="1" xfId="0" applyNumberFormat="1" applyFill="1" applyBorder="1"/>
    <xf numFmtId="10" fontId="3" fillId="2" borderId="10" xfId="0" applyNumberFormat="1" applyFont="1" applyFill="1" applyBorder="1"/>
    <xf numFmtId="0" fontId="5" fillId="2" borderId="10" xfId="0" applyFont="1" applyFill="1" applyBorder="1"/>
    <xf numFmtId="10" fontId="4" fillId="5" borderId="1" xfId="0" applyNumberFormat="1" applyFont="1" applyFill="1" applyBorder="1"/>
    <xf numFmtId="0" fontId="4" fillId="5" borderId="2" xfId="0" applyFont="1" applyFill="1" applyBorder="1"/>
    <xf numFmtId="0" fontId="6" fillId="5" borderId="1" xfId="0" applyFont="1" applyFill="1" applyBorder="1"/>
    <xf numFmtId="10" fontId="4" fillId="0" borderId="1" xfId="0" applyNumberFormat="1" applyFont="1" applyBorder="1"/>
    <xf numFmtId="0" fontId="3" fillId="2" borderId="15" xfId="0" applyFont="1" applyFill="1" applyBorder="1"/>
    <xf numFmtId="0" fontId="3" fillId="4" borderId="1" xfId="0" applyFont="1" applyFill="1" applyBorder="1" applyAlignment="1">
      <alignment wrapText="1"/>
    </xf>
    <xf numFmtId="0" fontId="3" fillId="2" borderId="16" xfId="0" applyFont="1" applyFill="1" applyBorder="1"/>
    <xf numFmtId="0" fontId="5" fillId="2" borderId="16" xfId="0" applyFont="1" applyFill="1" applyBorder="1"/>
    <xf numFmtId="0" fontId="3" fillId="4" borderId="4" xfId="0" applyFont="1" applyFill="1" applyBorder="1"/>
    <xf numFmtId="0" fontId="0" fillId="4" borderId="8" xfId="0" applyFill="1" applyBorder="1"/>
    <xf numFmtId="0" fontId="0" fillId="4" borderId="4" xfId="0" applyFill="1" applyBorder="1"/>
    <xf numFmtId="0" fontId="2" fillId="4" borderId="4" xfId="0" applyFont="1" applyFill="1" applyBorder="1"/>
    <xf numFmtId="0" fontId="3" fillId="2" borderId="18" xfId="0" applyFont="1" applyFill="1" applyBorder="1"/>
    <xf numFmtId="0" fontId="5" fillId="2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49" fontId="5" fillId="0" borderId="3" xfId="0" applyNumberFormat="1" applyFont="1" applyBorder="1" applyAlignment="1">
      <alignment horizontal="center"/>
    </xf>
    <xf numFmtId="10" fontId="0" fillId="4" borderId="26" xfId="0" applyNumberFormat="1" applyFill="1" applyBorder="1"/>
    <xf numFmtId="49" fontId="3" fillId="0" borderId="7" xfId="0" applyNumberFormat="1" applyFont="1" applyBorder="1" applyAlignment="1">
      <alignment horizontal="center"/>
    </xf>
    <xf numFmtId="0" fontId="3" fillId="2" borderId="0" xfId="0" applyFont="1" applyFill="1" applyBorder="1"/>
    <xf numFmtId="0" fontId="0" fillId="4" borderId="20" xfId="0" applyFill="1" applyBorder="1"/>
    <xf numFmtId="0" fontId="3" fillId="2" borderId="20" xfId="0" applyFont="1" applyFill="1" applyBorder="1"/>
    <xf numFmtId="0" fontId="3" fillId="2" borderId="2" xfId="0" applyFont="1" applyFill="1" applyBorder="1"/>
    <xf numFmtId="0" fontId="3" fillId="5" borderId="2" xfId="0" applyFont="1" applyFill="1" applyBorder="1"/>
    <xf numFmtId="49" fontId="3" fillId="0" borderId="24" xfId="0" applyNumberFormat="1" applyFont="1" applyBorder="1" applyAlignment="1">
      <alignment horizontal="center"/>
    </xf>
    <xf numFmtId="0" fontId="4" fillId="5" borderId="0" xfId="0" applyFont="1" applyFill="1" applyBorder="1"/>
    <xf numFmtId="0" fontId="0" fillId="4" borderId="0" xfId="0" applyFill="1" applyBorder="1"/>
    <xf numFmtId="0" fontId="3" fillId="5" borderId="0" xfId="0" applyFont="1" applyFill="1" applyBorder="1"/>
    <xf numFmtId="0" fontId="0" fillId="4" borderId="25" xfId="0" applyFill="1" applyBorder="1"/>
    <xf numFmtId="10" fontId="6" fillId="5" borderId="1" xfId="0" applyNumberFormat="1" applyFont="1" applyFill="1" applyBorder="1"/>
    <xf numFmtId="10" fontId="5" fillId="2" borderId="10" xfId="0" applyNumberFormat="1" applyFont="1" applyFill="1" applyBorder="1"/>
    <xf numFmtId="10" fontId="0" fillId="4" borderId="2" xfId="0" applyNumberFormat="1" applyFill="1" applyBorder="1"/>
    <xf numFmtId="10" fontId="2" fillId="4" borderId="1" xfId="0" applyNumberFormat="1" applyFont="1" applyFill="1" applyBorder="1"/>
    <xf numFmtId="10" fontId="3" fillId="2" borderId="17" xfId="0" applyNumberFormat="1" applyFont="1" applyFill="1" applyBorder="1"/>
    <xf numFmtId="10" fontId="3" fillId="2" borderId="16" xfId="0" applyNumberFormat="1" applyFont="1" applyFill="1" applyBorder="1"/>
    <xf numFmtId="10" fontId="5" fillId="2" borderId="16" xfId="0" applyNumberFormat="1" applyFont="1" applyFill="1" applyBorder="1"/>
    <xf numFmtId="10" fontId="3" fillId="2" borderId="19" xfId="0" applyNumberFormat="1" applyFont="1" applyFill="1" applyBorder="1"/>
    <xf numFmtId="10" fontId="0" fillId="4" borderId="4" xfId="0" applyNumberFormat="1" applyFill="1" applyBorder="1"/>
    <xf numFmtId="10" fontId="2" fillId="4" borderId="4" xfId="0" applyNumberFormat="1" applyFont="1" applyFill="1" applyBorder="1"/>
    <xf numFmtId="10" fontId="3" fillId="2" borderId="1" xfId="0" applyNumberFormat="1" applyFont="1" applyFill="1" applyBorder="1"/>
    <xf numFmtId="10" fontId="5" fillId="2" borderId="1" xfId="0" applyNumberFormat="1" applyFont="1" applyFill="1" applyBorder="1"/>
    <xf numFmtId="10" fontId="3" fillId="5" borderId="1" xfId="0" applyNumberFormat="1" applyFont="1" applyFill="1" applyBorder="1"/>
    <xf numFmtId="10" fontId="5" fillId="5" borderId="1" xfId="0" applyNumberFormat="1" applyFont="1" applyFill="1" applyBorder="1"/>
    <xf numFmtId="2" fontId="3" fillId="2" borderId="10" xfId="0" applyNumberFormat="1" applyFont="1" applyFill="1" applyBorder="1"/>
    <xf numFmtId="2" fontId="0" fillId="3" borderId="4" xfId="0" applyNumberFormat="1" applyFill="1" applyBorder="1"/>
    <xf numFmtId="2" fontId="0" fillId="3" borderId="1" xfId="0" applyNumberFormat="1" applyFill="1" applyBorder="1"/>
    <xf numFmtId="2" fontId="0" fillId="3" borderId="3" xfId="0" applyNumberFormat="1" applyFill="1" applyBorder="1"/>
    <xf numFmtId="2" fontId="4" fillId="0" borderId="1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2" fontId="0" fillId="4" borderId="5" xfId="0" applyNumberFormat="1" applyFill="1" applyBorder="1"/>
    <xf numFmtId="1" fontId="3" fillId="2" borderId="10" xfId="0" applyNumberFormat="1" applyFont="1" applyFill="1" applyBorder="1"/>
    <xf numFmtId="14" fontId="0" fillId="0" borderId="0" xfId="0" applyNumberFormat="1"/>
    <xf numFmtId="0" fontId="0" fillId="2" borderId="0" xfId="0" applyFill="1"/>
    <xf numFmtId="0" fontId="0" fillId="0" borderId="1" xfId="0" applyBorder="1"/>
    <xf numFmtId="164" fontId="3" fillId="2" borderId="2" xfId="0" applyNumberFormat="1" applyFont="1" applyFill="1" applyBorder="1"/>
    <xf numFmtId="164" fontId="3" fillId="2" borderId="1" xfId="0" applyNumberFormat="1" applyFont="1" applyFill="1" applyBorder="1"/>
    <xf numFmtId="0" fontId="3" fillId="4" borderId="0" xfId="0" applyFont="1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3" fillId="4" borderId="1" xfId="1" applyNumberFormat="1" applyFont="1" applyFill="1" applyBorder="1"/>
    <xf numFmtId="9" fontId="0" fillId="0" borderId="1" xfId="0" applyNumberFormat="1" applyBorder="1"/>
    <xf numFmtId="9" fontId="0" fillId="0" borderId="1" xfId="1" applyNumberFormat="1" applyFont="1" applyBorder="1"/>
    <xf numFmtId="9" fontId="3" fillId="2" borderId="1" xfId="1" applyFont="1" applyFill="1" applyBorder="1"/>
    <xf numFmtId="0" fontId="0" fillId="0" borderId="0" xfId="0" applyAlignment="1">
      <alignment wrapText="1"/>
    </xf>
    <xf numFmtId="0" fontId="0" fillId="0" borderId="20" xfId="0" applyBorder="1" applyAlignment="1">
      <alignment horizontal="center"/>
    </xf>
    <xf numFmtId="9" fontId="3" fillId="2" borderId="20" xfId="1" applyFont="1" applyFill="1" applyBorder="1"/>
    <xf numFmtId="9" fontId="0" fillId="0" borderId="20" xfId="1" applyNumberFormat="1" applyFont="1" applyBorder="1"/>
    <xf numFmtId="10" fontId="3" fillId="4" borderId="20" xfId="1" applyNumberFormat="1" applyFont="1" applyFill="1" applyBorder="1"/>
    <xf numFmtId="0" fontId="0" fillId="2" borderId="20" xfId="0" applyFill="1" applyBorder="1" applyAlignment="1">
      <alignment horizontal="center"/>
    </xf>
    <xf numFmtId="9" fontId="0" fillId="0" borderId="20" xfId="0" applyNumberFormat="1" applyBorder="1"/>
    <xf numFmtId="10" fontId="0" fillId="4" borderId="20" xfId="0" applyNumberFormat="1" applyFill="1" applyBorder="1"/>
    <xf numFmtId="0" fontId="0" fillId="0" borderId="20" xfId="0" applyBorder="1"/>
    <xf numFmtId="0" fontId="3" fillId="4" borderId="20" xfId="0" applyFont="1" applyFill="1" applyBorder="1"/>
    <xf numFmtId="0" fontId="0" fillId="0" borderId="2" xfId="0" applyBorder="1" applyAlignment="1">
      <alignment horizontal="center"/>
    </xf>
    <xf numFmtId="9" fontId="3" fillId="2" borderId="2" xfId="1" applyFont="1" applyFill="1" applyBorder="1"/>
    <xf numFmtId="9" fontId="0" fillId="0" borderId="2" xfId="1" applyNumberFormat="1" applyFont="1" applyBorder="1"/>
    <xf numFmtId="10" fontId="3" fillId="4" borderId="2" xfId="1" applyNumberFormat="1" applyFont="1" applyFill="1" applyBorder="1"/>
    <xf numFmtId="0" fontId="0" fillId="2" borderId="2" xfId="0" applyFill="1" applyBorder="1" applyAlignment="1">
      <alignment horizontal="center"/>
    </xf>
    <xf numFmtId="9" fontId="0" fillId="0" borderId="2" xfId="0" applyNumberFormat="1" applyBorder="1"/>
    <xf numFmtId="0" fontId="3" fillId="2" borderId="2" xfId="1" applyNumberFormat="1" applyFont="1" applyFill="1" applyBorder="1"/>
    <xf numFmtId="0" fontId="3" fillId="2" borderId="1" xfId="1" applyNumberFormat="1" applyFont="1" applyFill="1" applyBorder="1"/>
    <xf numFmtId="0" fontId="3" fillId="4" borderId="1" xfId="1" applyNumberFormat="1" applyFont="1" applyFill="1" applyBorder="1"/>
    <xf numFmtId="0" fontId="0" fillId="2" borderId="2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2" xfId="0" applyNumberFormat="1" applyBorder="1"/>
    <xf numFmtId="0" fontId="0" fillId="0" borderId="1" xfId="0" applyNumberFormat="1" applyBorder="1"/>
    <xf numFmtId="0" fontId="0" fillId="4" borderId="2" xfId="0" applyNumberFormat="1" applyFill="1" applyBorder="1"/>
    <xf numFmtId="0" fontId="0" fillId="4" borderId="1" xfId="0" applyNumberFormat="1" applyFill="1" applyBorder="1"/>
    <xf numFmtId="9" fontId="0" fillId="0" borderId="0" xfId="1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0" fillId="0" borderId="1" xfId="1" applyFont="1" applyBorder="1"/>
    <xf numFmtId="0" fontId="0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0" fontId="0" fillId="3" borderId="8" xfId="1" applyNumberFormat="1" applyFont="1" applyFill="1" applyBorder="1"/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topLeftCell="A130" zoomScale="70" zoomScaleNormal="70" workbookViewId="0">
      <pane xSplit="1" topLeftCell="E1" activePane="topRight" state="frozen"/>
      <selection pane="topRight" activeCell="B143" sqref="B143:L143"/>
    </sheetView>
  </sheetViews>
  <sheetFormatPr defaultRowHeight="15" x14ac:dyDescent="0.25"/>
  <cols>
    <col min="1" max="1" width="25.140625" customWidth="1"/>
    <col min="2" max="4" width="13.5703125" bestFit="1" customWidth="1"/>
    <col min="5" max="5" width="13" bestFit="1" customWidth="1"/>
    <col min="6" max="7" width="12.7109375" bestFit="1" customWidth="1"/>
    <col min="8" max="8" width="14.5703125" bestFit="1" customWidth="1"/>
    <col min="9" max="12" width="12.7109375" bestFit="1" customWidth="1"/>
    <col min="13" max="13" width="9.140625" style="1"/>
    <col min="14" max="14" width="11" bestFit="1" customWidth="1"/>
    <col min="26" max="26" width="10.28515625" bestFit="1" customWidth="1"/>
    <col min="27" max="27" width="10" bestFit="1" customWidth="1"/>
    <col min="28" max="28" width="10.5703125" bestFit="1" customWidth="1"/>
    <col min="29" max="29" width="10.28515625" bestFit="1" customWidth="1"/>
    <col min="30" max="30" width="11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4" width="10" bestFit="1" customWidth="1"/>
    <col min="35" max="35" width="9.28515625" bestFit="1" customWidth="1"/>
    <col min="36" max="36" width="10.28515625" bestFit="1" customWidth="1"/>
  </cols>
  <sheetData>
    <row r="1" spans="1:36" s="1" customFormat="1" ht="15.75" thickBot="1" x14ac:dyDescent="0.3">
      <c r="A1" s="170" t="s">
        <v>23</v>
      </c>
    </row>
    <row r="2" spans="1:36" ht="15.75" thickBot="1" x14ac:dyDescent="0.3">
      <c r="A2" s="169"/>
      <c r="B2" s="25">
        <v>2004</v>
      </c>
      <c r="C2" s="25">
        <v>2005</v>
      </c>
      <c r="D2" s="25">
        <v>2006</v>
      </c>
      <c r="E2" s="25">
        <v>2007</v>
      </c>
      <c r="F2" s="25">
        <v>2008</v>
      </c>
      <c r="G2" s="25">
        <v>2009</v>
      </c>
      <c r="H2" s="25">
        <v>2010</v>
      </c>
      <c r="I2" s="25">
        <v>2011</v>
      </c>
      <c r="J2" s="25">
        <v>2012</v>
      </c>
      <c r="K2" s="25">
        <v>2013</v>
      </c>
      <c r="L2" s="25">
        <v>2014</v>
      </c>
      <c r="M2" s="171" t="s">
        <v>79</v>
      </c>
      <c r="N2" s="26">
        <v>2004</v>
      </c>
      <c r="O2" s="27">
        <v>2005</v>
      </c>
      <c r="P2" s="27">
        <v>2006</v>
      </c>
      <c r="Q2" s="27">
        <v>2007</v>
      </c>
      <c r="R2" s="27">
        <v>2008</v>
      </c>
      <c r="S2" s="27">
        <v>2009</v>
      </c>
      <c r="T2" s="27">
        <v>2010</v>
      </c>
      <c r="U2" s="27">
        <v>2011</v>
      </c>
      <c r="V2" s="27">
        <v>2012</v>
      </c>
      <c r="W2" s="27">
        <v>2013</v>
      </c>
      <c r="X2" s="27">
        <v>2014</v>
      </c>
      <c r="Y2" s="165" t="s">
        <v>78</v>
      </c>
      <c r="Z2" s="26"/>
      <c r="AA2" s="27">
        <v>2005</v>
      </c>
      <c r="AB2" s="27">
        <v>2006</v>
      </c>
      <c r="AC2" s="27">
        <v>2007</v>
      </c>
      <c r="AD2" s="27">
        <v>2008</v>
      </c>
      <c r="AE2" s="27">
        <v>2009</v>
      </c>
      <c r="AF2" s="27">
        <v>2010</v>
      </c>
      <c r="AG2" s="27">
        <v>2011</v>
      </c>
      <c r="AH2" s="27">
        <v>2012</v>
      </c>
      <c r="AI2" s="27">
        <v>2013</v>
      </c>
      <c r="AJ2" s="27">
        <v>2014</v>
      </c>
    </row>
    <row r="3" spans="1:36" s="32" customFormat="1" ht="15.75" thickBot="1" x14ac:dyDescent="0.3">
      <c r="A3" s="44" t="s">
        <v>0</v>
      </c>
      <c r="B3" s="39">
        <f t="shared" ref="B3:L3" si="0">N3/N$25</f>
        <v>1.6835016835016834E-3</v>
      </c>
      <c r="C3" s="29">
        <f t="shared" si="0"/>
        <v>1.7371163867979154E-3</v>
      </c>
      <c r="D3" s="29">
        <f t="shared" si="0"/>
        <v>0.27234267583289262</v>
      </c>
      <c r="E3" s="29">
        <f t="shared" si="0"/>
        <v>0.15576748410535876</v>
      </c>
      <c r="F3" s="29">
        <f t="shared" si="0"/>
        <v>0.31843393148450244</v>
      </c>
      <c r="G3" s="29">
        <f t="shared" si="0"/>
        <v>0.17780580075662042</v>
      </c>
      <c r="H3" s="29">
        <f t="shared" si="0"/>
        <v>0.36803455723542117</v>
      </c>
      <c r="I3" s="29">
        <f t="shared" si="0"/>
        <v>0.41412551642730672</v>
      </c>
      <c r="J3" s="29">
        <f t="shared" si="0"/>
        <v>0.35776779380468193</v>
      </c>
      <c r="K3" s="29">
        <f t="shared" si="0"/>
        <v>0.25167464114832538</v>
      </c>
      <c r="L3" s="29">
        <f t="shared" si="0"/>
        <v>0.24480116745713243</v>
      </c>
      <c r="M3" s="172"/>
      <c r="N3" s="30">
        <v>2</v>
      </c>
      <c r="O3" s="31">
        <v>3</v>
      </c>
      <c r="P3" s="31">
        <v>515</v>
      </c>
      <c r="Q3" s="31">
        <v>343</v>
      </c>
      <c r="R3" s="31">
        <v>976</v>
      </c>
      <c r="S3" s="31">
        <v>705</v>
      </c>
      <c r="T3" s="31">
        <v>1704</v>
      </c>
      <c r="U3" s="31">
        <v>2105</v>
      </c>
      <c r="V3" s="31">
        <v>1513</v>
      </c>
      <c r="W3" s="31">
        <v>1315</v>
      </c>
      <c r="X3" s="31">
        <v>1342</v>
      </c>
      <c r="Y3" s="166"/>
      <c r="Z3" s="30"/>
      <c r="AA3" s="113">
        <f t="shared" ref="AA3:AA16" si="1">O3-N3</f>
        <v>1</v>
      </c>
      <c r="AB3" s="113">
        <f t="shared" ref="AB3:AB16" si="2">P3-O3</f>
        <v>512</v>
      </c>
      <c r="AC3" s="113">
        <f t="shared" ref="AC3:AC16" si="3">Q3-P3</f>
        <v>-172</v>
      </c>
      <c r="AD3" s="113">
        <f t="shared" ref="AD3:AD16" si="4">R3-Q3</f>
        <v>633</v>
      </c>
      <c r="AE3" s="113">
        <f t="shared" ref="AE3:AE16" si="5">S3-R3</f>
        <v>-271</v>
      </c>
      <c r="AF3" s="113">
        <f t="shared" ref="AF3:AF16" si="6">T3-S3</f>
        <v>999</v>
      </c>
      <c r="AG3" s="113">
        <f t="shared" ref="AG3:AG16" si="7">U3-T3</f>
        <v>401</v>
      </c>
      <c r="AH3" s="113">
        <f t="shared" ref="AH3:AH16" si="8">V3-U3</f>
        <v>-592</v>
      </c>
      <c r="AI3" s="113">
        <f t="shared" ref="AI3:AI16" si="9">W3-V3</f>
        <v>-198</v>
      </c>
      <c r="AJ3" s="113">
        <f t="shared" ref="AJ3:AJ16" si="10">X3-W3</f>
        <v>27</v>
      </c>
    </row>
    <row r="4" spans="1:36" s="3" customFormat="1" x14ac:dyDescent="0.25">
      <c r="A4" s="43" t="s">
        <v>1</v>
      </c>
      <c r="B4" s="13">
        <f t="shared" ref="B4:B16" si="11">N4/N$25</f>
        <v>0</v>
      </c>
      <c r="C4" s="13">
        <f t="shared" ref="C4:C16" si="12">O4/O$25</f>
        <v>0</v>
      </c>
      <c r="D4" s="13">
        <f t="shared" ref="D4:D16" si="13">P4/P$25</f>
        <v>0</v>
      </c>
      <c r="E4" s="13">
        <f t="shared" ref="E4:E16" si="14">Q4/Q$25</f>
        <v>0</v>
      </c>
      <c r="F4" s="13">
        <f t="shared" ref="F4:F16" si="15">R4/R$25</f>
        <v>0</v>
      </c>
      <c r="G4" s="13">
        <f t="shared" ref="G4:G16" si="16">S4/S$25</f>
        <v>0</v>
      </c>
      <c r="H4" s="13">
        <f t="shared" ref="H4:H16" si="17">T4/T$25</f>
        <v>0</v>
      </c>
      <c r="I4" s="13">
        <f t="shared" ref="I4:I16" si="18">U4/U$25</f>
        <v>0</v>
      </c>
      <c r="J4" s="13">
        <f t="shared" ref="J4:J16" si="19">V4/V$25</f>
        <v>0</v>
      </c>
      <c r="K4" s="13">
        <f t="shared" ref="K4:K16" si="20">W4/W$25</f>
        <v>0</v>
      </c>
      <c r="L4" s="13">
        <f t="shared" ref="L4:L16" si="21">X4/X$25</f>
        <v>0</v>
      </c>
      <c r="M4" s="172"/>
      <c r="N4" s="17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66"/>
      <c r="Z4" s="17"/>
      <c r="AA4" s="106">
        <f t="shared" si="1"/>
        <v>0</v>
      </c>
      <c r="AB4" s="106">
        <f t="shared" si="2"/>
        <v>0</v>
      </c>
      <c r="AC4" s="106">
        <f t="shared" si="3"/>
        <v>0</v>
      </c>
      <c r="AD4" s="106">
        <f t="shared" si="4"/>
        <v>0</v>
      </c>
      <c r="AE4" s="106">
        <f t="shared" si="5"/>
        <v>0</v>
      </c>
      <c r="AF4" s="106">
        <f t="shared" si="6"/>
        <v>0</v>
      </c>
      <c r="AG4" s="106">
        <f t="shared" si="7"/>
        <v>0</v>
      </c>
      <c r="AH4" s="106">
        <f t="shared" si="8"/>
        <v>0</v>
      </c>
      <c r="AI4" s="106">
        <f t="shared" si="9"/>
        <v>0</v>
      </c>
      <c r="AJ4" s="106">
        <f t="shared" si="10"/>
        <v>0</v>
      </c>
    </row>
    <row r="5" spans="1:36" s="3" customFormat="1" x14ac:dyDescent="0.25">
      <c r="A5" s="40" t="s">
        <v>2</v>
      </c>
      <c r="B5" s="5">
        <f t="shared" si="11"/>
        <v>1.6835016835016834E-3</v>
      </c>
      <c r="C5" s="5">
        <f t="shared" si="12"/>
        <v>1.7371163867979154E-3</v>
      </c>
      <c r="D5" s="5">
        <f t="shared" si="13"/>
        <v>0.27234267583289262</v>
      </c>
      <c r="E5" s="5">
        <f t="shared" si="14"/>
        <v>0.15576748410535876</v>
      </c>
      <c r="F5" s="5">
        <f t="shared" si="15"/>
        <v>0.31843393148450244</v>
      </c>
      <c r="G5" s="5">
        <f t="shared" si="16"/>
        <v>0.17780580075662042</v>
      </c>
      <c r="H5" s="5">
        <f t="shared" si="17"/>
        <v>0.36803455723542117</v>
      </c>
      <c r="I5" s="5">
        <f t="shared" si="18"/>
        <v>0.41412551642730672</v>
      </c>
      <c r="J5" s="5">
        <f t="shared" si="19"/>
        <v>0.35776779380468193</v>
      </c>
      <c r="K5" s="5">
        <f t="shared" si="20"/>
        <v>0.25167464114832538</v>
      </c>
      <c r="L5" s="5">
        <f t="shared" si="21"/>
        <v>0.24480116745713243</v>
      </c>
      <c r="M5" s="172"/>
      <c r="N5" s="18">
        <v>2</v>
      </c>
      <c r="O5" s="6">
        <v>3</v>
      </c>
      <c r="P5" s="6">
        <v>515</v>
      </c>
      <c r="Q5" s="6">
        <v>343</v>
      </c>
      <c r="R5" s="6">
        <v>976</v>
      </c>
      <c r="S5" s="6">
        <v>705</v>
      </c>
      <c r="T5" s="6">
        <v>1704</v>
      </c>
      <c r="U5" s="6">
        <v>2105</v>
      </c>
      <c r="V5" s="6">
        <v>1513</v>
      </c>
      <c r="W5" s="6">
        <v>1315</v>
      </c>
      <c r="X5" s="6">
        <v>1342</v>
      </c>
      <c r="Y5" s="166"/>
      <c r="Z5" s="18"/>
      <c r="AA5" s="107">
        <f t="shared" si="1"/>
        <v>1</v>
      </c>
      <c r="AB5" s="107">
        <f t="shared" si="2"/>
        <v>512</v>
      </c>
      <c r="AC5" s="107">
        <f t="shared" si="3"/>
        <v>-172</v>
      </c>
      <c r="AD5" s="107">
        <f t="shared" si="4"/>
        <v>633</v>
      </c>
      <c r="AE5" s="107">
        <f t="shared" si="5"/>
        <v>-271</v>
      </c>
      <c r="AF5" s="107">
        <f t="shared" si="6"/>
        <v>999</v>
      </c>
      <c r="AG5" s="107">
        <f t="shared" si="7"/>
        <v>401</v>
      </c>
      <c r="AH5" s="107">
        <f t="shared" si="8"/>
        <v>-592</v>
      </c>
      <c r="AI5" s="107">
        <f t="shared" si="9"/>
        <v>-198</v>
      </c>
      <c r="AJ5" s="107">
        <f t="shared" si="10"/>
        <v>27</v>
      </c>
    </row>
    <row r="6" spans="1:36" s="3" customFormat="1" ht="15.75" thickBot="1" x14ac:dyDescent="0.3">
      <c r="A6" s="42" t="s">
        <v>3</v>
      </c>
      <c r="B6" s="12">
        <f t="shared" si="11"/>
        <v>0</v>
      </c>
      <c r="C6" s="12">
        <f t="shared" si="12"/>
        <v>0</v>
      </c>
      <c r="D6" s="12">
        <f t="shared" si="13"/>
        <v>0</v>
      </c>
      <c r="E6" s="12">
        <f t="shared" si="14"/>
        <v>0</v>
      </c>
      <c r="F6" s="12">
        <f t="shared" si="15"/>
        <v>0</v>
      </c>
      <c r="G6" s="12">
        <f t="shared" si="16"/>
        <v>0</v>
      </c>
      <c r="H6" s="12">
        <f t="shared" si="17"/>
        <v>0</v>
      </c>
      <c r="I6" s="12">
        <f t="shared" si="18"/>
        <v>0</v>
      </c>
      <c r="J6" s="12">
        <f t="shared" si="19"/>
        <v>0</v>
      </c>
      <c r="K6" s="12">
        <f t="shared" si="20"/>
        <v>0</v>
      </c>
      <c r="L6" s="12">
        <f t="shared" si="21"/>
        <v>0</v>
      </c>
      <c r="M6" s="172"/>
      <c r="N6" s="33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166"/>
      <c r="Z6" s="33"/>
      <c r="AA6" s="108">
        <f t="shared" si="1"/>
        <v>0</v>
      </c>
      <c r="AB6" s="108">
        <f t="shared" si="2"/>
        <v>0</v>
      </c>
      <c r="AC6" s="108">
        <f t="shared" si="3"/>
        <v>0</v>
      </c>
      <c r="AD6" s="108">
        <f t="shared" si="4"/>
        <v>0</v>
      </c>
      <c r="AE6" s="108">
        <f t="shared" si="5"/>
        <v>0</v>
      </c>
      <c r="AF6" s="108">
        <f t="shared" si="6"/>
        <v>0</v>
      </c>
      <c r="AG6" s="108">
        <f t="shared" si="7"/>
        <v>0</v>
      </c>
      <c r="AH6" s="108">
        <f t="shared" si="8"/>
        <v>0</v>
      </c>
      <c r="AI6" s="108">
        <f t="shared" si="9"/>
        <v>0</v>
      </c>
      <c r="AJ6" s="108">
        <f t="shared" si="10"/>
        <v>0</v>
      </c>
    </row>
    <row r="7" spans="1:36" s="32" customFormat="1" ht="15.75" thickBot="1" x14ac:dyDescent="0.3">
      <c r="A7" s="44" t="s">
        <v>4</v>
      </c>
      <c r="B7" s="39">
        <f t="shared" si="11"/>
        <v>0.89057239057239057</v>
      </c>
      <c r="C7" s="29">
        <f t="shared" si="12"/>
        <v>0.96236247828604515</v>
      </c>
      <c r="D7" s="29">
        <f t="shared" si="13"/>
        <v>0.62612374405076676</v>
      </c>
      <c r="E7" s="29">
        <f t="shared" si="14"/>
        <v>0.7633969118982743</v>
      </c>
      <c r="F7" s="29">
        <f t="shared" si="15"/>
        <v>0.65774877650897223</v>
      </c>
      <c r="G7" s="29">
        <f t="shared" si="16"/>
        <v>0.80327868852459017</v>
      </c>
      <c r="H7" s="29">
        <f t="shared" si="17"/>
        <v>0.6224622030237581</v>
      </c>
      <c r="I7" s="29">
        <f t="shared" si="18"/>
        <v>0.57013574660633481</v>
      </c>
      <c r="J7" s="29">
        <f t="shared" si="19"/>
        <v>0.65760227004019867</v>
      </c>
      <c r="K7" s="29">
        <f t="shared" si="20"/>
        <v>0.7397129186602871</v>
      </c>
      <c r="L7" s="29">
        <f t="shared" si="21"/>
        <v>0.73786939073330904</v>
      </c>
      <c r="M7" s="172"/>
      <c r="N7" s="30">
        <f>1090-N17</f>
        <v>1058</v>
      </c>
      <c r="O7" s="31">
        <f>1695-O17</f>
        <v>1662</v>
      </c>
      <c r="P7" s="31">
        <f>1443-P17</f>
        <v>1184</v>
      </c>
      <c r="Q7" s="31">
        <f>2372-Q17</f>
        <v>1681</v>
      </c>
      <c r="R7" s="31">
        <f>2550-R17</f>
        <v>2016</v>
      </c>
      <c r="S7" s="31">
        <f>3742-S17</f>
        <v>3185</v>
      </c>
      <c r="T7" s="31">
        <f>4731-T17</f>
        <v>2882</v>
      </c>
      <c r="U7" s="31">
        <f>5377-U17</f>
        <v>2898</v>
      </c>
      <c r="V7" s="31">
        <f>5165-V17</f>
        <v>2781</v>
      </c>
      <c r="W7" s="31">
        <f>6249-W17</f>
        <v>3865</v>
      </c>
      <c r="X7" s="31">
        <f>6829-X17</f>
        <v>4045</v>
      </c>
      <c r="Y7" s="166"/>
      <c r="Z7" s="30"/>
      <c r="AA7" s="105">
        <f t="shared" si="1"/>
        <v>604</v>
      </c>
      <c r="AB7" s="105">
        <f t="shared" si="2"/>
        <v>-478</v>
      </c>
      <c r="AC7" s="105">
        <f t="shared" si="3"/>
        <v>497</v>
      </c>
      <c r="AD7" s="105">
        <f t="shared" si="4"/>
        <v>335</v>
      </c>
      <c r="AE7" s="105">
        <f t="shared" si="5"/>
        <v>1169</v>
      </c>
      <c r="AF7" s="105">
        <f t="shared" si="6"/>
        <v>-303</v>
      </c>
      <c r="AG7" s="105">
        <f t="shared" si="7"/>
        <v>16</v>
      </c>
      <c r="AH7" s="105">
        <f t="shared" si="8"/>
        <v>-117</v>
      </c>
      <c r="AI7" s="105">
        <f t="shared" si="9"/>
        <v>1084</v>
      </c>
      <c r="AJ7" s="105">
        <f t="shared" si="10"/>
        <v>180</v>
      </c>
    </row>
    <row r="8" spans="1:36" s="3" customFormat="1" x14ac:dyDescent="0.25">
      <c r="A8" s="43" t="s">
        <v>5</v>
      </c>
      <c r="B8" s="13">
        <f t="shared" si="11"/>
        <v>0.234006734006734</v>
      </c>
      <c r="C8" s="13">
        <f t="shared" si="12"/>
        <v>0.20787492762015056</v>
      </c>
      <c r="D8" s="13">
        <f t="shared" si="13"/>
        <v>0.17345319936541512</v>
      </c>
      <c r="E8" s="13">
        <f t="shared" si="14"/>
        <v>0.16485013623978201</v>
      </c>
      <c r="F8" s="13">
        <f t="shared" si="15"/>
        <v>0.23066884176182709</v>
      </c>
      <c r="G8" s="13">
        <f t="shared" si="16"/>
        <v>0.34728877679697351</v>
      </c>
      <c r="H8" s="13">
        <f t="shared" si="17"/>
        <v>0.16803455723542116</v>
      </c>
      <c r="I8" s="13">
        <f t="shared" si="18"/>
        <v>0.17174896714538659</v>
      </c>
      <c r="J8" s="13">
        <f t="shared" si="19"/>
        <v>0.31165760227004019</v>
      </c>
      <c r="K8" s="13">
        <f t="shared" si="20"/>
        <v>0.32708133971291864</v>
      </c>
      <c r="L8" s="13">
        <f t="shared" si="21"/>
        <v>0.24808464064210142</v>
      </c>
      <c r="M8" s="172"/>
      <c r="N8" s="17">
        <v>278</v>
      </c>
      <c r="O8" s="15">
        <v>359</v>
      </c>
      <c r="P8" s="15">
        <v>328</v>
      </c>
      <c r="Q8" s="15">
        <v>363</v>
      </c>
      <c r="R8" s="15">
        <v>707</v>
      </c>
      <c r="S8" s="15">
        <v>1377</v>
      </c>
      <c r="T8" s="15">
        <v>778</v>
      </c>
      <c r="U8" s="15">
        <v>873</v>
      </c>
      <c r="V8" s="15">
        <v>1318</v>
      </c>
      <c r="W8" s="15">
        <v>1709</v>
      </c>
      <c r="X8" s="15">
        <v>1360</v>
      </c>
      <c r="Y8" s="166"/>
      <c r="Z8" s="17"/>
      <c r="AA8" s="106">
        <f t="shared" si="1"/>
        <v>81</v>
      </c>
      <c r="AB8" s="106">
        <f t="shared" si="2"/>
        <v>-31</v>
      </c>
      <c r="AC8" s="106">
        <f t="shared" si="3"/>
        <v>35</v>
      </c>
      <c r="AD8" s="106">
        <f t="shared" si="4"/>
        <v>344</v>
      </c>
      <c r="AE8" s="106">
        <f t="shared" si="5"/>
        <v>670</v>
      </c>
      <c r="AF8" s="106">
        <f t="shared" si="6"/>
        <v>-599</v>
      </c>
      <c r="AG8" s="106">
        <f t="shared" si="7"/>
        <v>95</v>
      </c>
      <c r="AH8" s="106">
        <f t="shared" si="8"/>
        <v>445</v>
      </c>
      <c r="AI8" s="106">
        <f t="shared" si="9"/>
        <v>391</v>
      </c>
      <c r="AJ8" s="106">
        <f t="shared" si="10"/>
        <v>-349</v>
      </c>
    </row>
    <row r="9" spans="1:36" s="2" customFormat="1" x14ac:dyDescent="0.25">
      <c r="A9" s="10" t="s">
        <v>6</v>
      </c>
      <c r="B9" s="9">
        <f t="shared" si="11"/>
        <v>1.3468013468013467E-2</v>
      </c>
      <c r="C9" s="9">
        <f t="shared" si="12"/>
        <v>3.8795599305153444E-2</v>
      </c>
      <c r="D9" s="9">
        <f t="shared" si="13"/>
        <v>2.168164992067689E-2</v>
      </c>
      <c r="E9" s="9">
        <f t="shared" si="14"/>
        <v>1.5440508628519528E-2</v>
      </c>
      <c r="F9" s="9">
        <f t="shared" si="15"/>
        <v>8.1566068515497553E-2</v>
      </c>
      <c r="G9" s="9">
        <f t="shared" si="16"/>
        <v>0.14174022698612862</v>
      </c>
      <c r="H9" s="9">
        <f t="shared" si="17"/>
        <v>2.3542116630669546E-2</v>
      </c>
      <c r="I9" s="9">
        <f t="shared" si="18"/>
        <v>3.2854613417273262E-2</v>
      </c>
      <c r="J9" s="9">
        <f t="shared" si="19"/>
        <v>6.6918893355403172E-2</v>
      </c>
      <c r="K9" s="9">
        <f t="shared" si="20"/>
        <v>6.8899521531100474E-2</v>
      </c>
      <c r="L9" s="9">
        <f t="shared" si="21"/>
        <v>4.7063115651222183E-2</v>
      </c>
      <c r="M9" s="172"/>
      <c r="N9" s="11">
        <v>16</v>
      </c>
      <c r="O9" s="10">
        <v>67</v>
      </c>
      <c r="P9" s="10">
        <v>41</v>
      </c>
      <c r="Q9" s="10">
        <v>34</v>
      </c>
      <c r="R9" s="10">
        <v>250</v>
      </c>
      <c r="S9" s="10">
        <v>562</v>
      </c>
      <c r="T9" s="10">
        <v>109</v>
      </c>
      <c r="U9" s="10">
        <v>167</v>
      </c>
      <c r="V9" s="10">
        <v>283</v>
      </c>
      <c r="W9" s="10">
        <v>360</v>
      </c>
      <c r="X9" s="10">
        <v>258</v>
      </c>
      <c r="Y9" s="166"/>
      <c r="Z9" s="11"/>
      <c r="AA9" s="109">
        <f t="shared" si="1"/>
        <v>51</v>
      </c>
      <c r="AB9" s="109">
        <f t="shared" si="2"/>
        <v>-26</v>
      </c>
      <c r="AC9" s="109">
        <f t="shared" si="3"/>
        <v>-7</v>
      </c>
      <c r="AD9" s="109">
        <f t="shared" si="4"/>
        <v>216</v>
      </c>
      <c r="AE9" s="109">
        <f t="shared" si="5"/>
        <v>312</v>
      </c>
      <c r="AF9" s="109">
        <f t="shared" si="6"/>
        <v>-453</v>
      </c>
      <c r="AG9" s="109">
        <f t="shared" si="7"/>
        <v>58</v>
      </c>
      <c r="AH9" s="109">
        <f t="shared" si="8"/>
        <v>116</v>
      </c>
      <c r="AI9" s="109">
        <f t="shared" si="9"/>
        <v>77</v>
      </c>
      <c r="AJ9" s="109">
        <f t="shared" si="10"/>
        <v>-102</v>
      </c>
    </row>
    <row r="10" spans="1:36" s="2" customFormat="1" x14ac:dyDescent="0.25">
      <c r="A10" s="10" t="s">
        <v>7</v>
      </c>
      <c r="B10" s="9">
        <f t="shared" si="11"/>
        <v>1.0942760942760943E-2</v>
      </c>
      <c r="C10" s="9">
        <f t="shared" si="12"/>
        <v>8.6855819339895779E-3</v>
      </c>
      <c r="D10" s="9">
        <f t="shared" si="13"/>
        <v>6.345848757271285E-3</v>
      </c>
      <c r="E10" s="9">
        <f t="shared" si="14"/>
        <v>4.5413260672116261E-3</v>
      </c>
      <c r="F10" s="9">
        <f t="shared" si="15"/>
        <v>8.809135399673736E-3</v>
      </c>
      <c r="G10" s="9">
        <f t="shared" si="16"/>
        <v>6.8095838587641866E-3</v>
      </c>
      <c r="H10" s="9">
        <f t="shared" si="17"/>
        <v>4.7516198704103674E-3</v>
      </c>
      <c r="I10" s="9">
        <f t="shared" si="18"/>
        <v>4.9183553019870154E-3</v>
      </c>
      <c r="J10" s="9">
        <f t="shared" si="19"/>
        <v>1.1113738472452117E-2</v>
      </c>
      <c r="K10" s="9">
        <f t="shared" si="20"/>
        <v>1.7033492822966508E-2</v>
      </c>
      <c r="L10" s="9">
        <f t="shared" si="21"/>
        <v>7.2966070777088653E-4</v>
      </c>
      <c r="M10" s="172"/>
      <c r="N10" s="11">
        <v>13</v>
      </c>
      <c r="O10" s="10">
        <v>15</v>
      </c>
      <c r="P10" s="10">
        <v>12</v>
      </c>
      <c r="Q10" s="10">
        <v>10</v>
      </c>
      <c r="R10" s="10">
        <v>27</v>
      </c>
      <c r="S10" s="10">
        <v>27</v>
      </c>
      <c r="T10" s="10">
        <v>22</v>
      </c>
      <c r="U10" s="10">
        <v>25</v>
      </c>
      <c r="V10" s="10">
        <v>47</v>
      </c>
      <c r="W10" s="10">
        <v>89</v>
      </c>
      <c r="X10" s="10">
        <v>4</v>
      </c>
      <c r="Y10" s="166"/>
      <c r="Z10" s="11"/>
      <c r="AA10" s="109">
        <f t="shared" si="1"/>
        <v>2</v>
      </c>
      <c r="AB10" s="109">
        <f t="shared" si="2"/>
        <v>-3</v>
      </c>
      <c r="AC10" s="109">
        <f t="shared" si="3"/>
        <v>-2</v>
      </c>
      <c r="AD10" s="109">
        <f t="shared" si="4"/>
        <v>17</v>
      </c>
      <c r="AE10" s="109">
        <f t="shared" si="5"/>
        <v>0</v>
      </c>
      <c r="AF10" s="109">
        <f t="shared" si="6"/>
        <v>-5</v>
      </c>
      <c r="AG10" s="109">
        <f t="shared" si="7"/>
        <v>3</v>
      </c>
      <c r="AH10" s="109">
        <f t="shared" si="8"/>
        <v>22</v>
      </c>
      <c r="AI10" s="109">
        <f t="shared" si="9"/>
        <v>42</v>
      </c>
      <c r="AJ10" s="109">
        <f t="shared" si="10"/>
        <v>-85</v>
      </c>
    </row>
    <row r="11" spans="1:36" s="2" customFormat="1" x14ac:dyDescent="0.25">
      <c r="A11" s="10" t="s">
        <v>8</v>
      </c>
      <c r="B11" s="9">
        <f t="shared" si="11"/>
        <v>0.20959595959595959</v>
      </c>
      <c r="C11" s="9">
        <f t="shared" si="12"/>
        <v>0.16039374638100753</v>
      </c>
      <c r="D11" s="9">
        <f t="shared" si="13"/>
        <v>0.14542570068746694</v>
      </c>
      <c r="E11" s="9">
        <f t="shared" si="14"/>
        <v>0.14486830154405086</v>
      </c>
      <c r="F11" s="9">
        <f t="shared" si="15"/>
        <v>0.1402936378466558</v>
      </c>
      <c r="G11" s="9">
        <f t="shared" si="16"/>
        <v>0.19873896595208071</v>
      </c>
      <c r="H11" s="9">
        <f t="shared" si="17"/>
        <v>0.13974082073434124</v>
      </c>
      <c r="I11" s="9">
        <f t="shared" si="18"/>
        <v>0.13397599842612631</v>
      </c>
      <c r="J11" s="9">
        <f t="shared" si="19"/>
        <v>0.23362497044218491</v>
      </c>
      <c r="K11" s="9">
        <f t="shared" si="20"/>
        <v>0.24114832535885167</v>
      </c>
      <c r="L11" s="9">
        <f t="shared" si="21"/>
        <v>0.20029186428310836</v>
      </c>
      <c r="M11" s="172"/>
      <c r="N11" s="11">
        <v>249</v>
      </c>
      <c r="O11" s="10">
        <v>277</v>
      </c>
      <c r="P11" s="10">
        <v>275</v>
      </c>
      <c r="Q11" s="10">
        <v>319</v>
      </c>
      <c r="R11" s="10">
        <v>430</v>
      </c>
      <c r="S11" s="10">
        <v>788</v>
      </c>
      <c r="T11" s="10">
        <v>647</v>
      </c>
      <c r="U11" s="10">
        <v>681</v>
      </c>
      <c r="V11" s="10">
        <v>988</v>
      </c>
      <c r="W11" s="10">
        <v>1260</v>
      </c>
      <c r="X11" s="10">
        <v>1098</v>
      </c>
      <c r="Y11" s="166"/>
      <c r="Z11" s="11"/>
      <c r="AA11" s="109">
        <f t="shared" si="1"/>
        <v>28</v>
      </c>
      <c r="AB11" s="109">
        <f t="shared" si="2"/>
        <v>-2</v>
      </c>
      <c r="AC11" s="109">
        <f t="shared" si="3"/>
        <v>44</v>
      </c>
      <c r="AD11" s="109">
        <f t="shared" si="4"/>
        <v>111</v>
      </c>
      <c r="AE11" s="109">
        <f t="shared" si="5"/>
        <v>358</v>
      </c>
      <c r="AF11" s="109">
        <f t="shared" si="6"/>
        <v>-141</v>
      </c>
      <c r="AG11" s="109">
        <f t="shared" si="7"/>
        <v>34</v>
      </c>
      <c r="AH11" s="109">
        <f t="shared" si="8"/>
        <v>307</v>
      </c>
      <c r="AI11" s="109">
        <f t="shared" si="9"/>
        <v>272</v>
      </c>
      <c r="AJ11" s="109">
        <f t="shared" si="10"/>
        <v>-162</v>
      </c>
    </row>
    <row r="12" spans="1:36" s="3" customFormat="1" x14ac:dyDescent="0.25">
      <c r="A12" s="40" t="s">
        <v>9</v>
      </c>
      <c r="B12" s="5">
        <f t="shared" si="11"/>
        <v>0</v>
      </c>
      <c r="C12" s="5">
        <f t="shared" si="12"/>
        <v>0</v>
      </c>
      <c r="D12" s="5">
        <f t="shared" si="13"/>
        <v>0</v>
      </c>
      <c r="E12" s="5">
        <f t="shared" si="14"/>
        <v>0</v>
      </c>
      <c r="F12" s="5">
        <f t="shared" si="15"/>
        <v>0</v>
      </c>
      <c r="G12" s="5">
        <f t="shared" si="16"/>
        <v>0</v>
      </c>
      <c r="H12" s="5">
        <f t="shared" si="17"/>
        <v>0</v>
      </c>
      <c r="I12" s="5">
        <f t="shared" si="18"/>
        <v>0</v>
      </c>
      <c r="J12" s="5">
        <f t="shared" si="19"/>
        <v>0</v>
      </c>
      <c r="K12" s="5">
        <f t="shared" si="20"/>
        <v>0</v>
      </c>
      <c r="L12" s="5">
        <f t="shared" si="21"/>
        <v>0</v>
      </c>
      <c r="M12" s="172"/>
      <c r="N12" s="18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166"/>
      <c r="Z12" s="18"/>
      <c r="AA12" s="107">
        <f t="shared" si="1"/>
        <v>0</v>
      </c>
      <c r="AB12" s="107">
        <f t="shared" si="2"/>
        <v>0</v>
      </c>
      <c r="AC12" s="107">
        <f t="shared" si="3"/>
        <v>0</v>
      </c>
      <c r="AD12" s="107">
        <f t="shared" si="4"/>
        <v>0</v>
      </c>
      <c r="AE12" s="107">
        <f t="shared" si="5"/>
        <v>0</v>
      </c>
      <c r="AF12" s="107">
        <f t="shared" si="6"/>
        <v>0</v>
      </c>
      <c r="AG12" s="107">
        <f t="shared" si="7"/>
        <v>0</v>
      </c>
      <c r="AH12" s="107">
        <f t="shared" si="8"/>
        <v>0</v>
      </c>
      <c r="AI12" s="107">
        <f t="shared" si="9"/>
        <v>0</v>
      </c>
      <c r="AJ12" s="107">
        <f t="shared" si="10"/>
        <v>0</v>
      </c>
    </row>
    <row r="13" spans="1:36" s="3" customFormat="1" x14ac:dyDescent="0.25">
      <c r="A13" s="40" t="s">
        <v>10</v>
      </c>
      <c r="B13" s="5">
        <f t="shared" si="11"/>
        <v>0.99831649831649827</v>
      </c>
      <c r="C13" s="5">
        <f t="shared" si="12"/>
        <v>0.60162130862767804</v>
      </c>
      <c r="D13" s="5">
        <f t="shared" si="13"/>
        <v>0.39978847170809095</v>
      </c>
      <c r="E13" s="5">
        <f t="shared" si="14"/>
        <v>0.45049954586739327</v>
      </c>
      <c r="F13" s="5">
        <f t="shared" si="15"/>
        <v>0.21337683523654161</v>
      </c>
      <c r="G13" s="5">
        <f t="shared" si="16"/>
        <v>0.14123581336696092</v>
      </c>
      <c r="H13" s="5">
        <f t="shared" si="17"/>
        <v>0.12375809935205184</v>
      </c>
      <c r="I13" s="5">
        <f t="shared" si="18"/>
        <v>0.15030493802872319</v>
      </c>
      <c r="J13" s="5">
        <f t="shared" si="19"/>
        <v>0.30716481437692128</v>
      </c>
      <c r="K13" s="5">
        <f t="shared" si="20"/>
        <v>0.25014354066985645</v>
      </c>
      <c r="L13" s="5">
        <f t="shared" si="21"/>
        <v>0.32214520248084638</v>
      </c>
      <c r="M13" s="172"/>
      <c r="N13" s="18">
        <f>1218-N17</f>
        <v>1186</v>
      </c>
      <c r="O13" s="6">
        <f>1072-O17</f>
        <v>1039</v>
      </c>
      <c r="P13" s="6">
        <f>1015-P17</f>
        <v>756</v>
      </c>
      <c r="Q13" s="6">
        <f>1683-Q17</f>
        <v>992</v>
      </c>
      <c r="R13" s="6">
        <f>1188-R17</f>
        <v>654</v>
      </c>
      <c r="S13" s="6">
        <f>1117-S17</f>
        <v>560</v>
      </c>
      <c r="T13" s="6">
        <f>2422-T17</f>
        <v>573</v>
      </c>
      <c r="U13" s="6">
        <f>3243-U17</f>
        <v>764</v>
      </c>
      <c r="V13" s="6">
        <f>3683-V17</f>
        <v>1299</v>
      </c>
      <c r="W13" s="6">
        <f>3691-W17</f>
        <v>1307</v>
      </c>
      <c r="X13" s="6">
        <f>4550-X17</f>
        <v>1766</v>
      </c>
      <c r="Y13" s="166"/>
      <c r="Z13" s="18"/>
      <c r="AA13" s="107">
        <f t="shared" si="1"/>
        <v>-147</v>
      </c>
      <c r="AB13" s="107">
        <f t="shared" si="2"/>
        <v>-283</v>
      </c>
      <c r="AC13" s="107">
        <f t="shared" si="3"/>
        <v>236</v>
      </c>
      <c r="AD13" s="107">
        <f t="shared" si="4"/>
        <v>-338</v>
      </c>
      <c r="AE13" s="107">
        <f t="shared" si="5"/>
        <v>-94</v>
      </c>
      <c r="AF13" s="107">
        <f t="shared" si="6"/>
        <v>13</v>
      </c>
      <c r="AG13" s="107">
        <f t="shared" si="7"/>
        <v>191</v>
      </c>
      <c r="AH13" s="107">
        <f t="shared" si="8"/>
        <v>535</v>
      </c>
      <c r="AI13" s="107">
        <f t="shared" si="9"/>
        <v>8</v>
      </c>
      <c r="AJ13" s="107">
        <f t="shared" si="10"/>
        <v>459</v>
      </c>
    </row>
    <row r="14" spans="1:36" s="2" customFormat="1" x14ac:dyDescent="0.25">
      <c r="A14" s="10" t="s">
        <v>11</v>
      </c>
      <c r="B14" s="9">
        <f t="shared" si="11"/>
        <v>0.98316498316498313</v>
      </c>
      <c r="C14" s="9">
        <f t="shared" si="12"/>
        <v>0.55008685581933991</v>
      </c>
      <c r="D14" s="9">
        <f t="shared" si="13"/>
        <v>0.40031729243786357</v>
      </c>
      <c r="E14" s="9">
        <f t="shared" si="14"/>
        <v>0.4500454132606721</v>
      </c>
      <c r="F14" s="9">
        <f t="shared" si="15"/>
        <v>0.17781402936378465</v>
      </c>
      <c r="G14" s="9">
        <f t="shared" si="16"/>
        <v>0.13644388398486759</v>
      </c>
      <c r="H14" s="9">
        <f t="shared" si="17"/>
        <v>0.11425485961123111</v>
      </c>
      <c r="I14" s="9">
        <f t="shared" si="18"/>
        <v>9.2268345465276416E-2</v>
      </c>
      <c r="J14" s="9">
        <f t="shared" si="19"/>
        <v>0.28872073776306456</v>
      </c>
      <c r="K14" s="9">
        <f t="shared" si="20"/>
        <v>0.22985645933014354</v>
      </c>
      <c r="L14" s="9">
        <f t="shared" si="21"/>
        <v>0.23002553812477197</v>
      </c>
      <c r="M14" s="172"/>
      <c r="N14" s="11">
        <v>1168</v>
      </c>
      <c r="O14" s="10">
        <v>950</v>
      </c>
      <c r="P14" s="10">
        <v>757</v>
      </c>
      <c r="Q14" s="10">
        <v>991</v>
      </c>
      <c r="R14" s="10">
        <v>545</v>
      </c>
      <c r="S14" s="10">
        <v>541</v>
      </c>
      <c r="T14" s="10">
        <v>529</v>
      </c>
      <c r="U14" s="10">
        <v>469</v>
      </c>
      <c r="V14" s="10">
        <v>1221</v>
      </c>
      <c r="W14" s="10">
        <v>1201</v>
      </c>
      <c r="X14" s="10">
        <v>1261</v>
      </c>
      <c r="Y14" s="166"/>
      <c r="Z14" s="11"/>
      <c r="AA14" s="109">
        <f t="shared" si="1"/>
        <v>-218</v>
      </c>
      <c r="AB14" s="109">
        <f t="shared" si="2"/>
        <v>-193</v>
      </c>
      <c r="AC14" s="109">
        <f t="shared" si="3"/>
        <v>234</v>
      </c>
      <c r="AD14" s="109">
        <f t="shared" si="4"/>
        <v>-446</v>
      </c>
      <c r="AE14" s="109">
        <f t="shared" si="5"/>
        <v>-4</v>
      </c>
      <c r="AF14" s="109">
        <f t="shared" si="6"/>
        <v>-12</v>
      </c>
      <c r="AG14" s="109">
        <f t="shared" si="7"/>
        <v>-60</v>
      </c>
      <c r="AH14" s="109">
        <f t="shared" si="8"/>
        <v>752</v>
      </c>
      <c r="AI14" s="109">
        <f t="shared" si="9"/>
        <v>-20</v>
      </c>
      <c r="AJ14" s="109">
        <f t="shared" si="10"/>
        <v>60</v>
      </c>
    </row>
    <row r="15" spans="1:36" s="2" customFormat="1" x14ac:dyDescent="0.25">
      <c r="A15" s="10" t="s">
        <v>12</v>
      </c>
      <c r="B15" s="9">
        <f t="shared" si="11"/>
        <v>1.5151515151515152E-2</v>
      </c>
      <c r="C15" s="9">
        <f t="shared" si="12"/>
        <v>0</v>
      </c>
      <c r="D15" s="9">
        <f t="shared" si="13"/>
        <v>0</v>
      </c>
      <c r="E15" s="9">
        <f t="shared" si="14"/>
        <v>9.0826521344232513E-4</v>
      </c>
      <c r="F15" s="9">
        <f t="shared" si="15"/>
        <v>2.8058727569331157E-2</v>
      </c>
      <c r="G15" s="9">
        <f t="shared" si="16"/>
        <v>5.0441361916771753E-4</v>
      </c>
      <c r="H15" s="9">
        <f t="shared" si="17"/>
        <v>9.2872570194384441E-3</v>
      </c>
      <c r="I15" s="9">
        <f t="shared" si="18"/>
        <v>5.665945307889042E-2</v>
      </c>
      <c r="J15" s="9">
        <f t="shared" si="19"/>
        <v>1.6079451406951998E-2</v>
      </c>
      <c r="K15" s="9">
        <f t="shared" si="20"/>
        <v>8.2296650717703351E-3</v>
      </c>
      <c r="L15" s="9">
        <f t="shared" si="21"/>
        <v>5.8372856621670924E-2</v>
      </c>
      <c r="M15" s="172"/>
      <c r="N15" s="11">
        <v>18</v>
      </c>
      <c r="O15" s="10">
        <v>0</v>
      </c>
      <c r="P15" s="10">
        <v>0</v>
      </c>
      <c r="Q15" s="10">
        <v>2</v>
      </c>
      <c r="R15" s="10">
        <v>86</v>
      </c>
      <c r="S15" s="10">
        <v>2</v>
      </c>
      <c r="T15" s="10">
        <v>43</v>
      </c>
      <c r="U15" s="10">
        <v>288</v>
      </c>
      <c r="V15" s="10">
        <v>68</v>
      </c>
      <c r="W15" s="10">
        <v>43</v>
      </c>
      <c r="X15" s="10">
        <v>320</v>
      </c>
      <c r="Y15" s="166"/>
      <c r="Z15" s="11"/>
      <c r="AA15" s="109">
        <f t="shared" si="1"/>
        <v>-18</v>
      </c>
      <c r="AB15" s="109">
        <f t="shared" si="2"/>
        <v>0</v>
      </c>
      <c r="AC15" s="109">
        <f t="shared" si="3"/>
        <v>2</v>
      </c>
      <c r="AD15" s="109">
        <f t="shared" si="4"/>
        <v>84</v>
      </c>
      <c r="AE15" s="109">
        <f t="shared" si="5"/>
        <v>-84</v>
      </c>
      <c r="AF15" s="109">
        <f t="shared" si="6"/>
        <v>41</v>
      </c>
      <c r="AG15" s="109">
        <f t="shared" si="7"/>
        <v>245</v>
      </c>
      <c r="AH15" s="109">
        <f t="shared" si="8"/>
        <v>-220</v>
      </c>
      <c r="AI15" s="109">
        <f t="shared" si="9"/>
        <v>-25</v>
      </c>
      <c r="AJ15" s="109">
        <f t="shared" si="10"/>
        <v>277</v>
      </c>
    </row>
    <row r="16" spans="1:36" s="2" customFormat="1" x14ac:dyDescent="0.25">
      <c r="A16" s="10" t="s">
        <v>13</v>
      </c>
      <c r="B16" s="9">
        <f t="shared" si="11"/>
        <v>0</v>
      </c>
      <c r="C16" s="9">
        <f t="shared" si="12"/>
        <v>5.1534452808338162E-2</v>
      </c>
      <c r="D16" s="9">
        <f t="shared" si="13"/>
        <v>-5.2882072977260709E-4</v>
      </c>
      <c r="E16" s="9">
        <f t="shared" si="14"/>
        <v>-4.5413260672116256E-4</v>
      </c>
      <c r="F16" s="9">
        <f t="shared" si="15"/>
        <v>7.5040783034257749E-3</v>
      </c>
      <c r="G16" s="9">
        <f t="shared" si="16"/>
        <v>4.287515762925599E-3</v>
      </c>
      <c r="H16" s="9">
        <f t="shared" si="17"/>
        <v>2.1598272138228941E-4</v>
      </c>
      <c r="I16" s="9">
        <f t="shared" si="18"/>
        <v>1.3771394845563643E-3</v>
      </c>
      <c r="J16" s="9">
        <f t="shared" si="19"/>
        <v>2.3646252069047056E-3</v>
      </c>
      <c r="K16" s="9">
        <f t="shared" si="20"/>
        <v>1.2057416267942584E-2</v>
      </c>
      <c r="L16" s="9">
        <f t="shared" si="21"/>
        <v>3.37468077344035E-2</v>
      </c>
      <c r="M16" s="172"/>
      <c r="N16" s="11">
        <v>0</v>
      </c>
      <c r="O16" s="10">
        <v>89</v>
      </c>
      <c r="P16" s="10">
        <v>-1</v>
      </c>
      <c r="Q16" s="10">
        <v>-1</v>
      </c>
      <c r="R16" s="10">
        <v>23</v>
      </c>
      <c r="S16" s="10">
        <v>17</v>
      </c>
      <c r="T16" s="10">
        <v>1</v>
      </c>
      <c r="U16" s="10">
        <v>7</v>
      </c>
      <c r="V16" s="10">
        <v>10</v>
      </c>
      <c r="W16" s="10">
        <v>63</v>
      </c>
      <c r="X16" s="10">
        <v>185</v>
      </c>
      <c r="Y16" s="166"/>
      <c r="Z16" s="11"/>
      <c r="AA16" s="109">
        <f t="shared" si="1"/>
        <v>89</v>
      </c>
      <c r="AB16" s="109">
        <f t="shared" si="2"/>
        <v>-90</v>
      </c>
      <c r="AC16" s="109">
        <f t="shared" si="3"/>
        <v>0</v>
      </c>
      <c r="AD16" s="109">
        <f t="shared" si="4"/>
        <v>24</v>
      </c>
      <c r="AE16" s="109">
        <f t="shared" si="5"/>
        <v>-6</v>
      </c>
      <c r="AF16" s="109">
        <f t="shared" si="6"/>
        <v>-16</v>
      </c>
      <c r="AG16" s="109">
        <f t="shared" si="7"/>
        <v>6</v>
      </c>
      <c r="AH16" s="109">
        <f t="shared" si="8"/>
        <v>3</v>
      </c>
      <c r="AI16" s="109">
        <f t="shared" si="9"/>
        <v>53</v>
      </c>
      <c r="AJ16" s="109">
        <f t="shared" si="10"/>
        <v>122</v>
      </c>
    </row>
    <row r="17" spans="1:36" s="2" customFormat="1" x14ac:dyDescent="0.25">
      <c r="A17" s="10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72"/>
      <c r="N17" s="156">
        <v>32</v>
      </c>
      <c r="O17" s="157">
        <v>33</v>
      </c>
      <c r="P17" s="157">
        <v>259</v>
      </c>
      <c r="Q17" s="157">
        <v>691</v>
      </c>
      <c r="R17" s="157">
        <v>534</v>
      </c>
      <c r="S17" s="157">
        <v>557</v>
      </c>
      <c r="T17" s="157">
        <v>1849</v>
      </c>
      <c r="U17" s="157">
        <v>2479</v>
      </c>
      <c r="V17" s="157">
        <v>2384</v>
      </c>
      <c r="W17" s="157">
        <v>2384</v>
      </c>
      <c r="X17" s="157">
        <v>2784</v>
      </c>
      <c r="Y17" s="166"/>
      <c r="Z17" s="11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</row>
    <row r="18" spans="1:36" s="3" customFormat="1" x14ac:dyDescent="0.25">
      <c r="A18" s="40" t="s">
        <v>15</v>
      </c>
      <c r="B18" s="5">
        <f t="shared" ref="B18:L25" si="22">N18/N$25</f>
        <v>-0.34175084175084175</v>
      </c>
      <c r="C18" s="5">
        <f t="shared" si="22"/>
        <v>0.15286624203821655</v>
      </c>
      <c r="D18" s="5">
        <f t="shared" si="22"/>
        <v>5.2882072977260712E-2</v>
      </c>
      <c r="E18" s="5">
        <f t="shared" si="22"/>
        <v>0.14804722979109899</v>
      </c>
      <c r="F18" s="5">
        <f t="shared" si="22"/>
        <v>0.21370309951060359</v>
      </c>
      <c r="G18" s="5">
        <f t="shared" si="22"/>
        <v>0.31475409836065577</v>
      </c>
      <c r="H18" s="5">
        <f t="shared" si="22"/>
        <v>0.3306695464362851</v>
      </c>
      <c r="I18" s="5">
        <f t="shared" si="22"/>
        <v>0.24808184143222506</v>
      </c>
      <c r="J18" s="5">
        <f t="shared" si="22"/>
        <v>3.8779853393237175E-2</v>
      </c>
      <c r="K18" s="5">
        <f t="shared" si="22"/>
        <v>0.16248803827751196</v>
      </c>
      <c r="L18" s="5">
        <f t="shared" si="22"/>
        <v>0.16763954761036118</v>
      </c>
      <c r="M18" s="172"/>
      <c r="N18" s="18">
        <v>-406</v>
      </c>
      <c r="O18" s="6">
        <v>264</v>
      </c>
      <c r="P18" s="6">
        <v>100</v>
      </c>
      <c r="Q18" s="6">
        <v>326</v>
      </c>
      <c r="R18" s="6">
        <v>655</v>
      </c>
      <c r="S18" s="6">
        <v>1248</v>
      </c>
      <c r="T18" s="6">
        <v>1531</v>
      </c>
      <c r="U18" s="6">
        <v>1261</v>
      </c>
      <c r="V18" s="6">
        <v>164</v>
      </c>
      <c r="W18" s="6">
        <v>849</v>
      </c>
      <c r="X18" s="6">
        <v>919</v>
      </c>
      <c r="Y18" s="166"/>
      <c r="Z18" s="18"/>
      <c r="AA18" s="107">
        <f t="shared" ref="AA18:AJ25" si="23">O18-N18</f>
        <v>670</v>
      </c>
      <c r="AB18" s="107">
        <f t="shared" si="23"/>
        <v>-164</v>
      </c>
      <c r="AC18" s="107">
        <f t="shared" si="23"/>
        <v>226</v>
      </c>
      <c r="AD18" s="107">
        <f t="shared" si="23"/>
        <v>329</v>
      </c>
      <c r="AE18" s="107">
        <f t="shared" si="23"/>
        <v>593</v>
      </c>
      <c r="AF18" s="107">
        <f t="shared" si="23"/>
        <v>283</v>
      </c>
      <c r="AG18" s="107">
        <f t="shared" si="23"/>
        <v>-270</v>
      </c>
      <c r="AH18" s="107">
        <f t="shared" si="23"/>
        <v>-1097</v>
      </c>
      <c r="AI18" s="107">
        <f t="shared" si="23"/>
        <v>685</v>
      </c>
      <c r="AJ18" s="107">
        <f t="shared" si="23"/>
        <v>70</v>
      </c>
    </row>
    <row r="19" spans="1:36" s="2" customFormat="1" x14ac:dyDescent="0.25">
      <c r="A19" s="10" t="s">
        <v>16</v>
      </c>
      <c r="B19" s="9">
        <f t="shared" si="22"/>
        <v>8.4175084175084181E-2</v>
      </c>
      <c r="C19" s="9">
        <f t="shared" si="22"/>
        <v>1.7371163867979154E-3</v>
      </c>
      <c r="D19" s="9">
        <f t="shared" si="22"/>
        <v>9.5187731359069275E-3</v>
      </c>
      <c r="E19" s="9">
        <f t="shared" si="22"/>
        <v>0.11534968210717529</v>
      </c>
      <c r="F19" s="9">
        <f t="shared" si="22"/>
        <v>0.14714518760195758</v>
      </c>
      <c r="G19" s="9">
        <f t="shared" si="22"/>
        <v>0.1841109709962169</v>
      </c>
      <c r="H19" s="9">
        <f t="shared" si="22"/>
        <v>0.21209503239740821</v>
      </c>
      <c r="I19" s="9">
        <f t="shared" si="22"/>
        <v>0.23529411764705882</v>
      </c>
      <c r="J19" s="9">
        <f t="shared" si="22"/>
        <v>0</v>
      </c>
      <c r="K19" s="9">
        <f t="shared" si="22"/>
        <v>0.12057416267942583</v>
      </c>
      <c r="L19" s="9">
        <f t="shared" si="22"/>
        <v>0.10580080262677855</v>
      </c>
      <c r="M19" s="172"/>
      <c r="N19" s="11">
        <v>100</v>
      </c>
      <c r="O19" s="10">
        <v>3</v>
      </c>
      <c r="P19" s="10">
        <v>18</v>
      </c>
      <c r="Q19" s="10">
        <v>254</v>
      </c>
      <c r="R19" s="10">
        <v>451</v>
      </c>
      <c r="S19" s="10">
        <v>730</v>
      </c>
      <c r="T19" s="10">
        <v>982</v>
      </c>
      <c r="U19" s="10">
        <v>1196</v>
      </c>
      <c r="V19" s="10">
        <v>0</v>
      </c>
      <c r="W19" s="10">
        <v>630</v>
      </c>
      <c r="X19" s="10">
        <v>580</v>
      </c>
      <c r="Y19" s="166"/>
      <c r="Z19" s="11"/>
      <c r="AA19" s="109">
        <f t="shared" si="23"/>
        <v>-97</v>
      </c>
      <c r="AB19" s="109">
        <f t="shared" si="23"/>
        <v>15</v>
      </c>
      <c r="AC19" s="109">
        <f t="shared" si="23"/>
        <v>236</v>
      </c>
      <c r="AD19" s="109">
        <f t="shared" si="23"/>
        <v>197</v>
      </c>
      <c r="AE19" s="109">
        <f t="shared" si="23"/>
        <v>279</v>
      </c>
      <c r="AF19" s="109">
        <f t="shared" si="23"/>
        <v>252</v>
      </c>
      <c r="AG19" s="109">
        <f t="shared" si="23"/>
        <v>214</v>
      </c>
      <c r="AH19" s="109">
        <f t="shared" si="23"/>
        <v>-1196</v>
      </c>
      <c r="AI19" s="109">
        <f t="shared" si="23"/>
        <v>630</v>
      </c>
      <c r="AJ19" s="109">
        <f t="shared" si="23"/>
        <v>-50</v>
      </c>
    </row>
    <row r="20" spans="1:36" s="2" customFormat="1" ht="15.75" thickBot="1" x14ac:dyDescent="0.3">
      <c r="A20" s="37" t="s">
        <v>17</v>
      </c>
      <c r="B20" s="35">
        <f t="shared" si="22"/>
        <v>-0.42592592592592593</v>
      </c>
      <c r="C20" s="35">
        <f t="shared" si="22"/>
        <v>0.15112912565141864</v>
      </c>
      <c r="D20" s="35">
        <f t="shared" si="22"/>
        <v>4.3363299841353779E-2</v>
      </c>
      <c r="E20" s="35">
        <f t="shared" si="22"/>
        <v>3.2697547683923703E-2</v>
      </c>
      <c r="F20" s="35">
        <f t="shared" si="22"/>
        <v>6.6557911908646003E-2</v>
      </c>
      <c r="G20" s="35">
        <f t="shared" si="22"/>
        <v>0.13064312736443884</v>
      </c>
      <c r="H20" s="35">
        <f t="shared" si="22"/>
        <v>0.11857451403887689</v>
      </c>
      <c r="I20" s="35">
        <f t="shared" si="22"/>
        <v>1.278772378516624E-2</v>
      </c>
      <c r="J20" s="35">
        <f t="shared" si="22"/>
        <v>3.8779853393237175E-2</v>
      </c>
      <c r="K20" s="35">
        <f t="shared" si="22"/>
        <v>4.1913875598086126E-2</v>
      </c>
      <c r="L20" s="35">
        <f t="shared" si="22"/>
        <v>6.1838744983582633E-2</v>
      </c>
      <c r="M20" s="172"/>
      <c r="N20" s="36">
        <v>-506</v>
      </c>
      <c r="O20" s="37">
        <v>261</v>
      </c>
      <c r="P20" s="37">
        <v>82</v>
      </c>
      <c r="Q20" s="37">
        <v>72</v>
      </c>
      <c r="R20" s="37">
        <v>204</v>
      </c>
      <c r="S20" s="37">
        <v>518</v>
      </c>
      <c r="T20" s="37">
        <v>549</v>
      </c>
      <c r="U20" s="37">
        <v>65</v>
      </c>
      <c r="V20" s="37">
        <v>164</v>
      </c>
      <c r="W20" s="37">
        <v>219</v>
      </c>
      <c r="X20" s="37">
        <v>339</v>
      </c>
      <c r="Y20" s="166"/>
      <c r="Z20" s="36"/>
      <c r="AA20" s="110">
        <f t="shared" si="23"/>
        <v>767</v>
      </c>
      <c r="AB20" s="110">
        <f t="shared" si="23"/>
        <v>-179</v>
      </c>
      <c r="AC20" s="110">
        <f t="shared" si="23"/>
        <v>-10</v>
      </c>
      <c r="AD20" s="110">
        <f t="shared" si="23"/>
        <v>132</v>
      </c>
      <c r="AE20" s="110">
        <f t="shared" si="23"/>
        <v>314</v>
      </c>
      <c r="AF20" s="110">
        <f t="shared" si="23"/>
        <v>31</v>
      </c>
      <c r="AG20" s="110">
        <f t="shared" si="23"/>
        <v>-484</v>
      </c>
      <c r="AH20" s="110">
        <f t="shared" si="23"/>
        <v>99</v>
      </c>
      <c r="AI20" s="110">
        <f t="shared" si="23"/>
        <v>55</v>
      </c>
      <c r="AJ20" s="110">
        <f t="shared" si="23"/>
        <v>120</v>
      </c>
    </row>
    <row r="21" spans="1:36" s="32" customFormat="1" ht="15.75" thickBot="1" x14ac:dyDescent="0.3">
      <c r="A21" s="44" t="s">
        <v>18</v>
      </c>
      <c r="B21" s="39">
        <f t="shared" si="22"/>
        <v>0.10774410774410774</v>
      </c>
      <c r="C21" s="29">
        <f t="shared" si="22"/>
        <v>3.5900405327156923E-2</v>
      </c>
      <c r="D21" s="29">
        <f t="shared" si="22"/>
        <v>0.10153358011634056</v>
      </c>
      <c r="E21" s="29">
        <f t="shared" si="22"/>
        <v>8.0835603996366939E-2</v>
      </c>
      <c r="F21" s="29">
        <f t="shared" si="22"/>
        <v>2.3817292006525284E-2</v>
      </c>
      <c r="G21" s="29">
        <f t="shared" si="22"/>
        <v>1.8915510718789406E-2</v>
      </c>
      <c r="H21" s="29">
        <f t="shared" si="22"/>
        <v>9.5032397408207347E-3</v>
      </c>
      <c r="I21" s="29">
        <f t="shared" si="22"/>
        <v>1.5738736966358451E-2</v>
      </c>
      <c r="J21" s="29">
        <f t="shared" si="22"/>
        <v>7.0938756207141167E-3</v>
      </c>
      <c r="K21" s="29">
        <f t="shared" si="22"/>
        <v>8.6124401913875593E-3</v>
      </c>
      <c r="L21" s="29">
        <f t="shared" si="22"/>
        <v>1.7329441809558557E-2</v>
      </c>
      <c r="M21" s="172"/>
      <c r="N21" s="30">
        <v>128</v>
      </c>
      <c r="O21" s="31">
        <v>62</v>
      </c>
      <c r="P21" s="31">
        <v>192</v>
      </c>
      <c r="Q21" s="31">
        <v>178</v>
      </c>
      <c r="R21" s="31">
        <v>73</v>
      </c>
      <c r="S21" s="31">
        <v>75</v>
      </c>
      <c r="T21" s="31">
        <v>44</v>
      </c>
      <c r="U21" s="31">
        <v>80</v>
      </c>
      <c r="V21" s="31">
        <v>30</v>
      </c>
      <c r="W21" s="31">
        <v>45</v>
      </c>
      <c r="X21" s="31">
        <v>95</v>
      </c>
      <c r="Y21" s="166"/>
      <c r="Z21" s="30"/>
      <c r="AA21" s="105">
        <f t="shared" si="23"/>
        <v>-66</v>
      </c>
      <c r="AB21" s="105">
        <f t="shared" si="23"/>
        <v>130</v>
      </c>
      <c r="AC21" s="105">
        <f t="shared" si="23"/>
        <v>-14</v>
      </c>
      <c r="AD21" s="105">
        <f t="shared" si="23"/>
        <v>-105</v>
      </c>
      <c r="AE21" s="105">
        <f t="shared" si="23"/>
        <v>2</v>
      </c>
      <c r="AF21" s="105">
        <f t="shared" si="23"/>
        <v>-31</v>
      </c>
      <c r="AG21" s="105">
        <f t="shared" si="23"/>
        <v>36</v>
      </c>
      <c r="AH21" s="105">
        <f t="shared" si="23"/>
        <v>-50</v>
      </c>
      <c r="AI21" s="105">
        <f t="shared" si="23"/>
        <v>15</v>
      </c>
      <c r="AJ21" s="105">
        <f t="shared" si="23"/>
        <v>50</v>
      </c>
    </row>
    <row r="22" spans="1:36" s="2" customFormat="1" x14ac:dyDescent="0.25">
      <c r="A22" s="16" t="s">
        <v>19</v>
      </c>
      <c r="B22" s="14">
        <f t="shared" si="22"/>
        <v>0.10774410774410774</v>
      </c>
      <c r="C22" s="14">
        <f t="shared" si="22"/>
        <v>3.5900405327156923E-2</v>
      </c>
      <c r="D22" s="14">
        <f t="shared" si="22"/>
        <v>0.10153358011634056</v>
      </c>
      <c r="E22" s="14">
        <f t="shared" si="22"/>
        <v>8.0835603996366939E-2</v>
      </c>
      <c r="F22" s="14">
        <f t="shared" si="22"/>
        <v>2.3817292006525284E-2</v>
      </c>
      <c r="G22" s="14">
        <f t="shared" si="22"/>
        <v>1.8915510718789406E-2</v>
      </c>
      <c r="H22" s="14">
        <f t="shared" si="22"/>
        <v>9.5032397408207347E-3</v>
      </c>
      <c r="I22" s="14">
        <f t="shared" si="22"/>
        <v>1.5738736966358451E-2</v>
      </c>
      <c r="J22" s="14">
        <f t="shared" si="22"/>
        <v>7.0938756207141167E-3</v>
      </c>
      <c r="K22" s="14">
        <f t="shared" si="22"/>
        <v>8.6124401913875593E-3</v>
      </c>
      <c r="L22" s="14">
        <f t="shared" si="22"/>
        <v>1.7329441809558557E-2</v>
      </c>
      <c r="M22" s="172"/>
      <c r="N22" s="19">
        <v>128</v>
      </c>
      <c r="O22" s="16">
        <v>62</v>
      </c>
      <c r="P22" s="16">
        <v>192</v>
      </c>
      <c r="Q22" s="16">
        <v>178</v>
      </c>
      <c r="R22" s="16">
        <v>73</v>
      </c>
      <c r="S22" s="16">
        <v>75</v>
      </c>
      <c r="T22" s="16">
        <v>44</v>
      </c>
      <c r="U22" s="16">
        <v>80</v>
      </c>
      <c r="V22" s="16">
        <v>30</v>
      </c>
      <c r="W22" s="16">
        <v>45</v>
      </c>
      <c r="X22" s="16">
        <v>95</v>
      </c>
      <c r="Y22" s="166"/>
      <c r="Z22" s="19"/>
      <c r="AA22" s="111">
        <f t="shared" si="23"/>
        <v>-66</v>
      </c>
      <c r="AB22" s="111">
        <f t="shared" si="23"/>
        <v>130</v>
      </c>
      <c r="AC22" s="111">
        <f t="shared" si="23"/>
        <v>-14</v>
      </c>
      <c r="AD22" s="111">
        <f t="shared" si="23"/>
        <v>-105</v>
      </c>
      <c r="AE22" s="111">
        <f t="shared" si="23"/>
        <v>2</v>
      </c>
      <c r="AF22" s="111">
        <f t="shared" si="23"/>
        <v>-31</v>
      </c>
      <c r="AG22" s="111">
        <f t="shared" si="23"/>
        <v>36</v>
      </c>
      <c r="AH22" s="111">
        <f t="shared" si="23"/>
        <v>-50</v>
      </c>
      <c r="AI22" s="111">
        <f t="shared" si="23"/>
        <v>15</v>
      </c>
      <c r="AJ22" s="111">
        <f t="shared" si="23"/>
        <v>50</v>
      </c>
    </row>
    <row r="23" spans="1:36" s="2" customFormat="1" x14ac:dyDescent="0.25">
      <c r="A23" s="10" t="s">
        <v>20</v>
      </c>
      <c r="B23" s="9">
        <f t="shared" si="22"/>
        <v>0</v>
      </c>
      <c r="C23" s="9">
        <f t="shared" si="22"/>
        <v>0</v>
      </c>
      <c r="D23" s="9">
        <f t="shared" si="22"/>
        <v>0</v>
      </c>
      <c r="E23" s="9">
        <f t="shared" si="22"/>
        <v>0</v>
      </c>
      <c r="F23" s="9">
        <f t="shared" si="22"/>
        <v>0</v>
      </c>
      <c r="G23" s="9">
        <f t="shared" si="22"/>
        <v>0</v>
      </c>
      <c r="H23" s="9">
        <f t="shared" si="22"/>
        <v>0</v>
      </c>
      <c r="I23" s="9">
        <f t="shared" si="22"/>
        <v>0</v>
      </c>
      <c r="J23" s="9">
        <f t="shared" si="22"/>
        <v>0</v>
      </c>
      <c r="K23" s="9">
        <f t="shared" si="22"/>
        <v>0</v>
      </c>
      <c r="L23" s="9">
        <f t="shared" si="22"/>
        <v>0</v>
      </c>
      <c r="M23" s="172"/>
      <c r="N23" s="11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66"/>
      <c r="Z23" s="11"/>
      <c r="AA23" s="109">
        <f t="shared" si="23"/>
        <v>0</v>
      </c>
      <c r="AB23" s="109">
        <f t="shared" si="23"/>
        <v>0</v>
      </c>
      <c r="AC23" s="109">
        <f t="shared" si="23"/>
        <v>0</v>
      </c>
      <c r="AD23" s="109">
        <f t="shared" si="23"/>
        <v>0</v>
      </c>
      <c r="AE23" s="109">
        <f t="shared" si="23"/>
        <v>0</v>
      </c>
      <c r="AF23" s="109">
        <f t="shared" si="23"/>
        <v>0</v>
      </c>
      <c r="AG23" s="109">
        <f t="shared" si="23"/>
        <v>0</v>
      </c>
      <c r="AH23" s="109">
        <f t="shared" si="23"/>
        <v>0</v>
      </c>
      <c r="AI23" s="109">
        <f t="shared" si="23"/>
        <v>0</v>
      </c>
      <c r="AJ23" s="109">
        <f t="shared" si="23"/>
        <v>0</v>
      </c>
    </row>
    <row r="24" spans="1:36" s="2" customFormat="1" x14ac:dyDescent="0.25">
      <c r="A24" s="10" t="s">
        <v>21</v>
      </c>
      <c r="B24" s="9">
        <f t="shared" si="22"/>
        <v>0</v>
      </c>
      <c r="C24" s="9">
        <f t="shared" si="22"/>
        <v>0</v>
      </c>
      <c r="D24" s="9">
        <f t="shared" si="22"/>
        <v>0</v>
      </c>
      <c r="E24" s="9">
        <f t="shared" si="22"/>
        <v>0</v>
      </c>
      <c r="F24" s="9">
        <f t="shared" si="22"/>
        <v>0</v>
      </c>
      <c r="G24" s="9">
        <f t="shared" si="22"/>
        <v>0</v>
      </c>
      <c r="H24" s="9">
        <f t="shared" si="22"/>
        <v>0</v>
      </c>
      <c r="I24" s="9">
        <f t="shared" si="22"/>
        <v>0</v>
      </c>
      <c r="J24" s="9">
        <f t="shared" si="22"/>
        <v>0</v>
      </c>
      <c r="K24" s="9">
        <f t="shared" si="22"/>
        <v>0</v>
      </c>
      <c r="L24" s="9">
        <f t="shared" si="22"/>
        <v>0</v>
      </c>
      <c r="M24" s="172"/>
      <c r="N24" s="11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66"/>
      <c r="Z24" s="11"/>
      <c r="AA24" s="109">
        <f t="shared" si="23"/>
        <v>0</v>
      </c>
      <c r="AB24" s="109">
        <f t="shared" si="23"/>
        <v>0</v>
      </c>
      <c r="AC24" s="109">
        <f t="shared" si="23"/>
        <v>0</v>
      </c>
      <c r="AD24" s="109">
        <f t="shared" si="23"/>
        <v>0</v>
      </c>
      <c r="AE24" s="109">
        <f t="shared" si="23"/>
        <v>0</v>
      </c>
      <c r="AF24" s="109">
        <f t="shared" si="23"/>
        <v>0</v>
      </c>
      <c r="AG24" s="109">
        <f t="shared" si="23"/>
        <v>0</v>
      </c>
      <c r="AH24" s="109">
        <f t="shared" si="23"/>
        <v>0</v>
      </c>
      <c r="AI24" s="109">
        <f t="shared" si="23"/>
        <v>0</v>
      </c>
      <c r="AJ24" s="109">
        <f t="shared" si="23"/>
        <v>0</v>
      </c>
    </row>
    <row r="25" spans="1:36" s="24" customFormat="1" ht="15.75" thickBot="1" x14ac:dyDescent="0.3">
      <c r="A25" s="45" t="s">
        <v>22</v>
      </c>
      <c r="B25" s="21">
        <f t="shared" si="22"/>
        <v>1</v>
      </c>
      <c r="C25" s="21">
        <f t="shared" si="22"/>
        <v>1</v>
      </c>
      <c r="D25" s="21">
        <f t="shared" si="22"/>
        <v>1</v>
      </c>
      <c r="E25" s="21">
        <f t="shared" si="22"/>
        <v>1</v>
      </c>
      <c r="F25" s="21">
        <f t="shared" si="22"/>
        <v>1</v>
      </c>
      <c r="G25" s="21">
        <f t="shared" si="22"/>
        <v>1</v>
      </c>
      <c r="H25" s="21">
        <f t="shared" si="22"/>
        <v>1</v>
      </c>
      <c r="I25" s="21">
        <f t="shared" si="22"/>
        <v>1</v>
      </c>
      <c r="J25" s="21">
        <f t="shared" si="22"/>
        <v>1</v>
      </c>
      <c r="K25" s="21">
        <f t="shared" si="22"/>
        <v>1</v>
      </c>
      <c r="L25" s="21">
        <f t="shared" si="22"/>
        <v>1</v>
      </c>
      <c r="M25" s="173"/>
      <c r="N25" s="22">
        <f>1220-N17</f>
        <v>1188</v>
      </c>
      <c r="O25" s="23">
        <f>1760-O17</f>
        <v>1727</v>
      </c>
      <c r="P25" s="23">
        <f>2150-P17</f>
        <v>1891</v>
      </c>
      <c r="Q25" s="23">
        <f>2893-Q17</f>
        <v>2202</v>
      </c>
      <c r="R25" s="23">
        <f>3599-R17</f>
        <v>3065</v>
      </c>
      <c r="S25" s="23">
        <f>4522-S17</f>
        <v>3965</v>
      </c>
      <c r="T25" s="23">
        <f>6479-T17</f>
        <v>4630</v>
      </c>
      <c r="U25" s="23">
        <f>7562-U17</f>
        <v>5083</v>
      </c>
      <c r="V25" s="23">
        <f>6708-U17</f>
        <v>4229</v>
      </c>
      <c r="W25" s="23">
        <f>7609-W17</f>
        <v>5225</v>
      </c>
      <c r="X25" s="23">
        <f>8266-X17</f>
        <v>5482</v>
      </c>
      <c r="Y25" s="167"/>
      <c r="Z25" s="22"/>
      <c r="AA25" s="112">
        <f t="shared" si="23"/>
        <v>539</v>
      </c>
      <c r="AB25" s="112">
        <f t="shared" si="23"/>
        <v>164</v>
      </c>
      <c r="AC25" s="112">
        <f t="shared" si="23"/>
        <v>311</v>
      </c>
      <c r="AD25" s="112">
        <f t="shared" si="23"/>
        <v>863</v>
      </c>
      <c r="AE25" s="112">
        <f t="shared" si="23"/>
        <v>900</v>
      </c>
      <c r="AF25" s="112">
        <f t="shared" si="23"/>
        <v>665</v>
      </c>
      <c r="AG25" s="112">
        <f t="shared" si="23"/>
        <v>453</v>
      </c>
      <c r="AH25" s="112">
        <f t="shared" si="23"/>
        <v>-854</v>
      </c>
      <c r="AI25" s="112">
        <f t="shared" si="23"/>
        <v>996</v>
      </c>
      <c r="AJ25" s="112">
        <f t="shared" si="23"/>
        <v>257</v>
      </c>
    </row>
    <row r="26" spans="1:36" ht="15.75" thickBot="1" x14ac:dyDescent="0.3">
      <c r="A26" s="168" t="s">
        <v>24</v>
      </c>
    </row>
    <row r="27" spans="1:36" s="1" customFormat="1" ht="15.75" thickBot="1" x14ac:dyDescent="0.3">
      <c r="A27" s="169"/>
      <c r="B27" s="25">
        <v>2004</v>
      </c>
      <c r="C27" s="25">
        <v>2005</v>
      </c>
      <c r="D27" s="25">
        <v>2006</v>
      </c>
      <c r="E27" s="25">
        <v>2007</v>
      </c>
      <c r="F27" s="25">
        <v>2008</v>
      </c>
      <c r="G27" s="25">
        <v>2009</v>
      </c>
      <c r="H27" s="25">
        <v>2010</v>
      </c>
      <c r="I27" s="25">
        <v>2011</v>
      </c>
      <c r="J27" s="25">
        <v>2012</v>
      </c>
      <c r="K27" s="25">
        <v>2013</v>
      </c>
      <c r="L27" s="25">
        <v>2014</v>
      </c>
      <c r="M27" s="171" t="s">
        <v>79</v>
      </c>
      <c r="N27" s="26">
        <v>2004</v>
      </c>
      <c r="O27" s="27">
        <v>2005</v>
      </c>
      <c r="P27" s="27">
        <v>2006</v>
      </c>
      <c r="Q27" s="27">
        <v>2007</v>
      </c>
      <c r="R27" s="27">
        <v>2008</v>
      </c>
      <c r="S27" s="27">
        <v>2009</v>
      </c>
      <c r="T27" s="49">
        <v>2010</v>
      </c>
      <c r="U27" s="27">
        <v>2011</v>
      </c>
      <c r="V27" s="27">
        <v>2012</v>
      </c>
      <c r="W27" s="27">
        <v>2013</v>
      </c>
      <c r="X27" s="27">
        <v>2014</v>
      </c>
      <c r="Y27" s="174" t="s">
        <v>78</v>
      </c>
      <c r="Z27" s="26"/>
      <c r="AA27" s="27">
        <v>2005</v>
      </c>
      <c r="AB27" s="27">
        <v>2006</v>
      </c>
      <c r="AC27" s="27">
        <v>2007</v>
      </c>
      <c r="AD27" s="27">
        <v>2008</v>
      </c>
      <c r="AE27" s="27">
        <v>2009</v>
      </c>
      <c r="AF27" s="49">
        <v>2010</v>
      </c>
      <c r="AG27" s="27">
        <v>2011</v>
      </c>
      <c r="AH27" s="27">
        <v>2012</v>
      </c>
      <c r="AI27" s="27">
        <v>2013</v>
      </c>
      <c r="AJ27" s="27">
        <v>2014</v>
      </c>
    </row>
    <row r="28" spans="1:36" s="32" customFormat="1" ht="15.75" thickBot="1" x14ac:dyDescent="0.3">
      <c r="A28" s="44" t="s">
        <v>25</v>
      </c>
      <c r="B28" s="60">
        <f t="shared" ref="B28:B51" si="24">N28/N$51</f>
        <v>-1.9410774410774412</v>
      </c>
      <c r="C28" s="60">
        <f t="shared" ref="C28:C51" si="25">O28/O$51</f>
        <v>-0.8147075854082223</v>
      </c>
      <c r="D28" s="60">
        <f t="shared" ref="D28:D51" si="26">P28/P$51</f>
        <v>-0.14859862506610258</v>
      </c>
      <c r="E28" s="60">
        <f t="shared" ref="E28:E51" si="27">Q28/Q$51</f>
        <v>0.30744777475022705</v>
      </c>
      <c r="F28" s="60">
        <f t="shared" ref="F28:F51" si="28">R28/R$51</f>
        <v>0.27047308319738989</v>
      </c>
      <c r="G28" s="60">
        <f t="shared" ref="G28:G51" si="29">S28/S$51</f>
        <v>0.34779319041614126</v>
      </c>
      <c r="H28" s="60">
        <f t="shared" ref="H28:H51" si="30">T28/T$51</f>
        <v>0.22267818574514039</v>
      </c>
      <c r="I28" s="60">
        <f t="shared" ref="I28:I51" si="31">U28/U$51</f>
        <v>0.17312610662994296</v>
      </c>
      <c r="J28" s="60">
        <f t="shared" ref="J28:J51" si="32">V28/V$51</f>
        <v>0.37242847008749114</v>
      </c>
      <c r="K28" s="60">
        <f t="shared" ref="K28:K51" si="33">W28/W$51</f>
        <v>0.47827751196172247</v>
      </c>
      <c r="L28" s="60">
        <f t="shared" ref="L28:L51" si="34">X28/X$51</f>
        <v>0.52736227654140821</v>
      </c>
      <c r="M28" s="172"/>
      <c r="N28" s="30">
        <f>SUM(N29:N32,N35)</f>
        <v>-2306</v>
      </c>
      <c r="O28" s="30">
        <f t="shared" ref="O28:X28" si="35">SUM(O29:O32,O35)</f>
        <v>-1407</v>
      </c>
      <c r="P28" s="30">
        <f t="shared" si="35"/>
        <v>-281</v>
      </c>
      <c r="Q28" s="30">
        <f t="shared" si="35"/>
        <v>677</v>
      </c>
      <c r="R28" s="30">
        <f t="shared" si="35"/>
        <v>829</v>
      </c>
      <c r="S28" s="30">
        <f t="shared" si="35"/>
        <v>1379</v>
      </c>
      <c r="T28" s="30">
        <f t="shared" si="35"/>
        <v>1031</v>
      </c>
      <c r="U28" s="30">
        <f t="shared" si="35"/>
        <v>880</v>
      </c>
      <c r="V28" s="30">
        <f t="shared" si="35"/>
        <v>1575</v>
      </c>
      <c r="W28" s="30">
        <f t="shared" si="35"/>
        <v>2499</v>
      </c>
      <c r="X28" s="30">
        <f t="shared" si="35"/>
        <v>2891</v>
      </c>
      <c r="Y28" s="166"/>
      <c r="Z28" s="30"/>
      <c r="AA28" s="31">
        <f t="shared" ref="AA28:AA51" si="36">(O28-N28)</f>
        <v>899</v>
      </c>
      <c r="AB28" s="31">
        <f t="shared" ref="AB28:AB51" si="37">(P28-O28)</f>
        <v>1126</v>
      </c>
      <c r="AC28" s="31">
        <f t="shared" ref="AC28:AC51" si="38">(Q28-P28)</f>
        <v>958</v>
      </c>
      <c r="AD28" s="31">
        <f t="shared" ref="AD28:AD51" si="39">(R28-Q28)</f>
        <v>152</v>
      </c>
      <c r="AE28" s="31">
        <f t="shared" ref="AE28:AE51" si="40">(S28-R28)</f>
        <v>550</v>
      </c>
      <c r="AF28" s="31">
        <f t="shared" ref="AF28:AF51" si="41">(T28-S28)</f>
        <v>-348</v>
      </c>
      <c r="AG28" s="31">
        <f t="shared" ref="AG28:AG51" si="42">(U28-T28)</f>
        <v>-151</v>
      </c>
      <c r="AH28" s="31">
        <f t="shared" ref="AH28:AH51" si="43">(V28-U28)</f>
        <v>695</v>
      </c>
      <c r="AI28" s="31">
        <f t="shared" ref="AI28:AI51" si="44">(W28-V28)</f>
        <v>924</v>
      </c>
      <c r="AJ28" s="31">
        <f t="shared" ref="AJ28:AJ51" si="45">(X28-W28)</f>
        <v>392</v>
      </c>
    </row>
    <row r="29" spans="1:36" s="3" customFormat="1" x14ac:dyDescent="0.25">
      <c r="A29" s="43" t="s">
        <v>26</v>
      </c>
      <c r="B29" s="56">
        <f t="shared" si="24"/>
        <v>0.18518518518518517</v>
      </c>
      <c r="C29" s="56">
        <f t="shared" si="25"/>
        <v>0.12738853503184713</v>
      </c>
      <c r="D29" s="56">
        <f t="shared" si="26"/>
        <v>0.11634056054997356</v>
      </c>
      <c r="E29" s="56">
        <f t="shared" si="27"/>
        <v>9.9909173478655772E-2</v>
      </c>
      <c r="F29" s="56">
        <f t="shared" si="28"/>
        <v>7.177814029363784E-2</v>
      </c>
      <c r="G29" s="56">
        <f t="shared" si="29"/>
        <v>5.5485498108448932E-2</v>
      </c>
      <c r="H29" s="56">
        <f t="shared" si="30"/>
        <v>4.7516198704103674E-2</v>
      </c>
      <c r="I29" s="56">
        <f t="shared" si="31"/>
        <v>4.328152665748574E-2</v>
      </c>
      <c r="J29" s="56">
        <f t="shared" si="32"/>
        <v>5.2021754551903526E-2</v>
      </c>
      <c r="K29" s="56">
        <f t="shared" si="33"/>
        <v>4.2105263157894736E-2</v>
      </c>
      <c r="L29" s="56">
        <f t="shared" si="34"/>
        <v>4.0131338927398758E-2</v>
      </c>
      <c r="M29" s="172"/>
      <c r="N29" s="17">
        <v>220</v>
      </c>
      <c r="O29" s="15">
        <v>220</v>
      </c>
      <c r="P29" s="15">
        <v>220</v>
      </c>
      <c r="Q29" s="15">
        <v>220</v>
      </c>
      <c r="R29" s="15">
        <v>220</v>
      </c>
      <c r="S29" s="15">
        <v>220</v>
      </c>
      <c r="T29" s="53">
        <v>220</v>
      </c>
      <c r="U29" s="15">
        <v>220</v>
      </c>
      <c r="V29" s="15">
        <v>220</v>
      </c>
      <c r="W29" s="15">
        <v>220</v>
      </c>
      <c r="X29" s="15">
        <v>220</v>
      </c>
      <c r="Y29" s="166"/>
      <c r="Z29" s="17"/>
      <c r="AA29" s="15">
        <f t="shared" si="36"/>
        <v>0</v>
      </c>
      <c r="AB29" s="15">
        <f t="shared" si="37"/>
        <v>0</v>
      </c>
      <c r="AC29" s="15">
        <f t="shared" si="38"/>
        <v>0</v>
      </c>
      <c r="AD29" s="15">
        <f t="shared" si="39"/>
        <v>0</v>
      </c>
      <c r="AE29" s="15">
        <f t="shared" si="40"/>
        <v>0</v>
      </c>
      <c r="AF29" s="53">
        <f t="shared" si="41"/>
        <v>0</v>
      </c>
      <c r="AG29" s="15">
        <f t="shared" si="42"/>
        <v>0</v>
      </c>
      <c r="AH29" s="15">
        <f t="shared" si="43"/>
        <v>0</v>
      </c>
      <c r="AI29" s="15">
        <f t="shared" si="44"/>
        <v>0</v>
      </c>
      <c r="AJ29" s="15">
        <f t="shared" si="45"/>
        <v>0</v>
      </c>
    </row>
    <row r="30" spans="1:36" s="3" customFormat="1" x14ac:dyDescent="0.25">
      <c r="A30" s="40" t="s">
        <v>27</v>
      </c>
      <c r="B30" s="57">
        <f t="shared" si="24"/>
        <v>0</v>
      </c>
      <c r="C30" s="57">
        <f t="shared" si="25"/>
        <v>0</v>
      </c>
      <c r="D30" s="57">
        <f t="shared" si="26"/>
        <v>0</v>
      </c>
      <c r="E30" s="57">
        <f t="shared" si="27"/>
        <v>0</v>
      </c>
      <c r="F30" s="57">
        <f t="shared" si="28"/>
        <v>0</v>
      </c>
      <c r="G30" s="57">
        <f t="shared" si="29"/>
        <v>0</v>
      </c>
      <c r="H30" s="57">
        <f t="shared" si="30"/>
        <v>0</v>
      </c>
      <c r="I30" s="57">
        <f t="shared" si="31"/>
        <v>0</v>
      </c>
      <c r="J30" s="57">
        <f t="shared" si="32"/>
        <v>0</v>
      </c>
      <c r="K30" s="57">
        <f t="shared" si="33"/>
        <v>0</v>
      </c>
      <c r="L30" s="57">
        <f t="shared" si="34"/>
        <v>0</v>
      </c>
      <c r="M30" s="172"/>
      <c r="N30" s="18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54">
        <v>0</v>
      </c>
      <c r="U30" s="6">
        <v>0</v>
      </c>
      <c r="V30" s="6">
        <v>0</v>
      </c>
      <c r="W30" s="6">
        <v>0</v>
      </c>
      <c r="X30" s="6">
        <v>0</v>
      </c>
      <c r="Y30" s="166"/>
      <c r="Z30" s="18"/>
      <c r="AA30" s="6">
        <f t="shared" si="36"/>
        <v>0</v>
      </c>
      <c r="AB30" s="6">
        <f t="shared" si="37"/>
        <v>0</v>
      </c>
      <c r="AC30" s="6">
        <f t="shared" si="38"/>
        <v>0</v>
      </c>
      <c r="AD30" s="6">
        <f t="shared" si="39"/>
        <v>0</v>
      </c>
      <c r="AE30" s="6">
        <f t="shared" si="40"/>
        <v>0</v>
      </c>
      <c r="AF30" s="54">
        <f t="shared" si="41"/>
        <v>0</v>
      </c>
      <c r="AG30" s="6">
        <f t="shared" si="42"/>
        <v>0</v>
      </c>
      <c r="AH30" s="6">
        <f t="shared" si="43"/>
        <v>0</v>
      </c>
      <c r="AI30" s="6">
        <f t="shared" si="44"/>
        <v>0</v>
      </c>
      <c r="AJ30" s="6">
        <f t="shared" si="45"/>
        <v>0</v>
      </c>
    </row>
    <row r="31" spans="1:36" s="3" customFormat="1" x14ac:dyDescent="0.25">
      <c r="A31" s="40" t="s">
        <v>28</v>
      </c>
      <c r="B31" s="57">
        <f t="shared" si="24"/>
        <v>0</v>
      </c>
      <c r="C31" s="57">
        <f t="shared" si="25"/>
        <v>0</v>
      </c>
      <c r="D31" s="57">
        <f t="shared" si="26"/>
        <v>5.8170280274986779E-3</v>
      </c>
      <c r="E31" s="57">
        <f t="shared" si="27"/>
        <v>9.9909173478655768E-3</v>
      </c>
      <c r="F31" s="57">
        <f t="shared" si="28"/>
        <v>7.1778140293637851E-3</v>
      </c>
      <c r="G31" s="57">
        <f t="shared" si="29"/>
        <v>5.5485498108448928E-3</v>
      </c>
      <c r="H31" s="57">
        <f t="shared" si="30"/>
        <v>4.7516198704103674E-3</v>
      </c>
      <c r="I31" s="57">
        <f t="shared" si="31"/>
        <v>4.3281526657485735E-3</v>
      </c>
      <c r="J31" s="57">
        <f t="shared" si="32"/>
        <v>5.2021754551903523E-3</v>
      </c>
      <c r="K31" s="57">
        <f t="shared" si="33"/>
        <v>4.2105263157894736E-3</v>
      </c>
      <c r="L31" s="57">
        <f t="shared" si="34"/>
        <v>4.0131338927398763E-3</v>
      </c>
      <c r="M31" s="172"/>
      <c r="N31" s="18">
        <v>0</v>
      </c>
      <c r="O31" s="6">
        <v>0</v>
      </c>
      <c r="P31" s="6">
        <v>11</v>
      </c>
      <c r="Q31" s="6">
        <v>22</v>
      </c>
      <c r="R31" s="6">
        <v>22</v>
      </c>
      <c r="S31" s="6">
        <v>22</v>
      </c>
      <c r="T31" s="54">
        <v>22</v>
      </c>
      <c r="U31" s="6">
        <v>22</v>
      </c>
      <c r="V31" s="6">
        <v>22</v>
      </c>
      <c r="W31" s="6">
        <v>22</v>
      </c>
      <c r="X31" s="6">
        <v>22</v>
      </c>
      <c r="Y31" s="166"/>
      <c r="Z31" s="18"/>
      <c r="AA31" s="6">
        <f t="shared" si="36"/>
        <v>0</v>
      </c>
      <c r="AB31" s="6">
        <f t="shared" si="37"/>
        <v>11</v>
      </c>
      <c r="AC31" s="6">
        <f t="shared" si="38"/>
        <v>11</v>
      </c>
      <c r="AD31" s="6">
        <f t="shared" si="39"/>
        <v>0</v>
      </c>
      <c r="AE31" s="6">
        <f t="shared" si="40"/>
        <v>0</v>
      </c>
      <c r="AF31" s="54">
        <f t="shared" si="41"/>
        <v>0</v>
      </c>
      <c r="AG31" s="6">
        <f t="shared" si="42"/>
        <v>0</v>
      </c>
      <c r="AH31" s="6">
        <f t="shared" si="43"/>
        <v>0</v>
      </c>
      <c r="AI31" s="6">
        <f t="shared" si="44"/>
        <v>0</v>
      </c>
      <c r="AJ31" s="6">
        <f t="shared" si="45"/>
        <v>0</v>
      </c>
    </row>
    <row r="32" spans="1:36" s="3" customFormat="1" ht="30" x14ac:dyDescent="0.25">
      <c r="A32" s="46" t="s">
        <v>29</v>
      </c>
      <c r="B32" s="57">
        <f t="shared" si="24"/>
        <v>-1.1717171717171717</v>
      </c>
      <c r="C32" s="57">
        <f t="shared" si="25"/>
        <v>-1.4632310364794441</v>
      </c>
      <c r="D32" s="57">
        <f t="shared" si="26"/>
        <v>-0.98572184029613963</v>
      </c>
      <c r="E32" s="57">
        <f t="shared" si="27"/>
        <v>-0.43324250681198911</v>
      </c>
      <c r="F32" s="57">
        <f t="shared" si="28"/>
        <v>8.0587275693311589E-2</v>
      </c>
      <c r="G32" s="57">
        <f t="shared" si="29"/>
        <v>0.14224464060529635</v>
      </c>
      <c r="H32" s="57">
        <f t="shared" si="30"/>
        <v>-4.9460043196544276E-2</v>
      </c>
      <c r="I32" s="57">
        <f t="shared" si="31"/>
        <v>3.128073972063742E-2</v>
      </c>
      <c r="J32" s="57">
        <f t="shared" si="32"/>
        <v>0.15015370063844879</v>
      </c>
      <c r="K32" s="57">
        <f t="shared" si="33"/>
        <v>0.27330143540669855</v>
      </c>
      <c r="L32" s="57">
        <f t="shared" si="34"/>
        <v>0.33874498358263405</v>
      </c>
      <c r="M32" s="172"/>
      <c r="N32" s="18">
        <f>-1360-N17</f>
        <v>-1392</v>
      </c>
      <c r="O32" s="6">
        <f>-2494-O17</f>
        <v>-2527</v>
      </c>
      <c r="P32" s="6">
        <f>-1605-P17</f>
        <v>-1864</v>
      </c>
      <c r="Q32" s="6">
        <f>-263-Q17</f>
        <v>-954</v>
      </c>
      <c r="R32" s="6">
        <f>781-R17</f>
        <v>247</v>
      </c>
      <c r="S32" s="6">
        <f>1121-S17</f>
        <v>564</v>
      </c>
      <c r="T32" s="54">
        <f>1620-T17</f>
        <v>-229</v>
      </c>
      <c r="U32" s="6">
        <f>2638-U17</f>
        <v>159</v>
      </c>
      <c r="V32" s="6">
        <f>3019-V17</f>
        <v>635</v>
      </c>
      <c r="W32" s="6">
        <f>3812-W17</f>
        <v>1428</v>
      </c>
      <c r="X32" s="6">
        <f>4641-X17</f>
        <v>1857</v>
      </c>
      <c r="Y32" s="166"/>
      <c r="Z32" s="18"/>
      <c r="AA32" s="6">
        <f t="shared" si="36"/>
        <v>-1135</v>
      </c>
      <c r="AB32" s="6">
        <f t="shared" si="37"/>
        <v>663</v>
      </c>
      <c r="AC32" s="6">
        <f t="shared" si="38"/>
        <v>910</v>
      </c>
      <c r="AD32" s="6">
        <f t="shared" si="39"/>
        <v>1201</v>
      </c>
      <c r="AE32" s="6">
        <f t="shared" si="40"/>
        <v>317</v>
      </c>
      <c r="AF32" s="54">
        <f t="shared" si="41"/>
        <v>-793</v>
      </c>
      <c r="AG32" s="6">
        <f t="shared" si="42"/>
        <v>388</v>
      </c>
      <c r="AH32" s="6">
        <f t="shared" si="43"/>
        <v>476</v>
      </c>
      <c r="AI32" s="6">
        <f t="shared" si="44"/>
        <v>793</v>
      </c>
      <c r="AJ32" s="6">
        <f t="shared" si="45"/>
        <v>429</v>
      </c>
    </row>
    <row r="33" spans="1:36" s="48" customFormat="1" x14ac:dyDescent="0.25">
      <c r="A33" s="47" t="s">
        <v>30</v>
      </c>
      <c r="B33" s="62">
        <f t="shared" si="24"/>
        <v>5.8922558922558923E-3</v>
      </c>
      <c r="C33" s="62">
        <f t="shared" si="25"/>
        <v>4.0532715691951361E-3</v>
      </c>
      <c r="D33" s="62">
        <f t="shared" si="26"/>
        <v>0</v>
      </c>
      <c r="E33" s="62">
        <f t="shared" si="27"/>
        <v>0</v>
      </c>
      <c r="F33" s="62">
        <f t="shared" si="28"/>
        <v>8.0587275693311589E-2</v>
      </c>
      <c r="G33" s="62">
        <f t="shared" si="29"/>
        <v>0.14224464060529635</v>
      </c>
      <c r="H33" s="62">
        <f t="shared" si="30"/>
        <v>-4.9460043196544276E-2</v>
      </c>
      <c r="I33" s="62">
        <f t="shared" si="31"/>
        <v>3.128073972063742E-2</v>
      </c>
      <c r="J33" s="62">
        <f t="shared" si="32"/>
        <v>0.15015370063844879</v>
      </c>
      <c r="K33" s="62">
        <f t="shared" si="33"/>
        <v>0.27330143540669855</v>
      </c>
      <c r="L33" s="62">
        <f t="shared" si="34"/>
        <v>0.33874498358263405</v>
      </c>
      <c r="M33" s="172"/>
      <c r="N33" s="63">
        <v>7</v>
      </c>
      <c r="O33" s="51">
        <v>7</v>
      </c>
      <c r="P33" s="51">
        <v>0</v>
      </c>
      <c r="Q33" s="51">
        <v>0</v>
      </c>
      <c r="R33" s="51">
        <f>781-R17</f>
        <v>247</v>
      </c>
      <c r="S33" s="51">
        <v>564</v>
      </c>
      <c r="T33" s="64">
        <v>-229</v>
      </c>
      <c r="U33" s="51">
        <v>159</v>
      </c>
      <c r="V33" s="51">
        <v>635</v>
      </c>
      <c r="W33" s="51">
        <v>1428</v>
      </c>
      <c r="X33" s="51">
        <f>4641-X17</f>
        <v>1857</v>
      </c>
      <c r="Y33" s="166"/>
      <c r="Z33" s="63"/>
      <c r="AA33" s="51">
        <f t="shared" si="36"/>
        <v>0</v>
      </c>
      <c r="AB33" s="51">
        <f t="shared" si="37"/>
        <v>-7</v>
      </c>
      <c r="AC33" s="51">
        <f t="shared" si="38"/>
        <v>0</v>
      </c>
      <c r="AD33" s="51">
        <f t="shared" si="39"/>
        <v>247</v>
      </c>
      <c r="AE33" s="51">
        <f t="shared" si="40"/>
        <v>317</v>
      </c>
      <c r="AF33" s="64">
        <f t="shared" si="41"/>
        <v>-793</v>
      </c>
      <c r="AG33" s="51">
        <f t="shared" si="42"/>
        <v>388</v>
      </c>
      <c r="AH33" s="51">
        <f t="shared" si="43"/>
        <v>476</v>
      </c>
      <c r="AI33" s="51">
        <f t="shared" si="44"/>
        <v>793</v>
      </c>
      <c r="AJ33" s="51">
        <f t="shared" si="45"/>
        <v>429</v>
      </c>
    </row>
    <row r="34" spans="1:36" s="48" customFormat="1" x14ac:dyDescent="0.25">
      <c r="A34" s="47" t="s">
        <v>31</v>
      </c>
      <c r="B34" s="62">
        <f t="shared" si="24"/>
        <v>-1.1506734006734007</v>
      </c>
      <c r="C34" s="62">
        <f t="shared" si="25"/>
        <v>-1.4481760277938622</v>
      </c>
      <c r="D34" s="62">
        <f t="shared" si="26"/>
        <v>-0.84875727128503442</v>
      </c>
      <c r="E34" s="62">
        <f t="shared" si="27"/>
        <v>-0.11943687556766576</v>
      </c>
      <c r="F34" s="62">
        <f t="shared" si="28"/>
        <v>0</v>
      </c>
      <c r="G34" s="62">
        <f t="shared" si="29"/>
        <v>0</v>
      </c>
      <c r="H34" s="62">
        <f t="shared" si="30"/>
        <v>0</v>
      </c>
      <c r="I34" s="62">
        <f t="shared" si="31"/>
        <v>0</v>
      </c>
      <c r="J34" s="62">
        <f t="shared" si="32"/>
        <v>0</v>
      </c>
      <c r="K34" s="62">
        <f t="shared" si="33"/>
        <v>0</v>
      </c>
      <c r="L34" s="62">
        <f t="shared" si="34"/>
        <v>0</v>
      </c>
      <c r="M34" s="172"/>
      <c r="N34" s="63">
        <v>-1367</v>
      </c>
      <c r="O34" s="51">
        <v>-2501</v>
      </c>
      <c r="P34" s="51">
        <v>-1605</v>
      </c>
      <c r="Q34" s="51">
        <v>-263</v>
      </c>
      <c r="R34" s="51">
        <v>0</v>
      </c>
      <c r="S34" s="51">
        <v>0</v>
      </c>
      <c r="T34" s="64">
        <v>0</v>
      </c>
      <c r="U34" s="51">
        <v>0</v>
      </c>
      <c r="V34" s="51">
        <v>0</v>
      </c>
      <c r="W34" s="51">
        <v>0</v>
      </c>
      <c r="X34" s="51">
        <v>0</v>
      </c>
      <c r="Y34" s="166"/>
      <c r="Z34" s="63"/>
      <c r="AA34" s="51">
        <f t="shared" si="36"/>
        <v>-1134</v>
      </c>
      <c r="AB34" s="51">
        <f t="shared" si="37"/>
        <v>896</v>
      </c>
      <c r="AC34" s="51">
        <f t="shared" si="38"/>
        <v>1342</v>
      </c>
      <c r="AD34" s="51">
        <f t="shared" si="39"/>
        <v>263</v>
      </c>
      <c r="AE34" s="51">
        <f t="shared" si="40"/>
        <v>0</v>
      </c>
      <c r="AF34" s="64">
        <f t="shared" si="41"/>
        <v>0</v>
      </c>
      <c r="AG34" s="51">
        <f t="shared" si="42"/>
        <v>0</v>
      </c>
      <c r="AH34" s="51">
        <f t="shared" si="43"/>
        <v>0</v>
      </c>
      <c r="AI34" s="51">
        <f t="shared" si="44"/>
        <v>0</v>
      </c>
      <c r="AJ34" s="51">
        <f t="shared" si="45"/>
        <v>0</v>
      </c>
    </row>
    <row r="35" spans="1:36" s="3" customFormat="1" ht="30.75" thickBot="1" x14ac:dyDescent="0.3">
      <c r="A35" s="52" t="s">
        <v>77</v>
      </c>
      <c r="B35" s="58">
        <f t="shared" si="24"/>
        <v>-0.95454545454545459</v>
      </c>
      <c r="C35" s="58">
        <f t="shared" si="25"/>
        <v>0.52113491603937467</v>
      </c>
      <c r="D35" s="58">
        <f t="shared" si="26"/>
        <v>0.7149656266525648</v>
      </c>
      <c r="E35" s="58">
        <f t="shared" si="27"/>
        <v>0.63079019073569487</v>
      </c>
      <c r="F35" s="58">
        <f t="shared" si="28"/>
        <v>0.11092985318107668</v>
      </c>
      <c r="G35" s="58">
        <f t="shared" si="29"/>
        <v>0.14451450189155107</v>
      </c>
      <c r="H35" s="58">
        <f t="shared" si="30"/>
        <v>0.21987041036717062</v>
      </c>
      <c r="I35" s="58">
        <f t="shared" si="31"/>
        <v>9.4235687586071218E-2</v>
      </c>
      <c r="J35" s="58">
        <f t="shared" si="32"/>
        <v>0.16505083944194845</v>
      </c>
      <c r="K35" s="58">
        <f t="shared" si="33"/>
        <v>0.15866028708133972</v>
      </c>
      <c r="L35" s="58">
        <f t="shared" si="34"/>
        <v>0.14447282013863552</v>
      </c>
      <c r="M35" s="172"/>
      <c r="N35" s="33">
        <v>-1134</v>
      </c>
      <c r="O35" s="34">
        <v>900</v>
      </c>
      <c r="P35" s="34">
        <v>1352</v>
      </c>
      <c r="Q35" s="34">
        <v>1389</v>
      </c>
      <c r="R35" s="34">
        <v>340</v>
      </c>
      <c r="S35" s="34">
        <v>573</v>
      </c>
      <c r="T35" s="55">
        <v>1018</v>
      </c>
      <c r="U35" s="34">
        <v>479</v>
      </c>
      <c r="V35" s="55">
        <v>698</v>
      </c>
      <c r="W35" s="34">
        <v>829</v>
      </c>
      <c r="X35" s="34">
        <v>792</v>
      </c>
      <c r="Y35" s="166"/>
      <c r="Z35" s="33"/>
      <c r="AA35" s="34">
        <f t="shared" si="36"/>
        <v>2034</v>
      </c>
      <c r="AB35" s="34">
        <f t="shared" si="37"/>
        <v>452</v>
      </c>
      <c r="AC35" s="34">
        <f t="shared" si="38"/>
        <v>37</v>
      </c>
      <c r="AD35" s="34">
        <f t="shared" si="39"/>
        <v>-1049</v>
      </c>
      <c r="AE35" s="34">
        <f t="shared" si="40"/>
        <v>233</v>
      </c>
      <c r="AF35" s="55">
        <f t="shared" si="41"/>
        <v>445</v>
      </c>
      <c r="AG35" s="34">
        <f t="shared" si="42"/>
        <v>-539</v>
      </c>
      <c r="AH35" s="55">
        <f t="shared" si="43"/>
        <v>219</v>
      </c>
      <c r="AI35" s="34">
        <f t="shared" si="44"/>
        <v>131</v>
      </c>
      <c r="AJ35" s="34">
        <f t="shared" si="45"/>
        <v>-37</v>
      </c>
    </row>
    <row r="36" spans="1:36" s="32" customFormat="1" ht="15.75" thickBot="1" x14ac:dyDescent="0.3">
      <c r="A36" s="44" t="s">
        <v>32</v>
      </c>
      <c r="B36" s="60">
        <f t="shared" si="24"/>
        <v>2.9410774410774412</v>
      </c>
      <c r="C36" s="60">
        <f t="shared" si="25"/>
        <v>1.8147075854082224</v>
      </c>
      <c r="D36" s="60">
        <f t="shared" si="26"/>
        <v>1.1485986250661027</v>
      </c>
      <c r="E36" s="60">
        <f t="shared" si="27"/>
        <v>0.69255222524977289</v>
      </c>
      <c r="F36" s="60">
        <f t="shared" si="28"/>
        <v>0.72952691680261006</v>
      </c>
      <c r="G36" s="60">
        <f t="shared" si="29"/>
        <v>0.65220680958385879</v>
      </c>
      <c r="H36" s="60">
        <f t="shared" si="30"/>
        <v>0.77732181425485958</v>
      </c>
      <c r="I36" s="60">
        <f t="shared" si="31"/>
        <v>0.82687389337005701</v>
      </c>
      <c r="J36" s="60">
        <f t="shared" si="32"/>
        <v>0.62757152991250886</v>
      </c>
      <c r="K36" s="60">
        <f t="shared" si="33"/>
        <v>0.52172248803827748</v>
      </c>
      <c r="L36" s="60">
        <f t="shared" si="34"/>
        <v>0.47263772345859173</v>
      </c>
      <c r="M36" s="172"/>
      <c r="N36" s="30">
        <v>3494</v>
      </c>
      <c r="O36" s="31">
        <v>3134</v>
      </c>
      <c r="P36" s="31">
        <v>2172</v>
      </c>
      <c r="Q36" s="31">
        <v>1525</v>
      </c>
      <c r="R36" s="31">
        <v>2236</v>
      </c>
      <c r="S36" s="31">
        <v>2586</v>
      </c>
      <c r="T36" s="61">
        <v>3599</v>
      </c>
      <c r="U36" s="31">
        <v>4203</v>
      </c>
      <c r="V36" s="31">
        <v>2654</v>
      </c>
      <c r="W36" s="31">
        <v>2726</v>
      </c>
      <c r="X36" s="31">
        <v>2591</v>
      </c>
      <c r="Y36" s="166"/>
      <c r="Z36" s="30"/>
      <c r="AA36" s="31">
        <f t="shared" si="36"/>
        <v>-360</v>
      </c>
      <c r="AB36" s="31">
        <f t="shared" si="37"/>
        <v>-962</v>
      </c>
      <c r="AC36" s="31">
        <f t="shared" si="38"/>
        <v>-647</v>
      </c>
      <c r="AD36" s="31">
        <f t="shared" si="39"/>
        <v>711</v>
      </c>
      <c r="AE36" s="31">
        <f t="shared" si="40"/>
        <v>350</v>
      </c>
      <c r="AF36" s="61">
        <f t="shared" si="41"/>
        <v>1013</v>
      </c>
      <c r="AG36" s="31">
        <f t="shared" si="42"/>
        <v>604</v>
      </c>
      <c r="AH36" s="31">
        <f t="shared" si="43"/>
        <v>-1549</v>
      </c>
      <c r="AI36" s="31">
        <f t="shared" si="44"/>
        <v>72</v>
      </c>
      <c r="AJ36" s="31">
        <f t="shared" si="45"/>
        <v>-135</v>
      </c>
    </row>
    <row r="37" spans="1:36" s="3" customFormat="1" x14ac:dyDescent="0.25">
      <c r="A37" s="43" t="s">
        <v>33</v>
      </c>
      <c r="B37" s="56">
        <f t="shared" si="24"/>
        <v>0</v>
      </c>
      <c r="C37" s="56">
        <f t="shared" si="25"/>
        <v>0</v>
      </c>
      <c r="D37" s="56">
        <f t="shared" si="26"/>
        <v>0</v>
      </c>
      <c r="E37" s="56">
        <f t="shared" si="27"/>
        <v>0</v>
      </c>
      <c r="F37" s="56">
        <f t="shared" si="28"/>
        <v>0</v>
      </c>
      <c r="G37" s="56">
        <f t="shared" si="29"/>
        <v>0</v>
      </c>
      <c r="H37" s="56">
        <f t="shared" si="30"/>
        <v>0</v>
      </c>
      <c r="I37" s="56">
        <f t="shared" si="31"/>
        <v>0</v>
      </c>
      <c r="J37" s="56">
        <f t="shared" si="32"/>
        <v>0</v>
      </c>
      <c r="K37" s="56">
        <f t="shared" si="33"/>
        <v>0</v>
      </c>
      <c r="L37" s="56">
        <f t="shared" si="34"/>
        <v>0</v>
      </c>
      <c r="M37" s="172"/>
      <c r="N37" s="17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53">
        <v>0</v>
      </c>
      <c r="U37" s="15">
        <v>0</v>
      </c>
      <c r="V37" s="15">
        <v>0</v>
      </c>
      <c r="W37" s="15">
        <v>0</v>
      </c>
      <c r="X37" s="15">
        <v>0</v>
      </c>
      <c r="Y37" s="166"/>
      <c r="Z37" s="17"/>
      <c r="AA37" s="15">
        <f t="shared" si="36"/>
        <v>0</v>
      </c>
      <c r="AB37" s="15">
        <f t="shared" si="37"/>
        <v>0</v>
      </c>
      <c r="AC37" s="15">
        <f t="shared" si="38"/>
        <v>0</v>
      </c>
      <c r="AD37" s="15">
        <f t="shared" si="39"/>
        <v>0</v>
      </c>
      <c r="AE37" s="15">
        <f t="shared" si="40"/>
        <v>0</v>
      </c>
      <c r="AF37" s="53">
        <f t="shared" si="41"/>
        <v>0</v>
      </c>
      <c r="AG37" s="15">
        <f t="shared" si="42"/>
        <v>0</v>
      </c>
      <c r="AH37" s="15">
        <f t="shared" si="43"/>
        <v>0</v>
      </c>
      <c r="AI37" s="15">
        <f t="shared" si="44"/>
        <v>0</v>
      </c>
      <c r="AJ37" s="15">
        <f t="shared" si="45"/>
        <v>0</v>
      </c>
    </row>
    <row r="38" spans="1:36" s="3" customFormat="1" x14ac:dyDescent="0.25">
      <c r="A38" s="40" t="s">
        <v>34</v>
      </c>
      <c r="B38" s="57">
        <f t="shared" si="24"/>
        <v>0</v>
      </c>
      <c r="C38" s="57">
        <f t="shared" si="25"/>
        <v>0</v>
      </c>
      <c r="D38" s="57">
        <f t="shared" si="26"/>
        <v>0.18931782125859334</v>
      </c>
      <c r="E38" s="57">
        <f t="shared" si="27"/>
        <v>0.14532243415077203</v>
      </c>
      <c r="F38" s="57">
        <f t="shared" si="28"/>
        <v>0.23882544861337685</v>
      </c>
      <c r="G38" s="57">
        <f t="shared" si="29"/>
        <v>0.19419924337957126</v>
      </c>
      <c r="H38" s="57">
        <f t="shared" si="30"/>
        <v>0.33174946004319655</v>
      </c>
      <c r="I38" s="57">
        <f t="shared" si="31"/>
        <v>0.34585874483572693</v>
      </c>
      <c r="J38" s="57">
        <f t="shared" si="32"/>
        <v>0.30148971388034995</v>
      </c>
      <c r="K38" s="57">
        <f t="shared" si="33"/>
        <v>0.31368421052631579</v>
      </c>
      <c r="L38" s="57">
        <f t="shared" si="34"/>
        <v>0.22637723458591755</v>
      </c>
      <c r="M38" s="172"/>
      <c r="N38" s="18">
        <v>0</v>
      </c>
      <c r="O38" s="6">
        <v>0</v>
      </c>
      <c r="P38" s="6">
        <v>358</v>
      </c>
      <c r="Q38" s="6">
        <v>320</v>
      </c>
      <c r="R38" s="6">
        <v>732</v>
      </c>
      <c r="S38" s="6">
        <v>770</v>
      </c>
      <c r="T38" s="54">
        <v>1536</v>
      </c>
      <c r="U38" s="6">
        <v>1758</v>
      </c>
      <c r="V38" s="6">
        <v>1275</v>
      </c>
      <c r="W38" s="6">
        <v>1639</v>
      </c>
      <c r="X38" s="6">
        <v>1241</v>
      </c>
      <c r="Y38" s="166"/>
      <c r="Z38" s="18"/>
      <c r="AA38" s="6">
        <f t="shared" si="36"/>
        <v>0</v>
      </c>
      <c r="AB38" s="6">
        <f t="shared" si="37"/>
        <v>358</v>
      </c>
      <c r="AC38" s="6">
        <f t="shared" si="38"/>
        <v>-38</v>
      </c>
      <c r="AD38" s="6">
        <f t="shared" si="39"/>
        <v>412</v>
      </c>
      <c r="AE38" s="6">
        <f t="shared" si="40"/>
        <v>38</v>
      </c>
      <c r="AF38" s="54">
        <f t="shared" si="41"/>
        <v>766</v>
      </c>
      <c r="AG38" s="6">
        <f t="shared" si="42"/>
        <v>222</v>
      </c>
      <c r="AH38" s="6">
        <f t="shared" si="43"/>
        <v>-483</v>
      </c>
      <c r="AI38" s="6">
        <f t="shared" si="44"/>
        <v>364</v>
      </c>
      <c r="AJ38" s="6">
        <f t="shared" si="45"/>
        <v>-398</v>
      </c>
    </row>
    <row r="39" spans="1:36" s="2" customFormat="1" x14ac:dyDescent="0.25">
      <c r="A39" s="51" t="s">
        <v>36</v>
      </c>
      <c r="B39" s="65">
        <f t="shared" si="24"/>
        <v>0</v>
      </c>
      <c r="C39" s="65">
        <f t="shared" si="25"/>
        <v>0</v>
      </c>
      <c r="D39" s="65">
        <f t="shared" si="26"/>
        <v>0.18931782125859334</v>
      </c>
      <c r="E39" s="65">
        <f t="shared" si="27"/>
        <v>0.14532243415077203</v>
      </c>
      <c r="F39" s="65">
        <f t="shared" si="28"/>
        <v>0.23882544861337685</v>
      </c>
      <c r="G39" s="65">
        <f t="shared" si="29"/>
        <v>0.19419924337957126</v>
      </c>
      <c r="H39" s="65">
        <f t="shared" si="30"/>
        <v>0.33174946004319655</v>
      </c>
      <c r="I39" s="65">
        <f t="shared" si="31"/>
        <v>0.34585874483572693</v>
      </c>
      <c r="J39" s="65">
        <f t="shared" si="32"/>
        <v>0.30148971388034995</v>
      </c>
      <c r="K39" s="65">
        <f t="shared" si="33"/>
        <v>0.31368421052631579</v>
      </c>
      <c r="L39" s="65">
        <f t="shared" si="34"/>
        <v>0.22637723458591755</v>
      </c>
      <c r="M39" s="172"/>
      <c r="N39" s="63">
        <v>0</v>
      </c>
      <c r="O39" s="51">
        <v>0</v>
      </c>
      <c r="P39" s="51">
        <v>358</v>
      </c>
      <c r="Q39" s="51">
        <v>320</v>
      </c>
      <c r="R39" s="51">
        <v>732</v>
      </c>
      <c r="S39" s="51">
        <v>770</v>
      </c>
      <c r="T39" s="64">
        <v>1536</v>
      </c>
      <c r="U39" s="51">
        <v>1758</v>
      </c>
      <c r="V39" s="51">
        <v>1275</v>
      </c>
      <c r="W39" s="51">
        <v>1639</v>
      </c>
      <c r="X39" s="51">
        <v>1241</v>
      </c>
      <c r="Y39" s="166"/>
      <c r="Z39" s="63"/>
      <c r="AA39" s="51">
        <f t="shared" si="36"/>
        <v>0</v>
      </c>
      <c r="AB39" s="51">
        <f t="shared" si="37"/>
        <v>358</v>
      </c>
      <c r="AC39" s="51">
        <f t="shared" si="38"/>
        <v>-38</v>
      </c>
      <c r="AD39" s="51">
        <f t="shared" si="39"/>
        <v>412</v>
      </c>
      <c r="AE39" s="51">
        <f t="shared" si="40"/>
        <v>38</v>
      </c>
      <c r="AF39" s="64">
        <f t="shared" si="41"/>
        <v>766</v>
      </c>
      <c r="AG39" s="51">
        <f t="shared" si="42"/>
        <v>222</v>
      </c>
      <c r="AH39" s="51">
        <f t="shared" si="43"/>
        <v>-483</v>
      </c>
      <c r="AI39" s="51">
        <f t="shared" si="44"/>
        <v>364</v>
      </c>
      <c r="AJ39" s="51">
        <f t="shared" si="45"/>
        <v>-398</v>
      </c>
    </row>
    <row r="40" spans="1:36" s="3" customFormat="1" x14ac:dyDescent="0.25">
      <c r="A40" s="40" t="s">
        <v>35</v>
      </c>
      <c r="B40" s="57">
        <f t="shared" si="24"/>
        <v>2.5202020202020203</v>
      </c>
      <c r="C40" s="57">
        <f t="shared" si="25"/>
        <v>1.0619571511291257</v>
      </c>
      <c r="D40" s="57">
        <f t="shared" si="26"/>
        <v>0.54838709677419351</v>
      </c>
      <c r="E40" s="57">
        <f t="shared" si="27"/>
        <v>0.52815622161671205</v>
      </c>
      <c r="F40" s="57">
        <f t="shared" si="28"/>
        <v>0.42544861337683526</v>
      </c>
      <c r="G40" s="57">
        <f t="shared" si="29"/>
        <v>0.45800756620428751</v>
      </c>
      <c r="H40" s="57">
        <f t="shared" si="30"/>
        <v>0.44557235421166308</v>
      </c>
      <c r="I40" s="57">
        <f t="shared" si="31"/>
        <v>0.45622663781231554</v>
      </c>
      <c r="J40" s="57">
        <f t="shared" si="32"/>
        <v>0.20146606762828093</v>
      </c>
      <c r="K40" s="57">
        <f t="shared" si="33"/>
        <v>0.10755980861244019</v>
      </c>
      <c r="L40" s="57">
        <f t="shared" si="34"/>
        <v>0.10525355709595038</v>
      </c>
      <c r="M40" s="172"/>
      <c r="N40" s="18">
        <v>2994</v>
      </c>
      <c r="O40" s="6">
        <v>1834</v>
      </c>
      <c r="P40" s="6">
        <v>1037</v>
      </c>
      <c r="Q40" s="6">
        <v>1163</v>
      </c>
      <c r="R40" s="6">
        <v>1304</v>
      </c>
      <c r="S40" s="6">
        <v>1816</v>
      </c>
      <c r="T40" s="54">
        <v>2063</v>
      </c>
      <c r="U40" s="6">
        <v>2319</v>
      </c>
      <c r="V40" s="6">
        <v>852</v>
      </c>
      <c r="W40" s="6">
        <v>562</v>
      </c>
      <c r="X40" s="6">
        <v>577</v>
      </c>
      <c r="Y40" s="166"/>
      <c r="Z40" s="18"/>
      <c r="AA40" s="6">
        <f t="shared" si="36"/>
        <v>-1160</v>
      </c>
      <c r="AB40" s="6">
        <f t="shared" si="37"/>
        <v>-797</v>
      </c>
      <c r="AC40" s="6">
        <f t="shared" si="38"/>
        <v>126</v>
      </c>
      <c r="AD40" s="6">
        <f t="shared" si="39"/>
        <v>141</v>
      </c>
      <c r="AE40" s="6">
        <f t="shared" si="40"/>
        <v>512</v>
      </c>
      <c r="AF40" s="54">
        <f t="shared" si="41"/>
        <v>247</v>
      </c>
      <c r="AG40" s="6">
        <f t="shared" si="42"/>
        <v>256</v>
      </c>
      <c r="AH40" s="6">
        <f t="shared" si="43"/>
        <v>-1467</v>
      </c>
      <c r="AI40" s="6">
        <f t="shared" si="44"/>
        <v>-290</v>
      </c>
      <c r="AJ40" s="6">
        <f t="shared" si="45"/>
        <v>15</v>
      </c>
    </row>
    <row r="41" spans="1:36" s="2" customFormat="1" x14ac:dyDescent="0.25">
      <c r="A41" s="10" t="s">
        <v>36</v>
      </c>
      <c r="B41" s="65">
        <f t="shared" si="24"/>
        <v>1.84006734006734</v>
      </c>
      <c r="C41" s="65">
        <f t="shared" si="25"/>
        <v>0.92762015055008684</v>
      </c>
      <c r="D41" s="65">
        <f t="shared" si="26"/>
        <v>0.40560549973558963</v>
      </c>
      <c r="E41" s="65">
        <f t="shared" si="27"/>
        <v>0.4427792915531335</v>
      </c>
      <c r="F41" s="65">
        <f t="shared" si="28"/>
        <v>0.24861337683523654</v>
      </c>
      <c r="G41" s="65">
        <f t="shared" si="29"/>
        <v>0.24817150063051702</v>
      </c>
      <c r="H41" s="65">
        <f t="shared" si="30"/>
        <v>0.37559395248380129</v>
      </c>
      <c r="I41" s="65">
        <f t="shared" si="31"/>
        <v>0.40704308479244539</v>
      </c>
      <c r="J41" s="65">
        <f t="shared" si="32"/>
        <v>0.17971151572475763</v>
      </c>
      <c r="K41" s="65">
        <f t="shared" si="33"/>
        <v>8.0382775119617222E-2</v>
      </c>
      <c r="L41" s="65">
        <f t="shared" si="34"/>
        <v>7.3695731484859542E-2</v>
      </c>
      <c r="M41" s="172"/>
      <c r="N41" s="63">
        <v>2186</v>
      </c>
      <c r="O41" s="51">
        <v>1602</v>
      </c>
      <c r="P41" s="51">
        <v>767</v>
      </c>
      <c r="Q41" s="51">
        <v>975</v>
      </c>
      <c r="R41" s="51">
        <v>762</v>
      </c>
      <c r="S41" s="51">
        <v>984</v>
      </c>
      <c r="T41" s="64">
        <v>1739</v>
      </c>
      <c r="U41" s="51">
        <v>2069</v>
      </c>
      <c r="V41" s="51">
        <v>760</v>
      </c>
      <c r="W41" s="51">
        <v>420</v>
      </c>
      <c r="X41" s="51">
        <v>404</v>
      </c>
      <c r="Y41" s="166"/>
      <c r="Z41" s="63"/>
      <c r="AA41" s="51">
        <f t="shared" si="36"/>
        <v>-584</v>
      </c>
      <c r="AB41" s="51">
        <f t="shared" si="37"/>
        <v>-835</v>
      </c>
      <c r="AC41" s="51">
        <f t="shared" si="38"/>
        <v>208</v>
      </c>
      <c r="AD41" s="51">
        <f t="shared" si="39"/>
        <v>-213</v>
      </c>
      <c r="AE41" s="51">
        <f t="shared" si="40"/>
        <v>222</v>
      </c>
      <c r="AF41" s="64">
        <f t="shared" si="41"/>
        <v>755</v>
      </c>
      <c r="AG41" s="51">
        <f t="shared" si="42"/>
        <v>330</v>
      </c>
      <c r="AH41" s="51">
        <f t="shared" si="43"/>
        <v>-1309</v>
      </c>
      <c r="AI41" s="51">
        <f t="shared" si="44"/>
        <v>-340</v>
      </c>
      <c r="AJ41" s="51">
        <f t="shared" si="45"/>
        <v>-16</v>
      </c>
    </row>
    <row r="42" spans="1:36" s="2" customFormat="1" x14ac:dyDescent="0.25">
      <c r="A42" s="10" t="s">
        <v>37</v>
      </c>
      <c r="B42" s="65">
        <f t="shared" si="24"/>
        <v>0.20707070707070707</v>
      </c>
      <c r="C42" s="65">
        <f t="shared" si="25"/>
        <v>3.8795599305153444E-2</v>
      </c>
      <c r="D42" s="65">
        <f t="shared" si="26"/>
        <v>3.3844526705446853E-2</v>
      </c>
      <c r="E42" s="65">
        <f t="shared" si="27"/>
        <v>2.9064486830154404E-2</v>
      </c>
      <c r="F42" s="65">
        <f t="shared" si="28"/>
        <v>1.5986949429037521E-2</v>
      </c>
      <c r="G42" s="65">
        <f t="shared" si="29"/>
        <v>1.5636822194199245E-2</v>
      </c>
      <c r="H42" s="65">
        <f t="shared" si="30"/>
        <v>1.6846652267818573E-2</v>
      </c>
      <c r="I42" s="65">
        <f t="shared" si="31"/>
        <v>1.6722408026755852E-2</v>
      </c>
      <c r="J42" s="65">
        <f t="shared" si="32"/>
        <v>1.4187751241428233E-2</v>
      </c>
      <c r="K42" s="65">
        <f t="shared" si="33"/>
        <v>1.1674641148325358E-2</v>
      </c>
      <c r="L42" s="65">
        <f t="shared" si="34"/>
        <v>1.112732579350602E-2</v>
      </c>
      <c r="M42" s="172"/>
      <c r="N42" s="63">
        <v>246</v>
      </c>
      <c r="O42" s="51">
        <v>67</v>
      </c>
      <c r="P42" s="51">
        <v>64</v>
      </c>
      <c r="Q42" s="51">
        <v>64</v>
      </c>
      <c r="R42" s="51">
        <v>49</v>
      </c>
      <c r="S42" s="51">
        <v>62</v>
      </c>
      <c r="T42" s="64">
        <v>78</v>
      </c>
      <c r="U42" s="51">
        <v>85</v>
      </c>
      <c r="V42" s="51">
        <v>60</v>
      </c>
      <c r="W42" s="51">
        <v>61</v>
      </c>
      <c r="X42" s="51">
        <v>61</v>
      </c>
      <c r="Y42" s="166"/>
      <c r="Z42" s="63"/>
      <c r="AA42" s="51">
        <f t="shared" si="36"/>
        <v>-179</v>
      </c>
      <c r="AB42" s="51">
        <f t="shared" si="37"/>
        <v>-3</v>
      </c>
      <c r="AC42" s="51">
        <f t="shared" si="38"/>
        <v>0</v>
      </c>
      <c r="AD42" s="51">
        <f t="shared" si="39"/>
        <v>-15</v>
      </c>
      <c r="AE42" s="51">
        <f t="shared" si="40"/>
        <v>13</v>
      </c>
      <c r="AF42" s="64">
        <f t="shared" si="41"/>
        <v>16</v>
      </c>
      <c r="AG42" s="51">
        <f t="shared" si="42"/>
        <v>7</v>
      </c>
      <c r="AH42" s="51">
        <f t="shared" si="43"/>
        <v>-25</v>
      </c>
      <c r="AI42" s="51">
        <f t="shared" si="44"/>
        <v>1</v>
      </c>
      <c r="AJ42" s="51">
        <f t="shared" si="45"/>
        <v>0</v>
      </c>
    </row>
    <row r="43" spans="1:36" s="2" customFormat="1" x14ac:dyDescent="0.25">
      <c r="A43" s="10" t="s">
        <v>38</v>
      </c>
      <c r="B43" s="65">
        <f t="shared" si="24"/>
        <v>3.6195286195286197E-2</v>
      </c>
      <c r="C43" s="65">
        <f t="shared" si="25"/>
        <v>1.0422698320787493E-2</v>
      </c>
      <c r="D43" s="65">
        <f t="shared" si="26"/>
        <v>9.5187731359069275E-3</v>
      </c>
      <c r="E43" s="65">
        <f t="shared" si="27"/>
        <v>1.4532243415077202E-2</v>
      </c>
      <c r="F43" s="65">
        <f t="shared" si="28"/>
        <v>1.1092985318107667E-2</v>
      </c>
      <c r="G43" s="65">
        <f t="shared" si="29"/>
        <v>1.1349306431273645E-2</v>
      </c>
      <c r="H43" s="65">
        <f t="shared" si="30"/>
        <v>3.4557235421166306E-3</v>
      </c>
      <c r="I43" s="65">
        <f t="shared" si="31"/>
        <v>5.7052921503049376E-3</v>
      </c>
      <c r="J43" s="65">
        <f t="shared" si="32"/>
        <v>5.4386379758808228E-3</v>
      </c>
      <c r="K43" s="65">
        <f t="shared" si="33"/>
        <v>5.358851674641148E-3</v>
      </c>
      <c r="L43" s="65">
        <f t="shared" si="34"/>
        <v>6.2021160160525357E-3</v>
      </c>
      <c r="M43" s="172"/>
      <c r="N43" s="63">
        <v>43</v>
      </c>
      <c r="O43" s="51">
        <v>18</v>
      </c>
      <c r="P43" s="51">
        <v>18</v>
      </c>
      <c r="Q43" s="51">
        <v>32</v>
      </c>
      <c r="R43" s="51">
        <v>34</v>
      </c>
      <c r="S43" s="51">
        <v>45</v>
      </c>
      <c r="T43" s="64">
        <v>16</v>
      </c>
      <c r="U43" s="51">
        <v>29</v>
      </c>
      <c r="V43" s="51">
        <v>23</v>
      </c>
      <c r="W43" s="51">
        <v>28</v>
      </c>
      <c r="X43" s="51">
        <v>34</v>
      </c>
      <c r="Y43" s="166"/>
      <c r="Z43" s="63"/>
      <c r="AA43" s="51">
        <f t="shared" si="36"/>
        <v>-25</v>
      </c>
      <c r="AB43" s="51">
        <f t="shared" si="37"/>
        <v>0</v>
      </c>
      <c r="AC43" s="51">
        <f t="shared" si="38"/>
        <v>14</v>
      </c>
      <c r="AD43" s="51">
        <f t="shared" si="39"/>
        <v>2</v>
      </c>
      <c r="AE43" s="51">
        <f t="shared" si="40"/>
        <v>11</v>
      </c>
      <c r="AF43" s="64">
        <f t="shared" si="41"/>
        <v>-29</v>
      </c>
      <c r="AG43" s="51">
        <f t="shared" si="42"/>
        <v>13</v>
      </c>
      <c r="AH43" s="51">
        <f t="shared" si="43"/>
        <v>-6</v>
      </c>
      <c r="AI43" s="51">
        <f t="shared" si="44"/>
        <v>5</v>
      </c>
      <c r="AJ43" s="51">
        <f t="shared" si="45"/>
        <v>6</v>
      </c>
    </row>
    <row r="44" spans="1:36" s="2" customFormat="1" x14ac:dyDescent="0.25">
      <c r="A44" s="10" t="s">
        <v>43</v>
      </c>
      <c r="B44" s="65">
        <f t="shared" si="24"/>
        <v>5.2188552188552187E-2</v>
      </c>
      <c r="C44" s="65">
        <f t="shared" si="25"/>
        <v>2.0845396641574986E-2</v>
      </c>
      <c r="D44" s="65">
        <f t="shared" si="26"/>
        <v>1.9037546271813855E-2</v>
      </c>
      <c r="E44" s="65">
        <f t="shared" si="27"/>
        <v>1.6802906448683014E-2</v>
      </c>
      <c r="F44" s="65">
        <f t="shared" si="28"/>
        <v>8.809135399673736E-3</v>
      </c>
      <c r="G44" s="65">
        <f t="shared" si="29"/>
        <v>8.0706179066834804E-3</v>
      </c>
      <c r="H44" s="65">
        <f t="shared" si="30"/>
        <v>6.4794816414686825E-3</v>
      </c>
      <c r="I44" s="65">
        <f t="shared" si="31"/>
        <v>6.688963210702341E-3</v>
      </c>
      <c r="J44" s="65">
        <f t="shared" si="32"/>
        <v>0</v>
      </c>
      <c r="K44" s="65">
        <f t="shared" si="33"/>
        <v>8.2296650717703351E-3</v>
      </c>
      <c r="L44" s="65">
        <f t="shared" si="34"/>
        <v>9.6680043779642458E-3</v>
      </c>
      <c r="M44" s="172"/>
      <c r="N44" s="63">
        <v>62</v>
      </c>
      <c r="O44" s="51">
        <v>36</v>
      </c>
      <c r="P44" s="51">
        <v>36</v>
      </c>
      <c r="Q44" s="51">
        <v>37</v>
      </c>
      <c r="R44" s="51">
        <v>27</v>
      </c>
      <c r="S44" s="51">
        <v>32</v>
      </c>
      <c r="T44" s="64">
        <v>30</v>
      </c>
      <c r="U44" s="51">
        <v>34</v>
      </c>
      <c r="V44" s="51">
        <v>0</v>
      </c>
      <c r="W44" s="51">
        <v>43</v>
      </c>
      <c r="X44" s="51">
        <v>53</v>
      </c>
      <c r="Y44" s="166"/>
      <c r="Z44" s="63"/>
      <c r="AA44" s="51">
        <f t="shared" si="36"/>
        <v>-26</v>
      </c>
      <c r="AB44" s="51">
        <f t="shared" si="37"/>
        <v>0</v>
      </c>
      <c r="AC44" s="51">
        <f t="shared" si="38"/>
        <v>1</v>
      </c>
      <c r="AD44" s="51">
        <f t="shared" si="39"/>
        <v>-10</v>
      </c>
      <c r="AE44" s="51">
        <f t="shared" si="40"/>
        <v>5</v>
      </c>
      <c r="AF44" s="64">
        <f t="shared" si="41"/>
        <v>-2</v>
      </c>
      <c r="AG44" s="51">
        <f t="shared" si="42"/>
        <v>4</v>
      </c>
      <c r="AH44" s="51">
        <f t="shared" si="43"/>
        <v>-34</v>
      </c>
      <c r="AI44" s="51">
        <f t="shared" si="44"/>
        <v>43</v>
      </c>
      <c r="AJ44" s="51">
        <f t="shared" si="45"/>
        <v>10</v>
      </c>
    </row>
    <row r="45" spans="1:36" s="2" customFormat="1" x14ac:dyDescent="0.25">
      <c r="A45" s="10" t="s">
        <v>39</v>
      </c>
      <c r="B45" s="65">
        <f t="shared" si="24"/>
        <v>1.5151515151515152E-2</v>
      </c>
      <c r="C45" s="65">
        <f t="shared" si="25"/>
        <v>5.9061957151129128E-2</v>
      </c>
      <c r="D45" s="65">
        <f t="shared" si="26"/>
        <v>3.9132734003172923E-2</v>
      </c>
      <c r="E45" s="65">
        <f t="shared" si="27"/>
        <v>1.0445049954586739E-2</v>
      </c>
      <c r="F45" s="65">
        <f t="shared" si="28"/>
        <v>3.5889070146818925E-3</v>
      </c>
      <c r="G45" s="65">
        <f t="shared" si="29"/>
        <v>2.3455233291298866E-2</v>
      </c>
      <c r="H45" s="65">
        <f t="shared" si="30"/>
        <v>2.3110151187904968E-2</v>
      </c>
      <c r="I45" s="65">
        <f t="shared" si="31"/>
        <v>2.5575447570332483E-3</v>
      </c>
      <c r="J45" s="65">
        <f t="shared" si="32"/>
        <v>2.128162686214235E-3</v>
      </c>
      <c r="K45" s="65">
        <f t="shared" si="33"/>
        <v>1.9138755980861245E-3</v>
      </c>
      <c r="L45" s="65">
        <f t="shared" si="34"/>
        <v>4.5603794235680407E-3</v>
      </c>
      <c r="M45" s="172"/>
      <c r="N45" s="63">
        <v>18</v>
      </c>
      <c r="O45" s="51">
        <v>102</v>
      </c>
      <c r="P45" s="51">
        <v>74</v>
      </c>
      <c r="Q45" s="51">
        <v>23</v>
      </c>
      <c r="R45" s="51">
        <v>11</v>
      </c>
      <c r="S45" s="51">
        <v>93</v>
      </c>
      <c r="T45" s="64">
        <v>107</v>
      </c>
      <c r="U45" s="51">
        <v>13</v>
      </c>
      <c r="V45" s="51">
        <v>9</v>
      </c>
      <c r="W45" s="51">
        <v>10</v>
      </c>
      <c r="X45" s="51">
        <v>25</v>
      </c>
      <c r="Y45" s="166"/>
      <c r="Z45" s="63"/>
      <c r="AA45" s="51">
        <f t="shared" si="36"/>
        <v>84</v>
      </c>
      <c r="AB45" s="51">
        <f t="shared" si="37"/>
        <v>-28</v>
      </c>
      <c r="AC45" s="51">
        <f t="shared" si="38"/>
        <v>-51</v>
      </c>
      <c r="AD45" s="51">
        <f t="shared" si="39"/>
        <v>-12</v>
      </c>
      <c r="AE45" s="51">
        <f t="shared" si="40"/>
        <v>82</v>
      </c>
      <c r="AF45" s="64">
        <f t="shared" si="41"/>
        <v>14</v>
      </c>
      <c r="AG45" s="51">
        <f t="shared" si="42"/>
        <v>-94</v>
      </c>
      <c r="AH45" s="51">
        <f t="shared" si="43"/>
        <v>-4</v>
      </c>
      <c r="AI45" s="51">
        <f t="shared" si="44"/>
        <v>1</v>
      </c>
      <c r="AJ45" s="51">
        <f t="shared" si="45"/>
        <v>15</v>
      </c>
    </row>
    <row r="46" spans="1:36" s="2" customFormat="1" x14ac:dyDescent="0.25">
      <c r="A46" s="10" t="s">
        <v>46</v>
      </c>
      <c r="B46" s="65">
        <f t="shared" si="24"/>
        <v>0</v>
      </c>
      <c r="C46" s="65">
        <f t="shared" si="25"/>
        <v>9.2646207295888818E-3</v>
      </c>
      <c r="D46" s="65">
        <f t="shared" si="26"/>
        <v>4.1248016922263354E-2</v>
      </c>
      <c r="E46" s="65">
        <f t="shared" si="27"/>
        <v>1.4532243415077202E-2</v>
      </c>
      <c r="F46" s="65">
        <f t="shared" si="28"/>
        <v>7.3735725938009783E-2</v>
      </c>
      <c r="G46" s="65">
        <f t="shared" si="29"/>
        <v>8.2723833543505682E-2</v>
      </c>
      <c r="H46" s="65">
        <f t="shared" si="30"/>
        <v>2.0518358531317494E-2</v>
      </c>
      <c r="I46" s="65">
        <f t="shared" si="31"/>
        <v>2.164076332874287E-2</v>
      </c>
      <c r="J46" s="65">
        <f t="shared" si="32"/>
        <v>0</v>
      </c>
      <c r="K46" s="65">
        <f t="shared" si="33"/>
        <v>0</v>
      </c>
      <c r="L46" s="65">
        <f t="shared" si="34"/>
        <v>0</v>
      </c>
      <c r="M46" s="172"/>
      <c r="N46" s="63">
        <v>0</v>
      </c>
      <c r="O46" s="51">
        <v>16</v>
      </c>
      <c r="P46" s="51">
        <v>78</v>
      </c>
      <c r="Q46" s="51">
        <v>32</v>
      </c>
      <c r="R46" s="51">
        <v>226</v>
      </c>
      <c r="S46" s="51">
        <v>328</v>
      </c>
      <c r="T46" s="64">
        <v>95</v>
      </c>
      <c r="U46" s="51">
        <v>110</v>
      </c>
      <c r="V46" s="51">
        <v>0</v>
      </c>
      <c r="W46" s="51">
        <v>0</v>
      </c>
      <c r="X46" s="51">
        <v>0</v>
      </c>
      <c r="Y46" s="166"/>
      <c r="Z46" s="63"/>
      <c r="AA46" s="51">
        <f t="shared" si="36"/>
        <v>16</v>
      </c>
      <c r="AB46" s="51">
        <f t="shared" si="37"/>
        <v>62</v>
      </c>
      <c r="AC46" s="51">
        <f t="shared" si="38"/>
        <v>-46</v>
      </c>
      <c r="AD46" s="51">
        <f t="shared" si="39"/>
        <v>194</v>
      </c>
      <c r="AE46" s="51">
        <f t="shared" si="40"/>
        <v>102</v>
      </c>
      <c r="AF46" s="64">
        <f t="shared" si="41"/>
        <v>-233</v>
      </c>
      <c r="AG46" s="51">
        <f t="shared" si="42"/>
        <v>15</v>
      </c>
      <c r="AH46" s="51">
        <f t="shared" si="43"/>
        <v>-110</v>
      </c>
      <c r="AI46" s="51">
        <f t="shared" si="44"/>
        <v>0</v>
      </c>
      <c r="AJ46" s="51">
        <f t="shared" si="45"/>
        <v>0</v>
      </c>
    </row>
    <row r="47" spans="1:36" s="2" customFormat="1" x14ac:dyDescent="0.25">
      <c r="A47" s="10" t="s">
        <v>44</v>
      </c>
      <c r="B47" s="65">
        <f t="shared" si="24"/>
        <v>0.13131313131313133</v>
      </c>
      <c r="C47" s="65">
        <f t="shared" si="25"/>
        <v>-4.0532715691951361E-3</v>
      </c>
      <c r="D47" s="65">
        <f t="shared" si="26"/>
        <v>0</v>
      </c>
      <c r="E47" s="65">
        <f t="shared" si="27"/>
        <v>0</v>
      </c>
      <c r="F47" s="65">
        <f t="shared" si="28"/>
        <v>3.5889070146818925E-3</v>
      </c>
      <c r="G47" s="65">
        <f t="shared" si="29"/>
        <v>3.0264817150063052E-2</v>
      </c>
      <c r="H47" s="65">
        <f t="shared" si="30"/>
        <v>-4.3196544276457883E-4</v>
      </c>
      <c r="I47" s="65">
        <f t="shared" si="31"/>
        <v>5.9020263623844188E-4</v>
      </c>
      <c r="J47" s="65">
        <f t="shared" si="32"/>
        <v>0</v>
      </c>
      <c r="K47" s="65">
        <f t="shared" si="33"/>
        <v>0</v>
      </c>
      <c r="L47" s="65">
        <f t="shared" si="34"/>
        <v>0</v>
      </c>
      <c r="M47" s="172"/>
      <c r="N47" s="63">
        <v>156</v>
      </c>
      <c r="O47" s="51">
        <v>-7</v>
      </c>
      <c r="P47" s="51">
        <v>0</v>
      </c>
      <c r="Q47" s="51">
        <v>0</v>
      </c>
      <c r="R47" s="51">
        <v>11</v>
      </c>
      <c r="S47" s="51">
        <v>120</v>
      </c>
      <c r="T47" s="64">
        <v>-2</v>
      </c>
      <c r="U47" s="51">
        <v>3</v>
      </c>
      <c r="V47" s="51">
        <v>0</v>
      </c>
      <c r="W47" s="51">
        <v>0</v>
      </c>
      <c r="X47" s="51">
        <v>0</v>
      </c>
      <c r="Y47" s="166"/>
      <c r="Z47" s="63"/>
      <c r="AA47" s="51">
        <f t="shared" si="36"/>
        <v>-163</v>
      </c>
      <c r="AB47" s="51">
        <f t="shared" si="37"/>
        <v>7</v>
      </c>
      <c r="AC47" s="51">
        <f t="shared" si="38"/>
        <v>0</v>
      </c>
      <c r="AD47" s="51">
        <f t="shared" si="39"/>
        <v>11</v>
      </c>
      <c r="AE47" s="51">
        <f t="shared" si="40"/>
        <v>109</v>
      </c>
      <c r="AF47" s="64">
        <f t="shared" si="41"/>
        <v>-122</v>
      </c>
      <c r="AG47" s="51">
        <f t="shared" si="42"/>
        <v>5</v>
      </c>
      <c r="AH47" s="51">
        <f t="shared" si="43"/>
        <v>-3</v>
      </c>
      <c r="AI47" s="51">
        <f t="shared" si="44"/>
        <v>0</v>
      </c>
      <c r="AJ47" s="51">
        <f t="shared" si="45"/>
        <v>0</v>
      </c>
    </row>
    <row r="48" spans="1:36" s="2" customFormat="1" x14ac:dyDescent="0.25">
      <c r="A48" s="10" t="s">
        <v>45</v>
      </c>
      <c r="B48" s="65">
        <f t="shared" si="24"/>
        <v>0.23821548821548821</v>
      </c>
      <c r="C48" s="65">
        <f t="shared" si="25"/>
        <v>0</v>
      </c>
      <c r="D48" s="65">
        <f t="shared" si="26"/>
        <v>0</v>
      </c>
      <c r="E48" s="65">
        <f t="shared" si="27"/>
        <v>0</v>
      </c>
      <c r="F48" s="65">
        <f t="shared" si="28"/>
        <v>6.0032626427406199E-2</v>
      </c>
      <c r="G48" s="65">
        <f t="shared" si="29"/>
        <v>3.8335435056746532E-2</v>
      </c>
      <c r="H48" s="65">
        <f t="shared" si="30"/>
        <v>0</v>
      </c>
      <c r="I48" s="65">
        <f t="shared" si="31"/>
        <v>-4.721621089907535E-3</v>
      </c>
      <c r="J48" s="65">
        <f t="shared" si="32"/>
        <v>0</v>
      </c>
      <c r="K48" s="65">
        <f t="shared" si="33"/>
        <v>0</v>
      </c>
      <c r="L48" s="65">
        <f t="shared" si="34"/>
        <v>0</v>
      </c>
      <c r="M48" s="172"/>
      <c r="N48" s="63">
        <v>283</v>
      </c>
      <c r="O48" s="51">
        <v>0</v>
      </c>
      <c r="P48" s="51">
        <v>0</v>
      </c>
      <c r="Q48" s="51">
        <v>0</v>
      </c>
      <c r="R48" s="51">
        <v>184</v>
      </c>
      <c r="S48" s="51">
        <v>152</v>
      </c>
      <c r="T48" s="64">
        <v>0</v>
      </c>
      <c r="U48" s="51">
        <v>-24</v>
      </c>
      <c r="V48" s="51">
        <v>0</v>
      </c>
      <c r="W48" s="51">
        <v>0</v>
      </c>
      <c r="X48" s="51">
        <v>0</v>
      </c>
      <c r="Y48" s="166"/>
      <c r="Z48" s="63"/>
      <c r="AA48" s="51">
        <f t="shared" si="36"/>
        <v>-283</v>
      </c>
      <c r="AB48" s="51">
        <f t="shared" si="37"/>
        <v>0</v>
      </c>
      <c r="AC48" s="51">
        <f t="shared" si="38"/>
        <v>0</v>
      </c>
      <c r="AD48" s="51">
        <f t="shared" si="39"/>
        <v>184</v>
      </c>
      <c r="AE48" s="51">
        <f t="shared" si="40"/>
        <v>-32</v>
      </c>
      <c r="AF48" s="64">
        <f t="shared" si="41"/>
        <v>-152</v>
      </c>
      <c r="AG48" s="51">
        <f t="shared" si="42"/>
        <v>-24</v>
      </c>
      <c r="AH48" s="51">
        <f t="shared" si="43"/>
        <v>24</v>
      </c>
      <c r="AI48" s="51">
        <f t="shared" si="44"/>
        <v>0</v>
      </c>
      <c r="AJ48" s="51">
        <f t="shared" si="45"/>
        <v>0</v>
      </c>
    </row>
    <row r="49" spans="1:36" s="3" customFormat="1" ht="15.75" thickBot="1" x14ac:dyDescent="0.3">
      <c r="A49" s="42" t="s">
        <v>40</v>
      </c>
      <c r="B49" s="58">
        <f t="shared" si="24"/>
        <v>0.4208754208754209</v>
      </c>
      <c r="C49" s="58">
        <f t="shared" si="25"/>
        <v>0.75275043427909671</v>
      </c>
      <c r="D49" s="58">
        <f t="shared" si="26"/>
        <v>0.41089370703331568</v>
      </c>
      <c r="E49" s="58">
        <f t="shared" si="27"/>
        <v>1.9073569482288829E-2</v>
      </c>
      <c r="F49" s="58">
        <f t="shared" si="28"/>
        <v>6.5252854812398037E-2</v>
      </c>
      <c r="G49" s="58">
        <f t="shared" si="29"/>
        <v>0</v>
      </c>
      <c r="H49" s="58">
        <f t="shared" si="30"/>
        <v>0</v>
      </c>
      <c r="I49" s="58">
        <f t="shared" si="31"/>
        <v>2.4788510722014559E-2</v>
      </c>
      <c r="J49" s="58">
        <f t="shared" si="32"/>
        <v>0.12461574840387799</v>
      </c>
      <c r="K49" s="58">
        <f t="shared" si="33"/>
        <v>0.10047846889952153</v>
      </c>
      <c r="L49" s="58">
        <f t="shared" si="34"/>
        <v>0.14100693177672383</v>
      </c>
      <c r="M49" s="172"/>
      <c r="N49" s="33">
        <v>500</v>
      </c>
      <c r="O49" s="34">
        <v>1300</v>
      </c>
      <c r="P49" s="34">
        <v>777</v>
      </c>
      <c r="Q49" s="34">
        <v>42</v>
      </c>
      <c r="R49" s="34">
        <v>200</v>
      </c>
      <c r="S49" s="34">
        <v>0</v>
      </c>
      <c r="T49" s="55">
        <v>0</v>
      </c>
      <c r="U49" s="34">
        <v>126</v>
      </c>
      <c r="V49" s="34">
        <v>527</v>
      </c>
      <c r="W49" s="34">
        <v>525</v>
      </c>
      <c r="X49" s="34">
        <v>773</v>
      </c>
      <c r="Y49" s="166"/>
      <c r="Z49" s="33"/>
      <c r="AA49" s="34">
        <f t="shared" si="36"/>
        <v>800</v>
      </c>
      <c r="AB49" s="34">
        <f t="shared" si="37"/>
        <v>-523</v>
      </c>
      <c r="AC49" s="34">
        <f t="shared" si="38"/>
        <v>-735</v>
      </c>
      <c r="AD49" s="34">
        <f t="shared" si="39"/>
        <v>158</v>
      </c>
      <c r="AE49" s="34">
        <f t="shared" si="40"/>
        <v>-200</v>
      </c>
      <c r="AF49" s="55">
        <f t="shared" si="41"/>
        <v>0</v>
      </c>
      <c r="AG49" s="34">
        <f t="shared" si="42"/>
        <v>126</v>
      </c>
      <c r="AH49" s="34">
        <f t="shared" si="43"/>
        <v>401</v>
      </c>
      <c r="AI49" s="34">
        <f t="shared" si="44"/>
        <v>-2</v>
      </c>
      <c r="AJ49" s="34">
        <f t="shared" si="45"/>
        <v>248</v>
      </c>
    </row>
    <row r="50" spans="1:36" s="32" customFormat="1" ht="15.75" thickBot="1" x14ac:dyDescent="0.3">
      <c r="A50" s="44" t="s">
        <v>41</v>
      </c>
      <c r="B50" s="60">
        <f t="shared" si="24"/>
        <v>0</v>
      </c>
      <c r="C50" s="60">
        <f t="shared" si="25"/>
        <v>0</v>
      </c>
      <c r="D50" s="60">
        <f t="shared" si="26"/>
        <v>0</v>
      </c>
      <c r="E50" s="60">
        <f t="shared" si="27"/>
        <v>0</v>
      </c>
      <c r="F50" s="60">
        <f t="shared" si="28"/>
        <v>0</v>
      </c>
      <c r="G50" s="60">
        <f t="shared" si="29"/>
        <v>0</v>
      </c>
      <c r="H50" s="60">
        <f t="shared" si="30"/>
        <v>0</v>
      </c>
      <c r="I50" s="60">
        <f t="shared" si="31"/>
        <v>0</v>
      </c>
      <c r="J50" s="60">
        <f t="shared" si="32"/>
        <v>0</v>
      </c>
      <c r="K50" s="60">
        <f t="shared" si="33"/>
        <v>0</v>
      </c>
      <c r="L50" s="60">
        <f t="shared" si="34"/>
        <v>0</v>
      </c>
      <c r="M50" s="173"/>
      <c r="N50" s="30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61">
        <v>0</v>
      </c>
      <c r="U50" s="31">
        <v>0</v>
      </c>
      <c r="V50" s="31">
        <v>0</v>
      </c>
      <c r="W50" s="31">
        <v>0</v>
      </c>
      <c r="X50" s="31">
        <v>0</v>
      </c>
      <c r="Y50" s="167"/>
      <c r="Z50" s="30"/>
      <c r="AA50" s="31">
        <f t="shared" si="36"/>
        <v>0</v>
      </c>
      <c r="AB50" s="31">
        <f t="shared" si="37"/>
        <v>0</v>
      </c>
      <c r="AC50" s="31">
        <f t="shared" si="38"/>
        <v>0</v>
      </c>
      <c r="AD50" s="31">
        <f t="shared" si="39"/>
        <v>0</v>
      </c>
      <c r="AE50" s="31">
        <f t="shared" si="40"/>
        <v>0</v>
      </c>
      <c r="AF50" s="61">
        <f t="shared" si="41"/>
        <v>0</v>
      </c>
      <c r="AG50" s="31">
        <f t="shared" si="42"/>
        <v>0</v>
      </c>
      <c r="AH50" s="31">
        <f t="shared" si="43"/>
        <v>0</v>
      </c>
      <c r="AI50" s="31">
        <f t="shared" si="44"/>
        <v>0</v>
      </c>
      <c r="AJ50" s="31">
        <f t="shared" si="45"/>
        <v>0</v>
      </c>
    </row>
    <row r="51" spans="1:36" s="4" customFormat="1" ht="15.75" thickBot="1" x14ac:dyDescent="0.3">
      <c r="A51" s="41" t="s">
        <v>42</v>
      </c>
      <c r="B51" s="59">
        <f t="shared" si="24"/>
        <v>1</v>
      </c>
      <c r="C51" s="59">
        <f t="shared" si="25"/>
        <v>1</v>
      </c>
      <c r="D51" s="59">
        <f t="shared" si="26"/>
        <v>1</v>
      </c>
      <c r="E51" s="59">
        <f t="shared" si="27"/>
        <v>1</v>
      </c>
      <c r="F51" s="59">
        <f t="shared" si="28"/>
        <v>1</v>
      </c>
      <c r="G51" s="59">
        <f t="shared" si="29"/>
        <v>1</v>
      </c>
      <c r="H51" s="59">
        <f t="shared" si="30"/>
        <v>1</v>
      </c>
      <c r="I51" s="59">
        <f t="shared" si="31"/>
        <v>1</v>
      </c>
      <c r="J51" s="59">
        <f t="shared" si="32"/>
        <v>1</v>
      </c>
      <c r="K51" s="59">
        <f t="shared" si="33"/>
        <v>1</v>
      </c>
      <c r="L51" s="59">
        <f t="shared" si="34"/>
        <v>1</v>
      </c>
      <c r="M51" s="79"/>
      <c r="N51" s="20">
        <f>N36+N28</f>
        <v>1188</v>
      </c>
      <c r="O51" s="20">
        <f t="shared" ref="O51:X51" si="46">O36+O28</f>
        <v>1727</v>
      </c>
      <c r="P51" s="20">
        <f t="shared" si="46"/>
        <v>1891</v>
      </c>
      <c r="Q51" s="20">
        <f t="shared" si="46"/>
        <v>2202</v>
      </c>
      <c r="R51" s="20">
        <f t="shared" si="46"/>
        <v>3065</v>
      </c>
      <c r="S51" s="20">
        <f t="shared" si="46"/>
        <v>3965</v>
      </c>
      <c r="T51" s="20">
        <f t="shared" si="46"/>
        <v>4630</v>
      </c>
      <c r="U51" s="20">
        <f t="shared" si="46"/>
        <v>5083</v>
      </c>
      <c r="V51" s="20">
        <f t="shared" si="46"/>
        <v>4229</v>
      </c>
      <c r="W51" s="20">
        <f t="shared" si="46"/>
        <v>5225</v>
      </c>
      <c r="X51" s="20">
        <f t="shared" si="46"/>
        <v>5482</v>
      </c>
      <c r="Y51" s="72"/>
      <c r="Z51" s="20"/>
      <c r="AA51" s="7">
        <f t="shared" si="36"/>
        <v>539</v>
      </c>
      <c r="AB51" s="7">
        <f t="shared" si="37"/>
        <v>164</v>
      </c>
      <c r="AC51" s="7">
        <f t="shared" si="38"/>
        <v>311</v>
      </c>
      <c r="AD51" s="7">
        <f t="shared" si="39"/>
        <v>863</v>
      </c>
      <c r="AE51" s="7">
        <f t="shared" si="40"/>
        <v>900</v>
      </c>
      <c r="AF51" s="50">
        <f t="shared" si="41"/>
        <v>665</v>
      </c>
      <c r="AG51" s="7">
        <f t="shared" si="42"/>
        <v>453</v>
      </c>
      <c r="AH51" s="7">
        <f t="shared" si="43"/>
        <v>-854</v>
      </c>
      <c r="AI51" s="7">
        <f t="shared" si="44"/>
        <v>996</v>
      </c>
      <c r="AJ51" s="7">
        <f t="shared" si="45"/>
        <v>257</v>
      </c>
    </row>
    <row r="52" spans="1:36" ht="15" customHeight="1" x14ac:dyDescent="0.25">
      <c r="A52" s="168" t="s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36" ht="15.75" customHeight="1" thickBot="1" x14ac:dyDescent="0.3">
      <c r="A53" s="169"/>
      <c r="B53" s="26">
        <v>2004</v>
      </c>
      <c r="C53" s="27">
        <v>2005</v>
      </c>
      <c r="D53" s="27">
        <v>2006</v>
      </c>
      <c r="E53" s="27">
        <v>2007</v>
      </c>
      <c r="F53" s="27">
        <v>2008</v>
      </c>
      <c r="G53" s="27">
        <v>2009</v>
      </c>
      <c r="H53" s="49">
        <v>2010</v>
      </c>
      <c r="I53" s="27">
        <v>2011</v>
      </c>
      <c r="J53" s="27">
        <v>2012</v>
      </c>
      <c r="K53" s="27">
        <v>2013</v>
      </c>
      <c r="L53" s="27">
        <v>2014</v>
      </c>
      <c r="M53" s="86"/>
      <c r="N53" s="1"/>
      <c r="O53" s="80" t="s">
        <v>80</v>
      </c>
      <c r="P53" s="28" t="s">
        <v>81</v>
      </c>
      <c r="Q53" s="28" t="s">
        <v>82</v>
      </c>
      <c r="R53" s="28" t="s">
        <v>83</v>
      </c>
      <c r="S53" s="28" t="s">
        <v>84</v>
      </c>
      <c r="T53" s="78" t="s">
        <v>85</v>
      </c>
      <c r="U53" s="28" t="s">
        <v>86</v>
      </c>
      <c r="V53" s="28" t="s">
        <v>87</v>
      </c>
      <c r="W53" s="28" t="s">
        <v>88</v>
      </c>
      <c r="X53" s="28" t="s">
        <v>89</v>
      </c>
      <c r="Z53" s="80" t="s">
        <v>80</v>
      </c>
      <c r="AA53" s="28" t="s">
        <v>81</v>
      </c>
      <c r="AB53" s="28" t="s">
        <v>82</v>
      </c>
      <c r="AC53" s="28" t="s">
        <v>83</v>
      </c>
      <c r="AD53" s="28" t="s">
        <v>84</v>
      </c>
      <c r="AE53" s="78" t="s">
        <v>85</v>
      </c>
      <c r="AF53" s="28" t="s">
        <v>86</v>
      </c>
      <c r="AG53" s="28" t="s">
        <v>87</v>
      </c>
      <c r="AH53" s="28" t="s">
        <v>88</v>
      </c>
      <c r="AI53" s="28" t="s">
        <v>89</v>
      </c>
      <c r="AJ53" s="28"/>
    </row>
    <row r="54" spans="1:36" ht="60.75" customHeight="1" thickBot="1" x14ac:dyDescent="0.3">
      <c r="A54" s="44" t="s">
        <v>48</v>
      </c>
      <c r="B54" s="30">
        <v>8798</v>
      </c>
      <c r="C54" s="31">
        <v>6732</v>
      </c>
      <c r="D54" s="31">
        <v>7694</v>
      </c>
      <c r="E54" s="31">
        <v>9460</v>
      </c>
      <c r="F54" s="31">
        <v>8705</v>
      </c>
      <c r="G54" s="31">
        <v>10144</v>
      </c>
      <c r="H54" s="61">
        <v>12243</v>
      </c>
      <c r="I54" s="31">
        <v>11985</v>
      </c>
      <c r="J54" s="31">
        <v>12126</v>
      </c>
      <c r="K54" s="31">
        <v>13083</v>
      </c>
      <c r="L54" s="31">
        <v>13101</v>
      </c>
      <c r="M54" s="81"/>
      <c r="N54" s="165" t="s">
        <v>78</v>
      </c>
      <c r="O54" s="30">
        <f t="shared" ref="O54:O82" si="47">C54-B54</f>
        <v>-2066</v>
      </c>
      <c r="P54" s="31">
        <f t="shared" ref="P54:P82" si="48">D54-C54</f>
        <v>962</v>
      </c>
      <c r="Q54" s="31">
        <f t="shared" ref="Q54:Q82" si="49">E54-D54</f>
        <v>1766</v>
      </c>
      <c r="R54" s="31">
        <f t="shared" ref="R54:R82" si="50">F54-E54</f>
        <v>-755</v>
      </c>
      <c r="S54" s="31">
        <f t="shared" ref="S54:S82" si="51">G54-F54</f>
        <v>1439</v>
      </c>
      <c r="T54" s="31">
        <f t="shared" ref="T54:T82" si="52">H54-G54</f>
        <v>2099</v>
      </c>
      <c r="U54" s="31">
        <f t="shared" ref="U54:U82" si="53">I54-H54</f>
        <v>-258</v>
      </c>
      <c r="V54" s="31">
        <f t="shared" ref="V54:V82" si="54">J54-I54</f>
        <v>141</v>
      </c>
      <c r="W54" s="31">
        <f t="shared" ref="W54:W82" si="55">K54-J54</f>
        <v>957</v>
      </c>
      <c r="X54" s="31">
        <f t="shared" ref="X54:X82" si="56">L54-K54</f>
        <v>18</v>
      </c>
      <c r="Y54" s="165" t="s">
        <v>78</v>
      </c>
      <c r="Z54" s="60">
        <f t="shared" ref="Z54:AI58" si="57">(C54-B54)/B54</f>
        <v>-0.23482609684019096</v>
      </c>
      <c r="AA54" s="60">
        <f t="shared" si="57"/>
        <v>0.14289958407605466</v>
      </c>
      <c r="AB54" s="60">
        <f t="shared" si="57"/>
        <v>0.22952950350922796</v>
      </c>
      <c r="AC54" s="60">
        <f t="shared" si="57"/>
        <v>-7.980972515856237E-2</v>
      </c>
      <c r="AD54" s="60">
        <f t="shared" si="57"/>
        <v>0.1653072946582424</v>
      </c>
      <c r="AE54" s="60">
        <f t="shared" si="57"/>
        <v>0.20692034700315456</v>
      </c>
      <c r="AF54" s="60">
        <f t="shared" si="57"/>
        <v>-2.1073266356285224E-2</v>
      </c>
      <c r="AG54" s="60">
        <f t="shared" si="57"/>
        <v>1.1764705882352941E-2</v>
      </c>
      <c r="AH54" s="60">
        <f t="shared" si="57"/>
        <v>7.8921326076199907E-2</v>
      </c>
      <c r="AI54" s="60">
        <f t="shared" si="57"/>
        <v>1.3758312313689521E-3</v>
      </c>
      <c r="AJ54" s="60"/>
    </row>
    <row r="55" spans="1:36" x14ac:dyDescent="0.25">
      <c r="A55" s="47" t="s">
        <v>49</v>
      </c>
      <c r="B55" s="63">
        <v>6550</v>
      </c>
      <c r="C55" s="51">
        <v>4263</v>
      </c>
      <c r="D55" s="51">
        <v>4792</v>
      </c>
      <c r="E55" s="51">
        <v>5884</v>
      </c>
      <c r="F55" s="51">
        <v>5492</v>
      </c>
      <c r="G55" s="51">
        <v>6432</v>
      </c>
      <c r="H55" s="64">
        <v>7875</v>
      </c>
      <c r="I55" s="51">
        <v>8363</v>
      </c>
      <c r="J55" s="51">
        <v>7990</v>
      </c>
      <c r="K55" s="51">
        <v>8514</v>
      </c>
      <c r="L55" s="51">
        <v>9859</v>
      </c>
      <c r="M55" s="87"/>
      <c r="N55" s="166"/>
      <c r="O55" s="63">
        <f t="shared" si="47"/>
        <v>-2287</v>
      </c>
      <c r="P55" s="51">
        <f t="shared" si="48"/>
        <v>529</v>
      </c>
      <c r="Q55" s="51">
        <f t="shared" si="49"/>
        <v>1092</v>
      </c>
      <c r="R55" s="51">
        <f t="shared" si="50"/>
        <v>-392</v>
      </c>
      <c r="S55" s="51">
        <f t="shared" si="51"/>
        <v>940</v>
      </c>
      <c r="T55" s="64">
        <f t="shared" si="52"/>
        <v>1443</v>
      </c>
      <c r="U55" s="51">
        <f t="shared" si="53"/>
        <v>488</v>
      </c>
      <c r="V55" s="51">
        <f t="shared" si="54"/>
        <v>-373</v>
      </c>
      <c r="W55" s="51">
        <f t="shared" si="55"/>
        <v>524</v>
      </c>
      <c r="X55" s="51">
        <f t="shared" si="56"/>
        <v>1345</v>
      </c>
      <c r="Y55" s="166"/>
      <c r="Z55" s="62">
        <f t="shared" si="57"/>
        <v>-0.34916030534351145</v>
      </c>
      <c r="AA55" s="62">
        <f t="shared" si="57"/>
        <v>0.12409101571663148</v>
      </c>
      <c r="AB55" s="62">
        <f t="shared" si="57"/>
        <v>0.22787979966611019</v>
      </c>
      <c r="AC55" s="62">
        <f t="shared" si="57"/>
        <v>-6.6621346023113523E-2</v>
      </c>
      <c r="AD55" s="91">
        <f t="shared" si="57"/>
        <v>0.17115804806991988</v>
      </c>
      <c r="AE55" s="62">
        <f t="shared" si="57"/>
        <v>0.22434701492537312</v>
      </c>
      <c r="AF55" s="62">
        <f t="shared" si="57"/>
        <v>6.1968253968253971E-2</v>
      </c>
      <c r="AG55" s="62">
        <f t="shared" si="57"/>
        <v>-4.4601219658017457E-2</v>
      </c>
      <c r="AH55" s="62">
        <f t="shared" si="57"/>
        <v>6.5581977471839803E-2</v>
      </c>
      <c r="AI55" s="62">
        <f t="shared" si="57"/>
        <v>0.15797509983556496</v>
      </c>
      <c r="AJ55" s="62"/>
    </row>
    <row r="56" spans="1:36" ht="15.75" thickBot="1" x14ac:dyDescent="0.3">
      <c r="A56" s="47" t="s">
        <v>50</v>
      </c>
      <c r="B56" s="63">
        <v>2248</v>
      </c>
      <c r="C56" s="51">
        <v>2469</v>
      </c>
      <c r="D56" s="51">
        <v>2902</v>
      </c>
      <c r="E56" s="51">
        <v>3576</v>
      </c>
      <c r="F56" s="51">
        <v>3213</v>
      </c>
      <c r="G56" s="51">
        <v>3712</v>
      </c>
      <c r="H56" s="64">
        <v>4368</v>
      </c>
      <c r="I56" s="51">
        <v>3622</v>
      </c>
      <c r="J56" s="51">
        <v>4136</v>
      </c>
      <c r="K56" s="51">
        <v>4569</v>
      </c>
      <c r="L56" s="51">
        <v>3242</v>
      </c>
      <c r="M56" s="87"/>
      <c r="N56" s="166"/>
      <c r="O56" s="63">
        <f t="shared" si="47"/>
        <v>221</v>
      </c>
      <c r="P56" s="51">
        <f t="shared" si="48"/>
        <v>433</v>
      </c>
      <c r="Q56" s="51">
        <f t="shared" si="49"/>
        <v>674</v>
      </c>
      <c r="R56" s="51">
        <f t="shared" si="50"/>
        <v>-363</v>
      </c>
      <c r="S56" s="51">
        <f t="shared" si="51"/>
        <v>499</v>
      </c>
      <c r="T56" s="64">
        <f t="shared" si="52"/>
        <v>656</v>
      </c>
      <c r="U56" s="51">
        <f t="shared" si="53"/>
        <v>-746</v>
      </c>
      <c r="V56" s="51">
        <f t="shared" si="54"/>
        <v>514</v>
      </c>
      <c r="W56" s="51">
        <f t="shared" si="55"/>
        <v>433</v>
      </c>
      <c r="X56" s="51">
        <f t="shared" si="56"/>
        <v>-1327</v>
      </c>
      <c r="Y56" s="166"/>
      <c r="Z56" s="62">
        <f t="shared" si="57"/>
        <v>9.830960854092527E-2</v>
      </c>
      <c r="AA56" s="62">
        <f t="shared" si="57"/>
        <v>0.17537464560550831</v>
      </c>
      <c r="AB56" s="62">
        <f t="shared" si="57"/>
        <v>0.23225361819434873</v>
      </c>
      <c r="AC56" s="62">
        <f t="shared" si="57"/>
        <v>-0.10151006711409397</v>
      </c>
      <c r="AD56" s="91">
        <f t="shared" si="57"/>
        <v>0.15530656707127297</v>
      </c>
      <c r="AE56" s="62">
        <f t="shared" si="57"/>
        <v>0.17672413793103448</v>
      </c>
      <c r="AF56" s="62">
        <f t="shared" si="57"/>
        <v>-0.17078754578754579</v>
      </c>
      <c r="AG56" s="62">
        <f t="shared" si="57"/>
        <v>0.14191054665930425</v>
      </c>
      <c r="AH56" s="62">
        <f t="shared" si="57"/>
        <v>0.10469052224371374</v>
      </c>
      <c r="AI56" s="62">
        <f t="shared" si="57"/>
        <v>-0.29043554388268766</v>
      </c>
      <c r="AJ56" s="62"/>
    </row>
    <row r="57" spans="1:36" ht="15.75" thickBot="1" x14ac:dyDescent="0.3">
      <c r="A57" s="44" t="s">
        <v>51</v>
      </c>
      <c r="B57" s="30">
        <v>3003</v>
      </c>
      <c r="C57" s="31">
        <v>3842</v>
      </c>
      <c r="D57" s="31">
        <v>2802</v>
      </c>
      <c r="E57" s="31">
        <v>2668</v>
      </c>
      <c r="F57" s="31">
        <v>1778</v>
      </c>
      <c r="G57" s="31">
        <v>1658</v>
      </c>
      <c r="H57" s="61">
        <v>1915</v>
      </c>
      <c r="I57" s="31">
        <v>1714</v>
      </c>
      <c r="J57" s="31">
        <v>2051</v>
      </c>
      <c r="K57" s="31">
        <v>2685</v>
      </c>
      <c r="L57" s="31">
        <v>3907</v>
      </c>
      <c r="M57" s="81"/>
      <c r="N57" s="166"/>
      <c r="O57" s="30">
        <f t="shared" si="47"/>
        <v>839</v>
      </c>
      <c r="P57" s="31">
        <f t="shared" si="48"/>
        <v>-1040</v>
      </c>
      <c r="Q57" s="31">
        <f t="shared" si="49"/>
        <v>-134</v>
      </c>
      <c r="R57" s="31">
        <f t="shared" si="50"/>
        <v>-890</v>
      </c>
      <c r="S57" s="31">
        <f t="shared" si="51"/>
        <v>-120</v>
      </c>
      <c r="T57" s="61">
        <f t="shared" si="52"/>
        <v>257</v>
      </c>
      <c r="U57" s="31">
        <f t="shared" si="53"/>
        <v>-201</v>
      </c>
      <c r="V57" s="31">
        <f t="shared" si="54"/>
        <v>337</v>
      </c>
      <c r="W57" s="31">
        <f t="shared" si="55"/>
        <v>634</v>
      </c>
      <c r="X57" s="31">
        <f t="shared" si="56"/>
        <v>1222</v>
      </c>
      <c r="Y57" s="166"/>
      <c r="Z57" s="60">
        <f t="shared" si="57"/>
        <v>0.27938727938727936</v>
      </c>
      <c r="AA57" s="60">
        <f t="shared" si="57"/>
        <v>-0.27069234773555439</v>
      </c>
      <c r="AB57" s="60">
        <f t="shared" si="57"/>
        <v>-4.7822983583154892E-2</v>
      </c>
      <c r="AC57" s="60">
        <f t="shared" si="57"/>
        <v>-0.33358320839580208</v>
      </c>
      <c r="AD57" s="92">
        <f t="shared" si="57"/>
        <v>-6.7491563554555684E-2</v>
      </c>
      <c r="AE57" s="60">
        <f t="shared" si="57"/>
        <v>0.15500603136308805</v>
      </c>
      <c r="AF57" s="60">
        <f t="shared" si="57"/>
        <v>-0.10496083550913839</v>
      </c>
      <c r="AG57" s="60">
        <f t="shared" si="57"/>
        <v>0.19661610268378063</v>
      </c>
      <c r="AH57" s="60">
        <f t="shared" si="57"/>
        <v>0.30911750365675278</v>
      </c>
      <c r="AI57" s="60">
        <f t="shared" si="57"/>
        <v>0.45512104283054006</v>
      </c>
      <c r="AJ57" s="60"/>
    </row>
    <row r="58" spans="1:36" ht="30" x14ac:dyDescent="0.25">
      <c r="A58" s="47" t="s">
        <v>52</v>
      </c>
      <c r="B58" s="63">
        <v>3002</v>
      </c>
      <c r="C58" s="51">
        <v>3823</v>
      </c>
      <c r="D58" s="51">
        <v>2775</v>
      </c>
      <c r="E58" s="51">
        <v>2651</v>
      </c>
      <c r="F58" s="51">
        <v>1762</v>
      </c>
      <c r="G58" s="51">
        <v>1634</v>
      </c>
      <c r="H58" s="64">
        <v>1912</v>
      </c>
      <c r="I58" s="51">
        <v>1714</v>
      </c>
      <c r="J58" s="51">
        <v>2051</v>
      </c>
      <c r="K58" s="51">
        <v>2685</v>
      </c>
      <c r="L58" s="51">
        <v>3908</v>
      </c>
      <c r="M58" s="87"/>
      <c r="N58" s="166"/>
      <c r="O58" s="63">
        <f t="shared" si="47"/>
        <v>821</v>
      </c>
      <c r="P58" s="51">
        <f t="shared" si="48"/>
        <v>-1048</v>
      </c>
      <c r="Q58" s="51">
        <f t="shared" si="49"/>
        <v>-124</v>
      </c>
      <c r="R58" s="51">
        <f t="shared" si="50"/>
        <v>-889</v>
      </c>
      <c r="S58" s="51">
        <f t="shared" si="51"/>
        <v>-128</v>
      </c>
      <c r="T58" s="64">
        <f t="shared" si="52"/>
        <v>278</v>
      </c>
      <c r="U58" s="51">
        <f t="shared" si="53"/>
        <v>-198</v>
      </c>
      <c r="V58" s="51">
        <f t="shared" si="54"/>
        <v>337</v>
      </c>
      <c r="W58" s="51">
        <f t="shared" si="55"/>
        <v>634</v>
      </c>
      <c r="X58" s="51">
        <f t="shared" si="56"/>
        <v>1223</v>
      </c>
      <c r="Y58" s="166"/>
      <c r="Z58" s="62">
        <f t="shared" si="57"/>
        <v>0.27348434377081943</v>
      </c>
      <c r="AA58" s="62">
        <f t="shared" si="57"/>
        <v>-0.27413026419042635</v>
      </c>
      <c r="AB58" s="62">
        <f t="shared" si="57"/>
        <v>-4.4684684684684686E-2</v>
      </c>
      <c r="AC58" s="62">
        <f t="shared" si="57"/>
        <v>-0.33534515277253868</v>
      </c>
      <c r="AD58" s="91">
        <f t="shared" si="57"/>
        <v>-7.2644721906923948E-2</v>
      </c>
      <c r="AE58" s="62">
        <f t="shared" si="57"/>
        <v>0.1701346389228886</v>
      </c>
      <c r="AF58" s="62">
        <f t="shared" si="57"/>
        <v>-0.10355648535564854</v>
      </c>
      <c r="AG58" s="62">
        <f t="shared" si="57"/>
        <v>0.19661610268378063</v>
      </c>
      <c r="AH58" s="62">
        <f t="shared" si="57"/>
        <v>0.30911750365675278</v>
      </c>
      <c r="AI58" s="62">
        <f t="shared" si="57"/>
        <v>0.45549348230912479</v>
      </c>
      <c r="AJ58" s="62"/>
    </row>
    <row r="59" spans="1:36" x14ac:dyDescent="0.25">
      <c r="A59" s="10" t="s">
        <v>53</v>
      </c>
      <c r="B59" s="63">
        <v>1</v>
      </c>
      <c r="C59" s="51">
        <v>19</v>
      </c>
      <c r="D59" s="51">
        <v>27</v>
      </c>
      <c r="E59" s="51">
        <v>17</v>
      </c>
      <c r="F59" s="51">
        <v>16</v>
      </c>
      <c r="G59" s="51">
        <v>24</v>
      </c>
      <c r="H59" s="64">
        <v>3</v>
      </c>
      <c r="I59" s="51">
        <v>0</v>
      </c>
      <c r="J59" s="51">
        <v>0</v>
      </c>
      <c r="K59" s="51">
        <v>0</v>
      </c>
      <c r="L59" s="51">
        <v>-1</v>
      </c>
      <c r="M59" s="87"/>
      <c r="N59" s="166"/>
      <c r="O59" s="63">
        <f t="shared" si="47"/>
        <v>18</v>
      </c>
      <c r="P59" s="51">
        <f t="shared" si="48"/>
        <v>8</v>
      </c>
      <c r="Q59" s="51">
        <f t="shared" si="49"/>
        <v>-10</v>
      </c>
      <c r="R59" s="51">
        <f t="shared" si="50"/>
        <v>-1</v>
      </c>
      <c r="S59" s="51">
        <f t="shared" si="51"/>
        <v>8</v>
      </c>
      <c r="T59" s="64">
        <f t="shared" si="52"/>
        <v>-21</v>
      </c>
      <c r="U59" s="51">
        <f t="shared" si="53"/>
        <v>-3</v>
      </c>
      <c r="V59" s="51">
        <f t="shared" si="54"/>
        <v>0</v>
      </c>
      <c r="W59" s="51">
        <f t="shared" si="55"/>
        <v>0</v>
      </c>
      <c r="X59" s="51">
        <f t="shared" si="56"/>
        <v>-1</v>
      </c>
      <c r="Y59" s="166"/>
      <c r="Z59" s="62">
        <f t="shared" ref="Z59:AF59" si="58">(C59-B59)/B59</f>
        <v>18</v>
      </c>
      <c r="AA59" s="62">
        <f t="shared" si="58"/>
        <v>0.42105263157894735</v>
      </c>
      <c r="AB59" s="62">
        <f t="shared" si="58"/>
        <v>-0.37037037037037035</v>
      </c>
      <c r="AC59" s="62">
        <f t="shared" si="58"/>
        <v>-5.8823529411764705E-2</v>
      </c>
      <c r="AD59" s="91">
        <f t="shared" si="58"/>
        <v>0.5</v>
      </c>
      <c r="AE59" s="62">
        <f t="shared" si="58"/>
        <v>-0.875</v>
      </c>
      <c r="AF59" s="62">
        <f t="shared" si="58"/>
        <v>-1</v>
      </c>
      <c r="AG59" s="62"/>
      <c r="AH59" s="62"/>
      <c r="AI59" s="62"/>
      <c r="AJ59" s="62"/>
    </row>
    <row r="60" spans="1:36" ht="15.75" thickBot="1" x14ac:dyDescent="0.3">
      <c r="A60" s="10" t="s">
        <v>54</v>
      </c>
      <c r="B60" s="63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64">
        <v>0</v>
      </c>
      <c r="I60" s="51">
        <v>0</v>
      </c>
      <c r="J60" s="51">
        <v>0</v>
      </c>
      <c r="K60" s="51">
        <v>0</v>
      </c>
      <c r="L60" s="51">
        <v>0</v>
      </c>
      <c r="M60" s="87"/>
      <c r="N60" s="166"/>
      <c r="O60" s="63">
        <f t="shared" si="47"/>
        <v>0</v>
      </c>
      <c r="P60" s="51">
        <f t="shared" si="48"/>
        <v>0</v>
      </c>
      <c r="Q60" s="51">
        <f t="shared" si="49"/>
        <v>0</v>
      </c>
      <c r="R60" s="51">
        <f t="shared" si="50"/>
        <v>0</v>
      </c>
      <c r="S60" s="51">
        <f t="shared" si="51"/>
        <v>0</v>
      </c>
      <c r="T60" s="64">
        <f t="shared" si="52"/>
        <v>0</v>
      </c>
      <c r="U60" s="51">
        <f t="shared" si="53"/>
        <v>0</v>
      </c>
      <c r="V60" s="51">
        <f t="shared" si="54"/>
        <v>0</v>
      </c>
      <c r="W60" s="51">
        <f t="shared" si="55"/>
        <v>0</v>
      </c>
      <c r="X60" s="51">
        <f t="shared" si="56"/>
        <v>0</v>
      </c>
      <c r="Y60" s="166"/>
      <c r="Z60" s="62"/>
      <c r="AA60" s="62"/>
      <c r="AB60" s="62"/>
      <c r="AC60" s="62"/>
      <c r="AD60" s="91"/>
      <c r="AE60" s="62"/>
      <c r="AF60" s="62"/>
      <c r="AG60" s="62"/>
      <c r="AH60" s="62"/>
      <c r="AI60" s="62"/>
      <c r="AJ60" s="62"/>
    </row>
    <row r="61" spans="1:36" s="1" customFormat="1" ht="15.75" thickBot="1" x14ac:dyDescent="0.3">
      <c r="A61" s="44" t="s">
        <v>55</v>
      </c>
      <c r="B61" s="30">
        <v>4074</v>
      </c>
      <c r="C61" s="31">
        <v>3973</v>
      </c>
      <c r="D61" s="31">
        <v>3064</v>
      </c>
      <c r="E61" s="31">
        <v>3095</v>
      </c>
      <c r="F61" s="31">
        <v>2784</v>
      </c>
      <c r="G61" s="31">
        <v>2948</v>
      </c>
      <c r="H61" s="61">
        <v>3300</v>
      </c>
      <c r="I61" s="31">
        <v>2970</v>
      </c>
      <c r="J61" s="31">
        <v>3116</v>
      </c>
      <c r="K61" s="31">
        <v>3794</v>
      </c>
      <c r="L61" s="31">
        <v>3835</v>
      </c>
      <c r="M61" s="81"/>
      <c r="N61" s="166"/>
      <c r="O61" s="30">
        <f t="shared" si="47"/>
        <v>-101</v>
      </c>
      <c r="P61" s="31">
        <f t="shared" si="48"/>
        <v>-909</v>
      </c>
      <c r="Q61" s="31">
        <f t="shared" si="49"/>
        <v>31</v>
      </c>
      <c r="R61" s="31">
        <f t="shared" si="50"/>
        <v>-311</v>
      </c>
      <c r="S61" s="31">
        <f t="shared" si="51"/>
        <v>164</v>
      </c>
      <c r="T61" s="61">
        <f t="shared" si="52"/>
        <v>352</v>
      </c>
      <c r="U61" s="31">
        <f t="shared" si="53"/>
        <v>-330</v>
      </c>
      <c r="V61" s="31">
        <f t="shared" si="54"/>
        <v>146</v>
      </c>
      <c r="W61" s="31">
        <f t="shared" si="55"/>
        <v>678</v>
      </c>
      <c r="X61" s="31">
        <f t="shared" si="56"/>
        <v>41</v>
      </c>
      <c r="Y61" s="166"/>
      <c r="Z61" s="60">
        <f t="shared" ref="Z61:AI67" si="59">(C61-B61)/B61</f>
        <v>-2.4791359842906233E-2</v>
      </c>
      <c r="AA61" s="60">
        <f t="shared" si="59"/>
        <v>-0.22879436194311603</v>
      </c>
      <c r="AB61" s="60">
        <f t="shared" si="59"/>
        <v>1.0117493472584857E-2</v>
      </c>
      <c r="AC61" s="60">
        <f t="shared" si="59"/>
        <v>-0.10048465266558966</v>
      </c>
      <c r="AD61" s="92">
        <f t="shared" si="59"/>
        <v>5.8908045977011492E-2</v>
      </c>
      <c r="AE61" s="60">
        <f t="shared" si="59"/>
        <v>0.11940298507462686</v>
      </c>
      <c r="AF61" s="60">
        <f t="shared" si="59"/>
        <v>-0.1</v>
      </c>
      <c r="AG61" s="60">
        <f t="shared" si="59"/>
        <v>4.9158249158249158E-2</v>
      </c>
      <c r="AH61" s="60">
        <f t="shared" si="59"/>
        <v>0.21758664955070603</v>
      </c>
      <c r="AI61" s="60">
        <f t="shared" si="59"/>
        <v>1.080653663679494E-2</v>
      </c>
      <c r="AJ61" s="60"/>
    </row>
    <row r="62" spans="1:36" x14ac:dyDescent="0.25">
      <c r="A62" s="10" t="s">
        <v>56</v>
      </c>
      <c r="B62" s="63">
        <v>1748</v>
      </c>
      <c r="C62" s="51">
        <v>2263</v>
      </c>
      <c r="D62" s="51">
        <v>1602</v>
      </c>
      <c r="E62" s="51">
        <v>1586</v>
      </c>
      <c r="F62" s="51">
        <v>1207</v>
      </c>
      <c r="G62" s="51">
        <v>1244</v>
      </c>
      <c r="H62" s="64">
        <v>1348</v>
      </c>
      <c r="I62" s="51">
        <v>900</v>
      </c>
      <c r="J62" s="51">
        <v>1066</v>
      </c>
      <c r="K62" s="51">
        <v>1752</v>
      </c>
      <c r="L62" s="51">
        <v>1796</v>
      </c>
      <c r="M62" s="87"/>
      <c r="N62" s="166"/>
      <c r="O62" s="63">
        <f t="shared" si="47"/>
        <v>515</v>
      </c>
      <c r="P62" s="51">
        <f t="shared" si="48"/>
        <v>-661</v>
      </c>
      <c r="Q62" s="51">
        <f t="shared" si="49"/>
        <v>-16</v>
      </c>
      <c r="R62" s="51">
        <f t="shared" si="50"/>
        <v>-379</v>
      </c>
      <c r="S62" s="51">
        <f t="shared" si="51"/>
        <v>37</v>
      </c>
      <c r="T62" s="64">
        <f t="shared" si="52"/>
        <v>104</v>
      </c>
      <c r="U62" s="51">
        <f t="shared" si="53"/>
        <v>-448</v>
      </c>
      <c r="V62" s="51">
        <f t="shared" si="54"/>
        <v>166</v>
      </c>
      <c r="W62" s="51">
        <f t="shared" si="55"/>
        <v>686</v>
      </c>
      <c r="X62" s="51">
        <f t="shared" si="56"/>
        <v>44</v>
      </c>
      <c r="Y62" s="166"/>
      <c r="Z62" s="62">
        <f t="shared" si="59"/>
        <v>0.29462242562929064</v>
      </c>
      <c r="AA62" s="62">
        <f t="shared" si="59"/>
        <v>-0.29209014582412729</v>
      </c>
      <c r="AB62" s="62">
        <f t="shared" si="59"/>
        <v>-9.9875156054931337E-3</v>
      </c>
      <c r="AC62" s="62">
        <f t="shared" si="59"/>
        <v>-0.23896595208070617</v>
      </c>
      <c r="AD62" s="91">
        <f t="shared" si="59"/>
        <v>3.0654515327257662E-2</v>
      </c>
      <c r="AE62" s="62">
        <f t="shared" si="59"/>
        <v>8.3601286173633438E-2</v>
      </c>
      <c r="AF62" s="62">
        <f t="shared" si="59"/>
        <v>-0.33234421364985162</v>
      </c>
      <c r="AG62" s="62">
        <f t="shared" si="59"/>
        <v>0.18444444444444444</v>
      </c>
      <c r="AH62" s="62">
        <f t="shared" si="59"/>
        <v>0.64352720450281431</v>
      </c>
      <c r="AI62" s="62">
        <f t="shared" si="59"/>
        <v>2.5114155251141551E-2</v>
      </c>
      <c r="AJ62" s="62"/>
    </row>
    <row r="63" spans="1:36" x14ac:dyDescent="0.25">
      <c r="A63" s="10" t="s">
        <v>57</v>
      </c>
      <c r="B63" s="63">
        <v>2326</v>
      </c>
      <c r="C63" s="51">
        <v>1710</v>
      </c>
      <c r="D63" s="51">
        <v>1462</v>
      </c>
      <c r="E63" s="51">
        <v>1511</v>
      </c>
      <c r="F63" s="51">
        <v>1577</v>
      </c>
      <c r="G63" s="51">
        <v>1704</v>
      </c>
      <c r="H63" s="64">
        <v>1953</v>
      </c>
      <c r="I63" s="51">
        <v>2070</v>
      </c>
      <c r="J63" s="51">
        <v>2050</v>
      </c>
      <c r="K63" s="51">
        <v>2042</v>
      </c>
      <c r="L63" s="51">
        <v>2039</v>
      </c>
      <c r="M63" s="87"/>
      <c r="N63" s="166"/>
      <c r="O63" s="63">
        <f t="shared" si="47"/>
        <v>-616</v>
      </c>
      <c r="P63" s="51">
        <f t="shared" si="48"/>
        <v>-248</v>
      </c>
      <c r="Q63" s="51">
        <f t="shared" si="49"/>
        <v>49</v>
      </c>
      <c r="R63" s="51">
        <f t="shared" si="50"/>
        <v>66</v>
      </c>
      <c r="S63" s="51">
        <f t="shared" si="51"/>
        <v>127</v>
      </c>
      <c r="T63" s="64">
        <f t="shared" si="52"/>
        <v>249</v>
      </c>
      <c r="U63" s="51">
        <f t="shared" si="53"/>
        <v>117</v>
      </c>
      <c r="V63" s="51">
        <f t="shared" si="54"/>
        <v>-20</v>
      </c>
      <c r="W63" s="51">
        <f t="shared" si="55"/>
        <v>-8</v>
      </c>
      <c r="X63" s="51">
        <f t="shared" si="56"/>
        <v>-3</v>
      </c>
      <c r="Y63" s="166"/>
      <c r="Z63" s="62">
        <f t="shared" si="59"/>
        <v>-0.26483233018056751</v>
      </c>
      <c r="AA63" s="62">
        <f t="shared" si="59"/>
        <v>-0.14502923976608187</v>
      </c>
      <c r="AB63" s="62">
        <f t="shared" si="59"/>
        <v>3.3515731874145006E-2</v>
      </c>
      <c r="AC63" s="62">
        <f t="shared" si="59"/>
        <v>4.367968232958306E-2</v>
      </c>
      <c r="AD63" s="91">
        <f t="shared" si="59"/>
        <v>8.0532656943563735E-2</v>
      </c>
      <c r="AE63" s="62">
        <f t="shared" si="59"/>
        <v>0.14612676056338028</v>
      </c>
      <c r="AF63" s="62">
        <f t="shared" si="59"/>
        <v>5.9907834101382486E-2</v>
      </c>
      <c r="AG63" s="62">
        <f t="shared" si="59"/>
        <v>-9.6618357487922701E-3</v>
      </c>
      <c r="AH63" s="62">
        <f t="shared" si="59"/>
        <v>-3.9024390243902439E-3</v>
      </c>
      <c r="AI63" s="62">
        <f t="shared" si="59"/>
        <v>-1.4691478942213516E-3</v>
      </c>
      <c r="AJ63" s="62"/>
    </row>
    <row r="64" spans="1:36" s="1" customFormat="1" ht="15.75" thickBot="1" x14ac:dyDescent="0.3">
      <c r="A64" s="41" t="s">
        <v>58</v>
      </c>
      <c r="B64" s="20">
        <f>B56+B57-B61</f>
        <v>1177</v>
      </c>
      <c r="C64" s="20">
        <f t="shared" ref="C64:L64" si="60">C56+C57-C61</f>
        <v>2338</v>
      </c>
      <c r="D64" s="20">
        <f t="shared" si="60"/>
        <v>2640</v>
      </c>
      <c r="E64" s="20">
        <f t="shared" si="60"/>
        <v>3149</v>
      </c>
      <c r="F64" s="20">
        <f t="shared" si="60"/>
        <v>2207</v>
      </c>
      <c r="G64" s="20">
        <f t="shared" si="60"/>
        <v>2422</v>
      </c>
      <c r="H64" s="20">
        <f t="shared" si="60"/>
        <v>2983</v>
      </c>
      <c r="I64" s="20">
        <f t="shared" si="60"/>
        <v>2366</v>
      </c>
      <c r="J64" s="20">
        <f t="shared" si="60"/>
        <v>3071</v>
      </c>
      <c r="K64" s="20">
        <f t="shared" si="60"/>
        <v>3460</v>
      </c>
      <c r="L64" s="20">
        <f t="shared" si="60"/>
        <v>3314</v>
      </c>
      <c r="M64" s="88"/>
      <c r="N64" s="166"/>
      <c r="O64" s="20">
        <f t="shared" si="47"/>
        <v>1161</v>
      </c>
      <c r="P64" s="20">
        <f t="shared" si="48"/>
        <v>302</v>
      </c>
      <c r="Q64" s="20">
        <f t="shared" si="49"/>
        <v>509</v>
      </c>
      <c r="R64" s="20">
        <f t="shared" si="50"/>
        <v>-942</v>
      </c>
      <c r="S64" s="20">
        <f t="shared" si="51"/>
        <v>215</v>
      </c>
      <c r="T64" s="20">
        <f t="shared" si="52"/>
        <v>561</v>
      </c>
      <c r="U64" s="20">
        <f t="shared" si="53"/>
        <v>-617</v>
      </c>
      <c r="V64" s="20">
        <f t="shared" si="54"/>
        <v>705</v>
      </c>
      <c r="W64" s="20">
        <f t="shared" si="55"/>
        <v>389</v>
      </c>
      <c r="X64" s="20">
        <f t="shared" si="56"/>
        <v>-146</v>
      </c>
      <c r="Y64" s="166"/>
      <c r="Z64" s="93">
        <f t="shared" si="59"/>
        <v>0.9864061172472387</v>
      </c>
      <c r="AA64" s="93">
        <f t="shared" si="59"/>
        <v>0.12917023096663816</v>
      </c>
      <c r="AB64" s="93">
        <f t="shared" si="59"/>
        <v>0.19280303030303031</v>
      </c>
      <c r="AC64" s="93">
        <f t="shared" si="59"/>
        <v>-0.29914258494760243</v>
      </c>
      <c r="AD64" s="93">
        <f t="shared" si="59"/>
        <v>9.7417308563661084E-2</v>
      </c>
      <c r="AE64" s="93">
        <f t="shared" si="59"/>
        <v>0.23162675474814204</v>
      </c>
      <c r="AF64" s="93">
        <f t="shared" si="59"/>
        <v>-0.20683875293328863</v>
      </c>
      <c r="AG64" s="93">
        <f t="shared" si="59"/>
        <v>0.29797125950972103</v>
      </c>
      <c r="AH64" s="93">
        <f t="shared" si="59"/>
        <v>0.126668837512211</v>
      </c>
      <c r="AI64" s="93">
        <f t="shared" si="59"/>
        <v>-4.2196531791907514E-2</v>
      </c>
      <c r="AJ64" s="93"/>
    </row>
    <row r="65" spans="1:36" s="1" customFormat="1" ht="15.75" thickBot="1" x14ac:dyDescent="0.3">
      <c r="A65" s="44" t="s">
        <v>59</v>
      </c>
      <c r="B65" s="30">
        <v>2174</v>
      </c>
      <c r="C65" s="31">
        <v>1510</v>
      </c>
      <c r="D65" s="31">
        <v>1314</v>
      </c>
      <c r="E65" s="31">
        <v>1327</v>
      </c>
      <c r="F65" s="31">
        <v>1465</v>
      </c>
      <c r="G65" s="31">
        <v>1570</v>
      </c>
      <c r="H65" s="61">
        <v>1285</v>
      </c>
      <c r="I65" s="31">
        <v>1367</v>
      </c>
      <c r="J65" s="31">
        <v>1406</v>
      </c>
      <c r="K65" s="31">
        <v>1535</v>
      </c>
      <c r="L65" s="31">
        <v>1950</v>
      </c>
      <c r="M65" s="81"/>
      <c r="N65" s="166"/>
      <c r="O65" s="30">
        <f t="shared" si="47"/>
        <v>-664</v>
      </c>
      <c r="P65" s="31">
        <f t="shared" si="48"/>
        <v>-196</v>
      </c>
      <c r="Q65" s="31">
        <f t="shared" si="49"/>
        <v>13</v>
      </c>
      <c r="R65" s="31">
        <f t="shared" si="50"/>
        <v>138</v>
      </c>
      <c r="S65" s="31">
        <f t="shared" si="51"/>
        <v>105</v>
      </c>
      <c r="T65" s="61">
        <f t="shared" si="52"/>
        <v>-285</v>
      </c>
      <c r="U65" s="31">
        <f t="shared" si="53"/>
        <v>82</v>
      </c>
      <c r="V65" s="31">
        <f t="shared" si="54"/>
        <v>39</v>
      </c>
      <c r="W65" s="31">
        <f t="shared" si="55"/>
        <v>129</v>
      </c>
      <c r="X65" s="31">
        <f t="shared" si="56"/>
        <v>415</v>
      </c>
      <c r="Y65" s="166"/>
      <c r="Z65" s="60">
        <f t="shared" si="59"/>
        <v>-0.30542778288868444</v>
      </c>
      <c r="AA65" s="60">
        <f t="shared" si="59"/>
        <v>-0.12980132450331125</v>
      </c>
      <c r="AB65" s="60">
        <f t="shared" si="59"/>
        <v>9.8934550989345504E-3</v>
      </c>
      <c r="AC65" s="60">
        <f t="shared" si="59"/>
        <v>0.10399397136397889</v>
      </c>
      <c r="AD65" s="92">
        <f t="shared" si="59"/>
        <v>7.1672354948805458E-2</v>
      </c>
      <c r="AE65" s="60">
        <f t="shared" si="59"/>
        <v>-0.18152866242038215</v>
      </c>
      <c r="AF65" s="60">
        <f t="shared" si="59"/>
        <v>6.3813229571984431E-2</v>
      </c>
      <c r="AG65" s="60">
        <f t="shared" si="59"/>
        <v>2.8529626920263351E-2</v>
      </c>
      <c r="AH65" s="60">
        <f t="shared" si="59"/>
        <v>9.1749644381223322E-2</v>
      </c>
      <c r="AI65" s="60">
        <f t="shared" si="59"/>
        <v>0.27035830618892509</v>
      </c>
      <c r="AJ65" s="60"/>
    </row>
    <row r="66" spans="1:36" x14ac:dyDescent="0.25">
      <c r="A66" s="10" t="s">
        <v>60</v>
      </c>
      <c r="B66" s="63">
        <v>1528</v>
      </c>
      <c r="C66" s="51">
        <v>1060</v>
      </c>
      <c r="D66" s="51">
        <v>894</v>
      </c>
      <c r="E66" s="51">
        <v>909</v>
      </c>
      <c r="F66" s="51">
        <v>1021</v>
      </c>
      <c r="G66" s="51">
        <v>1126</v>
      </c>
      <c r="H66" s="64">
        <v>890</v>
      </c>
      <c r="I66" s="51">
        <v>978</v>
      </c>
      <c r="J66" s="51">
        <v>1006</v>
      </c>
      <c r="K66" s="51">
        <v>1149</v>
      </c>
      <c r="L66" s="51">
        <v>1415</v>
      </c>
      <c r="M66" s="87"/>
      <c r="N66" s="166"/>
      <c r="O66" s="63">
        <f t="shared" si="47"/>
        <v>-468</v>
      </c>
      <c r="P66" s="51">
        <f t="shared" si="48"/>
        <v>-166</v>
      </c>
      <c r="Q66" s="51">
        <f t="shared" si="49"/>
        <v>15</v>
      </c>
      <c r="R66" s="51">
        <f t="shared" si="50"/>
        <v>112</v>
      </c>
      <c r="S66" s="51">
        <f t="shared" si="51"/>
        <v>105</v>
      </c>
      <c r="T66" s="64">
        <f t="shared" si="52"/>
        <v>-236</v>
      </c>
      <c r="U66" s="51">
        <f t="shared" si="53"/>
        <v>88</v>
      </c>
      <c r="V66" s="51">
        <f t="shared" si="54"/>
        <v>28</v>
      </c>
      <c r="W66" s="51">
        <f t="shared" si="55"/>
        <v>143</v>
      </c>
      <c r="X66" s="51">
        <f t="shared" si="56"/>
        <v>266</v>
      </c>
      <c r="Y66" s="166"/>
      <c r="Z66" s="62">
        <f t="shared" si="59"/>
        <v>-0.30628272251308902</v>
      </c>
      <c r="AA66" s="62">
        <f t="shared" si="59"/>
        <v>-0.15660377358490565</v>
      </c>
      <c r="AB66" s="62">
        <f t="shared" si="59"/>
        <v>1.6778523489932886E-2</v>
      </c>
      <c r="AC66" s="62">
        <f t="shared" si="59"/>
        <v>0.12321232123212321</v>
      </c>
      <c r="AD66" s="91">
        <f t="shared" si="59"/>
        <v>0.10284035259549461</v>
      </c>
      <c r="AE66" s="62">
        <f t="shared" si="59"/>
        <v>-0.20959147424511546</v>
      </c>
      <c r="AF66" s="62">
        <f t="shared" si="59"/>
        <v>9.8876404494382023E-2</v>
      </c>
      <c r="AG66" s="62">
        <f t="shared" si="59"/>
        <v>2.8629856850715747E-2</v>
      </c>
      <c r="AH66" s="62">
        <f t="shared" si="59"/>
        <v>0.14214711729622267</v>
      </c>
      <c r="AI66" s="62">
        <f t="shared" si="59"/>
        <v>0.23150565709312446</v>
      </c>
      <c r="AJ66" s="62"/>
    </row>
    <row r="67" spans="1:36" s="1" customFormat="1" x14ac:dyDescent="0.25">
      <c r="A67" s="10" t="s">
        <v>61</v>
      </c>
      <c r="B67" s="63">
        <v>588</v>
      </c>
      <c r="C67" s="51">
        <v>398</v>
      </c>
      <c r="D67" s="51">
        <v>355</v>
      </c>
      <c r="E67" s="51">
        <v>354</v>
      </c>
      <c r="F67" s="51">
        <v>409</v>
      </c>
      <c r="G67" s="51">
        <v>444</v>
      </c>
      <c r="H67" s="64">
        <v>364</v>
      </c>
      <c r="I67" s="51">
        <v>389</v>
      </c>
      <c r="J67" s="51">
        <v>400</v>
      </c>
      <c r="K67" s="51">
        <v>386</v>
      </c>
      <c r="L67" s="51">
        <v>534</v>
      </c>
      <c r="M67" s="87"/>
      <c r="N67" s="166"/>
      <c r="O67" s="63">
        <f t="shared" si="47"/>
        <v>-190</v>
      </c>
      <c r="P67" s="51">
        <f t="shared" si="48"/>
        <v>-43</v>
      </c>
      <c r="Q67" s="51">
        <f t="shared" si="49"/>
        <v>-1</v>
      </c>
      <c r="R67" s="51">
        <f t="shared" si="50"/>
        <v>55</v>
      </c>
      <c r="S67" s="51">
        <f t="shared" si="51"/>
        <v>35</v>
      </c>
      <c r="T67" s="64">
        <f t="shared" si="52"/>
        <v>-80</v>
      </c>
      <c r="U67" s="51">
        <f t="shared" si="53"/>
        <v>25</v>
      </c>
      <c r="V67" s="51">
        <f t="shared" si="54"/>
        <v>11</v>
      </c>
      <c r="W67" s="51">
        <f t="shared" si="55"/>
        <v>-14</v>
      </c>
      <c r="X67" s="51">
        <f t="shared" si="56"/>
        <v>148</v>
      </c>
      <c r="Y67" s="166"/>
      <c r="Z67" s="62">
        <f t="shared" si="59"/>
        <v>-0.3231292517006803</v>
      </c>
      <c r="AA67" s="62">
        <f t="shared" si="59"/>
        <v>-0.10804020100502512</v>
      </c>
      <c r="AB67" s="62">
        <f t="shared" si="59"/>
        <v>-2.8169014084507044E-3</v>
      </c>
      <c r="AC67" s="62">
        <f t="shared" si="59"/>
        <v>0.15536723163841809</v>
      </c>
      <c r="AD67" s="91">
        <f t="shared" si="59"/>
        <v>8.557457212713937E-2</v>
      </c>
      <c r="AE67" s="62">
        <f t="shared" si="59"/>
        <v>-0.18018018018018017</v>
      </c>
      <c r="AF67" s="62">
        <f t="shared" si="59"/>
        <v>6.8681318681318687E-2</v>
      </c>
      <c r="AG67" s="62">
        <f t="shared" si="59"/>
        <v>2.8277634961439587E-2</v>
      </c>
      <c r="AH67" s="62">
        <f t="shared" si="59"/>
        <v>-3.5000000000000003E-2</v>
      </c>
      <c r="AI67" s="62">
        <f t="shared" si="59"/>
        <v>0.38341968911917096</v>
      </c>
      <c r="AJ67" s="62"/>
    </row>
    <row r="68" spans="1:36" s="1" customFormat="1" ht="15.75" thickBot="1" x14ac:dyDescent="0.3">
      <c r="A68" s="10" t="s">
        <v>70</v>
      </c>
      <c r="B68" s="63">
        <v>58</v>
      </c>
      <c r="C68" s="51">
        <v>52</v>
      </c>
      <c r="D68" s="51">
        <v>65</v>
      </c>
      <c r="E68" s="51">
        <v>64</v>
      </c>
      <c r="F68" s="51">
        <v>35</v>
      </c>
      <c r="G68" s="51">
        <v>0</v>
      </c>
      <c r="H68" s="64">
        <v>31</v>
      </c>
      <c r="I68" s="51">
        <v>0</v>
      </c>
      <c r="J68" s="51">
        <v>0</v>
      </c>
      <c r="K68" s="51">
        <v>0</v>
      </c>
      <c r="L68" s="51">
        <v>1</v>
      </c>
      <c r="M68" s="87"/>
      <c r="N68" s="166"/>
      <c r="O68" s="63">
        <f t="shared" si="47"/>
        <v>-6</v>
      </c>
      <c r="P68" s="51">
        <f t="shared" si="48"/>
        <v>13</v>
      </c>
      <c r="Q68" s="51">
        <f t="shared" si="49"/>
        <v>-1</v>
      </c>
      <c r="R68" s="51">
        <f t="shared" si="50"/>
        <v>-29</v>
      </c>
      <c r="S68" s="51">
        <f t="shared" si="51"/>
        <v>-35</v>
      </c>
      <c r="T68" s="64">
        <f t="shared" si="52"/>
        <v>31</v>
      </c>
      <c r="U68" s="51">
        <f t="shared" si="53"/>
        <v>-31</v>
      </c>
      <c r="V68" s="51">
        <f t="shared" si="54"/>
        <v>0</v>
      </c>
      <c r="W68" s="51">
        <f t="shared" si="55"/>
        <v>0</v>
      </c>
      <c r="X68" s="51">
        <f t="shared" si="56"/>
        <v>1</v>
      </c>
      <c r="Y68" s="166"/>
      <c r="Z68" s="62">
        <f t="shared" ref="Z68:AD69" si="61">(C68-B68)/B68</f>
        <v>-0.10344827586206896</v>
      </c>
      <c r="AA68" s="62">
        <f t="shared" si="61"/>
        <v>0.25</v>
      </c>
      <c r="AB68" s="62">
        <f t="shared" si="61"/>
        <v>-1.5384615384615385E-2</v>
      </c>
      <c r="AC68" s="62">
        <f t="shared" si="61"/>
        <v>-0.453125</v>
      </c>
      <c r="AD68" s="91">
        <f t="shared" si="61"/>
        <v>-1</v>
      </c>
      <c r="AE68" s="62"/>
      <c r="AF68" s="62">
        <f t="shared" ref="AF68:AF74" si="62">(I68-H68)/H68</f>
        <v>-1</v>
      </c>
      <c r="AG68" s="62"/>
      <c r="AH68" s="62"/>
      <c r="AI68" s="62"/>
      <c r="AJ68" s="62"/>
    </row>
    <row r="69" spans="1:36" ht="15.75" thickBot="1" x14ac:dyDescent="0.3">
      <c r="A69" s="44" t="s">
        <v>62</v>
      </c>
      <c r="B69" s="30">
        <v>27</v>
      </c>
      <c r="C69" s="31">
        <v>14</v>
      </c>
      <c r="D69" s="31">
        <v>24</v>
      </c>
      <c r="E69" s="31">
        <v>25</v>
      </c>
      <c r="F69" s="31">
        <v>17</v>
      </c>
      <c r="G69" s="31">
        <v>8</v>
      </c>
      <c r="H69" s="61">
        <v>19</v>
      </c>
      <c r="I69" s="31">
        <v>19</v>
      </c>
      <c r="J69" s="31">
        <v>21</v>
      </c>
      <c r="K69" s="31">
        <v>19</v>
      </c>
      <c r="L69" s="31">
        <v>63</v>
      </c>
      <c r="M69" s="81"/>
      <c r="N69" s="166"/>
      <c r="O69" s="30">
        <f t="shared" si="47"/>
        <v>-13</v>
      </c>
      <c r="P69" s="31">
        <f t="shared" si="48"/>
        <v>10</v>
      </c>
      <c r="Q69" s="31">
        <f t="shared" si="49"/>
        <v>1</v>
      </c>
      <c r="R69" s="31">
        <f t="shared" si="50"/>
        <v>-8</v>
      </c>
      <c r="S69" s="31">
        <f t="shared" si="51"/>
        <v>-9</v>
      </c>
      <c r="T69" s="61">
        <f t="shared" si="52"/>
        <v>11</v>
      </c>
      <c r="U69" s="31">
        <f t="shared" si="53"/>
        <v>0</v>
      </c>
      <c r="V69" s="31">
        <f t="shared" si="54"/>
        <v>2</v>
      </c>
      <c r="W69" s="31">
        <f t="shared" si="55"/>
        <v>-2</v>
      </c>
      <c r="X69" s="31">
        <f t="shared" si="56"/>
        <v>44</v>
      </c>
      <c r="Y69" s="166"/>
      <c r="Z69" s="60">
        <f t="shared" si="61"/>
        <v>-0.48148148148148145</v>
      </c>
      <c r="AA69" s="60">
        <f t="shared" si="61"/>
        <v>0.7142857142857143</v>
      </c>
      <c r="AB69" s="60">
        <f t="shared" si="61"/>
        <v>4.1666666666666664E-2</v>
      </c>
      <c r="AC69" s="60">
        <f t="shared" si="61"/>
        <v>-0.32</v>
      </c>
      <c r="AD69" s="92">
        <f t="shared" si="61"/>
        <v>-0.52941176470588236</v>
      </c>
      <c r="AE69" s="60">
        <f t="shared" ref="AE69:AE74" si="63">(H69-G69)/G69</f>
        <v>1.375</v>
      </c>
      <c r="AF69" s="60">
        <f t="shared" si="62"/>
        <v>0</v>
      </c>
      <c r="AG69" s="60">
        <f t="shared" ref="AG69:AI71" si="64">(J69-I69)/I69</f>
        <v>0.10526315789473684</v>
      </c>
      <c r="AH69" s="60">
        <f t="shared" si="64"/>
        <v>-9.5238095238095233E-2</v>
      </c>
      <c r="AI69" s="60">
        <f t="shared" si="64"/>
        <v>2.3157894736842106</v>
      </c>
      <c r="AJ69" s="60"/>
    </row>
    <row r="70" spans="1:36" s="1" customFormat="1" ht="15.75" thickBot="1" x14ac:dyDescent="0.3">
      <c r="A70" s="44" t="s">
        <v>63</v>
      </c>
      <c r="B70" s="30">
        <v>0</v>
      </c>
      <c r="C70" s="31">
        <v>0</v>
      </c>
      <c r="D70" s="31">
        <v>85</v>
      </c>
      <c r="E70" s="31">
        <v>171</v>
      </c>
      <c r="F70" s="31">
        <v>228</v>
      </c>
      <c r="G70" s="31">
        <v>271</v>
      </c>
      <c r="H70" s="61">
        <v>435</v>
      </c>
      <c r="I70" s="31">
        <v>617</v>
      </c>
      <c r="J70" s="31">
        <v>592</v>
      </c>
      <c r="K70" s="31">
        <v>640</v>
      </c>
      <c r="L70" s="31">
        <v>539</v>
      </c>
      <c r="M70" s="81"/>
      <c r="N70" s="166"/>
      <c r="O70" s="30">
        <f t="shared" si="47"/>
        <v>0</v>
      </c>
      <c r="P70" s="31">
        <f t="shared" si="48"/>
        <v>85</v>
      </c>
      <c r="Q70" s="31">
        <f t="shared" si="49"/>
        <v>86</v>
      </c>
      <c r="R70" s="31">
        <f t="shared" si="50"/>
        <v>57</v>
      </c>
      <c r="S70" s="31">
        <f t="shared" si="51"/>
        <v>43</v>
      </c>
      <c r="T70" s="61">
        <f t="shared" si="52"/>
        <v>164</v>
      </c>
      <c r="U70" s="31">
        <f t="shared" si="53"/>
        <v>182</v>
      </c>
      <c r="V70" s="31">
        <f t="shared" si="54"/>
        <v>-25</v>
      </c>
      <c r="W70" s="31">
        <f t="shared" si="55"/>
        <v>48</v>
      </c>
      <c r="X70" s="31">
        <f t="shared" si="56"/>
        <v>-101</v>
      </c>
      <c r="Y70" s="166"/>
      <c r="Z70" s="60"/>
      <c r="AA70" s="60"/>
      <c r="AB70" s="60">
        <f t="shared" ref="AB70:AD74" si="65">(E70-D70)/D70</f>
        <v>1.0117647058823529</v>
      </c>
      <c r="AC70" s="60">
        <f t="shared" si="65"/>
        <v>0.33333333333333331</v>
      </c>
      <c r="AD70" s="92">
        <f t="shared" si="65"/>
        <v>0.18859649122807018</v>
      </c>
      <c r="AE70" s="60">
        <f t="shared" si="63"/>
        <v>0.60516605166051662</v>
      </c>
      <c r="AF70" s="60">
        <f t="shared" si="62"/>
        <v>0.41839080459770117</v>
      </c>
      <c r="AG70" s="60">
        <f t="shared" si="64"/>
        <v>-4.0518638573743923E-2</v>
      </c>
      <c r="AH70" s="60">
        <f t="shared" si="64"/>
        <v>8.1081081081081086E-2</v>
      </c>
      <c r="AI70" s="60">
        <f t="shared" si="64"/>
        <v>-0.15781249999999999</v>
      </c>
      <c r="AJ70" s="60"/>
    </row>
    <row r="71" spans="1:36" s="1" customFormat="1" ht="15.75" thickBot="1" x14ac:dyDescent="0.3">
      <c r="A71" s="44" t="s">
        <v>64</v>
      </c>
      <c r="B71" s="30">
        <v>33</v>
      </c>
      <c r="C71" s="31">
        <v>15</v>
      </c>
      <c r="D71" s="31">
        <v>625</v>
      </c>
      <c r="E71" s="31">
        <v>108</v>
      </c>
      <c r="F71" s="31">
        <v>57</v>
      </c>
      <c r="G71" s="31">
        <v>54</v>
      </c>
      <c r="H71" s="61">
        <v>314</v>
      </c>
      <c r="I71" s="31">
        <v>425</v>
      </c>
      <c r="J71" s="31">
        <v>62</v>
      </c>
      <c r="K71" s="31">
        <v>126</v>
      </c>
      <c r="L71" s="31">
        <v>548</v>
      </c>
      <c r="M71" s="81"/>
      <c r="N71" s="166"/>
      <c r="O71" s="30">
        <f t="shared" si="47"/>
        <v>-18</v>
      </c>
      <c r="P71" s="31">
        <f t="shared" si="48"/>
        <v>610</v>
      </c>
      <c r="Q71" s="31">
        <f t="shared" si="49"/>
        <v>-517</v>
      </c>
      <c r="R71" s="31">
        <f t="shared" si="50"/>
        <v>-51</v>
      </c>
      <c r="S71" s="31">
        <f t="shared" si="51"/>
        <v>-3</v>
      </c>
      <c r="T71" s="61">
        <f t="shared" si="52"/>
        <v>260</v>
      </c>
      <c r="U71" s="31">
        <f t="shared" si="53"/>
        <v>111</v>
      </c>
      <c r="V71" s="31">
        <f t="shared" si="54"/>
        <v>-363</v>
      </c>
      <c r="W71" s="31">
        <f t="shared" si="55"/>
        <v>64</v>
      </c>
      <c r="X71" s="31">
        <f t="shared" si="56"/>
        <v>422</v>
      </c>
      <c r="Y71" s="166"/>
      <c r="Z71" s="60">
        <f t="shared" ref="Z71:AA74" si="66">(C71-B71)/B71</f>
        <v>-0.54545454545454541</v>
      </c>
      <c r="AA71" s="60">
        <f t="shared" si="66"/>
        <v>40.666666666666664</v>
      </c>
      <c r="AB71" s="60">
        <f t="shared" si="65"/>
        <v>-0.82720000000000005</v>
      </c>
      <c r="AC71" s="60">
        <f t="shared" si="65"/>
        <v>-0.47222222222222221</v>
      </c>
      <c r="AD71" s="92">
        <f t="shared" si="65"/>
        <v>-5.2631578947368418E-2</v>
      </c>
      <c r="AE71" s="60">
        <f t="shared" si="63"/>
        <v>4.8148148148148149</v>
      </c>
      <c r="AF71" s="60">
        <f t="shared" si="62"/>
        <v>0.35350318471337577</v>
      </c>
      <c r="AG71" s="60">
        <f t="shared" si="64"/>
        <v>-0.85411764705882354</v>
      </c>
      <c r="AH71" s="60">
        <f t="shared" si="64"/>
        <v>1.032258064516129</v>
      </c>
      <c r="AI71" s="60">
        <f t="shared" si="64"/>
        <v>3.3492063492063493</v>
      </c>
      <c r="AJ71" s="60"/>
    </row>
    <row r="72" spans="1:36" s="1" customFormat="1" ht="15.75" thickBot="1" x14ac:dyDescent="0.3">
      <c r="A72" s="44" t="s">
        <v>65</v>
      </c>
      <c r="B72" s="30">
        <v>120</v>
      </c>
      <c r="C72" s="31">
        <v>604</v>
      </c>
      <c r="D72" s="31">
        <v>109</v>
      </c>
      <c r="E72" s="31">
        <v>91</v>
      </c>
      <c r="F72" s="31">
        <v>208</v>
      </c>
      <c r="G72" s="31">
        <v>27</v>
      </c>
      <c r="H72" s="61">
        <v>8</v>
      </c>
      <c r="I72" s="31">
        <v>19</v>
      </c>
      <c r="J72" s="31">
        <v>16</v>
      </c>
      <c r="K72" s="31">
        <v>0</v>
      </c>
      <c r="L72" s="31">
        <v>1</v>
      </c>
      <c r="M72" s="81"/>
      <c r="N72" s="166"/>
      <c r="O72" s="30">
        <f t="shared" si="47"/>
        <v>484</v>
      </c>
      <c r="P72" s="31">
        <f t="shared" si="48"/>
        <v>-495</v>
      </c>
      <c r="Q72" s="31">
        <f t="shared" si="49"/>
        <v>-18</v>
      </c>
      <c r="R72" s="31">
        <f t="shared" si="50"/>
        <v>117</v>
      </c>
      <c r="S72" s="31">
        <f t="shared" si="51"/>
        <v>-181</v>
      </c>
      <c r="T72" s="61">
        <f t="shared" si="52"/>
        <v>-19</v>
      </c>
      <c r="U72" s="31">
        <f t="shared" si="53"/>
        <v>11</v>
      </c>
      <c r="V72" s="31">
        <f t="shared" si="54"/>
        <v>-3</v>
      </c>
      <c r="W72" s="31">
        <f t="shared" si="55"/>
        <v>-16</v>
      </c>
      <c r="X72" s="31">
        <f t="shared" si="56"/>
        <v>1</v>
      </c>
      <c r="Y72" s="166"/>
      <c r="Z72" s="60">
        <f t="shared" si="66"/>
        <v>4.0333333333333332</v>
      </c>
      <c r="AA72" s="60">
        <f t="shared" si="66"/>
        <v>-0.81953642384105962</v>
      </c>
      <c r="AB72" s="60">
        <f t="shared" si="65"/>
        <v>-0.16513761467889909</v>
      </c>
      <c r="AC72" s="60">
        <f t="shared" si="65"/>
        <v>1.2857142857142858</v>
      </c>
      <c r="AD72" s="92">
        <f t="shared" si="65"/>
        <v>-0.87019230769230771</v>
      </c>
      <c r="AE72" s="60">
        <f t="shared" si="63"/>
        <v>-0.70370370370370372</v>
      </c>
      <c r="AF72" s="60">
        <f t="shared" si="62"/>
        <v>1.375</v>
      </c>
      <c r="AG72" s="60">
        <f t="shared" ref="AG72:AH74" si="67">(J72-I72)/I72</f>
        <v>-0.15789473684210525</v>
      </c>
      <c r="AH72" s="60">
        <f t="shared" si="67"/>
        <v>-1</v>
      </c>
      <c r="AI72" s="60"/>
      <c r="AJ72" s="60"/>
    </row>
    <row r="73" spans="1:36" s="1" customFormat="1" ht="15.75" thickBot="1" x14ac:dyDescent="0.3">
      <c r="A73" s="44" t="s">
        <v>66</v>
      </c>
      <c r="B73" s="30">
        <v>124</v>
      </c>
      <c r="C73" s="31">
        <v>349</v>
      </c>
      <c r="D73" s="31">
        <v>296</v>
      </c>
      <c r="E73" s="31">
        <v>223</v>
      </c>
      <c r="F73" s="31">
        <v>192</v>
      </c>
      <c r="G73" s="31">
        <v>48</v>
      </c>
      <c r="H73" s="61">
        <v>140</v>
      </c>
      <c r="I73" s="31">
        <v>56</v>
      </c>
      <c r="J73" s="31">
        <v>61</v>
      </c>
      <c r="K73" s="31">
        <v>81</v>
      </c>
      <c r="L73" s="31">
        <v>160</v>
      </c>
      <c r="M73" s="81"/>
      <c r="N73" s="166"/>
      <c r="O73" s="30">
        <f t="shared" si="47"/>
        <v>225</v>
      </c>
      <c r="P73" s="31">
        <f t="shared" si="48"/>
        <v>-53</v>
      </c>
      <c r="Q73" s="31">
        <f t="shared" si="49"/>
        <v>-73</v>
      </c>
      <c r="R73" s="31">
        <f t="shared" si="50"/>
        <v>-31</v>
      </c>
      <c r="S73" s="31">
        <f t="shared" si="51"/>
        <v>-144</v>
      </c>
      <c r="T73" s="61">
        <f t="shared" si="52"/>
        <v>92</v>
      </c>
      <c r="U73" s="31">
        <f t="shared" si="53"/>
        <v>-84</v>
      </c>
      <c r="V73" s="31">
        <f t="shared" si="54"/>
        <v>5</v>
      </c>
      <c r="W73" s="31">
        <f t="shared" si="55"/>
        <v>20</v>
      </c>
      <c r="X73" s="31">
        <f t="shared" si="56"/>
        <v>79</v>
      </c>
      <c r="Y73" s="166"/>
      <c r="Z73" s="60">
        <f t="shared" si="66"/>
        <v>1.814516129032258</v>
      </c>
      <c r="AA73" s="60">
        <f t="shared" si="66"/>
        <v>-0.15186246418338109</v>
      </c>
      <c r="AB73" s="60">
        <f t="shared" si="65"/>
        <v>-0.24662162162162163</v>
      </c>
      <c r="AC73" s="60">
        <f t="shared" si="65"/>
        <v>-0.13901345291479822</v>
      </c>
      <c r="AD73" s="92">
        <f t="shared" si="65"/>
        <v>-0.75</v>
      </c>
      <c r="AE73" s="60">
        <f t="shared" si="63"/>
        <v>1.9166666666666667</v>
      </c>
      <c r="AF73" s="60">
        <f t="shared" si="62"/>
        <v>-0.6</v>
      </c>
      <c r="AG73" s="60">
        <f t="shared" si="67"/>
        <v>8.9285714285714288E-2</v>
      </c>
      <c r="AH73" s="60">
        <f t="shared" si="67"/>
        <v>0.32786885245901637</v>
      </c>
      <c r="AI73" s="60">
        <f>(L73-K73)/K73</f>
        <v>0.97530864197530864</v>
      </c>
      <c r="AJ73" s="60"/>
    </row>
    <row r="74" spans="1:36" s="1" customFormat="1" ht="15.75" thickBot="1" x14ac:dyDescent="0.3">
      <c r="A74" s="41" t="s">
        <v>67</v>
      </c>
      <c r="B74" s="20">
        <v>-1002</v>
      </c>
      <c r="C74" s="7">
        <v>1078</v>
      </c>
      <c r="D74" s="7">
        <v>1553</v>
      </c>
      <c r="E74" s="7">
        <v>1574</v>
      </c>
      <c r="F74" s="7">
        <v>549</v>
      </c>
      <c r="G74" s="7">
        <v>606</v>
      </c>
      <c r="H74" s="50">
        <v>1426</v>
      </c>
      <c r="I74" s="7">
        <v>540</v>
      </c>
      <c r="J74" s="7">
        <v>1069</v>
      </c>
      <c r="K74" s="7">
        <v>1310</v>
      </c>
      <c r="L74" s="7">
        <v>1046</v>
      </c>
      <c r="M74" s="88"/>
      <c r="N74" s="166"/>
      <c r="O74" s="20">
        <f t="shared" si="47"/>
        <v>2080</v>
      </c>
      <c r="P74" s="7">
        <f t="shared" si="48"/>
        <v>475</v>
      </c>
      <c r="Q74" s="7">
        <f t="shared" si="49"/>
        <v>21</v>
      </c>
      <c r="R74" s="7">
        <f t="shared" si="50"/>
        <v>-1025</v>
      </c>
      <c r="S74" s="7">
        <f t="shared" si="51"/>
        <v>57</v>
      </c>
      <c r="T74" s="50">
        <f t="shared" si="52"/>
        <v>820</v>
      </c>
      <c r="U74" s="7">
        <f t="shared" si="53"/>
        <v>-886</v>
      </c>
      <c r="V74" s="7">
        <f t="shared" si="54"/>
        <v>529</v>
      </c>
      <c r="W74" s="7">
        <f t="shared" si="55"/>
        <v>241</v>
      </c>
      <c r="X74" s="7">
        <f t="shared" si="56"/>
        <v>-264</v>
      </c>
      <c r="Y74" s="166"/>
      <c r="Z74" s="59">
        <f t="shared" si="66"/>
        <v>-2.0758483033932134</v>
      </c>
      <c r="AA74" s="59">
        <f t="shared" si="66"/>
        <v>0.44063079777365494</v>
      </c>
      <c r="AB74" s="59">
        <f t="shared" si="65"/>
        <v>1.3522215067611075E-2</v>
      </c>
      <c r="AC74" s="59">
        <f t="shared" si="65"/>
        <v>-0.65120711562897082</v>
      </c>
      <c r="AD74" s="94">
        <f t="shared" si="65"/>
        <v>0.10382513661202186</v>
      </c>
      <c r="AE74" s="59">
        <f t="shared" si="63"/>
        <v>1.3531353135313531</v>
      </c>
      <c r="AF74" s="59">
        <f t="shared" si="62"/>
        <v>-0.62131837307152871</v>
      </c>
      <c r="AG74" s="59">
        <f t="shared" si="67"/>
        <v>0.97962962962962963</v>
      </c>
      <c r="AH74" s="59">
        <f t="shared" si="67"/>
        <v>0.225444340505145</v>
      </c>
      <c r="AI74" s="59">
        <f>(L74-K74)/K74</f>
        <v>-0.20152671755725191</v>
      </c>
      <c r="AJ74" s="59"/>
    </row>
    <row r="75" spans="1:36" s="1" customFormat="1" ht="15.75" thickBot="1" x14ac:dyDescent="0.3">
      <c r="A75" s="44" t="s">
        <v>72</v>
      </c>
      <c r="B75" s="30">
        <v>0</v>
      </c>
      <c r="C75" s="31">
        <v>0</v>
      </c>
      <c r="D75" s="31">
        <v>0</v>
      </c>
      <c r="E75" s="31">
        <v>12</v>
      </c>
      <c r="F75" s="31">
        <v>24</v>
      </c>
      <c r="G75" s="31">
        <v>0</v>
      </c>
      <c r="H75" s="61">
        <v>0</v>
      </c>
      <c r="I75" s="31">
        <v>0</v>
      </c>
      <c r="J75" s="31">
        <v>0</v>
      </c>
      <c r="K75" s="31">
        <v>0</v>
      </c>
      <c r="L75" s="31">
        <v>0</v>
      </c>
      <c r="M75" s="81"/>
      <c r="N75" s="166"/>
      <c r="O75" s="30">
        <f t="shared" si="47"/>
        <v>0</v>
      </c>
      <c r="P75" s="31">
        <f t="shared" si="48"/>
        <v>0</v>
      </c>
      <c r="Q75" s="31">
        <f t="shared" si="49"/>
        <v>12</v>
      </c>
      <c r="R75" s="31">
        <f t="shared" si="50"/>
        <v>12</v>
      </c>
      <c r="S75" s="31">
        <f t="shared" si="51"/>
        <v>-24</v>
      </c>
      <c r="T75" s="61">
        <f t="shared" si="52"/>
        <v>0</v>
      </c>
      <c r="U75" s="31">
        <f t="shared" si="53"/>
        <v>0</v>
      </c>
      <c r="V75" s="31">
        <f t="shared" si="54"/>
        <v>0</v>
      </c>
      <c r="W75" s="31">
        <f t="shared" si="55"/>
        <v>0</v>
      </c>
      <c r="X75" s="31">
        <f t="shared" si="56"/>
        <v>0</v>
      </c>
      <c r="Y75" s="166"/>
      <c r="Z75" s="60"/>
      <c r="AA75" s="60"/>
      <c r="AB75" s="60"/>
      <c r="AC75" s="60">
        <f t="shared" ref="AC75:AD80" si="68">(F75-E75)/E75</f>
        <v>1</v>
      </c>
      <c r="AD75" s="92">
        <f t="shared" si="68"/>
        <v>-1</v>
      </c>
      <c r="AE75" s="60"/>
      <c r="AF75" s="60"/>
      <c r="AG75" s="60"/>
      <c r="AH75" s="60"/>
      <c r="AI75" s="60"/>
      <c r="AJ75" s="60"/>
    </row>
    <row r="76" spans="1:36" s="1" customFormat="1" ht="15.75" thickBot="1" x14ac:dyDescent="0.3">
      <c r="A76" s="44" t="s">
        <v>68</v>
      </c>
      <c r="B76" s="30">
        <v>91</v>
      </c>
      <c r="C76" s="31">
        <v>144</v>
      </c>
      <c r="D76" s="31">
        <v>159</v>
      </c>
      <c r="E76" s="31">
        <v>157</v>
      </c>
      <c r="F76" s="31">
        <v>105</v>
      </c>
      <c r="G76" s="31">
        <v>7</v>
      </c>
      <c r="H76" s="61">
        <v>137</v>
      </c>
      <c r="I76" s="31">
        <v>19</v>
      </c>
      <c r="J76" s="31">
        <v>36</v>
      </c>
      <c r="K76" s="31">
        <v>143</v>
      </c>
      <c r="L76" s="31">
        <v>206</v>
      </c>
      <c r="M76" s="81"/>
      <c r="N76" s="166"/>
      <c r="O76" s="30">
        <f t="shared" si="47"/>
        <v>53</v>
      </c>
      <c r="P76" s="31">
        <f t="shared" si="48"/>
        <v>15</v>
      </c>
      <c r="Q76" s="31">
        <f t="shared" si="49"/>
        <v>-2</v>
      </c>
      <c r="R76" s="31">
        <f t="shared" si="50"/>
        <v>-52</v>
      </c>
      <c r="S76" s="31">
        <f t="shared" si="51"/>
        <v>-98</v>
      </c>
      <c r="T76" s="61">
        <f t="shared" si="52"/>
        <v>130</v>
      </c>
      <c r="U76" s="31">
        <f t="shared" si="53"/>
        <v>-118</v>
      </c>
      <c r="V76" s="31">
        <f t="shared" si="54"/>
        <v>17</v>
      </c>
      <c r="W76" s="31">
        <f t="shared" si="55"/>
        <v>107</v>
      </c>
      <c r="X76" s="31">
        <f t="shared" si="56"/>
        <v>63</v>
      </c>
      <c r="Y76" s="166"/>
      <c r="Z76" s="60">
        <f t="shared" ref="Z76:AB78" si="69">(C76-B76)/B76</f>
        <v>0.58241758241758246</v>
      </c>
      <c r="AA76" s="60">
        <f t="shared" si="69"/>
        <v>0.10416666666666667</v>
      </c>
      <c r="AB76" s="60">
        <f t="shared" si="69"/>
        <v>-1.2578616352201259E-2</v>
      </c>
      <c r="AC76" s="60">
        <f t="shared" si="68"/>
        <v>-0.33121019108280253</v>
      </c>
      <c r="AD76" s="92">
        <f t="shared" si="68"/>
        <v>-0.93333333333333335</v>
      </c>
      <c r="AE76" s="60">
        <f t="shared" ref="AE76:AI78" si="70">(H76-G76)/G76</f>
        <v>18.571428571428573</v>
      </c>
      <c r="AF76" s="60">
        <f t="shared" si="70"/>
        <v>-0.86131386861313863</v>
      </c>
      <c r="AG76" s="60">
        <f t="shared" si="70"/>
        <v>0.89473684210526316</v>
      </c>
      <c r="AH76" s="60">
        <f t="shared" si="70"/>
        <v>2.9722222222222223</v>
      </c>
      <c r="AI76" s="95">
        <f t="shared" si="70"/>
        <v>0.44055944055944057</v>
      </c>
      <c r="AJ76" s="60"/>
    </row>
    <row r="77" spans="1:36" s="1" customFormat="1" x14ac:dyDescent="0.25">
      <c r="A77" s="74" t="s">
        <v>71</v>
      </c>
      <c r="B77" s="66">
        <v>41</v>
      </c>
      <c r="C77" s="68">
        <v>34</v>
      </c>
      <c r="D77" s="68">
        <v>42</v>
      </c>
      <c r="E77" s="68">
        <v>40</v>
      </c>
      <c r="F77" s="68">
        <v>40</v>
      </c>
      <c r="G77" s="68">
        <v>26</v>
      </c>
      <c r="H77" s="69">
        <v>48</v>
      </c>
      <c r="I77" s="68">
        <v>42</v>
      </c>
      <c r="J77" s="68">
        <v>48</v>
      </c>
      <c r="K77" s="68">
        <v>116</v>
      </c>
      <c r="L77" s="68">
        <v>48</v>
      </c>
      <c r="M77" s="81"/>
      <c r="N77" s="166"/>
      <c r="O77" s="66">
        <f t="shared" si="47"/>
        <v>-7</v>
      </c>
      <c r="P77" s="68">
        <f t="shared" si="48"/>
        <v>8</v>
      </c>
      <c r="Q77" s="68">
        <f t="shared" si="49"/>
        <v>-2</v>
      </c>
      <c r="R77" s="68">
        <f t="shared" si="50"/>
        <v>0</v>
      </c>
      <c r="S77" s="68">
        <f t="shared" si="51"/>
        <v>-14</v>
      </c>
      <c r="T77" s="69">
        <f t="shared" si="52"/>
        <v>22</v>
      </c>
      <c r="U77" s="68">
        <f t="shared" si="53"/>
        <v>-6</v>
      </c>
      <c r="V77" s="68">
        <f t="shared" si="54"/>
        <v>6</v>
      </c>
      <c r="W77" s="68">
        <f t="shared" si="55"/>
        <v>68</v>
      </c>
      <c r="X77" s="68">
        <f t="shared" si="56"/>
        <v>-68</v>
      </c>
      <c r="Y77" s="166"/>
      <c r="Z77" s="96">
        <f t="shared" si="69"/>
        <v>-0.17073170731707318</v>
      </c>
      <c r="AA77" s="96">
        <f t="shared" si="69"/>
        <v>0.23529411764705882</v>
      </c>
      <c r="AB77" s="96">
        <f t="shared" si="69"/>
        <v>-4.7619047619047616E-2</v>
      </c>
      <c r="AC77" s="96">
        <f t="shared" si="68"/>
        <v>0</v>
      </c>
      <c r="AD77" s="97">
        <f t="shared" si="68"/>
        <v>-0.35</v>
      </c>
      <c r="AE77" s="96">
        <f t="shared" si="70"/>
        <v>0.84615384615384615</v>
      </c>
      <c r="AF77" s="96">
        <f t="shared" si="70"/>
        <v>-0.125</v>
      </c>
      <c r="AG77" s="96">
        <f t="shared" si="70"/>
        <v>0.14285714285714285</v>
      </c>
      <c r="AH77" s="96">
        <f t="shared" si="70"/>
        <v>1.4166666666666667</v>
      </c>
      <c r="AI77" s="98">
        <f t="shared" si="70"/>
        <v>-0.58620689655172409</v>
      </c>
      <c r="AJ77" s="96"/>
    </row>
    <row r="78" spans="1:36" s="1" customFormat="1" x14ac:dyDescent="0.25">
      <c r="A78" s="70" t="s">
        <v>69</v>
      </c>
      <c r="B78" s="71">
        <v>-132</v>
      </c>
      <c r="C78" s="72">
        <v>-178</v>
      </c>
      <c r="D78" s="72">
        <v>-201</v>
      </c>
      <c r="E78" s="72">
        <v>-185</v>
      </c>
      <c r="F78" s="72">
        <v>-121</v>
      </c>
      <c r="G78" s="72">
        <v>-33</v>
      </c>
      <c r="H78" s="73">
        <v>-185</v>
      </c>
      <c r="I78" s="72">
        <v>-61</v>
      </c>
      <c r="J78" s="72">
        <v>-84</v>
      </c>
      <c r="K78" s="72">
        <v>-259</v>
      </c>
      <c r="L78" s="72">
        <v>-254</v>
      </c>
      <c r="M78" s="88"/>
      <c r="N78" s="166"/>
      <c r="O78" s="71">
        <f t="shared" si="47"/>
        <v>-46</v>
      </c>
      <c r="P78" s="72">
        <f t="shared" si="48"/>
        <v>-23</v>
      </c>
      <c r="Q78" s="72">
        <f t="shared" si="49"/>
        <v>16</v>
      </c>
      <c r="R78" s="72">
        <f t="shared" si="50"/>
        <v>64</v>
      </c>
      <c r="S78" s="72">
        <f t="shared" si="51"/>
        <v>88</v>
      </c>
      <c r="T78" s="73">
        <f t="shared" si="52"/>
        <v>-152</v>
      </c>
      <c r="U78" s="72">
        <f t="shared" si="53"/>
        <v>124</v>
      </c>
      <c r="V78" s="72">
        <f t="shared" si="54"/>
        <v>-23</v>
      </c>
      <c r="W78" s="72">
        <f t="shared" si="55"/>
        <v>-175</v>
      </c>
      <c r="X78" s="72">
        <f t="shared" si="56"/>
        <v>5</v>
      </c>
      <c r="Y78" s="166"/>
      <c r="Z78" s="99">
        <f t="shared" si="69"/>
        <v>0.34848484848484851</v>
      </c>
      <c r="AA78" s="99">
        <f t="shared" si="69"/>
        <v>0.12921348314606743</v>
      </c>
      <c r="AB78" s="99">
        <f t="shared" si="69"/>
        <v>-7.9601990049751242E-2</v>
      </c>
      <c r="AC78" s="99">
        <f t="shared" si="68"/>
        <v>-0.34594594594594597</v>
      </c>
      <c r="AD78" s="100">
        <f t="shared" si="68"/>
        <v>-0.72727272727272729</v>
      </c>
      <c r="AE78" s="99">
        <f t="shared" si="70"/>
        <v>4.6060606060606064</v>
      </c>
      <c r="AF78" s="99">
        <f t="shared" si="70"/>
        <v>-0.67027027027027031</v>
      </c>
      <c r="AG78" s="99">
        <f t="shared" si="70"/>
        <v>0.37704918032786883</v>
      </c>
      <c r="AH78" s="99">
        <f t="shared" si="70"/>
        <v>2.0833333333333335</v>
      </c>
      <c r="AI78" s="99">
        <f t="shared" si="70"/>
        <v>-1.9305019305019305E-2</v>
      </c>
      <c r="AJ78" s="99"/>
    </row>
    <row r="79" spans="1:36" s="1" customFormat="1" x14ac:dyDescent="0.25">
      <c r="A79" s="8" t="s">
        <v>73</v>
      </c>
      <c r="B79" s="8">
        <v>0</v>
      </c>
      <c r="C79" s="8">
        <v>0</v>
      </c>
      <c r="D79" s="8">
        <v>0</v>
      </c>
      <c r="E79" s="8">
        <v>345</v>
      </c>
      <c r="F79" s="8">
        <v>88</v>
      </c>
      <c r="G79" s="8">
        <v>0</v>
      </c>
      <c r="H79" s="75">
        <v>223</v>
      </c>
      <c r="I79" s="8">
        <v>0</v>
      </c>
      <c r="J79" s="8">
        <v>192</v>
      </c>
      <c r="K79" s="8">
        <v>222</v>
      </c>
      <c r="L79" s="8">
        <v>0</v>
      </c>
      <c r="M79" s="81"/>
      <c r="N79" s="166"/>
      <c r="O79" s="84">
        <f t="shared" si="47"/>
        <v>0</v>
      </c>
      <c r="P79" s="8">
        <f t="shared" si="48"/>
        <v>0</v>
      </c>
      <c r="Q79" s="8">
        <f t="shared" si="49"/>
        <v>345</v>
      </c>
      <c r="R79" s="8">
        <f t="shared" si="50"/>
        <v>-257</v>
      </c>
      <c r="S79" s="8">
        <f t="shared" si="51"/>
        <v>-88</v>
      </c>
      <c r="T79" s="75">
        <f t="shared" si="52"/>
        <v>223</v>
      </c>
      <c r="U79" s="8">
        <f t="shared" si="53"/>
        <v>-223</v>
      </c>
      <c r="V79" s="8">
        <f t="shared" si="54"/>
        <v>192</v>
      </c>
      <c r="W79" s="8">
        <f t="shared" si="55"/>
        <v>30</v>
      </c>
      <c r="X79" s="8">
        <f t="shared" si="56"/>
        <v>-222</v>
      </c>
      <c r="Y79" s="166"/>
      <c r="Z79" s="101"/>
      <c r="AA79" s="101"/>
      <c r="AB79" s="101"/>
      <c r="AC79" s="101">
        <f t="shared" si="68"/>
        <v>-0.74492753623188401</v>
      </c>
      <c r="AD79" s="102">
        <f t="shared" si="68"/>
        <v>-1</v>
      </c>
      <c r="AE79" s="101"/>
      <c r="AF79" s="101">
        <f>(I79-H79)/H79</f>
        <v>-1</v>
      </c>
      <c r="AG79" s="101"/>
      <c r="AH79" s="101">
        <f>(K79-J79)/J79</f>
        <v>0.15625</v>
      </c>
      <c r="AI79" s="101">
        <f>(L79-K79)/K79</f>
        <v>-1</v>
      </c>
      <c r="AJ79" s="101"/>
    </row>
    <row r="80" spans="1:36" s="38" customFormat="1" x14ac:dyDescent="0.25">
      <c r="A80" s="51" t="s">
        <v>74</v>
      </c>
      <c r="B80" s="76">
        <v>0</v>
      </c>
      <c r="C80" s="76">
        <v>0</v>
      </c>
      <c r="D80" s="76">
        <v>0</v>
      </c>
      <c r="E80" s="76">
        <v>345</v>
      </c>
      <c r="F80" s="76">
        <v>88</v>
      </c>
      <c r="G80" s="76">
        <v>0</v>
      </c>
      <c r="H80" s="77">
        <v>223</v>
      </c>
      <c r="I80" s="76">
        <v>0</v>
      </c>
      <c r="J80" s="76">
        <v>192</v>
      </c>
      <c r="K80" s="76">
        <v>222</v>
      </c>
      <c r="L80" s="76">
        <v>0</v>
      </c>
      <c r="M80" s="89"/>
      <c r="N80" s="166"/>
      <c r="O80" s="85">
        <f t="shared" si="47"/>
        <v>0</v>
      </c>
      <c r="P80" s="76">
        <f t="shared" si="48"/>
        <v>0</v>
      </c>
      <c r="Q80" s="76">
        <f t="shared" si="49"/>
        <v>345</v>
      </c>
      <c r="R80" s="76">
        <f t="shared" si="50"/>
        <v>-257</v>
      </c>
      <c r="S80" s="76">
        <f t="shared" si="51"/>
        <v>-88</v>
      </c>
      <c r="T80" s="77">
        <f t="shared" si="52"/>
        <v>223</v>
      </c>
      <c r="U80" s="76">
        <f t="shared" si="53"/>
        <v>-223</v>
      </c>
      <c r="V80" s="76">
        <f t="shared" si="54"/>
        <v>192</v>
      </c>
      <c r="W80" s="76">
        <f t="shared" si="55"/>
        <v>30</v>
      </c>
      <c r="X80" s="76">
        <f t="shared" si="56"/>
        <v>-222</v>
      </c>
      <c r="Y80" s="166"/>
      <c r="Z80" s="103"/>
      <c r="AA80" s="103"/>
      <c r="AB80" s="103"/>
      <c r="AC80" s="103">
        <f t="shared" si="68"/>
        <v>-0.74492753623188401</v>
      </c>
      <c r="AD80" s="104">
        <f t="shared" si="68"/>
        <v>-1</v>
      </c>
      <c r="AE80" s="103"/>
      <c r="AF80" s="103">
        <f>(I80-H80)/H80</f>
        <v>-1</v>
      </c>
      <c r="AG80" s="103"/>
      <c r="AH80" s="103">
        <f>(K80-J80)/J80</f>
        <v>0.15625</v>
      </c>
      <c r="AI80" s="103">
        <f>(L80-K80)/K80</f>
        <v>-1</v>
      </c>
      <c r="AJ80" s="103"/>
    </row>
    <row r="81" spans="1:36" s="38" customFormat="1" x14ac:dyDescent="0.25">
      <c r="A81" s="51" t="s">
        <v>75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7">
        <v>0</v>
      </c>
      <c r="I81" s="76">
        <v>0</v>
      </c>
      <c r="J81" s="76">
        <v>0</v>
      </c>
      <c r="K81" s="76">
        <v>0</v>
      </c>
      <c r="L81" s="76">
        <v>0</v>
      </c>
      <c r="M81" s="89"/>
      <c r="N81" s="166"/>
      <c r="O81" s="85">
        <f t="shared" si="47"/>
        <v>0</v>
      </c>
      <c r="P81" s="76">
        <f t="shared" si="48"/>
        <v>0</v>
      </c>
      <c r="Q81" s="76">
        <f t="shared" si="49"/>
        <v>0</v>
      </c>
      <c r="R81" s="76">
        <f t="shared" si="50"/>
        <v>0</v>
      </c>
      <c r="S81" s="76">
        <f t="shared" si="51"/>
        <v>0</v>
      </c>
      <c r="T81" s="77">
        <f t="shared" si="52"/>
        <v>0</v>
      </c>
      <c r="U81" s="76">
        <f t="shared" si="53"/>
        <v>0</v>
      </c>
      <c r="V81" s="76">
        <f t="shared" si="54"/>
        <v>0</v>
      </c>
      <c r="W81" s="76">
        <f t="shared" si="55"/>
        <v>0</v>
      </c>
      <c r="X81" s="76">
        <f t="shared" si="56"/>
        <v>0</v>
      </c>
      <c r="Y81" s="166"/>
      <c r="Z81" s="103"/>
      <c r="AA81" s="103"/>
      <c r="AB81" s="103"/>
      <c r="AC81" s="103"/>
      <c r="AD81" s="104"/>
      <c r="AE81" s="103"/>
      <c r="AF81" s="103"/>
      <c r="AG81" s="103"/>
      <c r="AH81" s="103"/>
      <c r="AI81" s="103"/>
      <c r="AJ81" s="103"/>
    </row>
    <row r="82" spans="1:36" s="1" customFormat="1" ht="45.75" thickBot="1" x14ac:dyDescent="0.3">
      <c r="A82" s="67" t="s">
        <v>76</v>
      </c>
      <c r="B82" s="20">
        <v>-1134</v>
      </c>
      <c r="C82" s="7">
        <v>900</v>
      </c>
      <c r="D82" s="7">
        <v>1352</v>
      </c>
      <c r="E82" s="7">
        <v>1389</v>
      </c>
      <c r="F82" s="7">
        <v>428</v>
      </c>
      <c r="G82" s="7">
        <v>573</v>
      </c>
      <c r="H82" s="50">
        <v>1241</v>
      </c>
      <c r="I82" s="7">
        <v>479</v>
      </c>
      <c r="J82" s="7">
        <v>985</v>
      </c>
      <c r="K82" s="7">
        <v>1051</v>
      </c>
      <c r="L82" s="7">
        <v>792</v>
      </c>
      <c r="M82" s="90"/>
      <c r="N82" s="167"/>
      <c r="O82" s="20">
        <f t="shared" si="47"/>
        <v>2034</v>
      </c>
      <c r="P82" s="7">
        <f t="shared" si="48"/>
        <v>452</v>
      </c>
      <c r="Q82" s="7">
        <f t="shared" si="49"/>
        <v>37</v>
      </c>
      <c r="R82" s="7">
        <f t="shared" si="50"/>
        <v>-961</v>
      </c>
      <c r="S82" s="7">
        <f t="shared" si="51"/>
        <v>145</v>
      </c>
      <c r="T82" s="50">
        <f t="shared" si="52"/>
        <v>668</v>
      </c>
      <c r="U82" s="7">
        <f t="shared" si="53"/>
        <v>-762</v>
      </c>
      <c r="V82" s="7">
        <f t="shared" si="54"/>
        <v>506</v>
      </c>
      <c r="W82" s="7">
        <f t="shared" si="55"/>
        <v>66</v>
      </c>
      <c r="X82" s="7">
        <f t="shared" si="56"/>
        <v>-259</v>
      </c>
      <c r="Y82" s="167"/>
      <c r="Z82" s="59">
        <f t="shared" ref="Z82:AI82" si="71">(C82-B82)/B82</f>
        <v>-1.7936507936507937</v>
      </c>
      <c r="AA82" s="59">
        <f t="shared" si="71"/>
        <v>0.50222222222222224</v>
      </c>
      <c r="AB82" s="59">
        <f t="shared" si="71"/>
        <v>2.7366863905325445E-2</v>
      </c>
      <c r="AC82" s="59">
        <f t="shared" si="71"/>
        <v>-0.6918646508279338</v>
      </c>
      <c r="AD82" s="94">
        <f t="shared" si="71"/>
        <v>0.33878504672897197</v>
      </c>
      <c r="AE82" s="59">
        <f t="shared" si="71"/>
        <v>1.1657940663176265</v>
      </c>
      <c r="AF82" s="59">
        <f t="shared" si="71"/>
        <v>-0.61402095084609187</v>
      </c>
      <c r="AG82" s="59">
        <f t="shared" si="71"/>
        <v>1.0563674321503131</v>
      </c>
      <c r="AH82" s="59">
        <f t="shared" si="71"/>
        <v>6.7005076142131983E-2</v>
      </c>
      <c r="AI82" s="59">
        <f t="shared" si="71"/>
        <v>-0.24643196955280686</v>
      </c>
      <c r="AJ82" s="59"/>
    </row>
    <row r="83" spans="1:36" ht="19.5" customHeight="1" x14ac:dyDescent="0.25">
      <c r="B83" s="114"/>
    </row>
    <row r="84" spans="1:36" s="1" customFormat="1" ht="19.5" customHeight="1" thickBot="1" x14ac:dyDescent="0.3">
      <c r="B84" s="114"/>
    </row>
    <row r="85" spans="1:36" s="1" customFormat="1" ht="19.5" customHeight="1" x14ac:dyDescent="0.25">
      <c r="A85" s="116" t="s">
        <v>92</v>
      </c>
      <c r="B85" s="120">
        <v>2012</v>
      </c>
      <c r="C85" s="120">
        <v>2013</v>
      </c>
      <c r="D85" s="120">
        <v>2014</v>
      </c>
      <c r="E85" s="120">
        <v>2015</v>
      </c>
      <c r="F85" s="127">
        <v>2016</v>
      </c>
      <c r="G85" s="162" t="s">
        <v>138</v>
      </c>
      <c r="H85" s="136">
        <v>2012</v>
      </c>
      <c r="I85" s="120">
        <v>2013</v>
      </c>
      <c r="J85" s="120">
        <v>2014</v>
      </c>
      <c r="K85" s="120">
        <v>2015</v>
      </c>
      <c r="L85" s="127">
        <v>2016</v>
      </c>
      <c r="M85" s="165" t="s">
        <v>139</v>
      </c>
      <c r="N85" s="136">
        <v>2013</v>
      </c>
      <c r="O85" s="120">
        <v>2014</v>
      </c>
      <c r="P85" s="120">
        <v>2015</v>
      </c>
      <c r="Q85" s="120">
        <v>2016</v>
      </c>
    </row>
    <row r="86" spans="1:36" s="118" customFormat="1" ht="18.75" customHeight="1" x14ac:dyDescent="0.25">
      <c r="A86" s="8" t="s">
        <v>137</v>
      </c>
      <c r="B86" s="8">
        <v>64195</v>
      </c>
      <c r="C86" s="8">
        <v>265748.18999999983</v>
      </c>
      <c r="D86" s="8">
        <v>290068.14999999967</v>
      </c>
      <c r="E86" s="8">
        <v>407734.59999999974</v>
      </c>
      <c r="F86" s="83">
        <v>81781.66</v>
      </c>
      <c r="G86" s="163"/>
      <c r="H86" s="137">
        <f>B86/B86</f>
        <v>1</v>
      </c>
      <c r="I86" s="125">
        <f t="shared" ref="I86:L86" si="72">C86/C86</f>
        <v>1</v>
      </c>
      <c r="J86" s="125">
        <f t="shared" si="72"/>
        <v>1</v>
      </c>
      <c r="K86" s="125">
        <f t="shared" si="72"/>
        <v>1</v>
      </c>
      <c r="L86" s="128">
        <f t="shared" si="72"/>
        <v>1</v>
      </c>
      <c r="M86" s="166"/>
      <c r="N86" s="142">
        <f t="shared" ref="N86:P89" si="73">C86-B86</f>
        <v>201553.18999999983</v>
      </c>
      <c r="O86" s="143">
        <f t="shared" si="73"/>
        <v>24319.959999999846</v>
      </c>
      <c r="P86" s="143">
        <f t="shared" si="73"/>
        <v>117666.45000000007</v>
      </c>
      <c r="Q86" s="142"/>
      <c r="R86" s="117"/>
    </row>
    <row r="87" spans="1:36" x14ac:dyDescent="0.25">
      <c r="A87" s="116" t="s">
        <v>93</v>
      </c>
      <c r="B87" s="116">
        <v>0</v>
      </c>
      <c r="C87" s="116">
        <v>0</v>
      </c>
      <c r="D87" s="116">
        <v>0</v>
      </c>
      <c r="E87" s="116">
        <v>46131.25</v>
      </c>
      <c r="F87" s="134">
        <v>25693</v>
      </c>
      <c r="G87" s="163"/>
      <c r="H87" s="138">
        <f>B87/B$86</f>
        <v>0</v>
      </c>
      <c r="I87" s="124">
        <f t="shared" ref="I87:L87" si="74">C87/C$86</f>
        <v>0</v>
      </c>
      <c r="J87" s="124">
        <f t="shared" si="74"/>
        <v>0</v>
      </c>
      <c r="K87" s="124">
        <f t="shared" si="74"/>
        <v>0.11314038592751273</v>
      </c>
      <c r="L87" s="129">
        <f t="shared" si="74"/>
        <v>0.31416579218372431</v>
      </c>
      <c r="M87" s="166"/>
      <c r="N87" s="142">
        <f t="shared" si="73"/>
        <v>0</v>
      </c>
      <c r="O87" s="143">
        <f t="shared" si="73"/>
        <v>0</v>
      </c>
      <c r="P87" s="143">
        <f t="shared" si="73"/>
        <v>46131.25</v>
      </c>
      <c r="Q87" s="142"/>
    </row>
    <row r="88" spans="1:36" x14ac:dyDescent="0.25">
      <c r="A88" s="116" t="s">
        <v>94</v>
      </c>
      <c r="B88" s="116">
        <v>1930</v>
      </c>
      <c r="C88" s="116">
        <v>7440</v>
      </c>
      <c r="D88" s="116">
        <v>7840</v>
      </c>
      <c r="E88" s="116">
        <v>6380</v>
      </c>
      <c r="F88" s="134">
        <v>0</v>
      </c>
      <c r="G88" s="163"/>
      <c r="H88" s="138">
        <f>B88/B$86</f>
        <v>3.0064646779344187E-2</v>
      </c>
      <c r="I88" s="124">
        <f t="shared" ref="I88" si="75">C88/C$86</f>
        <v>2.7996427746130668E-2</v>
      </c>
      <c r="J88" s="124">
        <f t="shared" ref="J88" si="76">D88/D$86</f>
        <v>2.7028131147800987E-2</v>
      </c>
      <c r="K88" s="124">
        <f t="shared" ref="K88" si="77">E88/E$86</f>
        <v>1.5647433403983876E-2</v>
      </c>
      <c r="L88" s="129">
        <f t="shared" ref="L88" si="78">F88/F$86</f>
        <v>0</v>
      </c>
      <c r="M88" s="166"/>
      <c r="N88" s="142">
        <f t="shared" si="73"/>
        <v>5510</v>
      </c>
      <c r="O88" s="143">
        <f t="shared" si="73"/>
        <v>400</v>
      </c>
      <c r="P88" s="143">
        <f t="shared" si="73"/>
        <v>-1460</v>
      </c>
      <c r="Q88" s="142"/>
    </row>
    <row r="89" spans="1:36" s="119" customFormat="1" x14ac:dyDescent="0.25">
      <c r="A89" s="41" t="s">
        <v>95</v>
      </c>
      <c r="B89" s="41">
        <v>62265</v>
      </c>
      <c r="C89" s="41">
        <v>258308.18999999983</v>
      </c>
      <c r="D89" s="41">
        <v>282228.14999999967</v>
      </c>
      <c r="E89" s="41">
        <v>355223.34999999974</v>
      </c>
      <c r="F89" s="135">
        <v>56088.66</v>
      </c>
      <c r="G89" s="163"/>
      <c r="H89" s="139">
        <f>B89/B86</f>
        <v>0.96993535322065583</v>
      </c>
      <c r="I89" s="122">
        <f t="shared" ref="I89:L89" si="79">C89/C86</f>
        <v>0.97200357225386935</v>
      </c>
      <c r="J89" s="122">
        <f t="shared" si="79"/>
        <v>0.972971868852199</v>
      </c>
      <c r="K89" s="122">
        <f t="shared" si="79"/>
        <v>0.87121218066850337</v>
      </c>
      <c r="L89" s="130">
        <f t="shared" si="79"/>
        <v>0.68583420781627569</v>
      </c>
      <c r="M89" s="166"/>
      <c r="N89" s="142">
        <f t="shared" si="73"/>
        <v>196043.18999999983</v>
      </c>
      <c r="O89" s="143">
        <f t="shared" si="73"/>
        <v>23919.959999999846</v>
      </c>
      <c r="P89" s="143">
        <f t="shared" si="73"/>
        <v>72995.20000000007</v>
      </c>
      <c r="Q89" s="144"/>
    </row>
    <row r="90" spans="1:36" s="115" customFormat="1" x14ac:dyDescent="0.25">
      <c r="A90" s="8" t="s">
        <v>96</v>
      </c>
      <c r="B90" s="121">
        <v>2012</v>
      </c>
      <c r="C90" s="121">
        <v>2013</v>
      </c>
      <c r="D90" s="121">
        <v>2014</v>
      </c>
      <c r="E90" s="121">
        <v>2015</v>
      </c>
      <c r="F90" s="131">
        <v>2016</v>
      </c>
      <c r="G90" s="163"/>
      <c r="H90" s="140">
        <v>2012</v>
      </c>
      <c r="I90" s="121">
        <v>2013</v>
      </c>
      <c r="J90" s="121">
        <v>2014</v>
      </c>
      <c r="K90" s="121">
        <v>2015</v>
      </c>
      <c r="L90" s="131">
        <v>2016</v>
      </c>
      <c r="M90" s="166"/>
      <c r="N90" s="145">
        <v>2013</v>
      </c>
      <c r="O90" s="146">
        <v>2014</v>
      </c>
      <c r="P90" s="146">
        <v>2015</v>
      </c>
      <c r="Q90" s="146">
        <v>2016</v>
      </c>
    </row>
    <row r="91" spans="1:36" x14ac:dyDescent="0.25">
      <c r="A91" s="116" t="s">
        <v>90</v>
      </c>
      <c r="B91" s="116">
        <v>0</v>
      </c>
      <c r="C91" s="116">
        <v>4050</v>
      </c>
      <c r="D91" s="116">
        <v>2790</v>
      </c>
      <c r="E91" s="116">
        <v>10935</v>
      </c>
      <c r="F91" s="134">
        <v>2205</v>
      </c>
      <c r="G91" s="163"/>
      <c r="H91" s="141">
        <f>B91/B$89</f>
        <v>0</v>
      </c>
      <c r="I91" s="123">
        <f t="shared" ref="I91:L91" si="80">C91/C$89</f>
        <v>1.5678945371418548E-2</v>
      </c>
      <c r="J91" s="123">
        <f t="shared" si="80"/>
        <v>9.8856191347319652E-3</v>
      </c>
      <c r="K91" s="123">
        <f t="shared" si="80"/>
        <v>3.0783449342505237E-2</v>
      </c>
      <c r="L91" s="132">
        <f t="shared" si="80"/>
        <v>3.9312759477584239E-2</v>
      </c>
      <c r="M91" s="166"/>
      <c r="N91" s="147">
        <f t="shared" ref="N91:N132" si="81">C91-B91</f>
        <v>4050</v>
      </c>
      <c r="O91" s="148">
        <f t="shared" ref="O91:O132" si="82">D91-C91</f>
        <v>-1260</v>
      </c>
      <c r="P91" s="148">
        <f t="shared" ref="P91:P132" si="83">E91-D91</f>
        <v>8145</v>
      </c>
      <c r="Q91" s="148"/>
    </row>
    <row r="92" spans="1:36" x14ac:dyDescent="0.25">
      <c r="A92" s="116" t="s">
        <v>97</v>
      </c>
      <c r="B92" s="116">
        <v>0</v>
      </c>
      <c r="C92" s="116">
        <v>0</v>
      </c>
      <c r="D92" s="116">
        <v>1810</v>
      </c>
      <c r="E92" s="116">
        <v>4520</v>
      </c>
      <c r="F92" s="134">
        <v>675</v>
      </c>
      <c r="G92" s="163"/>
      <c r="H92" s="141">
        <f t="shared" ref="H92:H132" si="84">B92/B$89</f>
        <v>0</v>
      </c>
      <c r="I92" s="123">
        <f t="shared" ref="I92:I132" si="85">C92/C$89</f>
        <v>0</v>
      </c>
      <c r="J92" s="123">
        <f t="shared" ref="J92:J132" si="86">D92/D$89</f>
        <v>6.4132511232490525E-3</v>
      </c>
      <c r="K92" s="123">
        <f t="shared" ref="K92:K132" si="87">E92/E$89</f>
        <v>1.2724388754286572E-2</v>
      </c>
      <c r="L92" s="132">
        <f t="shared" ref="L92:L132" si="88">F92/F$89</f>
        <v>1.2034518207423746E-2</v>
      </c>
      <c r="M92" s="166"/>
      <c r="N92" s="147">
        <f t="shared" si="81"/>
        <v>0</v>
      </c>
      <c r="O92" s="148">
        <f t="shared" si="82"/>
        <v>1810</v>
      </c>
      <c r="P92" s="148">
        <f t="shared" si="83"/>
        <v>2710</v>
      </c>
      <c r="Q92" s="148"/>
    </row>
    <row r="93" spans="1:36" ht="15.75" thickBot="1" x14ac:dyDescent="0.3">
      <c r="A93" s="116" t="s">
        <v>98</v>
      </c>
      <c r="B93" s="116">
        <v>0</v>
      </c>
      <c r="C93" s="116">
        <v>0</v>
      </c>
      <c r="D93" s="116">
        <v>345</v>
      </c>
      <c r="E93" s="116">
        <v>1495</v>
      </c>
      <c r="F93" s="134">
        <v>0</v>
      </c>
      <c r="G93" s="163"/>
      <c r="H93" s="141">
        <f t="shared" si="84"/>
        <v>0</v>
      </c>
      <c r="I93" s="123">
        <f t="shared" si="85"/>
        <v>0</v>
      </c>
      <c r="J93" s="123">
        <f t="shared" si="86"/>
        <v>1.2224152693485763E-3</v>
      </c>
      <c r="K93" s="123">
        <f t="shared" si="87"/>
        <v>4.2086197317828377E-3</v>
      </c>
      <c r="L93" s="132">
        <f t="shared" si="88"/>
        <v>0</v>
      </c>
      <c r="M93" s="166"/>
      <c r="N93" s="147">
        <f t="shared" si="81"/>
        <v>0</v>
      </c>
      <c r="O93" s="148">
        <f t="shared" si="82"/>
        <v>345</v>
      </c>
      <c r="P93" s="148">
        <f t="shared" si="83"/>
        <v>1150</v>
      </c>
      <c r="Q93" s="148"/>
    </row>
    <row r="94" spans="1:36" ht="15.75" thickBot="1" x14ac:dyDescent="0.3">
      <c r="A94" s="116" t="s">
        <v>99</v>
      </c>
      <c r="B94" s="116">
        <v>0</v>
      </c>
      <c r="C94" s="116">
        <v>0</v>
      </c>
      <c r="D94" s="116">
        <v>336</v>
      </c>
      <c r="E94" s="116">
        <v>903</v>
      </c>
      <c r="F94" s="134">
        <v>0</v>
      </c>
      <c r="G94" s="163"/>
      <c r="H94" s="141">
        <f t="shared" si="84"/>
        <v>0</v>
      </c>
      <c r="I94" s="123">
        <f t="shared" si="85"/>
        <v>0</v>
      </c>
      <c r="J94" s="123">
        <f t="shared" si="86"/>
        <v>1.1905261753655701E-3</v>
      </c>
      <c r="K94" s="123">
        <f t="shared" si="87"/>
        <v>2.5420626206019412E-3</v>
      </c>
      <c r="L94" s="132">
        <f t="shared" si="88"/>
        <v>0</v>
      </c>
      <c r="M94" s="166"/>
      <c r="N94" s="147">
        <f t="shared" si="81"/>
        <v>0</v>
      </c>
      <c r="O94" s="148">
        <f t="shared" si="82"/>
        <v>336</v>
      </c>
      <c r="P94" s="148">
        <f t="shared" si="83"/>
        <v>567</v>
      </c>
      <c r="Q94" s="148"/>
      <c r="Y94" s="44" t="s">
        <v>4</v>
      </c>
      <c r="Z94" s="30">
        <v>1058</v>
      </c>
      <c r="AA94" s="31">
        <v>1662</v>
      </c>
      <c r="AB94" s="31">
        <v>1184</v>
      </c>
      <c r="AC94" s="31">
        <v>1681</v>
      </c>
      <c r="AD94" s="31">
        <v>2016</v>
      </c>
      <c r="AE94" s="31">
        <v>3185</v>
      </c>
      <c r="AF94" s="31">
        <v>2882</v>
      </c>
      <c r="AG94" s="31">
        <v>2898</v>
      </c>
      <c r="AH94" s="31">
        <v>2781</v>
      </c>
      <c r="AI94" s="31">
        <v>3865</v>
      </c>
      <c r="AJ94" s="31">
        <v>4045</v>
      </c>
    </row>
    <row r="95" spans="1:36" x14ac:dyDescent="0.25">
      <c r="A95" s="116" t="s">
        <v>100</v>
      </c>
      <c r="B95" s="116">
        <v>1500</v>
      </c>
      <c r="C95" s="116">
        <v>2850</v>
      </c>
      <c r="D95" s="116">
        <v>2900</v>
      </c>
      <c r="E95" s="116">
        <v>1150</v>
      </c>
      <c r="F95" s="134">
        <v>700</v>
      </c>
      <c r="G95" s="163"/>
      <c r="H95" s="141">
        <f t="shared" si="84"/>
        <v>2.4090580582992051E-2</v>
      </c>
      <c r="I95" s="123">
        <f t="shared" si="85"/>
        <v>1.1033331928035274E-2</v>
      </c>
      <c r="J95" s="123">
        <f t="shared" si="86"/>
        <v>1.0275374727857597E-2</v>
      </c>
      <c r="K95" s="123">
        <f t="shared" si="87"/>
        <v>3.2373997936791061E-3</v>
      </c>
      <c r="L95" s="132">
        <f t="shared" si="88"/>
        <v>1.2480241103994996E-2</v>
      </c>
      <c r="M95" s="166"/>
      <c r="N95" s="147">
        <f t="shared" si="81"/>
        <v>1350</v>
      </c>
      <c r="O95" s="148">
        <f t="shared" si="82"/>
        <v>50</v>
      </c>
      <c r="P95" s="148">
        <f t="shared" si="83"/>
        <v>-1750</v>
      </c>
      <c r="Q95" s="148"/>
      <c r="Y95" s="43" t="s">
        <v>5</v>
      </c>
      <c r="Z95" s="161">
        <f>N8/N$7</f>
        <v>0.26275992438563328</v>
      </c>
      <c r="AA95" s="161">
        <f t="shared" ref="AA95:AJ95" si="89">O8/O$7</f>
        <v>0.21600481347773767</v>
      </c>
      <c r="AB95" s="161">
        <f t="shared" si="89"/>
        <v>0.27702702702702703</v>
      </c>
      <c r="AC95" s="161">
        <f t="shared" si="89"/>
        <v>0.21594289113622844</v>
      </c>
      <c r="AD95" s="161">
        <f t="shared" si="89"/>
        <v>0.35069444444444442</v>
      </c>
      <c r="AE95" s="161">
        <f t="shared" si="89"/>
        <v>0.4323390894819466</v>
      </c>
      <c r="AF95" s="161">
        <f t="shared" si="89"/>
        <v>0.26995142262317834</v>
      </c>
      <c r="AG95" s="161">
        <f t="shared" si="89"/>
        <v>0.30124223602484473</v>
      </c>
      <c r="AH95" s="161">
        <f t="shared" si="89"/>
        <v>0.47393024092053221</v>
      </c>
      <c r="AI95" s="161">
        <f t="shared" si="89"/>
        <v>0.44217335058214746</v>
      </c>
      <c r="AJ95" s="161">
        <f t="shared" si="89"/>
        <v>0.3362175525339926</v>
      </c>
    </row>
    <row r="96" spans="1:36" x14ac:dyDescent="0.25">
      <c r="A96" s="116" t="s">
        <v>101</v>
      </c>
      <c r="B96" s="116">
        <v>0</v>
      </c>
      <c r="C96" s="116">
        <v>0</v>
      </c>
      <c r="D96" s="116">
        <v>0</v>
      </c>
      <c r="E96" s="116">
        <v>1791</v>
      </c>
      <c r="F96" s="134">
        <v>1194</v>
      </c>
      <c r="G96" s="163"/>
      <c r="H96" s="141">
        <f t="shared" si="84"/>
        <v>0</v>
      </c>
      <c r="I96" s="123">
        <f t="shared" si="85"/>
        <v>0</v>
      </c>
      <c r="J96" s="123">
        <f t="shared" si="86"/>
        <v>0</v>
      </c>
      <c r="K96" s="123">
        <f t="shared" si="87"/>
        <v>5.0418982873732861E-3</v>
      </c>
      <c r="L96" s="132">
        <f t="shared" si="88"/>
        <v>2.1287725540242892E-2</v>
      </c>
      <c r="M96" s="166"/>
      <c r="N96" s="147">
        <f t="shared" si="81"/>
        <v>0</v>
      </c>
      <c r="O96" s="148">
        <f t="shared" si="82"/>
        <v>0</v>
      </c>
      <c r="P96" s="148">
        <f t="shared" si="83"/>
        <v>1791</v>
      </c>
      <c r="Q96" s="148"/>
      <c r="Y96" s="10" t="s">
        <v>6</v>
      </c>
      <c r="Z96" s="161">
        <f t="shared" ref="Z96:Z107" si="90">N9/N$7</f>
        <v>1.5122873345935728E-2</v>
      </c>
      <c r="AA96" s="161">
        <f t="shared" ref="AA96:AA107" si="91">O9/O$7</f>
        <v>4.0312876052948254E-2</v>
      </c>
      <c r="AB96" s="161">
        <f t="shared" ref="AB96:AB107" si="92">P9/P$7</f>
        <v>3.4628378378378379E-2</v>
      </c>
      <c r="AC96" s="161">
        <f t="shared" ref="AC96:AC107" si="93">Q9/Q$7</f>
        <v>2.0226055919095775E-2</v>
      </c>
      <c r="AD96" s="161">
        <f t="shared" ref="AD96:AD107" si="94">R9/R$7</f>
        <v>0.12400793650793651</v>
      </c>
      <c r="AE96" s="161">
        <f t="shared" ref="AE96:AE107" si="95">S9/S$7</f>
        <v>0.17645211930926216</v>
      </c>
      <c r="AF96" s="161">
        <f t="shared" ref="AF96:AF107" si="96">T9/T$7</f>
        <v>3.7820957668285915E-2</v>
      </c>
      <c r="AG96" s="161">
        <f t="shared" ref="AG96:AG107" si="97">U9/U$7</f>
        <v>5.762594893029676E-2</v>
      </c>
      <c r="AH96" s="161">
        <f t="shared" ref="AH96:AH107" si="98">V9/V$7</f>
        <v>0.10176195613088818</v>
      </c>
      <c r="AI96" s="161">
        <f t="shared" ref="AI96:AI107" si="99">W9/W$7</f>
        <v>9.3143596377749036E-2</v>
      </c>
      <c r="AJ96" s="161">
        <f t="shared" ref="AJ96:AJ107" si="100">X9/X$7</f>
        <v>6.3782447466007419E-2</v>
      </c>
    </row>
    <row r="97" spans="1:36" x14ac:dyDescent="0.25">
      <c r="A97" s="116" t="s">
        <v>102</v>
      </c>
      <c r="B97" s="116">
        <v>0</v>
      </c>
      <c r="C97" s="116">
        <v>0</v>
      </c>
      <c r="D97" s="116">
        <v>0</v>
      </c>
      <c r="E97" s="116">
        <v>366</v>
      </c>
      <c r="F97" s="134">
        <v>0</v>
      </c>
      <c r="G97" s="163"/>
      <c r="H97" s="141">
        <f t="shared" si="84"/>
        <v>0</v>
      </c>
      <c r="I97" s="123">
        <f t="shared" si="85"/>
        <v>0</v>
      </c>
      <c r="J97" s="123">
        <f t="shared" si="86"/>
        <v>0</v>
      </c>
      <c r="K97" s="123">
        <f t="shared" si="87"/>
        <v>1.0303376734665675E-3</v>
      </c>
      <c r="L97" s="132">
        <f t="shared" si="88"/>
        <v>0</v>
      </c>
      <c r="M97" s="166"/>
      <c r="N97" s="147">
        <f t="shared" si="81"/>
        <v>0</v>
      </c>
      <c r="O97" s="148">
        <f t="shared" si="82"/>
        <v>0</v>
      </c>
      <c r="P97" s="148">
        <f t="shared" si="83"/>
        <v>366</v>
      </c>
      <c r="Q97" s="148"/>
      <c r="Y97" s="10" t="s">
        <v>7</v>
      </c>
      <c r="Z97" s="161">
        <f t="shared" si="90"/>
        <v>1.2287334593572778E-2</v>
      </c>
      <c r="AA97" s="161">
        <f t="shared" si="91"/>
        <v>9.0252707581227436E-3</v>
      </c>
      <c r="AB97" s="161">
        <f t="shared" si="92"/>
        <v>1.0135135135135136E-2</v>
      </c>
      <c r="AC97" s="161">
        <f t="shared" si="93"/>
        <v>5.9488399762046397E-3</v>
      </c>
      <c r="AD97" s="161">
        <f t="shared" si="94"/>
        <v>1.3392857142857142E-2</v>
      </c>
      <c r="AE97" s="161">
        <f t="shared" si="95"/>
        <v>8.4772370486656205E-3</v>
      </c>
      <c r="AF97" s="161">
        <f t="shared" si="96"/>
        <v>7.6335877862595417E-3</v>
      </c>
      <c r="AG97" s="161">
        <f t="shared" si="97"/>
        <v>8.62663906142167E-3</v>
      </c>
      <c r="AH97" s="161">
        <f t="shared" si="98"/>
        <v>1.6900395541172241E-2</v>
      </c>
      <c r="AI97" s="161">
        <f t="shared" si="99"/>
        <v>2.3027166882276844E-2</v>
      </c>
      <c r="AJ97" s="161">
        <f t="shared" si="100"/>
        <v>9.8887515451174298E-4</v>
      </c>
    </row>
    <row r="98" spans="1:36" x14ac:dyDescent="0.25">
      <c r="A98" s="116" t="s">
        <v>103</v>
      </c>
      <c r="B98" s="116">
        <v>1450</v>
      </c>
      <c r="C98" s="116">
        <v>5545</v>
      </c>
      <c r="D98" s="116">
        <v>4370</v>
      </c>
      <c r="E98" s="116">
        <v>10380</v>
      </c>
      <c r="F98" s="134">
        <v>4580</v>
      </c>
      <c r="G98" s="163"/>
      <c r="H98" s="141">
        <f t="shared" si="84"/>
        <v>2.3287561230225649E-2</v>
      </c>
      <c r="I98" s="123">
        <f t="shared" si="85"/>
        <v>2.1466605452966876E-2</v>
      </c>
      <c r="J98" s="123">
        <f t="shared" si="86"/>
        <v>1.5483926745081967E-2</v>
      </c>
      <c r="K98" s="123">
        <f t="shared" si="87"/>
        <v>2.9221052050773147E-2</v>
      </c>
      <c r="L98" s="132">
        <f t="shared" si="88"/>
        <v>8.1656434651852974E-2</v>
      </c>
      <c r="M98" s="166"/>
      <c r="N98" s="147">
        <f t="shared" si="81"/>
        <v>4095</v>
      </c>
      <c r="O98" s="148">
        <f t="shared" si="82"/>
        <v>-1175</v>
      </c>
      <c r="P98" s="148">
        <f t="shared" si="83"/>
        <v>6010</v>
      </c>
      <c r="Q98" s="148"/>
      <c r="Y98" s="10" t="s">
        <v>8</v>
      </c>
      <c r="Z98" s="161">
        <f t="shared" si="90"/>
        <v>0.23534971644612476</v>
      </c>
      <c r="AA98" s="161">
        <f t="shared" si="91"/>
        <v>0.16666666666666666</v>
      </c>
      <c r="AB98" s="161">
        <f t="shared" si="92"/>
        <v>0.23226351351351351</v>
      </c>
      <c r="AC98" s="161">
        <f t="shared" si="93"/>
        <v>0.18976799524092802</v>
      </c>
      <c r="AD98" s="161">
        <f t="shared" si="94"/>
        <v>0.21329365079365079</v>
      </c>
      <c r="AE98" s="161">
        <f t="shared" si="95"/>
        <v>0.24740973312401884</v>
      </c>
      <c r="AF98" s="161">
        <f t="shared" si="96"/>
        <v>0.2244968771686329</v>
      </c>
      <c r="AG98" s="161">
        <f t="shared" si="97"/>
        <v>0.2349896480331263</v>
      </c>
      <c r="AH98" s="161">
        <f t="shared" si="98"/>
        <v>0.35526788924847175</v>
      </c>
      <c r="AI98" s="161">
        <f t="shared" si="99"/>
        <v>0.32600258732212162</v>
      </c>
      <c r="AJ98" s="161">
        <f t="shared" si="100"/>
        <v>0.27144622991347345</v>
      </c>
    </row>
    <row r="99" spans="1:36" x14ac:dyDescent="0.25">
      <c r="A99" s="116" t="s">
        <v>104</v>
      </c>
      <c r="B99" s="116">
        <v>0</v>
      </c>
      <c r="C99" s="116">
        <v>0</v>
      </c>
      <c r="D99" s="116">
        <v>0</v>
      </c>
      <c r="E99" s="116">
        <v>556</v>
      </c>
      <c r="F99" s="134">
        <v>0</v>
      </c>
      <c r="G99" s="163"/>
      <c r="H99" s="141">
        <f t="shared" si="84"/>
        <v>0</v>
      </c>
      <c r="I99" s="123">
        <f t="shared" si="85"/>
        <v>0</v>
      </c>
      <c r="J99" s="123">
        <f t="shared" si="86"/>
        <v>0</v>
      </c>
      <c r="K99" s="123">
        <f t="shared" si="87"/>
        <v>1.5652124219874635E-3</v>
      </c>
      <c r="L99" s="132">
        <f t="shared" si="88"/>
        <v>0</v>
      </c>
      <c r="M99" s="166"/>
      <c r="N99" s="147">
        <f t="shared" si="81"/>
        <v>0</v>
      </c>
      <c r="O99" s="148">
        <f t="shared" si="82"/>
        <v>0</v>
      </c>
      <c r="P99" s="148">
        <f t="shared" si="83"/>
        <v>556</v>
      </c>
      <c r="Q99" s="148"/>
      <c r="Y99" s="40" t="s">
        <v>9</v>
      </c>
      <c r="Z99" s="161">
        <f t="shared" si="90"/>
        <v>0</v>
      </c>
      <c r="AA99" s="161">
        <f t="shared" si="91"/>
        <v>0</v>
      </c>
      <c r="AB99" s="161">
        <f t="shared" si="92"/>
        <v>0</v>
      </c>
      <c r="AC99" s="161">
        <f t="shared" si="93"/>
        <v>0</v>
      </c>
      <c r="AD99" s="161">
        <f t="shared" si="94"/>
        <v>0</v>
      </c>
      <c r="AE99" s="161">
        <f t="shared" si="95"/>
        <v>0</v>
      </c>
      <c r="AF99" s="161">
        <f t="shared" si="96"/>
        <v>0</v>
      </c>
      <c r="AG99" s="161">
        <f t="shared" si="97"/>
        <v>0</v>
      </c>
      <c r="AH99" s="161">
        <f t="shared" si="98"/>
        <v>0</v>
      </c>
      <c r="AI99" s="161">
        <f t="shared" si="99"/>
        <v>0</v>
      </c>
      <c r="AJ99" s="161">
        <f t="shared" si="100"/>
        <v>0</v>
      </c>
    </row>
    <row r="100" spans="1:36" x14ac:dyDescent="0.25">
      <c r="A100" s="116" t="s">
        <v>105</v>
      </c>
      <c r="B100" s="116">
        <v>2420</v>
      </c>
      <c r="C100" s="116">
        <v>63330</v>
      </c>
      <c r="D100" s="116">
        <v>66410</v>
      </c>
      <c r="E100" s="116">
        <v>93165</v>
      </c>
      <c r="F100" s="134">
        <v>1490</v>
      </c>
      <c r="G100" s="163"/>
      <c r="H100" s="141">
        <f t="shared" si="84"/>
        <v>3.8866136673893839E-2</v>
      </c>
      <c r="I100" s="123">
        <f t="shared" si="85"/>
        <v>0.24517224947455224</v>
      </c>
      <c r="J100" s="123">
        <f t="shared" si="86"/>
        <v>0.235306081267939</v>
      </c>
      <c r="K100" s="123">
        <f t="shared" si="87"/>
        <v>0.26227161024183815</v>
      </c>
      <c r="L100" s="132">
        <f t="shared" si="88"/>
        <v>2.656508463564649E-2</v>
      </c>
      <c r="M100" s="166"/>
      <c r="N100" s="147">
        <f t="shared" si="81"/>
        <v>60910</v>
      </c>
      <c r="O100" s="148">
        <f t="shared" si="82"/>
        <v>3080</v>
      </c>
      <c r="P100" s="148">
        <f t="shared" si="83"/>
        <v>26755</v>
      </c>
      <c r="Q100" s="148"/>
      <c r="Y100" s="40" t="s">
        <v>10</v>
      </c>
      <c r="Z100" s="161">
        <f t="shared" si="90"/>
        <v>1.1209829867674859</v>
      </c>
      <c r="AA100" s="161">
        <f t="shared" si="91"/>
        <v>0.62515042117930208</v>
      </c>
      <c r="AB100" s="161">
        <f t="shared" si="92"/>
        <v>0.63851351351351349</v>
      </c>
      <c r="AC100" s="161">
        <f t="shared" si="93"/>
        <v>0.59012492563950025</v>
      </c>
      <c r="AD100" s="161">
        <f t="shared" si="94"/>
        <v>0.32440476190476192</v>
      </c>
      <c r="AE100" s="161">
        <f t="shared" si="95"/>
        <v>0.17582417582417584</v>
      </c>
      <c r="AF100" s="161">
        <f t="shared" si="96"/>
        <v>0.19882026370575989</v>
      </c>
      <c r="AG100" s="161">
        <f t="shared" si="97"/>
        <v>0.26363008971704621</v>
      </c>
      <c r="AH100" s="161">
        <f t="shared" si="98"/>
        <v>0.46709816612729232</v>
      </c>
      <c r="AI100" s="161">
        <f t="shared" si="99"/>
        <v>0.33816300129366106</v>
      </c>
      <c r="AJ100" s="161">
        <f t="shared" si="100"/>
        <v>0.43658838071693451</v>
      </c>
    </row>
    <row r="101" spans="1:36" x14ac:dyDescent="0.25">
      <c r="A101" s="116" t="s">
        <v>106</v>
      </c>
      <c r="B101" s="116">
        <v>0</v>
      </c>
      <c r="C101" s="116">
        <v>3654</v>
      </c>
      <c r="D101" s="116">
        <v>5046</v>
      </c>
      <c r="E101" s="116">
        <v>5568</v>
      </c>
      <c r="F101" s="134">
        <v>0</v>
      </c>
      <c r="G101" s="163"/>
      <c r="H101" s="141">
        <f t="shared" si="84"/>
        <v>0</v>
      </c>
      <c r="I101" s="123">
        <f t="shared" si="85"/>
        <v>1.4145892935102067E-2</v>
      </c>
      <c r="J101" s="123">
        <f t="shared" si="86"/>
        <v>1.7879152026472219E-2</v>
      </c>
      <c r="K101" s="123">
        <f t="shared" si="87"/>
        <v>1.567464526191762E-2</v>
      </c>
      <c r="L101" s="132">
        <f t="shared" si="88"/>
        <v>0</v>
      </c>
      <c r="M101" s="166"/>
      <c r="N101" s="147">
        <f t="shared" si="81"/>
        <v>3654</v>
      </c>
      <c r="O101" s="148">
        <f t="shared" si="82"/>
        <v>1392</v>
      </c>
      <c r="P101" s="148">
        <f t="shared" si="83"/>
        <v>522</v>
      </c>
      <c r="Q101" s="148"/>
      <c r="Y101" s="10" t="s">
        <v>11</v>
      </c>
      <c r="Z101" s="161">
        <f t="shared" si="90"/>
        <v>1.1039697542533082</v>
      </c>
      <c r="AA101" s="161">
        <f t="shared" si="91"/>
        <v>0.57160048134777375</v>
      </c>
      <c r="AB101" s="161">
        <f t="shared" si="92"/>
        <v>0.63935810810810811</v>
      </c>
      <c r="AC101" s="161">
        <f t="shared" si="93"/>
        <v>0.58953004164187983</v>
      </c>
      <c r="AD101" s="161">
        <f t="shared" si="94"/>
        <v>0.27033730158730157</v>
      </c>
      <c r="AE101" s="161">
        <f t="shared" si="95"/>
        <v>0.16985871271585556</v>
      </c>
      <c r="AF101" s="161">
        <f t="shared" si="96"/>
        <v>0.18355308813324081</v>
      </c>
      <c r="AG101" s="161">
        <f t="shared" si="97"/>
        <v>0.16183574879227053</v>
      </c>
      <c r="AH101" s="161">
        <f t="shared" si="98"/>
        <v>0.43905070118662354</v>
      </c>
      <c r="AI101" s="161">
        <f t="shared" si="99"/>
        <v>0.31073738680465718</v>
      </c>
      <c r="AJ101" s="161">
        <f t="shared" si="100"/>
        <v>0.31174289245982695</v>
      </c>
    </row>
    <row r="102" spans="1:36" x14ac:dyDescent="0.25">
      <c r="A102" s="116" t="s">
        <v>107</v>
      </c>
      <c r="B102" s="116">
        <v>31610</v>
      </c>
      <c r="C102" s="116">
        <v>66630</v>
      </c>
      <c r="D102" s="116">
        <v>62190</v>
      </c>
      <c r="E102" s="116">
        <v>73070</v>
      </c>
      <c r="F102" s="134">
        <v>32350</v>
      </c>
      <c r="G102" s="163"/>
      <c r="H102" s="141">
        <f t="shared" si="84"/>
        <v>0.50766883481891911</v>
      </c>
      <c r="I102" s="123">
        <f t="shared" si="85"/>
        <v>0.25794768644385624</v>
      </c>
      <c r="J102" s="123">
        <f t="shared" si="86"/>
        <v>0.2203536394225738</v>
      </c>
      <c r="K102" s="123">
        <f t="shared" si="87"/>
        <v>0.20570156776011503</v>
      </c>
      <c r="L102" s="132">
        <f t="shared" si="88"/>
        <v>0.57676542816319731</v>
      </c>
      <c r="M102" s="166"/>
      <c r="N102" s="147">
        <f t="shared" si="81"/>
        <v>35020</v>
      </c>
      <c r="O102" s="148">
        <f t="shared" si="82"/>
        <v>-4440</v>
      </c>
      <c r="P102" s="148">
        <f t="shared" si="83"/>
        <v>10880</v>
      </c>
      <c r="Q102" s="148"/>
      <c r="Y102" s="10" t="s">
        <v>12</v>
      </c>
      <c r="Z102" s="161">
        <f t="shared" si="90"/>
        <v>1.7013232514177693E-2</v>
      </c>
      <c r="AA102" s="161">
        <f t="shared" si="91"/>
        <v>0</v>
      </c>
      <c r="AB102" s="161">
        <f t="shared" si="92"/>
        <v>0</v>
      </c>
      <c r="AC102" s="161">
        <f t="shared" si="93"/>
        <v>1.1897679952409281E-3</v>
      </c>
      <c r="AD102" s="161">
        <f t="shared" si="94"/>
        <v>4.265873015873016E-2</v>
      </c>
      <c r="AE102" s="161">
        <f t="shared" si="95"/>
        <v>6.2794348508634224E-4</v>
      </c>
      <c r="AF102" s="161">
        <f t="shared" si="96"/>
        <v>1.4920194309507287E-2</v>
      </c>
      <c r="AG102" s="161">
        <f t="shared" si="97"/>
        <v>9.9378881987577633E-2</v>
      </c>
      <c r="AH102" s="161">
        <f t="shared" si="98"/>
        <v>2.4451636102121539E-2</v>
      </c>
      <c r="AI102" s="161">
        <f t="shared" si="99"/>
        <v>1.1125485122897801E-2</v>
      </c>
      <c r="AJ102" s="161">
        <f t="shared" si="100"/>
        <v>7.9110012360939425E-2</v>
      </c>
    </row>
    <row r="103" spans="1:36" x14ac:dyDescent="0.25">
      <c r="A103" s="116" t="s">
        <v>108</v>
      </c>
      <c r="B103" s="116">
        <v>0</v>
      </c>
      <c r="C103" s="116">
        <v>0</v>
      </c>
      <c r="D103" s="116">
        <v>0</v>
      </c>
      <c r="E103" s="116">
        <v>302</v>
      </c>
      <c r="F103" s="134">
        <v>0</v>
      </c>
      <c r="G103" s="163"/>
      <c r="H103" s="141">
        <f t="shared" si="84"/>
        <v>0</v>
      </c>
      <c r="I103" s="123">
        <f t="shared" si="85"/>
        <v>0</v>
      </c>
      <c r="J103" s="123">
        <f t="shared" si="86"/>
        <v>0</v>
      </c>
      <c r="K103" s="123">
        <f t="shared" si="87"/>
        <v>8.5016933712268698E-4</v>
      </c>
      <c r="L103" s="132">
        <f t="shared" si="88"/>
        <v>0</v>
      </c>
      <c r="M103" s="166"/>
      <c r="N103" s="147">
        <f t="shared" si="81"/>
        <v>0</v>
      </c>
      <c r="O103" s="148">
        <f t="shared" si="82"/>
        <v>0</v>
      </c>
      <c r="P103" s="148">
        <f t="shared" si="83"/>
        <v>302</v>
      </c>
      <c r="Q103" s="148"/>
      <c r="Y103" s="10" t="s">
        <v>13</v>
      </c>
      <c r="Z103" s="161">
        <f t="shared" si="90"/>
        <v>0</v>
      </c>
      <c r="AA103" s="161">
        <f t="shared" si="91"/>
        <v>5.3549939831528282E-2</v>
      </c>
      <c r="AB103" s="161">
        <f t="shared" si="92"/>
        <v>-8.4459459459459464E-4</v>
      </c>
      <c r="AC103" s="161">
        <f t="shared" si="93"/>
        <v>-5.9488399762046404E-4</v>
      </c>
      <c r="AD103" s="161">
        <f t="shared" si="94"/>
        <v>1.1408730158730158E-2</v>
      </c>
      <c r="AE103" s="161">
        <f t="shared" si="95"/>
        <v>5.3375196232339087E-3</v>
      </c>
      <c r="AF103" s="161">
        <f t="shared" si="96"/>
        <v>3.4698126301179735E-4</v>
      </c>
      <c r="AG103" s="161">
        <f t="shared" si="97"/>
        <v>2.4154589371980675E-3</v>
      </c>
      <c r="AH103" s="161">
        <f t="shared" si="98"/>
        <v>3.5958288385472851E-3</v>
      </c>
      <c r="AI103" s="161">
        <f t="shared" si="99"/>
        <v>1.6300129366106079E-2</v>
      </c>
      <c r="AJ103" s="161">
        <f t="shared" si="100"/>
        <v>4.573547589616811E-2</v>
      </c>
    </row>
    <row r="104" spans="1:36" x14ac:dyDescent="0.25">
      <c r="A104" s="116" t="s">
        <v>109</v>
      </c>
      <c r="B104" s="116">
        <v>0</v>
      </c>
      <c r="C104" s="116">
        <v>0</v>
      </c>
      <c r="D104" s="116">
        <v>701</v>
      </c>
      <c r="E104" s="116">
        <v>1632</v>
      </c>
      <c r="F104" s="134">
        <v>0</v>
      </c>
      <c r="G104" s="163"/>
      <c r="H104" s="141">
        <f t="shared" si="84"/>
        <v>0</v>
      </c>
      <c r="I104" s="123">
        <f t="shared" si="85"/>
        <v>0</v>
      </c>
      <c r="J104" s="123">
        <f t="shared" si="86"/>
        <v>2.4838060980097161E-3</v>
      </c>
      <c r="K104" s="123">
        <f t="shared" si="87"/>
        <v>4.5942925767689571E-3</v>
      </c>
      <c r="L104" s="132">
        <f t="shared" si="88"/>
        <v>0</v>
      </c>
      <c r="M104" s="166"/>
      <c r="N104" s="147">
        <f t="shared" si="81"/>
        <v>0</v>
      </c>
      <c r="O104" s="148">
        <f t="shared" si="82"/>
        <v>701</v>
      </c>
      <c r="P104" s="148">
        <f t="shared" si="83"/>
        <v>931</v>
      </c>
      <c r="Q104" s="148"/>
      <c r="Y104" s="10" t="s">
        <v>14</v>
      </c>
      <c r="Z104" s="161">
        <f t="shared" si="90"/>
        <v>3.0245746691871456E-2</v>
      </c>
      <c r="AA104" s="161">
        <f t="shared" si="91"/>
        <v>1.9855595667870037E-2</v>
      </c>
      <c r="AB104" s="161">
        <f t="shared" si="92"/>
        <v>0.21875</v>
      </c>
      <c r="AC104" s="161">
        <f t="shared" si="93"/>
        <v>0.41106484235574065</v>
      </c>
      <c r="AD104" s="161">
        <f t="shared" si="94"/>
        <v>0.26488095238095238</v>
      </c>
      <c r="AE104" s="161">
        <f t="shared" si="95"/>
        <v>0.17488226059654632</v>
      </c>
      <c r="AF104" s="161">
        <f t="shared" si="96"/>
        <v>0.64156835530881329</v>
      </c>
      <c r="AG104" s="161">
        <f t="shared" si="97"/>
        <v>0.8554175293305728</v>
      </c>
      <c r="AH104" s="161">
        <f t="shared" si="98"/>
        <v>0.8572455951096728</v>
      </c>
      <c r="AI104" s="161">
        <f t="shared" si="99"/>
        <v>0.61681759379042689</v>
      </c>
      <c r="AJ104" s="161">
        <f t="shared" si="100"/>
        <v>0.68825710754017311</v>
      </c>
    </row>
    <row r="105" spans="1:36" x14ac:dyDescent="0.25">
      <c r="A105" s="116" t="s">
        <v>110</v>
      </c>
      <c r="B105" s="116">
        <v>14978</v>
      </c>
      <c r="C105" s="116">
        <v>51494</v>
      </c>
      <c r="D105" s="116">
        <v>54485</v>
      </c>
      <c r="E105" s="116">
        <v>35252</v>
      </c>
      <c r="F105" s="134">
        <v>8190</v>
      </c>
      <c r="G105" s="163"/>
      <c r="H105" s="141">
        <f t="shared" si="84"/>
        <v>0.24055247731470328</v>
      </c>
      <c r="I105" s="123">
        <f t="shared" si="85"/>
        <v>0.19935101554464857</v>
      </c>
      <c r="J105" s="123">
        <f t="shared" si="86"/>
        <v>0.1930530317404556</v>
      </c>
      <c r="K105" s="123">
        <f t="shared" si="87"/>
        <v>9.923897176241378E-2</v>
      </c>
      <c r="L105" s="132">
        <f t="shared" si="88"/>
        <v>0.14601882091674145</v>
      </c>
      <c r="M105" s="166"/>
      <c r="N105" s="147">
        <f t="shared" si="81"/>
        <v>36516</v>
      </c>
      <c r="O105" s="148">
        <f t="shared" si="82"/>
        <v>2991</v>
      </c>
      <c r="P105" s="148">
        <f t="shared" si="83"/>
        <v>-19233</v>
      </c>
      <c r="Q105" s="148"/>
      <c r="Y105" s="40" t="s">
        <v>15</v>
      </c>
      <c r="Z105" s="161">
        <f t="shared" si="90"/>
        <v>-0.38374291115311909</v>
      </c>
      <c r="AA105" s="161">
        <f t="shared" si="91"/>
        <v>0.1588447653429603</v>
      </c>
      <c r="AB105" s="161">
        <f t="shared" si="92"/>
        <v>8.4459459459459457E-2</v>
      </c>
      <c r="AC105" s="161">
        <f t="shared" si="93"/>
        <v>0.19393218322427128</v>
      </c>
      <c r="AD105" s="161">
        <f t="shared" si="94"/>
        <v>0.32490079365079366</v>
      </c>
      <c r="AE105" s="161">
        <f t="shared" si="95"/>
        <v>0.39183673469387753</v>
      </c>
      <c r="AF105" s="161">
        <f t="shared" si="96"/>
        <v>0.53122831367106171</v>
      </c>
      <c r="AG105" s="161">
        <f t="shared" si="97"/>
        <v>0.43512767425810905</v>
      </c>
      <c r="AH105" s="161">
        <f t="shared" si="98"/>
        <v>5.8971592952175474E-2</v>
      </c>
      <c r="AI105" s="161">
        <f t="shared" si="99"/>
        <v>0.21966364812419145</v>
      </c>
      <c r="AJ105" s="161">
        <f t="shared" si="100"/>
        <v>0.22719406674907294</v>
      </c>
    </row>
    <row r="106" spans="1:36" x14ac:dyDescent="0.25">
      <c r="A106" s="116" t="s">
        <v>111</v>
      </c>
      <c r="B106" s="116">
        <v>798</v>
      </c>
      <c r="C106" s="116">
        <v>11438</v>
      </c>
      <c r="D106" s="116">
        <v>18088</v>
      </c>
      <c r="E106" s="116">
        <v>22344</v>
      </c>
      <c r="F106" s="134">
        <v>665</v>
      </c>
      <c r="G106" s="163"/>
      <c r="H106" s="141">
        <f t="shared" si="84"/>
        <v>1.2816188870151771E-2</v>
      </c>
      <c r="I106" s="123">
        <f t="shared" si="85"/>
        <v>4.4280438804514897E-2</v>
      </c>
      <c r="J106" s="123">
        <f t="shared" si="86"/>
        <v>6.408999244051318E-2</v>
      </c>
      <c r="K106" s="123">
        <f t="shared" si="87"/>
        <v>6.2901270426057337E-2</v>
      </c>
      <c r="L106" s="132">
        <f t="shared" si="88"/>
        <v>1.1856229048795247E-2</v>
      </c>
      <c r="M106" s="166"/>
      <c r="N106" s="147">
        <f t="shared" si="81"/>
        <v>10640</v>
      </c>
      <c r="O106" s="148">
        <f t="shared" si="82"/>
        <v>6650</v>
      </c>
      <c r="P106" s="148">
        <f t="shared" si="83"/>
        <v>4256</v>
      </c>
      <c r="Q106" s="148"/>
      <c r="Y106" s="10" t="s">
        <v>16</v>
      </c>
      <c r="Z106" s="161">
        <f t="shared" si="90"/>
        <v>9.4517958412098299E-2</v>
      </c>
      <c r="AA106" s="161">
        <f t="shared" si="91"/>
        <v>1.8050541516245488E-3</v>
      </c>
      <c r="AB106" s="161">
        <f t="shared" si="92"/>
        <v>1.5202702702702704E-2</v>
      </c>
      <c r="AC106" s="161">
        <f t="shared" si="93"/>
        <v>0.15110053539559787</v>
      </c>
      <c r="AD106" s="161">
        <f t="shared" si="94"/>
        <v>0.22371031746031747</v>
      </c>
      <c r="AE106" s="161">
        <f t="shared" si="95"/>
        <v>0.22919937205651492</v>
      </c>
      <c r="AF106" s="161">
        <f t="shared" si="96"/>
        <v>0.34073560027758504</v>
      </c>
      <c r="AG106" s="161">
        <f t="shared" si="97"/>
        <v>0.41269841269841268</v>
      </c>
      <c r="AH106" s="161">
        <f t="shared" si="98"/>
        <v>0</v>
      </c>
      <c r="AI106" s="161">
        <f t="shared" si="99"/>
        <v>0.16300129366106081</v>
      </c>
      <c r="AJ106" s="161">
        <f t="shared" si="100"/>
        <v>0.14338689740420271</v>
      </c>
    </row>
    <row r="107" spans="1:36" ht="15.75" thickBot="1" x14ac:dyDescent="0.3">
      <c r="A107" s="116" t="s">
        <v>112</v>
      </c>
      <c r="B107" s="116">
        <v>665</v>
      </c>
      <c r="C107" s="116">
        <v>4123</v>
      </c>
      <c r="D107" s="116">
        <v>4389</v>
      </c>
      <c r="E107" s="116">
        <v>8911</v>
      </c>
      <c r="F107" s="134">
        <v>1330</v>
      </c>
      <c r="G107" s="163"/>
      <c r="H107" s="141">
        <f t="shared" si="84"/>
        <v>1.0680157391793142E-2</v>
      </c>
      <c r="I107" s="123">
        <f t="shared" si="85"/>
        <v>1.5961553522557695E-2</v>
      </c>
      <c r="J107" s="123">
        <f t="shared" si="86"/>
        <v>1.5551248165712758E-2</v>
      </c>
      <c r="K107" s="123">
        <f t="shared" si="87"/>
        <v>2.508562570563001E-2</v>
      </c>
      <c r="L107" s="132">
        <f t="shared" si="88"/>
        <v>2.3712458097590493E-2</v>
      </c>
      <c r="M107" s="166"/>
      <c r="N107" s="147">
        <f t="shared" si="81"/>
        <v>3458</v>
      </c>
      <c r="O107" s="148">
        <f t="shared" si="82"/>
        <v>266</v>
      </c>
      <c r="P107" s="148">
        <f t="shared" si="83"/>
        <v>4522</v>
      </c>
      <c r="Q107" s="148"/>
      <c r="Y107" s="37" t="s">
        <v>17</v>
      </c>
      <c r="Z107" s="161">
        <f t="shared" si="90"/>
        <v>-0.47826086956521741</v>
      </c>
      <c r="AA107" s="161">
        <f t="shared" si="91"/>
        <v>0.15703971119133575</v>
      </c>
      <c r="AB107" s="161">
        <f t="shared" si="92"/>
        <v>6.9256756756756757E-2</v>
      </c>
      <c r="AC107" s="161">
        <f t="shared" si="93"/>
        <v>4.2831647828673408E-2</v>
      </c>
      <c r="AD107" s="161">
        <f t="shared" si="94"/>
        <v>0.10119047619047619</v>
      </c>
      <c r="AE107" s="161">
        <f t="shared" si="95"/>
        <v>0.16263736263736264</v>
      </c>
      <c r="AF107" s="161">
        <f t="shared" si="96"/>
        <v>0.19049271339347676</v>
      </c>
      <c r="AG107" s="161">
        <f t="shared" si="97"/>
        <v>2.2429261559696344E-2</v>
      </c>
      <c r="AH107" s="161">
        <f t="shared" si="98"/>
        <v>5.8971592952175474E-2</v>
      </c>
      <c r="AI107" s="161">
        <f t="shared" si="99"/>
        <v>5.6662354463130657E-2</v>
      </c>
      <c r="AJ107" s="161">
        <f t="shared" si="100"/>
        <v>8.3807169344870217E-2</v>
      </c>
    </row>
    <row r="108" spans="1:36" ht="15.75" thickBot="1" x14ac:dyDescent="0.3">
      <c r="A108" s="116" t="s">
        <v>113</v>
      </c>
      <c r="B108" s="116">
        <v>250</v>
      </c>
      <c r="C108" s="116">
        <v>3750</v>
      </c>
      <c r="D108" s="116">
        <v>2000</v>
      </c>
      <c r="E108" s="116">
        <v>3250</v>
      </c>
      <c r="F108" s="134">
        <v>0</v>
      </c>
      <c r="G108" s="163"/>
      <c r="H108" s="141">
        <f t="shared" si="84"/>
        <v>4.0150967638320082E-3</v>
      </c>
      <c r="I108" s="123">
        <f t="shared" si="85"/>
        <v>1.451754201057273E-2</v>
      </c>
      <c r="J108" s="123">
        <f t="shared" si="86"/>
        <v>7.0864653295569643E-3</v>
      </c>
      <c r="K108" s="123">
        <f t="shared" si="87"/>
        <v>9.1491733299626909E-3</v>
      </c>
      <c r="L108" s="132">
        <f t="shared" si="88"/>
        <v>0</v>
      </c>
      <c r="M108" s="166"/>
      <c r="N108" s="147">
        <f t="shared" si="81"/>
        <v>3500</v>
      </c>
      <c r="O108" s="148">
        <f t="shared" si="82"/>
        <v>-1750</v>
      </c>
      <c r="P108" s="148">
        <f t="shared" si="83"/>
        <v>1250</v>
      </c>
      <c r="Q108" s="148"/>
      <c r="Z108" s="30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 spans="1:36" x14ac:dyDescent="0.25">
      <c r="A109" s="116" t="s">
        <v>114</v>
      </c>
      <c r="B109" s="116">
        <v>0</v>
      </c>
      <c r="C109" s="116">
        <v>0</v>
      </c>
      <c r="D109" s="116">
        <v>0</v>
      </c>
      <c r="E109" s="116">
        <v>860</v>
      </c>
      <c r="F109" s="134">
        <v>0</v>
      </c>
      <c r="G109" s="163"/>
      <c r="H109" s="141">
        <f t="shared" si="84"/>
        <v>0</v>
      </c>
      <c r="I109" s="123">
        <f t="shared" si="85"/>
        <v>0</v>
      </c>
      <c r="J109" s="123">
        <f t="shared" si="86"/>
        <v>0</v>
      </c>
      <c r="K109" s="123">
        <f t="shared" si="87"/>
        <v>2.4210120196208967E-3</v>
      </c>
      <c r="L109" s="132">
        <f t="shared" si="88"/>
        <v>0</v>
      </c>
      <c r="M109" s="166"/>
      <c r="N109" s="147">
        <f t="shared" si="81"/>
        <v>0</v>
      </c>
      <c r="O109" s="148">
        <f t="shared" si="82"/>
        <v>0</v>
      </c>
      <c r="P109" s="148">
        <f t="shared" si="83"/>
        <v>860</v>
      </c>
      <c r="Q109" s="148"/>
    </row>
    <row r="110" spans="1:36" x14ac:dyDescent="0.25">
      <c r="A110" s="116" t="s">
        <v>115</v>
      </c>
      <c r="B110" s="116">
        <v>0</v>
      </c>
      <c r="C110" s="116">
        <v>0</v>
      </c>
      <c r="D110" s="116">
        <v>1045</v>
      </c>
      <c r="E110" s="116">
        <v>1805</v>
      </c>
      <c r="F110" s="134">
        <v>0</v>
      </c>
      <c r="G110" s="163"/>
      <c r="H110" s="141">
        <f t="shared" si="84"/>
        <v>0</v>
      </c>
      <c r="I110" s="123">
        <f t="shared" si="85"/>
        <v>0</v>
      </c>
      <c r="J110" s="123">
        <f t="shared" si="86"/>
        <v>3.7026781346935138E-3</v>
      </c>
      <c r="K110" s="123">
        <f t="shared" si="87"/>
        <v>5.0813101109485094E-3</v>
      </c>
      <c r="L110" s="132">
        <f t="shared" si="88"/>
        <v>0</v>
      </c>
      <c r="M110" s="166"/>
      <c r="N110" s="147">
        <f t="shared" si="81"/>
        <v>0</v>
      </c>
      <c r="O110" s="148">
        <f t="shared" si="82"/>
        <v>1045</v>
      </c>
      <c r="P110" s="148">
        <f t="shared" si="83"/>
        <v>760</v>
      </c>
      <c r="Q110" s="148"/>
    </row>
    <row r="111" spans="1:36" x14ac:dyDescent="0.25">
      <c r="A111" s="116" t="s">
        <v>116</v>
      </c>
      <c r="B111" s="116">
        <v>0</v>
      </c>
      <c r="C111" s="116">
        <v>6120</v>
      </c>
      <c r="D111" s="116">
        <v>10080</v>
      </c>
      <c r="E111" s="116">
        <v>14580</v>
      </c>
      <c r="F111" s="134">
        <v>90</v>
      </c>
      <c r="G111" s="163"/>
      <c r="H111" s="141">
        <f t="shared" si="84"/>
        <v>0</v>
      </c>
      <c r="I111" s="123">
        <f t="shared" si="85"/>
        <v>2.3692628561254692E-2</v>
      </c>
      <c r="J111" s="123">
        <f t="shared" si="86"/>
        <v>3.5715785260967102E-2</v>
      </c>
      <c r="K111" s="123">
        <f t="shared" si="87"/>
        <v>4.1044599123340318E-2</v>
      </c>
      <c r="L111" s="132">
        <f t="shared" si="88"/>
        <v>1.6046024276564995E-3</v>
      </c>
      <c r="M111" s="166"/>
      <c r="N111" s="147">
        <f t="shared" si="81"/>
        <v>6120</v>
      </c>
      <c r="O111" s="148">
        <f t="shared" si="82"/>
        <v>3960</v>
      </c>
      <c r="P111" s="148">
        <f t="shared" si="83"/>
        <v>4500</v>
      </c>
      <c r="Q111" s="148"/>
    </row>
    <row r="112" spans="1:36" x14ac:dyDescent="0.25">
      <c r="A112" s="116" t="s">
        <v>117</v>
      </c>
      <c r="B112" s="116">
        <v>1918</v>
      </c>
      <c r="C112" s="116">
        <v>6417</v>
      </c>
      <c r="D112" s="116">
        <v>5297</v>
      </c>
      <c r="E112" s="116">
        <v>6892</v>
      </c>
      <c r="F112" s="134">
        <v>1298</v>
      </c>
      <c r="G112" s="163"/>
      <c r="H112" s="141">
        <f t="shared" si="84"/>
        <v>3.0803822372119167E-2</v>
      </c>
      <c r="I112" s="123">
        <f t="shared" si="85"/>
        <v>2.4842417888492053E-2</v>
      </c>
      <c r="J112" s="123">
        <f t="shared" si="86"/>
        <v>1.8768503425331619E-2</v>
      </c>
      <c r="K112" s="123">
        <f t="shared" si="87"/>
        <v>1.940187772003165E-2</v>
      </c>
      <c r="L112" s="132">
        <f t="shared" si="88"/>
        <v>2.3141932789979291E-2</v>
      </c>
      <c r="M112" s="166"/>
      <c r="N112" s="147">
        <f t="shared" si="81"/>
        <v>4499</v>
      </c>
      <c r="O112" s="148">
        <f t="shared" si="82"/>
        <v>-1120</v>
      </c>
      <c r="P112" s="148">
        <f t="shared" si="83"/>
        <v>1595</v>
      </c>
      <c r="Q112" s="148"/>
    </row>
    <row r="113" spans="1:17" x14ac:dyDescent="0.25">
      <c r="A113" s="116" t="s">
        <v>118</v>
      </c>
      <c r="B113" s="116">
        <v>840</v>
      </c>
      <c r="C113" s="116">
        <v>1680</v>
      </c>
      <c r="D113" s="116">
        <v>2856</v>
      </c>
      <c r="E113" s="116">
        <v>2016</v>
      </c>
      <c r="F113" s="134">
        <v>0</v>
      </c>
      <c r="G113" s="163"/>
      <c r="H113" s="141">
        <f t="shared" si="84"/>
        <v>1.3490725126475547E-2</v>
      </c>
      <c r="I113" s="123">
        <f t="shared" si="85"/>
        <v>6.5038588207365824E-3</v>
      </c>
      <c r="J113" s="123">
        <f t="shared" si="86"/>
        <v>1.0119472490607346E-2</v>
      </c>
      <c r="K113" s="123">
        <f t="shared" si="87"/>
        <v>5.6753025948322417E-3</v>
      </c>
      <c r="L113" s="132">
        <f t="shared" si="88"/>
        <v>0</v>
      </c>
      <c r="M113" s="166"/>
      <c r="N113" s="147">
        <f t="shared" si="81"/>
        <v>840</v>
      </c>
      <c r="O113" s="148">
        <f t="shared" si="82"/>
        <v>1176</v>
      </c>
      <c r="P113" s="148">
        <f t="shared" si="83"/>
        <v>-840</v>
      </c>
      <c r="Q113" s="148"/>
    </row>
    <row r="114" spans="1:17" x14ac:dyDescent="0.25">
      <c r="A114" s="116" t="s">
        <v>119</v>
      </c>
      <c r="B114" s="116">
        <v>0</v>
      </c>
      <c r="C114" s="116">
        <v>3583.1899999999982</v>
      </c>
      <c r="D114" s="116">
        <v>4583.1499999999978</v>
      </c>
      <c r="E114" s="116">
        <v>7916.3499999999949</v>
      </c>
      <c r="F114" s="134">
        <v>166.66</v>
      </c>
      <c r="G114" s="163"/>
      <c r="H114" s="141">
        <f t="shared" si="84"/>
        <v>0</v>
      </c>
      <c r="I114" s="123">
        <f t="shared" si="85"/>
        <v>1.3871763028497085E-2</v>
      </c>
      <c r="J114" s="123">
        <f t="shared" si="86"/>
        <v>1.6239166787579494E-2</v>
      </c>
      <c r="K114" s="123">
        <f t="shared" si="87"/>
        <v>2.2285556397123107E-2</v>
      </c>
      <c r="L114" s="132">
        <f t="shared" si="88"/>
        <v>2.9713671177025798E-3</v>
      </c>
      <c r="M114" s="166"/>
      <c r="N114" s="147">
        <f t="shared" si="81"/>
        <v>3583.1899999999982</v>
      </c>
      <c r="O114" s="148">
        <f t="shared" si="82"/>
        <v>999.95999999999958</v>
      </c>
      <c r="P114" s="148">
        <f t="shared" si="83"/>
        <v>3333.1999999999971</v>
      </c>
      <c r="Q114" s="148"/>
    </row>
    <row r="115" spans="1:17" x14ac:dyDescent="0.25">
      <c r="A115" s="116" t="s">
        <v>120</v>
      </c>
      <c r="B115" s="116">
        <v>0</v>
      </c>
      <c r="C115" s="116">
        <v>0</v>
      </c>
      <c r="D115" s="116">
        <v>0</v>
      </c>
      <c r="E115" s="116">
        <v>1610</v>
      </c>
      <c r="F115" s="134">
        <v>0</v>
      </c>
      <c r="G115" s="163"/>
      <c r="H115" s="141">
        <f t="shared" si="84"/>
        <v>0</v>
      </c>
      <c r="I115" s="123">
        <f t="shared" si="85"/>
        <v>0</v>
      </c>
      <c r="J115" s="123">
        <f t="shared" si="86"/>
        <v>0</v>
      </c>
      <c r="K115" s="123">
        <f t="shared" si="87"/>
        <v>4.5323597111507482E-3</v>
      </c>
      <c r="L115" s="132">
        <f t="shared" si="88"/>
        <v>0</v>
      </c>
      <c r="M115" s="166"/>
      <c r="N115" s="147">
        <f t="shared" si="81"/>
        <v>0</v>
      </c>
      <c r="O115" s="148">
        <f t="shared" si="82"/>
        <v>0</v>
      </c>
      <c r="P115" s="148">
        <f t="shared" si="83"/>
        <v>1610</v>
      </c>
      <c r="Q115" s="148"/>
    </row>
    <row r="116" spans="1:17" x14ac:dyDescent="0.25">
      <c r="A116" s="116" t="s">
        <v>121</v>
      </c>
      <c r="B116" s="116">
        <v>0</v>
      </c>
      <c r="C116" s="116">
        <v>0</v>
      </c>
      <c r="D116" s="116">
        <v>300</v>
      </c>
      <c r="E116" s="116">
        <v>150</v>
      </c>
      <c r="F116" s="134">
        <v>0</v>
      </c>
      <c r="G116" s="163"/>
      <c r="H116" s="141">
        <f t="shared" si="84"/>
        <v>0</v>
      </c>
      <c r="I116" s="123">
        <f t="shared" si="85"/>
        <v>0</v>
      </c>
      <c r="J116" s="123">
        <f t="shared" si="86"/>
        <v>1.0629697994335445E-3</v>
      </c>
      <c r="K116" s="123">
        <f t="shared" si="87"/>
        <v>4.2226953830597035E-4</v>
      </c>
      <c r="L116" s="132">
        <f t="shared" si="88"/>
        <v>0</v>
      </c>
      <c r="M116" s="166"/>
      <c r="N116" s="147">
        <f t="shared" si="81"/>
        <v>0</v>
      </c>
      <c r="O116" s="148">
        <f t="shared" si="82"/>
        <v>300</v>
      </c>
      <c r="P116" s="148">
        <f t="shared" si="83"/>
        <v>-150</v>
      </c>
      <c r="Q116" s="148"/>
    </row>
    <row r="117" spans="1:17" x14ac:dyDescent="0.25">
      <c r="A117" s="116" t="s">
        <v>122</v>
      </c>
      <c r="B117" s="116">
        <v>0</v>
      </c>
      <c r="C117" s="116">
        <v>0</v>
      </c>
      <c r="D117" s="116">
        <v>0</v>
      </c>
      <c r="E117" s="116">
        <v>176</v>
      </c>
      <c r="F117" s="134">
        <v>0</v>
      </c>
      <c r="G117" s="163"/>
      <c r="H117" s="141">
        <f t="shared" si="84"/>
        <v>0</v>
      </c>
      <c r="I117" s="123">
        <f t="shared" si="85"/>
        <v>0</v>
      </c>
      <c r="J117" s="123">
        <f t="shared" si="86"/>
        <v>0</v>
      </c>
      <c r="K117" s="123">
        <f t="shared" si="87"/>
        <v>4.9546292494567182E-4</v>
      </c>
      <c r="L117" s="132">
        <f t="shared" si="88"/>
        <v>0</v>
      </c>
      <c r="M117" s="166"/>
      <c r="N117" s="147">
        <f t="shared" si="81"/>
        <v>0</v>
      </c>
      <c r="O117" s="148">
        <f t="shared" si="82"/>
        <v>0</v>
      </c>
      <c r="P117" s="148">
        <f t="shared" si="83"/>
        <v>176</v>
      </c>
      <c r="Q117" s="148"/>
    </row>
    <row r="118" spans="1:17" x14ac:dyDescent="0.25">
      <c r="A118" s="116" t="s">
        <v>123</v>
      </c>
      <c r="B118" s="116">
        <v>0</v>
      </c>
      <c r="C118" s="116">
        <v>0</v>
      </c>
      <c r="D118" s="116">
        <v>0</v>
      </c>
      <c r="E118" s="116">
        <v>259</v>
      </c>
      <c r="F118" s="134">
        <v>0</v>
      </c>
      <c r="G118" s="163"/>
      <c r="H118" s="141">
        <f t="shared" si="84"/>
        <v>0</v>
      </c>
      <c r="I118" s="123">
        <f t="shared" si="85"/>
        <v>0</v>
      </c>
      <c r="J118" s="123">
        <f t="shared" si="86"/>
        <v>0</v>
      </c>
      <c r="K118" s="123">
        <f t="shared" si="87"/>
        <v>7.2911873614164206E-4</v>
      </c>
      <c r="L118" s="132">
        <f t="shared" si="88"/>
        <v>0</v>
      </c>
      <c r="M118" s="166"/>
      <c r="N118" s="147">
        <f t="shared" si="81"/>
        <v>0</v>
      </c>
      <c r="O118" s="148">
        <f t="shared" si="82"/>
        <v>0</v>
      </c>
      <c r="P118" s="148">
        <f t="shared" si="83"/>
        <v>259</v>
      </c>
      <c r="Q118" s="148"/>
    </row>
    <row r="119" spans="1:17" x14ac:dyDescent="0.25">
      <c r="A119" s="116" t="s">
        <v>124</v>
      </c>
      <c r="B119" s="116">
        <v>630</v>
      </c>
      <c r="C119" s="116">
        <v>945</v>
      </c>
      <c r="D119" s="116">
        <v>1890</v>
      </c>
      <c r="E119" s="116">
        <v>945</v>
      </c>
      <c r="F119" s="134">
        <v>0</v>
      </c>
      <c r="G119" s="163"/>
      <c r="H119" s="141">
        <f t="shared" si="84"/>
        <v>1.0118043844856661E-2</v>
      </c>
      <c r="I119" s="123">
        <f t="shared" si="85"/>
        <v>3.6584205866643277E-3</v>
      </c>
      <c r="J119" s="123">
        <f t="shared" si="86"/>
        <v>6.6967097364313312E-3</v>
      </c>
      <c r="K119" s="123">
        <f t="shared" si="87"/>
        <v>2.6602980913276132E-3</v>
      </c>
      <c r="L119" s="132">
        <f t="shared" si="88"/>
        <v>0</v>
      </c>
      <c r="M119" s="166"/>
      <c r="N119" s="147">
        <f t="shared" si="81"/>
        <v>315</v>
      </c>
      <c r="O119" s="148">
        <f t="shared" si="82"/>
        <v>945</v>
      </c>
      <c r="P119" s="148">
        <f t="shared" si="83"/>
        <v>-945</v>
      </c>
      <c r="Q119" s="148"/>
    </row>
    <row r="120" spans="1:17" x14ac:dyDescent="0.25">
      <c r="A120" s="116" t="s">
        <v>125</v>
      </c>
      <c r="B120" s="116">
        <v>120</v>
      </c>
      <c r="C120" s="116">
        <v>3425</v>
      </c>
      <c r="D120" s="116">
        <v>2175</v>
      </c>
      <c r="E120" s="116">
        <v>1225</v>
      </c>
      <c r="F120" s="134">
        <v>125</v>
      </c>
      <c r="G120" s="163"/>
      <c r="H120" s="141">
        <f t="shared" si="84"/>
        <v>1.927246446639364E-3</v>
      </c>
      <c r="I120" s="123">
        <f t="shared" si="85"/>
        <v>1.3259355036323093E-2</v>
      </c>
      <c r="J120" s="123">
        <f t="shared" si="86"/>
        <v>7.7065310458931989E-3</v>
      </c>
      <c r="K120" s="123">
        <f t="shared" si="87"/>
        <v>3.4485345628320909E-3</v>
      </c>
      <c r="L120" s="132">
        <f t="shared" si="88"/>
        <v>2.2286144828562492E-3</v>
      </c>
      <c r="M120" s="166"/>
      <c r="N120" s="147">
        <f t="shared" si="81"/>
        <v>3305</v>
      </c>
      <c r="O120" s="148">
        <f t="shared" si="82"/>
        <v>-1250</v>
      </c>
      <c r="P120" s="148">
        <f t="shared" si="83"/>
        <v>-950</v>
      </c>
      <c r="Q120" s="148"/>
    </row>
    <row r="121" spans="1:17" x14ac:dyDescent="0.25">
      <c r="A121" s="116" t="s">
        <v>126</v>
      </c>
      <c r="B121" s="116">
        <v>0</v>
      </c>
      <c r="C121" s="116">
        <v>0</v>
      </c>
      <c r="D121" s="116">
        <v>0</v>
      </c>
      <c r="E121" s="116">
        <v>2400</v>
      </c>
      <c r="F121" s="134">
        <v>0</v>
      </c>
      <c r="G121" s="163"/>
      <c r="H121" s="141">
        <f t="shared" si="84"/>
        <v>0</v>
      </c>
      <c r="I121" s="123">
        <f t="shared" si="85"/>
        <v>0</v>
      </c>
      <c r="J121" s="123">
        <f t="shared" si="86"/>
        <v>0</v>
      </c>
      <c r="K121" s="123">
        <f t="shared" si="87"/>
        <v>6.7563126128955256E-3</v>
      </c>
      <c r="L121" s="132">
        <f t="shared" si="88"/>
        <v>0</v>
      </c>
      <c r="M121" s="166"/>
      <c r="N121" s="147">
        <f t="shared" si="81"/>
        <v>0</v>
      </c>
      <c r="O121" s="148">
        <f t="shared" si="82"/>
        <v>0</v>
      </c>
      <c r="P121" s="148">
        <f t="shared" si="83"/>
        <v>2400</v>
      </c>
      <c r="Q121" s="148"/>
    </row>
    <row r="122" spans="1:17" x14ac:dyDescent="0.25">
      <c r="A122" s="116" t="s">
        <v>127</v>
      </c>
      <c r="B122" s="116">
        <v>350</v>
      </c>
      <c r="C122" s="116">
        <v>2970</v>
      </c>
      <c r="D122" s="116">
        <v>1800</v>
      </c>
      <c r="E122" s="116">
        <v>1300</v>
      </c>
      <c r="F122" s="134">
        <v>0</v>
      </c>
      <c r="G122" s="163"/>
      <c r="H122" s="141">
        <f t="shared" si="84"/>
        <v>5.621135469364812E-3</v>
      </c>
      <c r="I122" s="123">
        <f t="shared" si="85"/>
        <v>1.1497893272373601E-2</v>
      </c>
      <c r="J122" s="123">
        <f t="shared" si="86"/>
        <v>6.377818796601268E-3</v>
      </c>
      <c r="K122" s="123">
        <f t="shared" si="87"/>
        <v>3.6596693319850761E-3</v>
      </c>
      <c r="L122" s="132">
        <f t="shared" si="88"/>
        <v>0</v>
      </c>
      <c r="M122" s="166"/>
      <c r="N122" s="147">
        <f t="shared" si="81"/>
        <v>2620</v>
      </c>
      <c r="O122" s="148">
        <f t="shared" si="82"/>
        <v>-1170</v>
      </c>
      <c r="P122" s="148">
        <f t="shared" si="83"/>
        <v>-500</v>
      </c>
      <c r="Q122" s="148"/>
    </row>
    <row r="123" spans="1:17" x14ac:dyDescent="0.25">
      <c r="A123" s="116" t="s">
        <v>128</v>
      </c>
      <c r="B123" s="116">
        <v>1200</v>
      </c>
      <c r="C123" s="116">
        <v>3600</v>
      </c>
      <c r="D123" s="116">
        <v>3000</v>
      </c>
      <c r="E123" s="116">
        <v>3000</v>
      </c>
      <c r="F123" s="134">
        <v>0</v>
      </c>
      <c r="G123" s="163"/>
      <c r="H123" s="141">
        <f t="shared" si="84"/>
        <v>1.9272464466393639E-2</v>
      </c>
      <c r="I123" s="123">
        <f t="shared" si="85"/>
        <v>1.393684033014982E-2</v>
      </c>
      <c r="J123" s="123">
        <f t="shared" si="86"/>
        <v>1.0629697994335446E-2</v>
      </c>
      <c r="K123" s="123">
        <f t="shared" si="87"/>
        <v>8.4453907661194063E-3</v>
      </c>
      <c r="L123" s="132">
        <f t="shared" si="88"/>
        <v>0</v>
      </c>
      <c r="M123" s="166"/>
      <c r="N123" s="147">
        <f t="shared" si="81"/>
        <v>2400</v>
      </c>
      <c r="O123" s="148">
        <f t="shared" si="82"/>
        <v>-600</v>
      </c>
      <c r="P123" s="148">
        <f t="shared" si="83"/>
        <v>0</v>
      </c>
      <c r="Q123" s="148"/>
    </row>
    <row r="124" spans="1:17" x14ac:dyDescent="0.25">
      <c r="A124" s="116" t="s">
        <v>129</v>
      </c>
      <c r="B124" s="116">
        <v>0</v>
      </c>
      <c r="C124" s="116">
        <v>0</v>
      </c>
      <c r="D124" s="116">
        <v>1376</v>
      </c>
      <c r="E124" s="116">
        <v>2236</v>
      </c>
      <c r="F124" s="134">
        <v>0</v>
      </c>
      <c r="G124" s="163"/>
      <c r="H124" s="141">
        <f t="shared" si="84"/>
        <v>0</v>
      </c>
      <c r="I124" s="123">
        <f t="shared" si="85"/>
        <v>0</v>
      </c>
      <c r="J124" s="123">
        <f t="shared" si="86"/>
        <v>4.8754881467351916E-3</v>
      </c>
      <c r="K124" s="123">
        <f t="shared" si="87"/>
        <v>6.294631251014331E-3</v>
      </c>
      <c r="L124" s="132">
        <f t="shared" si="88"/>
        <v>0</v>
      </c>
      <c r="M124" s="166"/>
      <c r="N124" s="147">
        <f t="shared" si="81"/>
        <v>0</v>
      </c>
      <c r="O124" s="148">
        <f t="shared" si="82"/>
        <v>1376</v>
      </c>
      <c r="P124" s="148">
        <f t="shared" si="83"/>
        <v>860</v>
      </c>
      <c r="Q124" s="148"/>
    </row>
    <row r="125" spans="1:17" x14ac:dyDescent="0.25">
      <c r="A125" s="116" t="s">
        <v>130</v>
      </c>
      <c r="B125" s="116">
        <v>3450</v>
      </c>
      <c r="C125" s="116">
        <v>5270</v>
      </c>
      <c r="D125" s="116">
        <v>10980</v>
      </c>
      <c r="E125" s="116">
        <v>13090</v>
      </c>
      <c r="F125" s="134">
        <v>880</v>
      </c>
      <c r="G125" s="163"/>
      <c r="H125" s="141">
        <f t="shared" si="84"/>
        <v>5.5408335340881715E-2</v>
      </c>
      <c r="I125" s="123">
        <f t="shared" si="85"/>
        <v>2.0401985705524876E-2</v>
      </c>
      <c r="J125" s="123">
        <f t="shared" si="86"/>
        <v>3.8904694659267734E-2</v>
      </c>
      <c r="K125" s="123">
        <f t="shared" si="87"/>
        <v>3.6850055042834347E-2</v>
      </c>
      <c r="L125" s="132">
        <f t="shared" si="88"/>
        <v>1.5689445959307994E-2</v>
      </c>
      <c r="M125" s="166"/>
      <c r="N125" s="147">
        <f t="shared" si="81"/>
        <v>1820</v>
      </c>
      <c r="O125" s="148">
        <f t="shared" si="82"/>
        <v>5710</v>
      </c>
      <c r="P125" s="148">
        <f t="shared" si="83"/>
        <v>2110</v>
      </c>
      <c r="Q125" s="148"/>
    </row>
    <row r="126" spans="1:17" x14ac:dyDescent="0.25">
      <c r="A126" s="116" t="s">
        <v>131</v>
      </c>
      <c r="B126" s="116">
        <v>0</v>
      </c>
      <c r="C126" s="116">
        <v>0</v>
      </c>
      <c r="D126" s="116">
        <v>0</v>
      </c>
      <c r="E126" s="116">
        <v>506</v>
      </c>
      <c r="F126" s="134">
        <v>0</v>
      </c>
      <c r="G126" s="163"/>
      <c r="H126" s="141">
        <f t="shared" si="84"/>
        <v>0</v>
      </c>
      <c r="I126" s="123">
        <f t="shared" si="85"/>
        <v>0</v>
      </c>
      <c r="J126" s="123">
        <f t="shared" si="86"/>
        <v>0</v>
      </c>
      <c r="K126" s="123">
        <f t="shared" si="87"/>
        <v>1.4244559092188066E-3</v>
      </c>
      <c r="L126" s="132">
        <f t="shared" si="88"/>
        <v>0</v>
      </c>
      <c r="M126" s="166"/>
      <c r="N126" s="147">
        <f t="shared" si="81"/>
        <v>0</v>
      </c>
      <c r="O126" s="148">
        <f t="shared" si="82"/>
        <v>0</v>
      </c>
      <c r="P126" s="148">
        <f t="shared" si="83"/>
        <v>506</v>
      </c>
      <c r="Q126" s="148"/>
    </row>
    <row r="127" spans="1:17" x14ac:dyDescent="0.25">
      <c r="A127" s="116" t="s">
        <v>132</v>
      </c>
      <c r="B127" s="116">
        <v>0</v>
      </c>
      <c r="C127" s="116">
        <v>0</v>
      </c>
      <c r="D127" s="116">
        <v>300</v>
      </c>
      <c r="E127" s="116">
        <v>1200</v>
      </c>
      <c r="F127" s="134">
        <v>0</v>
      </c>
      <c r="G127" s="163"/>
      <c r="H127" s="141">
        <f t="shared" si="84"/>
        <v>0</v>
      </c>
      <c r="I127" s="123">
        <f t="shared" si="85"/>
        <v>0</v>
      </c>
      <c r="J127" s="123">
        <f t="shared" si="86"/>
        <v>1.0629697994335445E-3</v>
      </c>
      <c r="K127" s="123">
        <f t="shared" si="87"/>
        <v>3.3781563064477628E-3</v>
      </c>
      <c r="L127" s="132">
        <f t="shared" si="88"/>
        <v>0</v>
      </c>
      <c r="M127" s="166"/>
      <c r="N127" s="147">
        <f t="shared" si="81"/>
        <v>0</v>
      </c>
      <c r="O127" s="148">
        <f t="shared" si="82"/>
        <v>300</v>
      </c>
      <c r="P127" s="148">
        <f t="shared" si="83"/>
        <v>900</v>
      </c>
      <c r="Q127" s="148"/>
    </row>
    <row r="128" spans="1:17" x14ac:dyDescent="0.25">
      <c r="A128" s="116" t="s">
        <v>133</v>
      </c>
      <c r="B128" s="116">
        <v>0</v>
      </c>
      <c r="C128" s="116">
        <v>0</v>
      </c>
      <c r="D128" s="116">
        <v>0</v>
      </c>
      <c r="E128" s="116">
        <v>3600</v>
      </c>
      <c r="F128" s="134">
        <v>0</v>
      </c>
      <c r="G128" s="163"/>
      <c r="H128" s="141">
        <f t="shared" si="84"/>
        <v>0</v>
      </c>
      <c r="I128" s="123">
        <f t="shared" si="85"/>
        <v>0</v>
      </c>
      <c r="J128" s="123">
        <f t="shared" si="86"/>
        <v>0</v>
      </c>
      <c r="K128" s="123">
        <f t="shared" si="87"/>
        <v>1.0134468919343288E-2</v>
      </c>
      <c r="L128" s="132">
        <f t="shared" si="88"/>
        <v>0</v>
      </c>
      <c r="M128" s="166"/>
      <c r="N128" s="147">
        <f t="shared" si="81"/>
        <v>0</v>
      </c>
      <c r="O128" s="148">
        <f t="shared" si="82"/>
        <v>0</v>
      </c>
      <c r="P128" s="148">
        <f t="shared" si="83"/>
        <v>3600</v>
      </c>
      <c r="Q128" s="148"/>
    </row>
    <row r="129" spans="1:24" x14ac:dyDescent="0.25">
      <c r="A129" s="116" t="s">
        <v>134</v>
      </c>
      <c r="B129" s="116">
        <v>86</v>
      </c>
      <c r="C129" s="116">
        <v>3784</v>
      </c>
      <c r="D129" s="116">
        <v>4386</v>
      </c>
      <c r="E129" s="116">
        <v>4042</v>
      </c>
      <c r="F129" s="134">
        <v>0</v>
      </c>
      <c r="G129" s="163"/>
      <c r="H129" s="141">
        <f t="shared" si="84"/>
        <v>1.3811932867582109E-3</v>
      </c>
      <c r="I129" s="123">
        <f t="shared" si="85"/>
        <v>1.4649167724801921E-2</v>
      </c>
      <c r="J129" s="123">
        <f t="shared" si="86"/>
        <v>1.5540618467718422E-2</v>
      </c>
      <c r="K129" s="123">
        <f t="shared" si="87"/>
        <v>1.1378756492218214E-2</v>
      </c>
      <c r="L129" s="132">
        <f t="shared" si="88"/>
        <v>0</v>
      </c>
      <c r="M129" s="166"/>
      <c r="N129" s="147">
        <f t="shared" si="81"/>
        <v>3698</v>
      </c>
      <c r="O129" s="148">
        <f t="shared" si="82"/>
        <v>602</v>
      </c>
      <c r="P129" s="148">
        <f t="shared" si="83"/>
        <v>-344</v>
      </c>
      <c r="Q129" s="148"/>
    </row>
    <row r="130" spans="1:24" x14ac:dyDescent="0.25">
      <c r="A130" s="116" t="s">
        <v>135</v>
      </c>
      <c r="B130" s="116">
        <v>0</v>
      </c>
      <c r="C130" s="116">
        <v>0</v>
      </c>
      <c r="D130" s="116">
        <v>0</v>
      </c>
      <c r="E130" s="116">
        <v>375</v>
      </c>
      <c r="F130" s="134">
        <v>0</v>
      </c>
      <c r="G130" s="163"/>
      <c r="H130" s="141">
        <f t="shared" si="84"/>
        <v>0</v>
      </c>
      <c r="I130" s="123">
        <f t="shared" si="85"/>
        <v>0</v>
      </c>
      <c r="J130" s="123">
        <f t="shared" si="86"/>
        <v>0</v>
      </c>
      <c r="K130" s="123">
        <f t="shared" si="87"/>
        <v>1.0556738457649258E-3</v>
      </c>
      <c r="L130" s="132">
        <f t="shared" si="88"/>
        <v>0</v>
      </c>
      <c r="M130" s="166"/>
      <c r="N130" s="147">
        <f t="shared" si="81"/>
        <v>0</v>
      </c>
      <c r="O130" s="148">
        <f t="shared" si="82"/>
        <v>0</v>
      </c>
      <c r="P130" s="148">
        <f t="shared" si="83"/>
        <v>375</v>
      </c>
      <c r="Q130" s="148"/>
    </row>
    <row r="131" spans="1:24" x14ac:dyDescent="0.25">
      <c r="A131" s="116" t="s">
        <v>136</v>
      </c>
      <c r="B131" s="116">
        <v>0</v>
      </c>
      <c r="C131" s="116">
        <v>3650</v>
      </c>
      <c r="D131" s="116">
        <v>6300</v>
      </c>
      <c r="E131" s="116">
        <v>9450</v>
      </c>
      <c r="F131" s="134">
        <v>150</v>
      </c>
      <c r="G131" s="163"/>
      <c r="H131" s="141">
        <f t="shared" si="84"/>
        <v>0</v>
      </c>
      <c r="I131" s="123">
        <f t="shared" si="85"/>
        <v>1.4130407556957457E-2</v>
      </c>
      <c r="J131" s="123">
        <f t="shared" si="86"/>
        <v>2.2322365788104436E-2</v>
      </c>
      <c r="K131" s="123">
        <f t="shared" si="87"/>
        <v>2.660298091327613E-2</v>
      </c>
      <c r="L131" s="132">
        <f t="shared" si="88"/>
        <v>2.6743373794274991E-3</v>
      </c>
      <c r="M131" s="166"/>
      <c r="N131" s="147">
        <f t="shared" si="81"/>
        <v>3650</v>
      </c>
      <c r="O131" s="148">
        <f t="shared" si="82"/>
        <v>2650</v>
      </c>
      <c r="P131" s="148">
        <f t="shared" si="83"/>
        <v>3150</v>
      </c>
      <c r="Q131" s="148"/>
    </row>
    <row r="132" spans="1:24" s="4" customFormat="1" ht="15.75" thickBot="1" x14ac:dyDescent="0.3">
      <c r="A132" s="7" t="s">
        <v>91</v>
      </c>
      <c r="B132" s="7">
        <v>62265</v>
      </c>
      <c r="C132" s="7">
        <v>258308.19</v>
      </c>
      <c r="D132" s="7">
        <v>282228.15000000002</v>
      </c>
      <c r="E132" s="7">
        <v>355223.35</v>
      </c>
      <c r="F132" s="82">
        <v>56088.66</v>
      </c>
      <c r="G132" s="164"/>
      <c r="H132" s="93">
        <f t="shared" si="84"/>
        <v>1</v>
      </c>
      <c r="I132" s="59">
        <f t="shared" si="85"/>
        <v>1.0000000000000007</v>
      </c>
      <c r="J132" s="59">
        <f t="shared" si="86"/>
        <v>1.0000000000000013</v>
      </c>
      <c r="K132" s="59">
        <f t="shared" si="87"/>
        <v>1.0000000000000007</v>
      </c>
      <c r="L132" s="133">
        <f t="shared" si="88"/>
        <v>1</v>
      </c>
      <c r="M132" s="167"/>
      <c r="N132" s="149">
        <f t="shared" si="81"/>
        <v>196043.19</v>
      </c>
      <c r="O132" s="150">
        <f t="shared" si="82"/>
        <v>23919.960000000021</v>
      </c>
      <c r="P132" s="150">
        <f t="shared" si="83"/>
        <v>72995.199999999953</v>
      </c>
      <c r="Q132" s="150"/>
    </row>
    <row r="133" spans="1:24" x14ac:dyDescent="0.25">
      <c r="G133" s="126"/>
    </row>
    <row r="135" spans="1:24" ht="53.25" customHeight="1" x14ac:dyDescent="0.4">
      <c r="A135" s="159" t="s">
        <v>140</v>
      </c>
      <c r="B135" s="152">
        <v>2004</v>
      </c>
      <c r="C135" s="152">
        <v>2005</v>
      </c>
      <c r="D135" s="152">
        <v>2006</v>
      </c>
      <c r="E135" s="152">
        <v>2007</v>
      </c>
      <c r="F135" s="152">
        <v>2008</v>
      </c>
      <c r="G135" s="152">
        <v>2009</v>
      </c>
      <c r="H135" s="153">
        <v>2010</v>
      </c>
      <c r="I135" s="152">
        <v>2011</v>
      </c>
      <c r="J135" s="152">
        <v>2012</v>
      </c>
      <c r="K135" s="152">
        <v>2013</v>
      </c>
      <c r="L135" s="152">
        <v>2014</v>
      </c>
    </row>
    <row r="136" spans="1:24" s="1" customFormat="1" ht="19.5" customHeight="1" x14ac:dyDescent="0.25">
      <c r="A136" s="160" t="s">
        <v>150</v>
      </c>
      <c r="B136" s="155">
        <f>N20/N41</f>
        <v>-0.23147301006404392</v>
      </c>
      <c r="C136" s="155">
        <f t="shared" ref="C136:L136" si="101">O20/O41</f>
        <v>0.16292134831460675</v>
      </c>
      <c r="D136" s="155">
        <f t="shared" si="101"/>
        <v>0.10691003911342895</v>
      </c>
      <c r="E136" s="155">
        <f t="shared" si="101"/>
        <v>7.3846153846153853E-2</v>
      </c>
      <c r="F136" s="155">
        <f t="shared" si="101"/>
        <v>0.26771653543307089</v>
      </c>
      <c r="G136" s="155">
        <f t="shared" si="101"/>
        <v>0.52642276422764223</v>
      </c>
      <c r="H136" s="155">
        <f t="shared" si="101"/>
        <v>0.31569867740080504</v>
      </c>
      <c r="I136" s="155">
        <f t="shared" si="101"/>
        <v>3.1416143064282261E-2</v>
      </c>
      <c r="J136" s="155">
        <f t="shared" si="101"/>
        <v>0.21578947368421053</v>
      </c>
      <c r="K136" s="155">
        <f t="shared" si="101"/>
        <v>0.52142857142857146</v>
      </c>
      <c r="L136" s="155">
        <f t="shared" si="101"/>
        <v>0.83910891089108908</v>
      </c>
    </row>
    <row r="137" spans="1:24" x14ac:dyDescent="0.25">
      <c r="A137" s="116" t="s">
        <v>141</v>
      </c>
      <c r="B137" s="116">
        <f>(N7-N8)/N40</f>
        <v>0.26052104208416832</v>
      </c>
      <c r="C137" s="116">
        <f t="shared" ref="C137:L137" si="102">(O7-O8)/O40</f>
        <v>0.71046892039258447</v>
      </c>
      <c r="D137" s="116">
        <f t="shared" si="102"/>
        <v>0.82545805207328837</v>
      </c>
      <c r="E137" s="116">
        <f t="shared" si="102"/>
        <v>1.1332760103181427</v>
      </c>
      <c r="F137" s="116">
        <f t="shared" si="102"/>
        <v>1.0038343558282208</v>
      </c>
      <c r="G137" s="116">
        <f t="shared" si="102"/>
        <v>0.99559471365638763</v>
      </c>
      <c r="H137" s="116">
        <f t="shared" si="102"/>
        <v>1.0198739699466797</v>
      </c>
      <c r="I137" s="116">
        <f t="shared" si="102"/>
        <v>0.87322121604139713</v>
      </c>
      <c r="J137" s="116">
        <f t="shared" si="102"/>
        <v>1.7171361502347418</v>
      </c>
      <c r="K137" s="116">
        <f t="shared" si="102"/>
        <v>3.8362989323843415</v>
      </c>
      <c r="L137" s="116">
        <f t="shared" si="102"/>
        <v>4.6533795493934145</v>
      </c>
    </row>
    <row r="138" spans="1:24" x14ac:dyDescent="0.25">
      <c r="A138" s="116" t="s">
        <v>142</v>
      </c>
      <c r="B138" s="116">
        <f>N7/N40</f>
        <v>0.35337341349365398</v>
      </c>
      <c r="C138" s="116">
        <f t="shared" ref="C138:L138" si="103">O7/O40</f>
        <v>0.90621592148309704</v>
      </c>
      <c r="D138" s="116">
        <f t="shared" si="103"/>
        <v>1.14175506268081</v>
      </c>
      <c r="E138" s="116">
        <f t="shared" si="103"/>
        <v>1.4453998280309543</v>
      </c>
      <c r="F138" s="116">
        <f t="shared" si="103"/>
        <v>1.5460122699386503</v>
      </c>
      <c r="G138" s="116">
        <f t="shared" si="103"/>
        <v>1.7538546255506609</v>
      </c>
      <c r="H138" s="116">
        <f t="shared" si="103"/>
        <v>1.3969946679592826</v>
      </c>
      <c r="I138" s="116">
        <f t="shared" si="103"/>
        <v>1.2496765847347995</v>
      </c>
      <c r="J138" s="116">
        <f t="shared" si="103"/>
        <v>3.2640845070422535</v>
      </c>
      <c r="K138" s="116">
        <f t="shared" si="103"/>
        <v>6.8772241992882561</v>
      </c>
      <c r="L138" s="116">
        <f t="shared" si="103"/>
        <v>7.0103986135181975</v>
      </c>
    </row>
    <row r="139" spans="1:24" x14ac:dyDescent="0.25">
      <c r="A139" s="116" t="s">
        <v>143</v>
      </c>
      <c r="B139" s="116">
        <f>N7-N40</f>
        <v>-1936</v>
      </c>
      <c r="C139" s="116">
        <f t="shared" ref="C139:L139" si="104">O7-O40</f>
        <v>-172</v>
      </c>
      <c r="D139" s="116">
        <f t="shared" si="104"/>
        <v>147</v>
      </c>
      <c r="E139" s="116">
        <f t="shared" si="104"/>
        <v>518</v>
      </c>
      <c r="F139" s="116">
        <f t="shared" si="104"/>
        <v>712</v>
      </c>
      <c r="G139" s="116">
        <f t="shared" si="104"/>
        <v>1369</v>
      </c>
      <c r="H139" s="116">
        <f t="shared" si="104"/>
        <v>819</v>
      </c>
      <c r="I139" s="116">
        <f t="shared" si="104"/>
        <v>579</v>
      </c>
      <c r="J139" s="116">
        <f t="shared" si="104"/>
        <v>1929</v>
      </c>
      <c r="K139" s="116">
        <f t="shared" si="104"/>
        <v>3303</v>
      </c>
      <c r="L139" s="116">
        <f t="shared" si="104"/>
        <v>3468</v>
      </c>
    </row>
    <row r="140" spans="1:24" x14ac:dyDescent="0.25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1:24" x14ac:dyDescent="0.25">
      <c r="A141" s="116" t="s">
        <v>144</v>
      </c>
      <c r="B141" s="124">
        <f t="shared" ref="B141:L141" si="105">B82/N25</f>
        <v>-0.95454545454545459</v>
      </c>
      <c r="C141" s="124">
        <f t="shared" si="105"/>
        <v>0.52113491603937467</v>
      </c>
      <c r="D141" s="124">
        <f t="shared" si="105"/>
        <v>0.7149656266525648</v>
      </c>
      <c r="E141" s="124">
        <f t="shared" si="105"/>
        <v>0.63079019073569487</v>
      </c>
      <c r="F141" s="124">
        <f t="shared" si="105"/>
        <v>0.13964110929853182</v>
      </c>
      <c r="G141" s="124">
        <f t="shared" si="105"/>
        <v>0.14451450189155107</v>
      </c>
      <c r="H141" s="124">
        <f t="shared" si="105"/>
        <v>0.26803455723542119</v>
      </c>
      <c r="I141" s="124">
        <f t="shared" si="105"/>
        <v>9.4235687586071218E-2</v>
      </c>
      <c r="J141" s="124">
        <f t="shared" si="105"/>
        <v>0.23291558288011349</v>
      </c>
      <c r="K141" s="124">
        <f t="shared" si="105"/>
        <v>0.20114832535885169</v>
      </c>
      <c r="L141" s="124">
        <f t="shared" si="105"/>
        <v>0.14447282013863552</v>
      </c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</row>
    <row r="142" spans="1:24" x14ac:dyDescent="0.25">
      <c r="A142" s="116" t="s">
        <v>145</v>
      </c>
      <c r="B142" s="154">
        <f t="shared" ref="B142:L142" si="106">B82/N28</f>
        <v>0.49176062445793584</v>
      </c>
      <c r="C142" s="154">
        <f t="shared" si="106"/>
        <v>-0.63965884861407252</v>
      </c>
      <c r="D142" s="154">
        <f t="shared" si="106"/>
        <v>-4.8113879003558715</v>
      </c>
      <c r="E142" s="154">
        <f t="shared" si="106"/>
        <v>2.0516986706056128</v>
      </c>
      <c r="F142" s="154">
        <f t="shared" si="106"/>
        <v>0.51628468033775632</v>
      </c>
      <c r="G142" s="154">
        <f t="shared" si="106"/>
        <v>0.41551849166062366</v>
      </c>
      <c r="H142" s="154">
        <f t="shared" si="106"/>
        <v>1.2036857419980602</v>
      </c>
      <c r="I142" s="154">
        <f t="shared" si="106"/>
        <v>0.54431818181818181</v>
      </c>
      <c r="J142" s="154">
        <f t="shared" si="106"/>
        <v>0.6253968253968254</v>
      </c>
      <c r="K142" s="154">
        <f t="shared" si="106"/>
        <v>0.42056822729091636</v>
      </c>
      <c r="L142" s="154">
        <f t="shared" si="106"/>
        <v>0.27395364925631271</v>
      </c>
    </row>
    <row r="143" spans="1:24" x14ac:dyDescent="0.25">
      <c r="A143" s="116" t="s">
        <v>146</v>
      </c>
      <c r="B143" s="154">
        <f>B82/B54</f>
        <v>-0.12889293021141168</v>
      </c>
      <c r="C143" s="154">
        <f t="shared" ref="C143:L143" si="107">C82/C54</f>
        <v>0.13368983957219252</v>
      </c>
      <c r="D143" s="154">
        <f t="shared" si="107"/>
        <v>0.17572134130491293</v>
      </c>
      <c r="E143" s="154">
        <f t="shared" si="107"/>
        <v>0.14682875264270612</v>
      </c>
      <c r="F143" s="154">
        <f t="shared" si="107"/>
        <v>4.9167145318782308E-2</v>
      </c>
      <c r="G143" s="154">
        <f t="shared" si="107"/>
        <v>5.6486593059936911E-2</v>
      </c>
      <c r="H143" s="154">
        <f t="shared" si="107"/>
        <v>0.10136404476027118</v>
      </c>
      <c r="I143" s="154">
        <f t="shared" si="107"/>
        <v>3.9966624947851484E-2</v>
      </c>
      <c r="J143" s="154">
        <f t="shared" si="107"/>
        <v>8.1230413986475347E-2</v>
      </c>
      <c r="K143" s="154">
        <f t="shared" si="107"/>
        <v>8.0333256898264926E-2</v>
      </c>
      <c r="L143" s="154">
        <f t="shared" si="107"/>
        <v>6.0453400503778336E-2</v>
      </c>
    </row>
    <row r="144" spans="1:24" x14ac:dyDescent="0.25">
      <c r="A144" s="116" t="s">
        <v>147</v>
      </c>
      <c r="B144" s="123">
        <f>1-B143</f>
        <v>1.1288929302114117</v>
      </c>
      <c r="C144" s="123">
        <f t="shared" ref="C144:L144" si="108">1-C143</f>
        <v>0.86631016042780751</v>
      </c>
      <c r="D144" s="123">
        <f t="shared" si="108"/>
        <v>0.8242786586950871</v>
      </c>
      <c r="E144" s="123">
        <f t="shared" si="108"/>
        <v>0.85317124735729388</v>
      </c>
      <c r="F144" s="123">
        <f t="shared" si="108"/>
        <v>0.9508328546812177</v>
      </c>
      <c r="G144" s="123">
        <f t="shared" si="108"/>
        <v>0.94351340694006314</v>
      </c>
      <c r="H144" s="123">
        <f t="shared" si="108"/>
        <v>0.89863595523972883</v>
      </c>
      <c r="I144" s="123">
        <f t="shared" si="108"/>
        <v>0.96003337505214847</v>
      </c>
      <c r="J144" s="123">
        <f t="shared" si="108"/>
        <v>0.91876958601352465</v>
      </c>
      <c r="K144" s="123">
        <f t="shared" si="108"/>
        <v>0.91966674310173513</v>
      </c>
      <c r="L144" s="123">
        <f t="shared" si="108"/>
        <v>0.93954659949622166</v>
      </c>
    </row>
    <row r="145" spans="1:12" x14ac:dyDescent="0.25">
      <c r="A145" s="116" t="s">
        <v>152</v>
      </c>
      <c r="B145" s="154">
        <f t="shared" ref="B145:L145" si="109">B56/B54</f>
        <v>0.25551261650375084</v>
      </c>
      <c r="C145" s="154">
        <f t="shared" si="109"/>
        <v>0.36675579322638147</v>
      </c>
      <c r="D145" s="154">
        <f t="shared" si="109"/>
        <v>0.37717702105536782</v>
      </c>
      <c r="E145" s="154">
        <f t="shared" si="109"/>
        <v>0.37801268498942919</v>
      </c>
      <c r="F145" s="154">
        <f t="shared" si="109"/>
        <v>0.36909821941412979</v>
      </c>
      <c r="G145" s="154">
        <f t="shared" si="109"/>
        <v>0.36593059936908517</v>
      </c>
      <c r="H145" s="154">
        <f t="shared" si="109"/>
        <v>0.35677530017152659</v>
      </c>
      <c r="I145" s="154">
        <f t="shared" si="109"/>
        <v>0.30221109720483941</v>
      </c>
      <c r="J145" s="154">
        <f t="shared" si="109"/>
        <v>0.34108527131782945</v>
      </c>
      <c r="K145" s="154">
        <f t="shared" si="109"/>
        <v>0.34923182756248566</v>
      </c>
      <c r="L145" s="154">
        <f t="shared" si="109"/>
        <v>0.24746202579955728</v>
      </c>
    </row>
    <row r="146" spans="1:12" x14ac:dyDescent="0.25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1:12" s="1" customFormat="1" x14ac:dyDescent="0.25">
      <c r="A147" s="116" t="s">
        <v>148</v>
      </c>
      <c r="B147" s="154">
        <f>N36/N51</f>
        <v>2.9410774410774412</v>
      </c>
      <c r="C147" s="154">
        <f t="shared" ref="C147:L147" si="110">O36/O51</f>
        <v>1.8147075854082224</v>
      </c>
      <c r="D147" s="154">
        <f t="shared" si="110"/>
        <v>1.1485986250661027</v>
      </c>
      <c r="E147" s="154">
        <f t="shared" si="110"/>
        <v>0.69255222524977289</v>
      </c>
      <c r="F147" s="154">
        <f t="shared" si="110"/>
        <v>0.72952691680261006</v>
      </c>
      <c r="G147" s="154">
        <f t="shared" si="110"/>
        <v>0.65220680958385879</v>
      </c>
      <c r="H147" s="154">
        <f t="shared" si="110"/>
        <v>0.77732181425485958</v>
      </c>
      <c r="I147" s="154">
        <f t="shared" si="110"/>
        <v>0.82687389337005701</v>
      </c>
      <c r="J147" s="154">
        <f t="shared" si="110"/>
        <v>0.62757152991250886</v>
      </c>
      <c r="K147" s="154">
        <f t="shared" si="110"/>
        <v>0.52172248803827748</v>
      </c>
      <c r="L147" s="154">
        <f t="shared" si="110"/>
        <v>0.47263772345859173</v>
      </c>
    </row>
    <row r="148" spans="1:12" x14ac:dyDescent="0.25">
      <c r="A148" s="116" t="s">
        <v>149</v>
      </c>
      <c r="B148" s="154">
        <f>N28/N51</f>
        <v>-1.9410774410774412</v>
      </c>
      <c r="C148" s="154">
        <f t="shared" ref="C148:L148" si="111">O28/O51</f>
        <v>-0.8147075854082223</v>
      </c>
      <c r="D148" s="154">
        <f t="shared" si="111"/>
        <v>-0.14859862506610258</v>
      </c>
      <c r="E148" s="154">
        <f t="shared" si="111"/>
        <v>0.30744777475022705</v>
      </c>
      <c r="F148" s="154">
        <f t="shared" si="111"/>
        <v>0.27047308319738989</v>
      </c>
      <c r="G148" s="154">
        <f t="shared" si="111"/>
        <v>0.34779319041614126</v>
      </c>
      <c r="H148" s="154">
        <f t="shared" si="111"/>
        <v>0.22267818574514039</v>
      </c>
      <c r="I148" s="154">
        <f t="shared" si="111"/>
        <v>0.17312610662994296</v>
      </c>
      <c r="J148" s="154">
        <f t="shared" si="111"/>
        <v>0.37242847008749114</v>
      </c>
      <c r="K148" s="154">
        <f t="shared" si="111"/>
        <v>0.47827751196172247</v>
      </c>
      <c r="L148" s="154">
        <f t="shared" si="111"/>
        <v>0.52736227654140821</v>
      </c>
    </row>
    <row r="149" spans="1:12" x14ac:dyDescent="0.25">
      <c r="A149" s="116" t="s">
        <v>151</v>
      </c>
      <c r="B149" s="158">
        <f>N36/N28</f>
        <v>-1.5151777970511708</v>
      </c>
      <c r="C149" s="158">
        <f t="shared" ref="C149:L149" si="112">O36/O28</f>
        <v>-2.2274342572850037</v>
      </c>
      <c r="D149" s="158">
        <f t="shared" si="112"/>
        <v>-7.7295373665480431</v>
      </c>
      <c r="E149" s="158">
        <f t="shared" si="112"/>
        <v>2.2525849335302808</v>
      </c>
      <c r="F149" s="158">
        <f t="shared" si="112"/>
        <v>2.6972255729794932</v>
      </c>
      <c r="G149" s="158">
        <f t="shared" si="112"/>
        <v>1.8752719361856418</v>
      </c>
      <c r="H149" s="158">
        <f t="shared" si="112"/>
        <v>3.4907856450048498</v>
      </c>
      <c r="I149" s="158">
        <f t="shared" si="112"/>
        <v>4.7761363636363638</v>
      </c>
      <c r="J149" s="158">
        <f t="shared" si="112"/>
        <v>1.6850793650793652</v>
      </c>
      <c r="K149" s="158">
        <f t="shared" si="112"/>
        <v>1.0908363345338135</v>
      </c>
      <c r="L149" s="158">
        <f t="shared" si="112"/>
        <v>0.89622967831200273</v>
      </c>
    </row>
  </sheetData>
  <mergeCells count="11">
    <mergeCell ref="A1:A2"/>
    <mergeCell ref="A52:A53"/>
    <mergeCell ref="Y2:Y25"/>
    <mergeCell ref="M2:M25"/>
    <mergeCell ref="M27:M50"/>
    <mergeCell ref="Y27:Y50"/>
    <mergeCell ref="G85:G132"/>
    <mergeCell ref="M85:M132"/>
    <mergeCell ref="Y54:Y82"/>
    <mergeCell ref="N54:N82"/>
    <mergeCell ref="A26:A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dcterms:created xsi:type="dcterms:W3CDTF">2016-03-04T21:06:30Z</dcterms:created>
  <dcterms:modified xsi:type="dcterms:W3CDTF">2016-03-08T01:10:58Z</dcterms:modified>
</cp:coreProperties>
</file>