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TURASERVIS 2019\Škola\"/>
    </mc:Choice>
  </mc:AlternateContent>
  <xr:revisionPtr revIDLastSave="0" documentId="13_ncr:1_{8103F035-9E62-4F32-8F11-0506CF920003}" xr6:coauthVersionLast="43" xr6:coauthVersionMax="43" xr10:uidLastSave="{00000000-0000-0000-0000-000000000000}"/>
  <bookViews>
    <workbookView xWindow="-120" yWindow="-120" windowWidth="24240" windowHeight="13140" xr2:uid="{0DC19749-5032-4C9D-B28C-20FA28F73966}"/>
  </bookViews>
  <sheets>
    <sheet name="Základní údaje" sheetId="1" r:id="rId1"/>
    <sheet name="položkové ceny" sheetId="2" r:id="rId2"/>
    <sheet name="Základní výpočty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C16" i="3" s="1"/>
  <c r="H16" i="3" s="1"/>
  <c r="B12" i="3" l="1"/>
  <c r="C12" i="3" s="1"/>
  <c r="D12" i="3" s="1"/>
  <c r="B11" i="3"/>
  <c r="C11" i="3" s="1"/>
  <c r="B10" i="3"/>
  <c r="C10" i="3" s="1"/>
  <c r="B19" i="3"/>
  <c r="C19" i="3" s="1"/>
  <c r="B18" i="3"/>
  <c r="C18" i="3" s="1"/>
  <c r="B17" i="3"/>
  <c r="C17" i="3" s="1"/>
  <c r="B15" i="3"/>
  <c r="C15" i="3" s="1"/>
  <c r="H15" i="3" s="1"/>
  <c r="B14" i="3"/>
  <c r="C14" i="3" s="1"/>
  <c r="H14" i="3" s="1"/>
  <c r="B13" i="3"/>
  <c r="C13" i="3" s="1"/>
  <c r="H13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2" i="3"/>
  <c r="C2" i="3" s="1"/>
  <c r="F11" i="3" l="1"/>
  <c r="D11" i="3"/>
  <c r="H9" i="3"/>
  <c r="D9" i="3"/>
  <c r="E9" i="3" s="1"/>
  <c r="G9" i="3"/>
  <c r="F9" i="3"/>
  <c r="D2" i="3"/>
  <c r="G2" i="3"/>
  <c r="F2" i="3"/>
  <c r="D6" i="3"/>
  <c r="E6" i="3" s="1"/>
  <c r="G6" i="3"/>
  <c r="F6" i="3"/>
  <c r="D5" i="3"/>
  <c r="E5" i="3" s="1"/>
  <c r="F5" i="3"/>
  <c r="G5" i="3"/>
  <c r="D3" i="3"/>
  <c r="E3" i="3" s="1"/>
  <c r="G3" i="3"/>
  <c r="F3" i="3"/>
  <c r="G7" i="3"/>
  <c r="F7" i="3"/>
  <c r="D7" i="3"/>
  <c r="E7" i="3" s="1"/>
  <c r="G4" i="3"/>
  <c r="F4" i="3"/>
  <c r="D4" i="3"/>
  <c r="E4" i="3" s="1"/>
  <c r="G8" i="3"/>
  <c r="F8" i="3"/>
  <c r="H8" i="3"/>
  <c r="H20" i="3" s="1"/>
  <c r="D8" i="3"/>
  <c r="E8" i="3" s="1"/>
  <c r="E12" i="3"/>
  <c r="E11" i="3"/>
  <c r="E19" i="3"/>
  <c r="D19" i="3"/>
  <c r="G19" i="3"/>
  <c r="F19" i="3"/>
  <c r="E17" i="3"/>
  <c r="G17" i="3"/>
  <c r="F17" i="3"/>
  <c r="D17" i="3"/>
  <c r="E18" i="3"/>
  <c r="G18" i="3"/>
  <c r="F18" i="3"/>
  <c r="D18" i="3"/>
  <c r="E10" i="3"/>
  <c r="D10" i="3"/>
  <c r="G10" i="3"/>
  <c r="F10" i="3"/>
  <c r="F12" i="3"/>
  <c r="G12" i="3"/>
  <c r="G11" i="3"/>
  <c r="F10" i="1" l="1"/>
  <c r="H22" i="3"/>
  <c r="D11" i="1"/>
  <c r="E11" i="1"/>
  <c r="D12" i="1"/>
  <c r="B11" i="1"/>
  <c r="E12" i="1"/>
  <c r="C11" i="1"/>
  <c r="E2" i="3"/>
  <c r="C12" i="1" s="1"/>
  <c r="B12" i="1"/>
  <c r="B13" i="1"/>
  <c r="D10" i="1"/>
  <c r="D13" i="1"/>
  <c r="E13" i="1"/>
  <c r="F20" i="3"/>
  <c r="F22" i="3" s="1"/>
  <c r="C13" i="1"/>
  <c r="E10" i="1"/>
  <c r="G20" i="3"/>
  <c r="G22" i="3" s="1"/>
  <c r="E20" i="3"/>
  <c r="E22" i="3" s="1"/>
  <c r="D20" i="3"/>
  <c r="D22" i="3" s="1"/>
  <c r="B10" i="1"/>
  <c r="C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Naturaservis</author>
  </authors>
  <commentList>
    <comment ref="A2" authorId="0" shapeId="0" xr:uid="{B0DB068D-F7AA-4BA5-9CE7-F6C50F233EE7}">
      <text>
        <r>
          <rPr>
            <b/>
            <sz val="9"/>
            <color indexed="81"/>
            <rFont val="Tahoma"/>
            <family val="2"/>
            <charset val="238"/>
          </rPr>
          <t>Naturaservis:</t>
        </r>
        <r>
          <rPr>
            <sz val="9"/>
            <color indexed="81"/>
            <rFont val="Tahoma"/>
            <family val="2"/>
            <charset val="238"/>
          </rPr>
          <t xml:space="preserve">
délka kolizního úseku v metrech</t>
        </r>
      </text>
    </comment>
    <comment ref="A3" authorId="0" shapeId="0" xr:uid="{7F8C4F77-E101-4B17-BEEF-EDD2D70F081F}">
      <text>
        <r>
          <rPr>
            <b/>
            <sz val="9"/>
            <color indexed="81"/>
            <rFont val="Tahoma"/>
            <family val="2"/>
            <charset val="238"/>
          </rPr>
          <t>Naturaservis:</t>
        </r>
        <r>
          <rPr>
            <sz val="9"/>
            <color indexed="81"/>
            <rFont val="Tahoma"/>
            <family val="2"/>
            <charset val="238"/>
          </rPr>
          <t xml:space="preserve">
šířka komunikace rizikového úseku v metrech</t>
        </r>
      </text>
    </comment>
    <comment ref="A4" authorId="0" shapeId="0" xr:uid="{26023972-FD40-492F-9CD9-E15A18C8C8D5}">
      <text>
        <r>
          <rPr>
            <b/>
            <sz val="9"/>
            <color indexed="81"/>
            <rFont val="Tahoma"/>
            <family val="2"/>
            <charset val="238"/>
          </rPr>
          <t>Naturaservis:</t>
        </r>
        <r>
          <rPr>
            <sz val="9"/>
            <color indexed="81"/>
            <rFont val="Tahoma"/>
            <family val="2"/>
            <charset val="238"/>
          </rPr>
          <t xml:space="preserve">
počet funkčních propustků v rizikovém úseku</t>
        </r>
      </text>
    </comment>
    <comment ref="A5" authorId="0" shapeId="0" xr:uid="{A2CEFDE0-7ED3-4C92-9AE7-DB2C817A6ADB}">
      <text>
        <r>
          <rPr>
            <b/>
            <sz val="9"/>
            <color indexed="81"/>
            <rFont val="Tahoma"/>
            <family val="2"/>
            <charset val="238"/>
          </rPr>
          <t>Naturaservis:</t>
        </r>
        <r>
          <rPr>
            <sz val="9"/>
            <color indexed="81"/>
            <rFont val="Tahoma"/>
            <family val="2"/>
            <charset val="238"/>
          </rPr>
          <t xml:space="preserve">
Vzdálenost rizikového úseku od bydliště/pracoviště realizační skupiny</t>
        </r>
      </text>
    </comment>
  </commentList>
</comments>
</file>

<file path=xl/sharedStrings.xml><?xml version="1.0" encoding="utf-8"?>
<sst xmlns="http://schemas.openxmlformats.org/spreadsheetml/2006/main" count="77" uniqueCount="59">
  <si>
    <t>Délka rizikového úseku</t>
  </si>
  <si>
    <t>Počet funkčních propustků</t>
  </si>
  <si>
    <t>Dojezdová vzdálenost</t>
  </si>
  <si>
    <t xml:space="preserve">Šířka komunikace </t>
  </si>
  <si>
    <t>Položka</t>
  </si>
  <si>
    <t>Jednotka</t>
  </si>
  <si>
    <t>Jednotková cena v Kč</t>
  </si>
  <si>
    <t>Návrh opatření včetně souhlasů majitelů pozemků</t>
  </si>
  <si>
    <t>hodina</t>
  </si>
  <si>
    <t>Instalace dočasné bariéry</t>
  </si>
  <si>
    <t>běžný metr</t>
  </si>
  <si>
    <t>Údržba dočasné bariéry</t>
  </si>
  <si>
    <t>Odchyt, kontrola a transfer</t>
  </si>
  <si>
    <t>Deinstalace dočasné bariéry</t>
  </si>
  <si>
    <t>Vypracování závěrečné zprávy</t>
  </si>
  <si>
    <t>Kotvící kolíky</t>
  </si>
  <si>
    <t>kus</t>
  </si>
  <si>
    <t>Fólie</t>
  </si>
  <si>
    <t>Odchytové nádoby včetně víček</t>
  </si>
  <si>
    <t>Spotřební materiál (sponky, sponkovačky, polepy)</t>
  </si>
  <si>
    <t>Doprava osob a materiálu</t>
  </si>
  <si>
    <t>km</t>
  </si>
  <si>
    <t>Trvalá bariéra pro obojživelníky a plazy</t>
  </si>
  <si>
    <t>ACO PRO AT 500; L=1,0m; v=0,52m; s větr. štěrbinami</t>
  </si>
  <si>
    <t>ACO PRO EG 1000, vstupní portál, šířka 100cm</t>
  </si>
  <si>
    <t>Základní parametry</t>
  </si>
  <si>
    <t>hodnota</t>
  </si>
  <si>
    <t>Náklady na DB jarní migrace</t>
  </si>
  <si>
    <t>Náklady na DB jarní migrace+zpětný tah</t>
  </si>
  <si>
    <t>Náklady jarní migrace, zpětný tah, juvenilové</t>
  </si>
  <si>
    <t xml:space="preserve">Celoroční </t>
  </si>
  <si>
    <t>TB náklady</t>
  </si>
  <si>
    <t>roční náklady</t>
  </si>
  <si>
    <t>počet jednotek</t>
  </si>
  <si>
    <t>náklady</t>
  </si>
  <si>
    <t>Kolíky</t>
  </si>
  <si>
    <t>Odchytové nádoby</t>
  </si>
  <si>
    <t>Spotřební materiál</t>
  </si>
  <si>
    <t>Instalace DB</t>
  </si>
  <si>
    <t>Deinstalace DB</t>
  </si>
  <si>
    <t>Návrh opatření</t>
  </si>
  <si>
    <t>Závěrečná zpráva</t>
  </si>
  <si>
    <t>Doba dopravy</t>
  </si>
  <si>
    <t>Odchyt a transfer/den</t>
  </si>
  <si>
    <t>Údržba/den</t>
  </si>
  <si>
    <t>Trvalá bariéra</t>
  </si>
  <si>
    <t>AT 500</t>
  </si>
  <si>
    <t>EG 1000</t>
  </si>
  <si>
    <t>Doprava instalace DB</t>
  </si>
  <si>
    <t>Doprava deinstalace DB</t>
  </si>
  <si>
    <t>Doprava denní</t>
  </si>
  <si>
    <t>Instalace podchodů</t>
  </si>
  <si>
    <t>z toho práce</t>
  </si>
  <si>
    <t xml:space="preserve">z toho materiál </t>
  </si>
  <si>
    <t>z toho doprava</t>
  </si>
  <si>
    <t>Efektivita</t>
  </si>
  <si>
    <t>Roční náklady</t>
  </si>
  <si>
    <t>Instalace podchodu</t>
  </si>
  <si>
    <t>přepočet na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</si>
</sst>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DFE6-485B-4A3C-9314-D0912968BE8A}">
  <dimension ref="A1:F13"/>
  <sheetViews>
    <sheetView tabSelected="1" workbookViewId="0">
      <selection activeCell="B6" sqref="B6"/>
    </sheetView>
  </sheetViews>
  <sheetFormatPr defaultRowHeight="15" x14ac:dyDescent="0.25"/>
  <cols>
    <col min="1" max="1" width="36.85546875" customWidth="1"/>
    <col min="2" max="2" width="21.140625" customWidth="1"/>
    <col min="3" max="3" width="19.42578125" customWidth="1"/>
    <col min="4" max="4" width="15.140625" customWidth="1"/>
    <col min="5" max="5" width="15" customWidth="1"/>
    <col min="6" max="6" width="17.140625" customWidth="1"/>
  </cols>
  <sheetData>
    <row r="1" spans="1:6" x14ac:dyDescent="0.25">
      <c r="A1" t="s">
        <v>25</v>
      </c>
      <c r="B1" t="s">
        <v>26</v>
      </c>
    </row>
    <row r="2" spans="1:6" x14ac:dyDescent="0.25">
      <c r="A2" t="s">
        <v>0</v>
      </c>
      <c r="B2" s="9">
        <v>600</v>
      </c>
    </row>
    <row r="3" spans="1:6" x14ac:dyDescent="0.25">
      <c r="A3" t="s">
        <v>3</v>
      </c>
      <c r="B3" s="9">
        <v>6</v>
      </c>
    </row>
    <row r="4" spans="1:6" x14ac:dyDescent="0.25">
      <c r="A4" t="s">
        <v>1</v>
      </c>
      <c r="B4" s="9">
        <v>1</v>
      </c>
    </row>
    <row r="5" spans="1:6" x14ac:dyDescent="0.25">
      <c r="A5" t="s">
        <v>2</v>
      </c>
      <c r="B5" s="9">
        <v>17</v>
      </c>
    </row>
    <row r="9" spans="1:6" ht="43.5" customHeight="1" x14ac:dyDescent="0.2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</row>
    <row r="10" spans="1:6" x14ac:dyDescent="0.25">
      <c r="A10" t="s">
        <v>32</v>
      </c>
      <c r="B10">
        <f>SUM('Základní výpočty'!D2:D19)</f>
        <v>192461</v>
      </c>
      <c r="C10">
        <f>SUM('Základní výpočty'!E2:E19)</f>
        <v>396460</v>
      </c>
      <c r="D10">
        <f>SUM('Základní výpočty'!F2:F19)</f>
        <v>780777.33333333326</v>
      </c>
      <c r="E10">
        <f>SUM('Základní výpočty'!G2:G19)</f>
        <v>969836.66666666663</v>
      </c>
      <c r="F10">
        <f>'Základní výpočty'!H20</f>
        <v>3828160</v>
      </c>
    </row>
    <row r="11" spans="1:6" x14ac:dyDescent="0.25">
      <c r="A11" t="s">
        <v>52</v>
      </c>
      <c r="B11">
        <f>SUM('Základní výpočty'!D6,'Základní výpočty'!D7,'Základní výpočty'!D8,'Základní výpočty'!D9,'Základní výpočty'!D10,'Základní výpočty'!D11,'Základní výpočty'!D12)</f>
        <v>152025</v>
      </c>
      <c r="C11">
        <f>SUM('Základní výpočty'!E6:E12)</f>
        <v>328100</v>
      </c>
      <c r="D11">
        <f>SUM('Základní výpočty'!F6,'Základní výpočty'!F7,'Základní výpočty'!F8,'Základní výpočty'!F9,'Základní výpočty'!F10,'Základní výpočty'!F11,'Základní výpočty'!F12)</f>
        <v>663933.33333333326</v>
      </c>
      <c r="E11">
        <f>SUM('Základní výpočty'!G6,'Základní výpočty'!G7,'Základní výpočty'!G8,'Základní výpočty'!G9,'Základní výpočty'!G10,'Základní výpočty'!G11,'Základní výpočty'!G12)</f>
        <v>829141.66666666663</v>
      </c>
    </row>
    <row r="12" spans="1:6" x14ac:dyDescent="0.25">
      <c r="A12" t="s">
        <v>53</v>
      </c>
      <c r="B12">
        <f>SUM('Základní výpočty'!D2,'Základní výpočty'!D3,'Základní výpočty'!D4,'Základní výpočty'!D5)</f>
        <v>22059</v>
      </c>
      <c r="C12">
        <f>SUM('Základní výpočty'!E2,'Základní výpočty'!E3,'Základní výpočty'!E4,'Základní výpočty'!E5)</f>
        <v>44118</v>
      </c>
      <c r="D12">
        <f>SUM('Základní výpočty'!F2,'Základní výpočty'!F3,'Základní výpočty'!F4,'Základní výpočty'!F5)</f>
        <v>44118</v>
      </c>
      <c r="E12">
        <f>SUM('Základní výpočty'!G2,'Základní výpočty'!G3,'Základní výpočty'!G4,'Základní výpočty'!G5)</f>
        <v>44118</v>
      </c>
    </row>
    <row r="13" spans="1:6" x14ac:dyDescent="0.25">
      <c r="A13" t="s">
        <v>54</v>
      </c>
      <c r="B13">
        <f>SUM('Základní výpočty'!D17,'Základní výpočty'!D18,'Základní výpočty'!D19)</f>
        <v>18377</v>
      </c>
      <c r="C13">
        <f>SUM('Základní výpočty'!E17:E19)</f>
        <v>24242</v>
      </c>
      <c r="D13">
        <f>SUM('Základní výpočty'!F17:F19)</f>
        <v>72726</v>
      </c>
      <c r="E13">
        <f>SUM('Základní výpočty'!G17:G19)</f>
        <v>96577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4E6D-9AE0-424D-B51D-D3829EF6E5F2}">
  <dimension ref="A1:C17"/>
  <sheetViews>
    <sheetView workbookViewId="0">
      <selection activeCell="A17" sqref="A17"/>
    </sheetView>
  </sheetViews>
  <sheetFormatPr defaultRowHeight="15" x14ac:dyDescent="0.25"/>
  <cols>
    <col min="1" max="1" width="24.140625" customWidth="1"/>
    <col min="2" max="2" width="21.28515625" customWidth="1"/>
    <col min="3" max="3" width="18.7109375" customWidth="1"/>
  </cols>
  <sheetData>
    <row r="1" spans="1:3" ht="29.25" thickBot="1" x14ac:dyDescent="0.3">
      <c r="A1" s="1" t="s">
        <v>4</v>
      </c>
      <c r="B1" s="2" t="s">
        <v>5</v>
      </c>
      <c r="C1" s="2" t="s">
        <v>6</v>
      </c>
    </row>
    <row r="2" spans="1:3" ht="30.75" thickBot="1" x14ac:dyDescent="0.3">
      <c r="A2" s="3" t="s">
        <v>7</v>
      </c>
      <c r="B2" s="4" t="s">
        <v>8</v>
      </c>
      <c r="C2" s="4">
        <v>600</v>
      </c>
    </row>
    <row r="3" spans="1:3" ht="15.75" thickBot="1" x14ac:dyDescent="0.3">
      <c r="A3" s="3" t="s">
        <v>9</v>
      </c>
      <c r="B3" s="4" t="s">
        <v>10</v>
      </c>
      <c r="C3" s="4">
        <v>56</v>
      </c>
    </row>
    <row r="4" spans="1:3" ht="15.75" thickBot="1" x14ac:dyDescent="0.3">
      <c r="A4" s="3" t="s">
        <v>11</v>
      </c>
      <c r="B4" s="4" t="s">
        <v>8</v>
      </c>
      <c r="C4" s="4">
        <v>325</v>
      </c>
    </row>
    <row r="5" spans="1:3" ht="15.75" thickBot="1" x14ac:dyDescent="0.3">
      <c r="A5" s="3" t="s">
        <v>12</v>
      </c>
      <c r="B5" s="4" t="s">
        <v>8</v>
      </c>
      <c r="C5" s="4">
        <v>325</v>
      </c>
    </row>
    <row r="6" spans="1:3" ht="30.75" thickBot="1" x14ac:dyDescent="0.3">
      <c r="A6" s="3" t="s">
        <v>13</v>
      </c>
      <c r="B6" s="4" t="s">
        <v>10</v>
      </c>
      <c r="C6" s="4">
        <v>46</v>
      </c>
    </row>
    <row r="7" spans="1:3" ht="30.75" thickBot="1" x14ac:dyDescent="0.3">
      <c r="A7" s="3" t="s">
        <v>14</v>
      </c>
      <c r="B7" s="4" t="s">
        <v>8</v>
      </c>
      <c r="C7" s="4">
        <v>600</v>
      </c>
    </row>
    <row r="8" spans="1:3" ht="15.75" thickBot="1" x14ac:dyDescent="0.3">
      <c r="A8" s="3" t="s">
        <v>15</v>
      </c>
      <c r="B8" s="4" t="s">
        <v>16</v>
      </c>
      <c r="C8" s="4">
        <v>9</v>
      </c>
    </row>
    <row r="9" spans="1:3" ht="15.75" thickBot="1" x14ac:dyDescent="0.3">
      <c r="A9" s="3" t="s">
        <v>17</v>
      </c>
      <c r="B9" s="4" t="s">
        <v>10</v>
      </c>
      <c r="C9" s="4">
        <v>18</v>
      </c>
    </row>
    <row r="10" spans="1:3" ht="30.75" thickBot="1" x14ac:dyDescent="0.3">
      <c r="A10" s="3" t="s">
        <v>18</v>
      </c>
      <c r="B10" s="4" t="s">
        <v>16</v>
      </c>
      <c r="C10" s="4">
        <v>45</v>
      </c>
    </row>
    <row r="11" spans="1:3" ht="30.75" thickBot="1" x14ac:dyDescent="0.3">
      <c r="A11" s="3" t="s">
        <v>19</v>
      </c>
      <c r="B11" s="4" t="s">
        <v>10</v>
      </c>
      <c r="C11" s="4">
        <v>7.5</v>
      </c>
    </row>
    <row r="12" spans="1:3" ht="15.75" thickBot="1" x14ac:dyDescent="0.3">
      <c r="A12" s="3" t="s">
        <v>20</v>
      </c>
      <c r="B12" s="4" t="s">
        <v>21</v>
      </c>
      <c r="C12" s="4">
        <v>11.5</v>
      </c>
    </row>
    <row r="13" spans="1:3" ht="30.75" thickBot="1" x14ac:dyDescent="0.3">
      <c r="A13" s="5" t="s">
        <v>22</v>
      </c>
      <c r="B13" s="6" t="s">
        <v>10</v>
      </c>
      <c r="C13" s="6">
        <v>2000</v>
      </c>
    </row>
    <row r="14" spans="1:3" ht="15.75" thickBot="1" x14ac:dyDescent="0.3">
      <c r="A14" s="3"/>
      <c r="B14" s="4"/>
      <c r="C14" s="4"/>
    </row>
    <row r="15" spans="1:3" ht="45.75" thickBot="1" x14ac:dyDescent="0.3">
      <c r="A15" s="7" t="s">
        <v>23</v>
      </c>
      <c r="B15" s="4" t="s">
        <v>16</v>
      </c>
      <c r="C15" s="4">
        <v>18390</v>
      </c>
    </row>
    <row r="16" spans="1:3" ht="45.75" thickBot="1" x14ac:dyDescent="0.3">
      <c r="A16" s="7" t="s">
        <v>24</v>
      </c>
      <c r="B16" s="4" t="s">
        <v>16</v>
      </c>
      <c r="C16" s="4">
        <v>7390</v>
      </c>
    </row>
    <row r="17" spans="1:3" ht="15.75" thickBot="1" x14ac:dyDescent="0.3">
      <c r="A17" s="3" t="s">
        <v>57</v>
      </c>
      <c r="B17" s="4" t="s">
        <v>10</v>
      </c>
      <c r="C17" s="4">
        <v>8000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C8C8-1EEC-485D-BE08-2B0829A0A575}">
  <dimension ref="A1:H22"/>
  <sheetViews>
    <sheetView zoomScale="80" workbookViewId="0">
      <selection activeCell="H27" sqref="H27"/>
    </sheetView>
  </sheetViews>
  <sheetFormatPr defaultRowHeight="15" x14ac:dyDescent="0.25"/>
  <cols>
    <col min="1" max="1" width="23.7109375" customWidth="1"/>
    <col min="2" max="2" width="19.42578125" customWidth="1"/>
    <col min="4" max="4" width="20" customWidth="1"/>
    <col min="5" max="5" width="19.140625" customWidth="1"/>
    <col min="6" max="6" width="22" customWidth="1"/>
    <col min="7" max="7" width="12.28515625" customWidth="1"/>
  </cols>
  <sheetData>
    <row r="1" spans="1:8" ht="32.25" customHeight="1" x14ac:dyDescent="0.25">
      <c r="A1" t="s">
        <v>4</v>
      </c>
      <c r="B1" t="s">
        <v>33</v>
      </c>
      <c r="C1" t="s">
        <v>34</v>
      </c>
      <c r="D1" s="8" t="s">
        <v>27</v>
      </c>
      <c r="E1" s="8" t="s">
        <v>28</v>
      </c>
      <c r="F1" s="8" t="s">
        <v>29</v>
      </c>
      <c r="G1" s="8" t="s">
        <v>30</v>
      </c>
      <c r="H1" s="8" t="s">
        <v>31</v>
      </c>
    </row>
    <row r="2" spans="1:8" x14ac:dyDescent="0.25">
      <c r="A2" t="s">
        <v>35</v>
      </c>
      <c r="B2">
        <f>'Základní údaje'!B2+1</f>
        <v>601</v>
      </c>
      <c r="C2">
        <f>B2*'položkové ceny'!C8</f>
        <v>5409</v>
      </c>
      <c r="D2">
        <f t="shared" ref="D2:D9" si="0">C2</f>
        <v>5409</v>
      </c>
      <c r="E2">
        <f t="shared" ref="E2:E9" si="1">D2*2</f>
        <v>10818</v>
      </c>
      <c r="F2">
        <f t="shared" ref="F2:F9" si="2">C2*2</f>
        <v>10818</v>
      </c>
      <c r="G2">
        <f t="shared" ref="G2:G9" si="3">C2*2</f>
        <v>10818</v>
      </c>
    </row>
    <row r="3" spans="1:8" x14ac:dyDescent="0.25">
      <c r="A3" t="s">
        <v>36</v>
      </c>
      <c r="B3">
        <f>'Základní údaje'!B2/20</f>
        <v>30</v>
      </c>
      <c r="C3">
        <f>'položkové ceny'!C10*'Základní výpočty'!B3</f>
        <v>1350</v>
      </c>
      <c r="D3">
        <f t="shared" si="0"/>
        <v>1350</v>
      </c>
      <c r="E3">
        <f t="shared" si="1"/>
        <v>2700</v>
      </c>
      <c r="F3">
        <f t="shared" si="2"/>
        <v>2700</v>
      </c>
      <c r="G3">
        <f t="shared" si="3"/>
        <v>2700</v>
      </c>
    </row>
    <row r="4" spans="1:8" x14ac:dyDescent="0.25">
      <c r="A4" t="s">
        <v>17</v>
      </c>
      <c r="B4">
        <f>'Základní údaje'!B2</f>
        <v>600</v>
      </c>
      <c r="C4">
        <f>B4*'položkové ceny'!C9</f>
        <v>10800</v>
      </c>
      <c r="D4">
        <f t="shared" si="0"/>
        <v>10800</v>
      </c>
      <c r="E4">
        <f t="shared" si="1"/>
        <v>21600</v>
      </c>
      <c r="F4">
        <f t="shared" si="2"/>
        <v>21600</v>
      </c>
      <c r="G4">
        <f t="shared" si="3"/>
        <v>21600</v>
      </c>
    </row>
    <row r="5" spans="1:8" x14ac:dyDescent="0.25">
      <c r="A5" t="s">
        <v>37</v>
      </c>
      <c r="B5">
        <f>'Základní údaje'!B2</f>
        <v>600</v>
      </c>
      <c r="C5">
        <f>B5*'položkové ceny'!C11</f>
        <v>4500</v>
      </c>
      <c r="D5">
        <f t="shared" si="0"/>
        <v>4500</v>
      </c>
      <c r="E5">
        <f t="shared" si="1"/>
        <v>9000</v>
      </c>
      <c r="F5">
        <f t="shared" si="2"/>
        <v>9000</v>
      </c>
      <c r="G5">
        <f t="shared" si="3"/>
        <v>9000</v>
      </c>
    </row>
    <row r="6" spans="1:8" x14ac:dyDescent="0.25">
      <c r="A6" t="s">
        <v>38</v>
      </c>
      <c r="B6">
        <f>'Základní údaje'!B2</f>
        <v>600</v>
      </c>
      <c r="C6">
        <f>B6*'položkové ceny'!C3</f>
        <v>33600</v>
      </c>
      <c r="D6">
        <f t="shared" si="0"/>
        <v>33600</v>
      </c>
      <c r="E6">
        <f t="shared" si="1"/>
        <v>67200</v>
      </c>
      <c r="F6">
        <f t="shared" si="2"/>
        <v>67200</v>
      </c>
      <c r="G6">
        <f t="shared" si="3"/>
        <v>67200</v>
      </c>
    </row>
    <row r="7" spans="1:8" x14ac:dyDescent="0.25">
      <c r="A7" t="s">
        <v>39</v>
      </c>
      <c r="B7">
        <f>'Základní údaje'!B2</f>
        <v>600</v>
      </c>
      <c r="C7">
        <f>B7*'položkové ceny'!C6</f>
        <v>27600</v>
      </c>
      <c r="D7">
        <f t="shared" si="0"/>
        <v>27600</v>
      </c>
      <c r="E7">
        <f t="shared" si="1"/>
        <v>55200</v>
      </c>
      <c r="F7">
        <f t="shared" si="2"/>
        <v>55200</v>
      </c>
      <c r="G7">
        <f t="shared" si="3"/>
        <v>55200</v>
      </c>
    </row>
    <row r="8" spans="1:8" x14ac:dyDescent="0.25">
      <c r="A8" t="s">
        <v>40</v>
      </c>
      <c r="B8">
        <f>'Základní údaje'!B2*0.04</f>
        <v>24</v>
      </c>
      <c r="C8">
        <f>B8*'položkové ceny'!C2</f>
        <v>14400</v>
      </c>
      <c r="D8">
        <f t="shared" si="0"/>
        <v>14400</v>
      </c>
      <c r="E8">
        <f t="shared" si="1"/>
        <v>28800</v>
      </c>
      <c r="F8">
        <f t="shared" si="2"/>
        <v>28800</v>
      </c>
      <c r="G8">
        <f t="shared" si="3"/>
        <v>28800</v>
      </c>
      <c r="H8">
        <f>C8*2</f>
        <v>28800</v>
      </c>
    </row>
    <row r="9" spans="1:8" x14ac:dyDescent="0.25">
      <c r="A9" t="s">
        <v>41</v>
      </c>
      <c r="B9">
        <f>'Základní údaje'!B2*0.02</f>
        <v>12</v>
      </c>
      <c r="C9">
        <f>B9*'položkové ceny'!C7</f>
        <v>7200</v>
      </c>
      <c r="D9">
        <f t="shared" si="0"/>
        <v>7200</v>
      </c>
      <c r="E9">
        <f t="shared" si="1"/>
        <v>14400</v>
      </c>
      <c r="F9">
        <f t="shared" si="2"/>
        <v>14400</v>
      </c>
      <c r="G9">
        <f t="shared" si="3"/>
        <v>14400</v>
      </c>
      <c r="H9">
        <f>C9*2</f>
        <v>14400</v>
      </c>
    </row>
    <row r="10" spans="1:8" x14ac:dyDescent="0.25">
      <c r="A10" t="s">
        <v>42</v>
      </c>
      <c r="B10">
        <f>'Základní údaje'!B5*2/60*2</f>
        <v>1.1333333333333333</v>
      </c>
      <c r="C10">
        <f>B10*'položkové ceny'!C4</f>
        <v>368.33333333333331</v>
      </c>
      <c r="D10">
        <f>C10*45</f>
        <v>16575</v>
      </c>
      <c r="E10">
        <f>C10*60</f>
        <v>22100</v>
      </c>
      <c r="F10">
        <f>C10*184</f>
        <v>67773.333333333328</v>
      </c>
      <c r="G10">
        <f>C10*245</f>
        <v>90241.666666666657</v>
      </c>
    </row>
    <row r="11" spans="1:8" x14ac:dyDescent="0.25">
      <c r="A11" t="s">
        <v>43</v>
      </c>
      <c r="B11">
        <f>'Základní údaje'!B2/500*2</f>
        <v>2.4</v>
      </c>
      <c r="C11">
        <f>B11*'položkové ceny'!C5</f>
        <v>780</v>
      </c>
      <c r="D11">
        <f>C11*45</f>
        <v>35100</v>
      </c>
      <c r="E11">
        <f>C11*60*2</f>
        <v>93600</v>
      </c>
      <c r="F11">
        <f>C11*2*184</f>
        <v>287040</v>
      </c>
      <c r="G11">
        <f>C11*2*245</f>
        <v>382200</v>
      </c>
    </row>
    <row r="12" spans="1:8" x14ac:dyDescent="0.25">
      <c r="A12" t="s">
        <v>44</v>
      </c>
      <c r="B12">
        <f>'Základní údaje'!B2/1000*2</f>
        <v>1.2</v>
      </c>
      <c r="C12">
        <f>B12*'položkové ceny'!C4</f>
        <v>390</v>
      </c>
      <c r="D12">
        <f>C12*45</f>
        <v>17550</v>
      </c>
      <c r="E12">
        <f>C12*2*60</f>
        <v>46800</v>
      </c>
      <c r="F12">
        <f>C12*2*184</f>
        <v>143520</v>
      </c>
      <c r="G12">
        <f>C12*2*245</f>
        <v>191100</v>
      </c>
    </row>
    <row r="13" spans="1:8" x14ac:dyDescent="0.25">
      <c r="A13" t="s">
        <v>45</v>
      </c>
      <c r="B13">
        <f>'Základní údaje'!B2*2</f>
        <v>1200</v>
      </c>
      <c r="C13">
        <f>B13*'položkové ceny'!C13</f>
        <v>2400000</v>
      </c>
      <c r="H13">
        <f>C13</f>
        <v>2400000</v>
      </c>
    </row>
    <row r="14" spans="1:8" x14ac:dyDescent="0.25">
      <c r="A14" t="s">
        <v>46</v>
      </c>
      <c r="B14">
        <f>('Základní údaje'!B2/60-1-'Základní údaje'!B4)*'Základní údaje'!B3</f>
        <v>48</v>
      </c>
      <c r="C14">
        <f>B14*'položkové ceny'!C15</f>
        <v>882720</v>
      </c>
      <c r="H14">
        <f>C14</f>
        <v>882720</v>
      </c>
    </row>
    <row r="15" spans="1:8" x14ac:dyDescent="0.25">
      <c r="A15" t="s">
        <v>47</v>
      </c>
      <c r="B15">
        <f>('Základní údaje'!B2/60-1-'Základní údaje'!B4)*2</f>
        <v>16</v>
      </c>
      <c r="C15">
        <f>B15*'položkové ceny'!C16</f>
        <v>118240</v>
      </c>
      <c r="H15">
        <f>C15</f>
        <v>118240</v>
      </c>
    </row>
    <row r="16" spans="1:8" x14ac:dyDescent="0.25">
      <c r="A16" t="s">
        <v>51</v>
      </c>
      <c r="B16">
        <f>('Základní údaje'!B2/60-1-'Základní údaje'!B4)*'Základní údaje'!B3</f>
        <v>48</v>
      </c>
      <c r="C16">
        <f>B16*'položkové ceny'!C17</f>
        <v>384000</v>
      </c>
      <c r="H16">
        <f>C16</f>
        <v>384000</v>
      </c>
    </row>
    <row r="17" spans="1:8" x14ac:dyDescent="0.25">
      <c r="A17" t="s">
        <v>48</v>
      </c>
      <c r="B17">
        <f>'Základní údaje'!B5*2</f>
        <v>34</v>
      </c>
      <c r="C17">
        <f>B17*'položkové ceny'!C12</f>
        <v>391</v>
      </c>
      <c r="D17">
        <f>C17</f>
        <v>391</v>
      </c>
      <c r="E17">
        <f>C17</f>
        <v>391</v>
      </c>
      <c r="F17">
        <f>C17</f>
        <v>391</v>
      </c>
      <c r="G17">
        <f>C17</f>
        <v>391</v>
      </c>
    </row>
    <row r="18" spans="1:8" x14ac:dyDescent="0.25">
      <c r="A18" t="s">
        <v>49</v>
      </c>
      <c r="B18">
        <f>'Základní údaje'!B5*2</f>
        <v>34</v>
      </c>
      <c r="C18">
        <f>B18*'položkové ceny'!C12</f>
        <v>391</v>
      </c>
      <c r="D18">
        <f>C18</f>
        <v>391</v>
      </c>
      <c r="E18">
        <f>C18</f>
        <v>391</v>
      </c>
      <c r="F18">
        <f>C18</f>
        <v>391</v>
      </c>
      <c r="G18">
        <f>C18</f>
        <v>391</v>
      </c>
    </row>
    <row r="19" spans="1:8" x14ac:dyDescent="0.25">
      <c r="A19" t="s">
        <v>50</v>
      </c>
      <c r="B19">
        <f>2*'Základní údaje'!B5</f>
        <v>34</v>
      </c>
      <c r="C19">
        <f>B19*'položkové ceny'!C12</f>
        <v>391</v>
      </c>
      <c r="D19">
        <f>C19*45</f>
        <v>17595</v>
      </c>
      <c r="E19">
        <f>C19*60</f>
        <v>23460</v>
      </c>
      <c r="F19">
        <f>C19*184</f>
        <v>71944</v>
      </c>
      <c r="G19">
        <f>C19*245</f>
        <v>95795</v>
      </c>
    </row>
    <row r="20" spans="1:8" x14ac:dyDescent="0.25">
      <c r="A20" t="s">
        <v>56</v>
      </c>
      <c r="D20">
        <f>SUM(D2:D19)</f>
        <v>192461</v>
      </c>
      <c r="E20">
        <f>SUM(E2:E19)</f>
        <v>396460</v>
      </c>
      <c r="F20">
        <f>SUM(F2:F19)</f>
        <v>780777.33333333326</v>
      </c>
      <c r="G20">
        <f>SUM(G2:G19)</f>
        <v>969836.66666666663</v>
      </c>
      <c r="H20">
        <f>SUM(H2:H18)</f>
        <v>3828160</v>
      </c>
    </row>
    <row r="21" spans="1:8" x14ac:dyDescent="0.25">
      <c r="A21" t="s">
        <v>55</v>
      </c>
      <c r="D21">
        <v>15</v>
      </c>
      <c r="E21">
        <v>30</v>
      </c>
      <c r="F21">
        <v>70</v>
      </c>
      <c r="G21">
        <v>100</v>
      </c>
      <c r="H21">
        <v>3000</v>
      </c>
    </row>
    <row r="22" spans="1:8" x14ac:dyDescent="0.25">
      <c r="A22" t="s">
        <v>58</v>
      </c>
      <c r="D22">
        <f>D20/D21*100</f>
        <v>1283073.3333333333</v>
      </c>
      <c r="E22">
        <f>E20/E21*100</f>
        <v>1321533.3333333335</v>
      </c>
      <c r="F22">
        <f>F20/F21*100</f>
        <v>1115396.1904761903</v>
      </c>
      <c r="G22">
        <f>G20/G21*100</f>
        <v>969836.66666666663</v>
      </c>
      <c r="H22">
        <f>H20/H21*100</f>
        <v>127605.33333333333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Základní údaje</vt:lpstr>
      <vt:lpstr>položkové ceny</vt:lpstr>
      <vt:lpstr>Základní 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Naturaservis</dc:creator>
  <cp:lastModifiedBy>User</cp:lastModifiedBy>
  <dcterms:created xsi:type="dcterms:W3CDTF">2019-03-15T09:12:14Z</dcterms:created>
  <dcterms:modified xsi:type="dcterms:W3CDTF">2019-04-17T13:53:22Z</dcterms:modified>
</cp:coreProperties>
</file>