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b851ccd0db8fba3/Bachelor Thesis/Extras/"/>
    </mc:Choice>
  </mc:AlternateContent>
  <xr:revisionPtr revIDLastSave="826" documentId="8_{FD2F3E7B-CEF4-4563-A48F-72725350AC3F}" xr6:coauthVersionLast="47" xr6:coauthVersionMax="47" xr10:uidLastSave="{B857AC34-94C0-4AF8-BFCB-C1DD5302430E}"/>
  <bookViews>
    <workbookView xWindow="28680" yWindow="-120" windowWidth="29040" windowHeight="15840" activeTab="2" xr2:uid="{D1A46CB9-CAA8-4F5B-A30B-440FBFA8356B}"/>
  </bookViews>
  <sheets>
    <sheet name="Solarparken" sheetId="3" r:id="rId1"/>
    <sheet name="Energiekontor" sheetId="2" r:id="rId2"/>
    <sheet name="ČEZ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4" l="1"/>
  <c r="E21" i="4"/>
  <c r="E12" i="2"/>
  <c r="H8" i="4"/>
  <c r="B16" i="3"/>
  <c r="B17" i="3" s="1"/>
  <c r="B18" i="3" s="1"/>
  <c r="B15" i="3"/>
  <c r="B14" i="3"/>
  <c r="C14" i="3"/>
  <c r="H7" i="3"/>
  <c r="C13" i="3"/>
  <c r="F11" i="3"/>
  <c r="G5" i="3"/>
  <c r="G4" i="2"/>
  <c r="G3" i="2"/>
  <c r="G3" i="3"/>
  <c r="B13" i="3" s="1"/>
  <c r="G4" i="3"/>
  <c r="B6" i="4"/>
  <c r="C6" i="4"/>
  <c r="D6" i="4"/>
  <c r="E6" i="4"/>
  <c r="F6" i="4"/>
  <c r="B3" i="4"/>
  <c r="B4" i="4"/>
  <c r="B5" i="4"/>
  <c r="D3" i="4"/>
  <c r="E3" i="4"/>
  <c r="F3" i="4"/>
  <c r="D4" i="4"/>
  <c r="E4" i="4"/>
  <c r="F4" i="4"/>
  <c r="D5" i="4"/>
  <c r="E5" i="4"/>
  <c r="F5" i="4"/>
  <c r="C3" i="4"/>
  <c r="C4" i="4"/>
  <c r="C5" i="4"/>
  <c r="B24" i="4" l="1"/>
  <c r="B25" i="4" s="1"/>
  <c r="B26" i="4" s="1"/>
  <c r="B27" i="4" s="1"/>
  <c r="B28" i="4" s="1"/>
  <c r="G6" i="4"/>
  <c r="G5" i="4"/>
  <c r="G4" i="4"/>
  <c r="G3" i="4"/>
  <c r="C7" i="4"/>
  <c r="D7" i="4"/>
  <c r="E7" i="4"/>
  <c r="F7" i="4"/>
  <c r="C8" i="4"/>
  <c r="D8" i="4"/>
  <c r="E8" i="4"/>
  <c r="F8" i="4"/>
  <c r="C9" i="4"/>
  <c r="D9" i="4"/>
  <c r="E9" i="4"/>
  <c r="F9" i="4"/>
  <c r="B8" i="4"/>
  <c r="B9" i="4"/>
  <c r="B7" i="4"/>
  <c r="G8" i="3"/>
  <c r="G7" i="3"/>
  <c r="G6" i="3"/>
  <c r="C23" i="4" l="1"/>
  <c r="C15" i="3"/>
  <c r="G8" i="4"/>
  <c r="G9" i="4"/>
  <c r="G7" i="4"/>
  <c r="G5" i="2"/>
  <c r="H6" i="2" s="1"/>
  <c r="B14" i="2" s="1"/>
  <c r="C14" i="2" s="1"/>
  <c r="G6" i="2"/>
  <c r="G7" i="2"/>
  <c r="B15" i="2" l="1"/>
  <c r="C15" i="2" s="1"/>
  <c r="B22" i="4"/>
  <c r="C24" i="4"/>
  <c r="C16" i="3"/>
  <c r="B16" i="2" l="1"/>
  <c r="C16" i="2" s="1"/>
  <c r="C25" i="4"/>
  <c r="C17" i="3"/>
  <c r="B17" i="2" l="1"/>
  <c r="C17" i="2" s="1"/>
  <c r="C26" i="4"/>
  <c r="E18" i="3"/>
  <c r="C18" i="3" s="1"/>
  <c r="C19" i="3" s="1"/>
  <c r="C21" i="3" s="1"/>
  <c r="B18" i="2" l="1"/>
  <c r="C18" i="2" s="1"/>
  <c r="E28" i="4"/>
  <c r="C28" i="4" s="1"/>
  <c r="C27" i="4"/>
  <c r="B19" i="2" l="1"/>
  <c r="E19" i="2" s="1"/>
  <c r="C19" i="2" s="1"/>
  <c r="C20" i="2" s="1"/>
  <c r="C22" i="2" s="1"/>
  <c r="C29" i="4"/>
  <c r="C31" i="4" s="1"/>
</calcChain>
</file>

<file path=xl/sharedStrings.xml><?xml version="1.0" encoding="utf-8"?>
<sst xmlns="http://schemas.openxmlformats.org/spreadsheetml/2006/main" count="123" uniqueCount="48">
  <si>
    <t>Net income</t>
  </si>
  <si>
    <t>Net debt isssued</t>
  </si>
  <si>
    <t>change in working capital</t>
  </si>
  <si>
    <t>depreciation</t>
  </si>
  <si>
    <t>FCFE</t>
  </si>
  <si>
    <t>capital expenditures</t>
  </si>
  <si>
    <t>september 2021</t>
  </si>
  <si>
    <t>june 2021</t>
  </si>
  <si>
    <t>march 2021</t>
  </si>
  <si>
    <t>Calculations in CZK</t>
  </si>
  <si>
    <t>December 2020</t>
  </si>
  <si>
    <t>June 2021</t>
  </si>
  <si>
    <t>September 2021</t>
  </si>
  <si>
    <t>March 2021</t>
  </si>
  <si>
    <t>N/A</t>
  </si>
  <si>
    <t>Future cash flows, thousands of EUR</t>
  </si>
  <si>
    <t>Past cash flows, thousands of EUR</t>
  </si>
  <si>
    <t>Year</t>
  </si>
  <si>
    <t>June 2020</t>
  </si>
  <si>
    <t>2021e</t>
  </si>
  <si>
    <t>2022e</t>
  </si>
  <si>
    <t>2023e</t>
  </si>
  <si>
    <t>2024e</t>
  </si>
  <si>
    <t>2025e</t>
  </si>
  <si>
    <t>Discounted cash flow</t>
  </si>
  <si>
    <t>2026e</t>
  </si>
  <si>
    <t>ga=</t>
  </si>
  <si>
    <t>Terminal Value=</t>
  </si>
  <si>
    <t>Y1</t>
  </si>
  <si>
    <t>y2</t>
  </si>
  <si>
    <t>Y3</t>
  </si>
  <si>
    <t>Y4</t>
  </si>
  <si>
    <t>Y5</t>
  </si>
  <si>
    <t>Y6</t>
  </si>
  <si>
    <t>Y7</t>
  </si>
  <si>
    <t>Y8</t>
  </si>
  <si>
    <t>Y9</t>
  </si>
  <si>
    <t>Y10</t>
  </si>
  <si>
    <t>Y11</t>
  </si>
  <si>
    <t>Y12</t>
  </si>
  <si>
    <t>gn=</t>
  </si>
  <si>
    <t>ga growth rate is set based on the average growth rate of the first few years of the H-model, gn is based on gdp growth rate</t>
  </si>
  <si>
    <t>Shares outstanding</t>
  </si>
  <si>
    <t>Final value in EUR</t>
  </si>
  <si>
    <t>Present value of 1 share</t>
  </si>
  <si>
    <t>R</t>
  </si>
  <si>
    <t>r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</si>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</sst>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charset val="238"/>
      <scheme val="minor"/>
    </font>
    <font>
      <sz val="10"/>
      <color rgb="FF232A31"/>
      <name val="Arial"/>
      <family val="2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3" fontId="1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left"/>
    </xf>
    <xf numFmtId="3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2" borderId="0" xfId="0" applyFill="1" applyBorder="1" applyAlignment="1">
      <alignment horizontal="left"/>
    </xf>
    <xf numFmtId="0" fontId="0" fillId="2" borderId="0" xfId="0" applyFill="1"/>
    <xf numFmtId="3" fontId="0" fillId="2" borderId="0" xfId="0" applyNumberFormat="1" applyFill="1" applyBorder="1"/>
    <xf numFmtId="0" fontId="0" fillId="0" borderId="0" xfId="0" applyFill="1" applyBorder="1" applyAlignment="1">
      <alignment horizontal="left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1" fontId="0" fillId="0" borderId="0" xfId="0" applyNumberFormat="1"/>
    <xf numFmtId="10" fontId="0" fillId="0" borderId="0" xfId="0" applyNumberFormat="1"/>
    <xf numFmtId="9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2534-E944-407A-87B0-E5348D0F6C34}">
  <dimension ref="A1:K23"/>
  <sheetViews>
    <sheetView zoomScale="160" zoomScaleNormal="160" workbookViewId="0">
      <selection activeCell="A12" sqref="A12:C21"/>
    </sheetView>
  </sheetViews>
  <sheetFormatPr defaultRowHeight="15" x14ac:dyDescent="0.25"/>
  <cols>
    <col min="1" max="1" width="15.28515625" bestFit="1" customWidth="1"/>
    <col min="2" max="2" width="16.7109375" bestFit="1" customWidth="1"/>
    <col min="3" max="3" width="12.28515625" bestFit="1" customWidth="1"/>
    <col min="4" max="4" width="23.28515625" bestFit="1" customWidth="1"/>
    <col min="5" max="5" width="23.7109375" bestFit="1" customWidth="1"/>
    <col min="6" max="6" width="16" bestFit="1" customWidth="1"/>
    <col min="7" max="7" width="10" customWidth="1"/>
  </cols>
  <sheetData>
    <row r="1" spans="1:11" x14ac:dyDescent="0.25">
      <c r="A1" t="s">
        <v>16</v>
      </c>
      <c r="H1" s="5"/>
    </row>
    <row r="2" spans="1:11" x14ac:dyDescent="0.25">
      <c r="A2" s="5"/>
      <c r="B2" s="5" t="s">
        <v>0</v>
      </c>
      <c r="C2" s="5" t="s">
        <v>3</v>
      </c>
      <c r="D2" s="5" t="s">
        <v>5</v>
      </c>
      <c r="E2" s="5" t="s">
        <v>2</v>
      </c>
      <c r="F2" s="5" t="s">
        <v>1</v>
      </c>
      <c r="G2" s="8" t="s">
        <v>4</v>
      </c>
      <c r="H2" s="5"/>
    </row>
    <row r="3" spans="1:11" x14ac:dyDescent="0.25">
      <c r="A3" s="7" t="s">
        <v>11</v>
      </c>
      <c r="B3" s="4">
        <v>6020</v>
      </c>
      <c r="C3" s="4">
        <v>14960</v>
      </c>
      <c r="D3" s="4">
        <v>8760</v>
      </c>
      <c r="E3" s="4">
        <v>-3750</v>
      </c>
      <c r="F3" s="4">
        <v>-11780</v>
      </c>
      <c r="G3" s="14">
        <f t="shared" ref="G3:G5" si="0">B3-(D3-C3)-E3+F3</f>
        <v>4190</v>
      </c>
      <c r="H3" s="5"/>
    </row>
    <row r="4" spans="1:11" x14ac:dyDescent="0.25">
      <c r="A4" s="7" t="s">
        <v>10</v>
      </c>
      <c r="B4" s="4">
        <v>-1240</v>
      </c>
      <c r="C4" s="4">
        <v>14120</v>
      </c>
      <c r="D4" s="4">
        <v>2950</v>
      </c>
      <c r="E4" s="4">
        <v>4870</v>
      </c>
      <c r="F4" s="4">
        <v>-9340</v>
      </c>
      <c r="G4" s="14">
        <f t="shared" si="0"/>
        <v>-4280</v>
      </c>
      <c r="H4" s="5"/>
    </row>
    <row r="5" spans="1:11" x14ac:dyDescent="0.25">
      <c r="A5" t="s">
        <v>18</v>
      </c>
      <c r="B5" s="4">
        <v>6490</v>
      </c>
      <c r="C5" s="4">
        <v>12210</v>
      </c>
      <c r="D5" s="4">
        <v>2690</v>
      </c>
      <c r="E5" s="4">
        <v>-3254</v>
      </c>
      <c r="F5" s="4">
        <v>-830</v>
      </c>
      <c r="G5" s="14">
        <f t="shared" si="0"/>
        <v>18434</v>
      </c>
      <c r="H5" s="7"/>
    </row>
    <row r="6" spans="1:11" x14ac:dyDescent="0.25">
      <c r="A6" s="15">
        <v>2020</v>
      </c>
      <c r="B6" s="16">
        <v>5248</v>
      </c>
      <c r="C6" s="16">
        <v>26326</v>
      </c>
      <c r="D6" s="16">
        <v>5644</v>
      </c>
      <c r="E6" s="17">
        <v>1620</v>
      </c>
      <c r="F6" s="17">
        <v>-10170</v>
      </c>
      <c r="G6" s="18">
        <f>B6-(D6-C6)-E6+F6</f>
        <v>14140</v>
      </c>
      <c r="H6" s="5" t="s">
        <v>47</v>
      </c>
    </row>
    <row r="7" spans="1:11" x14ac:dyDescent="0.25">
      <c r="A7" s="6">
        <v>2019</v>
      </c>
      <c r="B7" s="4">
        <v>7883</v>
      </c>
      <c r="C7" s="4">
        <v>22908</v>
      </c>
      <c r="D7" s="4">
        <v>13506</v>
      </c>
      <c r="E7" s="3">
        <v>-3440</v>
      </c>
      <c r="F7" s="3">
        <v>-6287</v>
      </c>
      <c r="G7" s="14">
        <f>B7-(D7-C7)-E7+F7</f>
        <v>14438</v>
      </c>
      <c r="H7" s="2">
        <f>AVERAGE(G6:G8)</f>
        <v>18004.333333333332</v>
      </c>
    </row>
    <row r="8" spans="1:11" x14ac:dyDescent="0.25">
      <c r="A8" s="6">
        <v>2018</v>
      </c>
      <c r="B8" s="4">
        <v>5891</v>
      </c>
      <c r="C8" s="4">
        <v>19776</v>
      </c>
      <c r="D8" s="4">
        <v>12761</v>
      </c>
      <c r="E8" s="3">
        <v>-5630</v>
      </c>
      <c r="F8" s="3">
        <v>6899</v>
      </c>
      <c r="G8" s="14">
        <f>B8-(D8-C8)-E8+F8</f>
        <v>25435</v>
      </c>
    </row>
    <row r="10" spans="1:11" x14ac:dyDescent="0.25">
      <c r="A10" t="s">
        <v>15</v>
      </c>
      <c r="E10" t="s">
        <v>41</v>
      </c>
    </row>
    <row r="11" spans="1:11" x14ac:dyDescent="0.25">
      <c r="A11" t="s">
        <v>17</v>
      </c>
      <c r="B11" t="s">
        <v>4</v>
      </c>
      <c r="C11" t="s">
        <v>24</v>
      </c>
      <c r="E11" t="s">
        <v>26</v>
      </c>
      <c r="F11" s="20">
        <f>AVERAGE(K11:K16)</f>
        <v>0.11199999999999999</v>
      </c>
    </row>
    <row r="12" spans="1:11" x14ac:dyDescent="0.25">
      <c r="A12" s="1">
        <v>2020</v>
      </c>
      <c r="B12">
        <v>14140</v>
      </c>
      <c r="E12" t="s">
        <v>40</v>
      </c>
      <c r="F12" s="22">
        <v>4.4999999999999998E-2</v>
      </c>
      <c r="J12" t="s">
        <v>28</v>
      </c>
      <c r="K12" s="21">
        <v>0.12</v>
      </c>
    </row>
    <row r="13" spans="1:11" x14ac:dyDescent="0.25">
      <c r="A13" s="13" t="s">
        <v>19</v>
      </c>
      <c r="B13" s="19">
        <f>(G3-0.25*G3)*1.12</f>
        <v>3519.6000000000004</v>
      </c>
      <c r="C13" s="2">
        <f>B13/(1+ $F$13)^1</f>
        <v>3251.9634112538115</v>
      </c>
      <c r="E13" t="s">
        <v>46</v>
      </c>
      <c r="F13" s="24">
        <v>8.2299999999999998E-2</v>
      </c>
      <c r="J13" t="s">
        <v>29</v>
      </c>
      <c r="K13" s="21">
        <v>0.12</v>
      </c>
    </row>
    <row r="14" spans="1:11" x14ac:dyDescent="0.25">
      <c r="A14" s="13" t="s">
        <v>20</v>
      </c>
      <c r="B14" s="19">
        <f>$H$7*(1+$F$11)</f>
        <v>20020.818666666666</v>
      </c>
      <c r="C14" s="2">
        <f>B14/(1+ $F$13)^2</f>
        <v>17091.749348891732</v>
      </c>
      <c r="J14" t="s">
        <v>30</v>
      </c>
      <c r="K14" s="21">
        <v>0.11</v>
      </c>
    </row>
    <row r="15" spans="1:11" x14ac:dyDescent="0.25">
      <c r="A15" s="13" t="s">
        <v>21</v>
      </c>
      <c r="B15" s="19">
        <f>B14*(1+$F$11)</f>
        <v>22263.150357333336</v>
      </c>
      <c r="C15" s="2">
        <f>B15/(1+ $F$13)^3</f>
        <v>17560.773608026986</v>
      </c>
      <c r="J15" t="s">
        <v>31</v>
      </c>
      <c r="K15" s="21">
        <v>0.11</v>
      </c>
    </row>
    <row r="16" spans="1:11" x14ac:dyDescent="0.25">
      <c r="A16" s="13" t="s">
        <v>22</v>
      </c>
      <c r="B16" s="19">
        <f t="shared" ref="B16:B18" si="1">B15*(1+$F$11)</f>
        <v>24756.623197354671</v>
      </c>
      <c r="C16" s="2">
        <f>B16/(1+ $F$13)^4</f>
        <v>18042.668624342612</v>
      </c>
      <c r="J16" t="s">
        <v>32</v>
      </c>
      <c r="K16" s="21">
        <v>0.1</v>
      </c>
    </row>
    <row r="17" spans="1:11" x14ac:dyDescent="0.25">
      <c r="A17" s="13" t="s">
        <v>23</v>
      </c>
      <c r="B17" s="19">
        <f t="shared" si="1"/>
        <v>27529.364995458396</v>
      </c>
      <c r="C17" s="2">
        <f>B17/(1+ $F$13)^5</f>
        <v>18537.787591489407</v>
      </c>
      <c r="J17" t="s">
        <v>33</v>
      </c>
      <c r="K17" s="21">
        <v>0.1</v>
      </c>
    </row>
    <row r="18" spans="1:11" x14ac:dyDescent="0.25">
      <c r="A18" s="13" t="s">
        <v>25</v>
      </c>
      <c r="B18" s="19">
        <f t="shared" si="1"/>
        <v>30612.653874949738</v>
      </c>
      <c r="C18" s="2">
        <f>E18/(1+ $F$13)^6</f>
        <v>284276.02082541503</v>
      </c>
      <c r="D18" t="s">
        <v>27</v>
      </c>
      <c r="E18">
        <f>B18/(F11-F12)</f>
        <v>456905.28171566781</v>
      </c>
      <c r="J18" t="s">
        <v>34</v>
      </c>
      <c r="K18" s="21">
        <v>0.09</v>
      </c>
    </row>
    <row r="19" spans="1:11" x14ac:dyDescent="0.25">
      <c r="B19" t="s">
        <v>43</v>
      </c>
      <c r="C19" s="2">
        <f>SUM(C13:C18)*1000</f>
        <v>358760963.4094196</v>
      </c>
      <c r="J19" t="s">
        <v>35</v>
      </c>
      <c r="K19" s="21">
        <v>0.09</v>
      </c>
    </row>
    <row r="20" spans="1:11" x14ac:dyDescent="0.25">
      <c r="B20" t="s">
        <v>42</v>
      </c>
      <c r="C20">
        <v>31740000</v>
      </c>
      <c r="J20" t="s">
        <v>36</v>
      </c>
      <c r="K20" s="21">
        <v>0.08</v>
      </c>
    </row>
    <row r="21" spans="1:11" x14ac:dyDescent="0.25">
      <c r="B21" t="s">
        <v>44</v>
      </c>
      <c r="C21">
        <f>C19/C20</f>
        <v>11.303117939805281</v>
      </c>
      <c r="J21" t="s">
        <v>37</v>
      </c>
      <c r="K21" s="21">
        <v>7.0000000000000007E-2</v>
      </c>
    </row>
    <row r="22" spans="1:11" x14ac:dyDescent="0.25">
      <c r="J22" t="s">
        <v>38</v>
      </c>
      <c r="K22" s="21">
        <v>0.06</v>
      </c>
    </row>
    <row r="23" spans="1:11" x14ac:dyDescent="0.25">
      <c r="J23" t="s">
        <v>39</v>
      </c>
      <c r="K23" s="22">
        <v>5.5E-2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D0278-DED1-45C2-975E-E7EFEBA49BA4}">
  <dimension ref="A1:J23"/>
  <sheetViews>
    <sheetView zoomScale="160" zoomScaleNormal="160" workbookViewId="0">
      <selection activeCell="B10" sqref="B10"/>
    </sheetView>
  </sheetViews>
  <sheetFormatPr defaultRowHeight="15" x14ac:dyDescent="0.25"/>
  <cols>
    <col min="1" max="1" width="33.42578125" bestFit="1" customWidth="1"/>
    <col min="2" max="2" width="16.7109375" bestFit="1" customWidth="1"/>
    <col min="3" max="4" width="23.28515625" bestFit="1" customWidth="1"/>
    <col min="5" max="5" width="23.7109375" bestFit="1" customWidth="1"/>
    <col min="6" max="6" width="16" bestFit="1" customWidth="1"/>
  </cols>
  <sheetData>
    <row r="1" spans="1:10" x14ac:dyDescent="0.25">
      <c r="A1" t="s">
        <v>16</v>
      </c>
    </row>
    <row r="2" spans="1:10" x14ac:dyDescent="0.25">
      <c r="B2" t="s">
        <v>0</v>
      </c>
      <c r="C2" t="s">
        <v>3</v>
      </c>
      <c r="D2" t="s">
        <v>5</v>
      </c>
      <c r="E2" t="s">
        <v>2</v>
      </c>
      <c r="F2" t="s">
        <v>1</v>
      </c>
      <c r="G2" t="s">
        <v>4</v>
      </c>
    </row>
    <row r="3" spans="1:10" x14ac:dyDescent="0.25">
      <c r="A3" s="5" t="s">
        <v>11</v>
      </c>
      <c r="B3" s="2">
        <v>5650</v>
      </c>
      <c r="C3" s="2">
        <v>9660</v>
      </c>
      <c r="D3" s="2">
        <v>39450</v>
      </c>
      <c r="E3" s="2">
        <v>-7430</v>
      </c>
      <c r="F3" s="2">
        <v>57080</v>
      </c>
      <c r="G3" s="2">
        <f t="shared" ref="G3" si="0">B3-(D3-C3)-E3+F3</f>
        <v>40370</v>
      </c>
    </row>
    <row r="4" spans="1:10" x14ac:dyDescent="0.25">
      <c r="A4" s="9" t="s">
        <v>10</v>
      </c>
      <c r="B4" s="2">
        <v>9920</v>
      </c>
      <c r="C4" s="2">
        <v>7940</v>
      </c>
      <c r="D4" s="2">
        <v>762</v>
      </c>
      <c r="E4" s="2">
        <v>24620</v>
      </c>
      <c r="F4" s="2" t="s">
        <v>14</v>
      </c>
      <c r="G4" s="2">
        <f>B4-(D4-C4)-E4</f>
        <v>-7522</v>
      </c>
    </row>
    <row r="5" spans="1:10" x14ac:dyDescent="0.25">
      <c r="A5" s="1">
        <v>2020</v>
      </c>
      <c r="B5" s="2">
        <v>20425</v>
      </c>
      <c r="C5" s="2">
        <v>19384</v>
      </c>
      <c r="D5" s="2">
        <v>790</v>
      </c>
      <c r="E5" s="2">
        <v>-42180</v>
      </c>
      <c r="F5" s="2">
        <v>4250</v>
      </c>
      <c r="G5" s="2">
        <f>B5-(D5-C5)-E5+F5</f>
        <v>85449</v>
      </c>
      <c r="H5" s="2" t="s">
        <v>47</v>
      </c>
    </row>
    <row r="6" spans="1:10" x14ac:dyDescent="0.25">
      <c r="A6" s="1">
        <v>2019</v>
      </c>
      <c r="B6" s="2">
        <v>244</v>
      </c>
      <c r="C6" s="2">
        <v>22551</v>
      </c>
      <c r="D6" s="2">
        <v>7482</v>
      </c>
      <c r="E6" s="2">
        <v>-25760</v>
      </c>
      <c r="F6" s="2">
        <v>9610</v>
      </c>
      <c r="G6" s="2">
        <f>B6-(D6-C6)-E6+F6</f>
        <v>50683</v>
      </c>
      <c r="H6" s="2">
        <f>AVERAGE(G5:G7)</f>
        <v>45226.333333333336</v>
      </c>
    </row>
    <row r="7" spans="1:10" x14ac:dyDescent="0.25">
      <c r="A7" s="1">
        <v>2018</v>
      </c>
      <c r="B7" s="2">
        <v>6680</v>
      </c>
      <c r="C7" s="2">
        <v>18546</v>
      </c>
      <c r="D7" s="2">
        <v>22266</v>
      </c>
      <c r="E7" s="2">
        <v>523</v>
      </c>
      <c r="F7" s="2">
        <v>-2890</v>
      </c>
      <c r="G7" s="2">
        <f>B7-(D7-C7)-E7+F7</f>
        <v>-453</v>
      </c>
      <c r="H7" s="2"/>
    </row>
    <row r="11" spans="1:10" x14ac:dyDescent="0.25">
      <c r="A11" t="s">
        <v>15</v>
      </c>
      <c r="D11" t="s">
        <v>41</v>
      </c>
    </row>
    <row r="12" spans="1:10" x14ac:dyDescent="0.25">
      <c r="A12" t="s">
        <v>17</v>
      </c>
      <c r="B12" t="s">
        <v>4</v>
      </c>
      <c r="C12" t="s">
        <v>24</v>
      </c>
      <c r="D12" t="s">
        <v>26</v>
      </c>
      <c r="E12" s="20">
        <f>AVERAGE(J12:J17)</f>
        <v>0.12833333333333333</v>
      </c>
      <c r="I12" t="s">
        <v>28</v>
      </c>
      <c r="J12" s="21">
        <v>0.15</v>
      </c>
    </row>
    <row r="13" spans="1:10" x14ac:dyDescent="0.25">
      <c r="A13" s="1">
        <v>2020</v>
      </c>
      <c r="B13" s="2">
        <v>85449</v>
      </c>
      <c r="D13" t="s">
        <v>40</v>
      </c>
      <c r="E13" s="22">
        <v>7.0000000000000007E-2</v>
      </c>
      <c r="I13" t="s">
        <v>29</v>
      </c>
      <c r="J13" s="21">
        <v>0.14000000000000001</v>
      </c>
    </row>
    <row r="14" spans="1:10" x14ac:dyDescent="0.25">
      <c r="A14" s="13" t="s">
        <v>19</v>
      </c>
      <c r="B14" s="2">
        <f>H6*(1+$E$12)</f>
        <v>51030.37944444445</v>
      </c>
      <c r="C14" s="2">
        <f>B14/(1+ $E$14)^1</f>
        <v>45522.193973634654</v>
      </c>
      <c r="D14" t="s">
        <v>46</v>
      </c>
      <c r="E14" s="24">
        <v>0.121</v>
      </c>
      <c r="I14" t="s">
        <v>30</v>
      </c>
      <c r="J14" s="21">
        <v>0.13</v>
      </c>
    </row>
    <row r="15" spans="1:10" x14ac:dyDescent="0.25">
      <c r="A15" s="13" t="s">
        <v>20</v>
      </c>
      <c r="B15" s="2">
        <f t="shared" ref="B15:B19" si="1">B14*(1+$E$12)</f>
        <v>57579.278139814822</v>
      </c>
      <c r="C15" s="2">
        <f>B15/(1+ $E$14)^2</f>
        <v>45819.99006861532</v>
      </c>
      <c r="I15" t="s">
        <v>31</v>
      </c>
      <c r="J15" s="21">
        <v>0.12</v>
      </c>
    </row>
    <row r="16" spans="1:10" x14ac:dyDescent="0.25">
      <c r="A16" s="13" t="s">
        <v>21</v>
      </c>
      <c r="B16" s="2">
        <f t="shared" si="1"/>
        <v>64968.618834424393</v>
      </c>
      <c r="C16" s="2">
        <f>B16/(1+ $E$14)^3</f>
        <v>46119.734279590506</v>
      </c>
      <c r="I16" t="s">
        <v>32</v>
      </c>
      <c r="J16" s="21">
        <v>0.12</v>
      </c>
    </row>
    <row r="17" spans="1:10" x14ac:dyDescent="0.25">
      <c r="A17" s="13" t="s">
        <v>22</v>
      </c>
      <c r="B17" s="2">
        <f t="shared" si="1"/>
        <v>73306.258251508858</v>
      </c>
      <c r="C17" s="2">
        <f>B17/(1+ $E$14)^4</f>
        <v>46421.439350702909</v>
      </c>
      <c r="I17" t="s">
        <v>33</v>
      </c>
      <c r="J17" s="21">
        <v>0.11</v>
      </c>
    </row>
    <row r="18" spans="1:10" x14ac:dyDescent="0.25">
      <c r="A18" s="13" t="s">
        <v>23</v>
      </c>
      <c r="B18" s="2">
        <f t="shared" si="1"/>
        <v>82713.894727119172</v>
      </c>
      <c r="C18" s="2">
        <f>B18/(1+ $E$14)^5</f>
        <v>46725.118109464573</v>
      </c>
      <c r="I18" t="s">
        <v>34</v>
      </c>
      <c r="J18" s="21">
        <v>0.11</v>
      </c>
    </row>
    <row r="19" spans="1:10" x14ac:dyDescent="0.25">
      <c r="A19" s="13" t="s">
        <v>25</v>
      </c>
      <c r="B19" s="2">
        <f t="shared" si="1"/>
        <v>93328.844550432812</v>
      </c>
      <c r="C19" s="2">
        <f>E19/(1+ $E$14)^6</f>
        <v>806242.00229661085</v>
      </c>
      <c r="D19" t="s">
        <v>27</v>
      </c>
      <c r="E19">
        <f>B19/(E12-E13)</f>
        <v>1599923.0494359913</v>
      </c>
      <c r="I19" t="s">
        <v>35</v>
      </c>
      <c r="J19" s="21">
        <v>0.1</v>
      </c>
    </row>
    <row r="20" spans="1:10" x14ac:dyDescent="0.25">
      <c r="B20" t="s">
        <v>43</v>
      </c>
      <c r="C20" s="2">
        <f>SUM(C14:C19)*1000</f>
        <v>1036850478.0786189</v>
      </c>
      <c r="I20" t="s">
        <v>36</v>
      </c>
      <c r="J20" s="21">
        <v>0.1</v>
      </c>
    </row>
    <row r="21" spans="1:10" x14ac:dyDescent="0.25">
      <c r="B21" t="s">
        <v>42</v>
      </c>
      <c r="C21" s="2">
        <v>14120000</v>
      </c>
      <c r="I21" t="s">
        <v>37</v>
      </c>
      <c r="J21" s="21">
        <v>0.09</v>
      </c>
    </row>
    <row r="22" spans="1:10" x14ac:dyDescent="0.25">
      <c r="B22" t="s">
        <v>44</v>
      </c>
      <c r="C22">
        <f>C20/C21</f>
        <v>73.431336974406435</v>
      </c>
      <c r="I22" t="s">
        <v>38</v>
      </c>
      <c r="J22" s="21">
        <v>0.09</v>
      </c>
    </row>
    <row r="23" spans="1:10" x14ac:dyDescent="0.25">
      <c r="I23" t="s">
        <v>39</v>
      </c>
      <c r="J23" s="21">
        <v>0.08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EA049-C631-41FB-B5E1-82C02BB8260B}">
  <dimension ref="A1:J32"/>
  <sheetViews>
    <sheetView tabSelected="1" topLeftCell="A10" zoomScale="145" zoomScaleNormal="145" workbookViewId="0">
      <selection activeCell="B23" sqref="B23"/>
    </sheetView>
  </sheetViews>
  <sheetFormatPr defaultRowHeight="15" x14ac:dyDescent="0.25"/>
  <cols>
    <col min="1" max="1" width="33.42578125" bestFit="1" customWidth="1"/>
    <col min="2" max="2" width="22.5703125" bestFit="1" customWidth="1"/>
    <col min="3" max="3" width="21.140625" customWidth="1"/>
    <col min="4" max="4" width="23.28515625" bestFit="1" customWidth="1"/>
    <col min="5" max="5" width="23.7109375" bestFit="1" customWidth="1"/>
    <col min="6" max="6" width="16" bestFit="1" customWidth="1"/>
    <col min="7" max="7" width="10" bestFit="1" customWidth="1"/>
    <col min="8" max="8" width="10.5703125" bestFit="1" customWidth="1"/>
  </cols>
  <sheetData>
    <row r="1" spans="1:8" x14ac:dyDescent="0.25">
      <c r="A1" t="s">
        <v>16</v>
      </c>
    </row>
    <row r="2" spans="1:8" x14ac:dyDescent="0.25">
      <c r="B2" s="5" t="s">
        <v>0</v>
      </c>
      <c r="C2" s="5" t="s">
        <v>3</v>
      </c>
      <c r="D2" s="5" t="s">
        <v>5</v>
      </c>
      <c r="E2" s="5" t="s">
        <v>2</v>
      </c>
      <c r="F2" s="5" t="s">
        <v>1</v>
      </c>
      <c r="G2" s="5" t="s">
        <v>4</v>
      </c>
      <c r="H2" s="5"/>
    </row>
    <row r="3" spans="1:8" x14ac:dyDescent="0.25">
      <c r="A3" s="5" t="s">
        <v>12</v>
      </c>
      <c r="B3" s="4">
        <f t="shared" ref="B3:F9" si="0">(B11/24.74)*1000</f>
        <v>207356.50767987067</v>
      </c>
      <c r="C3" s="4">
        <f t="shared" si="0"/>
        <v>360549.71705739695</v>
      </c>
      <c r="D3" s="4">
        <f t="shared" si="0"/>
        <v>310832.65966046887</v>
      </c>
      <c r="E3" s="4">
        <f t="shared" si="0"/>
        <v>465238.48019401781</v>
      </c>
      <c r="F3" s="4">
        <f t="shared" si="0"/>
        <v>318916.73403395311</v>
      </c>
      <c r="G3" s="7">
        <f t="shared" ref="G3:G5" si="1">B3-(D3-C3)-E3+F3</f>
        <v>110751.81891673405</v>
      </c>
      <c r="H3" s="5"/>
    </row>
    <row r="4" spans="1:8" x14ac:dyDescent="0.25">
      <c r="A4" s="5" t="s">
        <v>11</v>
      </c>
      <c r="B4" s="4">
        <f t="shared" si="0"/>
        <v>-275262.73241713824</v>
      </c>
      <c r="C4" s="4">
        <f t="shared" si="0"/>
        <v>329426.03071948263</v>
      </c>
      <c r="D4" s="4">
        <f t="shared" si="0"/>
        <v>256265.15763945031</v>
      </c>
      <c r="E4" s="4">
        <f t="shared" si="0"/>
        <v>966855.29506871465</v>
      </c>
      <c r="F4" s="4">
        <f t="shared" si="0"/>
        <v>-537995.14955537603</v>
      </c>
      <c r="G4" s="7">
        <f t="shared" si="1"/>
        <v>-1706952.3039611967</v>
      </c>
      <c r="H4" s="7"/>
    </row>
    <row r="5" spans="1:8" x14ac:dyDescent="0.25">
      <c r="A5" s="5" t="s">
        <v>13</v>
      </c>
      <c r="B5" s="4">
        <f t="shared" si="0"/>
        <v>339126.91996766371</v>
      </c>
      <c r="C5" s="4">
        <f t="shared" si="0"/>
        <v>312045.27081649157</v>
      </c>
      <c r="D5" s="4">
        <f t="shared" si="0"/>
        <v>289409.86257073568</v>
      </c>
      <c r="E5" s="4">
        <f t="shared" si="0"/>
        <v>-317299.91915925627</v>
      </c>
      <c r="F5" s="4">
        <f t="shared" si="0"/>
        <v>-70331.447049312861</v>
      </c>
      <c r="G5" s="7">
        <f t="shared" si="1"/>
        <v>608730.80032336304</v>
      </c>
      <c r="H5" s="5"/>
    </row>
    <row r="6" spans="1:8" x14ac:dyDescent="0.25">
      <c r="A6" s="9" t="s">
        <v>10</v>
      </c>
      <c r="B6" s="4">
        <f t="shared" si="0"/>
        <v>316087.30800323369</v>
      </c>
      <c r="C6" s="4">
        <f t="shared" si="0"/>
        <v>280921.58447857725</v>
      </c>
      <c r="D6" s="4">
        <f t="shared" si="0"/>
        <v>431689.57154405827</v>
      </c>
      <c r="E6" s="4">
        <f t="shared" si="0"/>
        <v>465238.48019401781</v>
      </c>
      <c r="F6" s="4">
        <f t="shared" si="0"/>
        <v>-321341.95634599845</v>
      </c>
      <c r="G6" s="7">
        <f t="shared" ref="G6" si="2">B6-(D6-C6)-E6+F6</f>
        <v>-621261.1156022636</v>
      </c>
      <c r="H6" s="5"/>
    </row>
    <row r="7" spans="1:8" x14ac:dyDescent="0.25">
      <c r="A7" s="6">
        <v>2020</v>
      </c>
      <c r="B7" s="4">
        <f t="shared" si="0"/>
        <v>219805.98221503638</v>
      </c>
      <c r="C7" s="4">
        <f t="shared" si="0"/>
        <v>1296887.6313662087</v>
      </c>
      <c r="D7" s="4">
        <f t="shared" si="0"/>
        <v>1291956.3459983834</v>
      </c>
      <c r="E7" s="4">
        <f t="shared" si="0"/>
        <v>857154.40582053363</v>
      </c>
      <c r="F7" s="4">
        <f t="shared" si="0"/>
        <v>-830598.22150363785</v>
      </c>
      <c r="G7" s="7">
        <f>B7-(D7-C7)-E7+F7</f>
        <v>-1463015.3597413097</v>
      </c>
      <c r="H7" s="5" t="s">
        <v>47</v>
      </c>
    </row>
    <row r="8" spans="1:8" x14ac:dyDescent="0.25">
      <c r="A8" s="6">
        <v>2019</v>
      </c>
      <c r="B8" s="4">
        <f t="shared" si="0"/>
        <v>580962.00485044473</v>
      </c>
      <c r="C8" s="4">
        <f t="shared" si="0"/>
        <v>1326556.1843168957</v>
      </c>
      <c r="D8" s="4">
        <f t="shared" si="0"/>
        <v>1204607.9223928861</v>
      </c>
      <c r="E8" s="4">
        <f t="shared" si="0"/>
        <v>-848423.60549717071</v>
      </c>
      <c r="F8" s="4">
        <f t="shared" si="0"/>
        <v>256628.94098625708</v>
      </c>
      <c r="G8" s="7">
        <f>B8-(D8-C8)-E8+F8</f>
        <v>1807962.8132578819</v>
      </c>
      <c r="H8" s="7">
        <f>AVERAGE(G8:G9)</f>
        <v>1545169.7655618433</v>
      </c>
    </row>
    <row r="9" spans="1:8" x14ac:dyDescent="0.25">
      <c r="A9" s="6">
        <v>2018</v>
      </c>
      <c r="B9" s="4">
        <f t="shared" si="0"/>
        <v>417421.18027485855</v>
      </c>
      <c r="C9" s="4">
        <f t="shared" si="0"/>
        <v>1284801.9401778497</v>
      </c>
      <c r="D9" s="4">
        <f t="shared" si="0"/>
        <v>1051657.2352465643</v>
      </c>
      <c r="E9" s="4">
        <f t="shared" si="0"/>
        <v>-420210.1859337106</v>
      </c>
      <c r="F9" s="4">
        <f t="shared" si="0"/>
        <v>211600.64672594989</v>
      </c>
      <c r="G9" s="7">
        <f>B9-(D9-C9)-E9+F9</f>
        <v>1282376.7178658044</v>
      </c>
      <c r="H9" s="5"/>
    </row>
    <row r="10" spans="1:8" x14ac:dyDescent="0.25">
      <c r="A10" s="10" t="s">
        <v>9</v>
      </c>
      <c r="B10" s="11"/>
      <c r="C10" s="11"/>
      <c r="D10" s="11"/>
      <c r="E10" s="11"/>
      <c r="F10" s="11"/>
      <c r="G10" s="12"/>
      <c r="H10" s="5"/>
    </row>
    <row r="11" spans="1:8" x14ac:dyDescent="0.25">
      <c r="A11" s="5" t="s">
        <v>6</v>
      </c>
      <c r="B11" s="3">
        <v>5130</v>
      </c>
      <c r="C11" s="3">
        <v>8920</v>
      </c>
      <c r="D11" s="3">
        <v>7690</v>
      </c>
      <c r="E11" s="3">
        <v>11510</v>
      </c>
      <c r="F11" s="3">
        <v>7890</v>
      </c>
      <c r="G11" s="5"/>
      <c r="H11" s="5"/>
    </row>
    <row r="12" spans="1:8" x14ac:dyDescent="0.25">
      <c r="A12" s="5" t="s">
        <v>7</v>
      </c>
      <c r="B12" s="3">
        <v>-6810</v>
      </c>
      <c r="C12" s="3">
        <v>8150</v>
      </c>
      <c r="D12" s="3">
        <v>6340</v>
      </c>
      <c r="E12" s="3">
        <v>23920</v>
      </c>
      <c r="F12" s="3">
        <v>-13310</v>
      </c>
      <c r="G12" s="5"/>
      <c r="H12" s="5"/>
    </row>
    <row r="13" spans="1:8" x14ac:dyDescent="0.25">
      <c r="A13" s="5" t="s">
        <v>8</v>
      </c>
      <c r="B13" s="3">
        <v>8390</v>
      </c>
      <c r="C13" s="3">
        <v>7720</v>
      </c>
      <c r="D13" s="3">
        <v>7160</v>
      </c>
      <c r="E13" s="3">
        <v>-7850</v>
      </c>
      <c r="F13" s="3">
        <v>-1740</v>
      </c>
      <c r="G13" s="5"/>
      <c r="H13" s="5"/>
    </row>
    <row r="14" spans="1:8" x14ac:dyDescent="0.25">
      <c r="A14" s="9" t="s">
        <v>10</v>
      </c>
      <c r="B14" s="3">
        <v>7820</v>
      </c>
      <c r="C14" s="3">
        <v>6950</v>
      </c>
      <c r="D14" s="3">
        <v>10680</v>
      </c>
      <c r="E14" s="3">
        <v>11510</v>
      </c>
      <c r="F14" s="3">
        <v>-7950</v>
      </c>
      <c r="G14" s="5"/>
      <c r="H14" s="5"/>
    </row>
    <row r="15" spans="1:8" x14ac:dyDescent="0.25">
      <c r="A15" s="6">
        <v>2020</v>
      </c>
      <c r="B15" s="3">
        <v>5438</v>
      </c>
      <c r="C15" s="3">
        <v>32085</v>
      </c>
      <c r="D15" s="3">
        <v>31963</v>
      </c>
      <c r="E15" s="3">
        <v>21206</v>
      </c>
      <c r="F15" s="3">
        <v>-20549</v>
      </c>
      <c r="G15" s="5"/>
      <c r="H15" s="5"/>
    </row>
    <row r="16" spans="1:8" x14ac:dyDescent="0.25">
      <c r="A16" s="6">
        <v>2019</v>
      </c>
      <c r="B16" s="3">
        <v>14373</v>
      </c>
      <c r="C16" s="3">
        <v>32819</v>
      </c>
      <c r="D16" s="3">
        <v>29802</v>
      </c>
      <c r="E16" s="3">
        <v>-20990</v>
      </c>
      <c r="F16" s="3">
        <v>6349</v>
      </c>
      <c r="G16" s="5"/>
      <c r="H16" s="5"/>
    </row>
    <row r="17" spans="1:10" x14ac:dyDescent="0.25">
      <c r="A17" s="6">
        <v>2018</v>
      </c>
      <c r="B17" s="3">
        <v>10327</v>
      </c>
      <c r="C17" s="3">
        <v>31786</v>
      </c>
      <c r="D17" s="3">
        <v>26018</v>
      </c>
      <c r="E17" s="3">
        <v>-10396</v>
      </c>
      <c r="F17" s="3">
        <v>5235</v>
      </c>
      <c r="G17" s="5"/>
      <c r="H17" s="5"/>
    </row>
    <row r="18" spans="1:10" x14ac:dyDescent="0.25">
      <c r="A18" s="5"/>
      <c r="B18" s="3"/>
      <c r="C18" s="5"/>
      <c r="D18" s="5"/>
      <c r="E18" s="5"/>
      <c r="F18" s="5"/>
      <c r="G18" s="5"/>
      <c r="H18" s="5"/>
    </row>
    <row r="19" spans="1:10" x14ac:dyDescent="0.25">
      <c r="A19" s="5"/>
      <c r="B19" s="4"/>
      <c r="C19" s="5"/>
      <c r="D19" s="5"/>
      <c r="E19" s="5"/>
      <c r="F19" s="5"/>
      <c r="G19" s="5"/>
      <c r="H19" s="5"/>
    </row>
    <row r="20" spans="1:10" x14ac:dyDescent="0.25">
      <c r="A20" t="s">
        <v>15</v>
      </c>
      <c r="C20" s="5"/>
      <c r="D20" t="s">
        <v>41</v>
      </c>
    </row>
    <row r="21" spans="1:10" x14ac:dyDescent="0.25">
      <c r="A21" t="s">
        <v>17</v>
      </c>
      <c r="B21" s="23" t="s">
        <v>4</v>
      </c>
      <c r="C21" s="23" t="s">
        <v>24</v>
      </c>
      <c r="D21" t="s">
        <v>26</v>
      </c>
      <c r="E21" s="20">
        <f>AVERAGE(J21:J26)</f>
        <v>6.7500000000000004E-2</v>
      </c>
      <c r="I21" t="s">
        <v>28</v>
      </c>
      <c r="J21" s="21">
        <v>0.08</v>
      </c>
    </row>
    <row r="22" spans="1:10" x14ac:dyDescent="0.25">
      <c r="A22" s="1">
        <v>2020</v>
      </c>
      <c r="B22" s="2">
        <f>G7</f>
        <v>-1463015.3597413097</v>
      </c>
      <c r="D22" t="s">
        <v>40</v>
      </c>
      <c r="E22" s="22">
        <v>0.04</v>
      </c>
      <c r="I22" t="s">
        <v>29</v>
      </c>
      <c r="J22" s="21">
        <v>0.08</v>
      </c>
    </row>
    <row r="23" spans="1:10" x14ac:dyDescent="0.25">
      <c r="A23" s="13" t="s">
        <v>19</v>
      </c>
      <c r="B23" s="2">
        <f>H8*(1+$E$21)*0.5</f>
        <v>824734.36236863374</v>
      </c>
      <c r="C23" s="2">
        <f>B23/(1+$E$23)^1</f>
        <v>747041.99489912472</v>
      </c>
      <c r="D23" t="s">
        <v>45</v>
      </c>
      <c r="E23" s="24">
        <v>0.104</v>
      </c>
      <c r="I23" t="s">
        <v>30</v>
      </c>
      <c r="J23" s="21">
        <v>7.0000000000000007E-2</v>
      </c>
    </row>
    <row r="24" spans="1:10" x14ac:dyDescent="0.25">
      <c r="A24" s="13" t="s">
        <v>20</v>
      </c>
      <c r="B24" s="2">
        <f>B23*(1+$E$21)</f>
        <v>880403.93182851642</v>
      </c>
      <c r="C24" s="2">
        <f>B24/(1+$E$23)^2</f>
        <v>722343.59561124595</v>
      </c>
      <c r="I24" t="s">
        <v>31</v>
      </c>
      <c r="J24" s="21">
        <v>7.0000000000000007E-2</v>
      </c>
    </row>
    <row r="25" spans="1:10" x14ac:dyDescent="0.25">
      <c r="A25" s="13" t="s">
        <v>21</v>
      </c>
      <c r="B25" s="2">
        <f t="shared" ref="B25:B28" si="3">B24*(1+$E$21)</f>
        <v>939831.19722694124</v>
      </c>
      <c r="C25" s="2">
        <f>B25/(1+$E$23)^3</f>
        <v>698461.76477808424</v>
      </c>
      <c r="I25" t="s">
        <v>32</v>
      </c>
      <c r="J25" s="21">
        <v>0.06</v>
      </c>
    </row>
    <row r="26" spans="1:10" x14ac:dyDescent="0.25">
      <c r="A26" s="13" t="s">
        <v>22</v>
      </c>
      <c r="B26" s="2">
        <f t="shared" si="3"/>
        <v>1003269.8030397596</v>
      </c>
      <c r="C26" s="2">
        <f>B26/(1+$E$23)^4</f>
        <v>675369.50534475059</v>
      </c>
      <c r="I26" t="s">
        <v>33</v>
      </c>
      <c r="J26" s="22">
        <v>4.4999999999999998E-2</v>
      </c>
    </row>
    <row r="27" spans="1:10" x14ac:dyDescent="0.25">
      <c r="A27" s="13" t="s">
        <v>23</v>
      </c>
      <c r="B27" s="2">
        <f t="shared" si="3"/>
        <v>1070990.5147449432</v>
      </c>
      <c r="C27" s="2">
        <f>B27/(1+$E$23)^5</f>
        <v>653040.71282203007</v>
      </c>
      <c r="J27" s="21"/>
    </row>
    <row r="28" spans="1:10" x14ac:dyDescent="0.25">
      <c r="A28" s="13" t="s">
        <v>25</v>
      </c>
      <c r="B28" s="2">
        <f t="shared" si="3"/>
        <v>1143282.3744902269</v>
      </c>
      <c r="C28" s="2">
        <f>E28/(1+ $E$23)^6</f>
        <v>22961823.482790411</v>
      </c>
      <c r="D28" t="s">
        <v>27</v>
      </c>
      <c r="E28">
        <f>B28/(E21-E22)</f>
        <v>41573904.526917331</v>
      </c>
      <c r="J28" s="21"/>
    </row>
    <row r="29" spans="1:10" x14ac:dyDescent="0.25">
      <c r="B29" t="s">
        <v>43</v>
      </c>
      <c r="C29" s="2">
        <f>SUM(C23:C28)*1000</f>
        <v>26458081056.245647</v>
      </c>
      <c r="J29" s="21"/>
    </row>
    <row r="30" spans="1:10" x14ac:dyDescent="0.25">
      <c r="B30" t="s">
        <v>42</v>
      </c>
      <c r="C30" s="2">
        <v>537989759</v>
      </c>
      <c r="J30" s="21"/>
    </row>
    <row r="31" spans="1:10" x14ac:dyDescent="0.25">
      <c r="B31" t="s">
        <v>44</v>
      </c>
      <c r="C31">
        <f>C29/C30</f>
        <v>49.179525471684023</v>
      </c>
      <c r="J31" s="21"/>
    </row>
    <row r="32" spans="1:10" x14ac:dyDescent="0.25">
      <c r="J32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Solarparken</vt:lpstr>
      <vt:lpstr>Energiekontor</vt:lpstr>
      <vt:lpstr>ČEZ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Supreme Grandmaster</dc:creator>
  <cp:lastModifiedBy>Štěpán Hanyk</cp:lastModifiedBy>
  <dcterms:created xsi:type="dcterms:W3CDTF">2022-03-12T12:52:03Z</dcterms:created>
  <dcterms:modified xsi:type="dcterms:W3CDTF">2022-03-15T21:03:14Z</dcterms:modified>
</cp:coreProperties>
</file>