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tables/table1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634" activeTab="3"/>
  </bookViews>
  <sheets>
    <sheet name="celkové náklady XYZ" sheetId="1" r:id="rId1"/>
    <sheet name="2015 střediska" sheetId="2" r:id="rId2"/>
    <sheet name="2016 střediska" sheetId="3" r:id="rId3"/>
    <sheet name="cenové odchylky" sheetId="4" r:id="rId4"/>
    <sheet name="množstevní odchylky" sheetId="6" r:id="rId5"/>
    <sheet name="režie na prodané výrobky" sheetId="8" r:id="rId6"/>
    <sheet name="spotřeba vlastních krmiv" sheetId="7" r:id="rId7"/>
    <sheet name="potenciální náklady " sheetId="9" r:id="rId8"/>
    <sheet name="rozpočtová výsledovka 2016" sheetId="5" r:id="rId9"/>
  </sheets>
  <calcPr calcId="125725"/>
</workbook>
</file>

<file path=xl/calcChain.xml><?xml version="1.0" encoding="utf-8"?>
<calcChain xmlns="http://schemas.openxmlformats.org/spreadsheetml/2006/main">
  <c r="E4" i="7"/>
  <c r="E5"/>
  <c r="E6"/>
  <c r="E8"/>
  <c r="E9"/>
  <c r="E10"/>
  <c r="E13"/>
  <c r="E15"/>
  <c r="E15" i="9"/>
  <c r="E17" s="1"/>
  <c r="E42" i="1"/>
  <c r="E39"/>
  <c r="E19"/>
  <c r="E18"/>
  <c r="E17"/>
  <c r="E16"/>
  <c r="E15"/>
  <c r="E14"/>
  <c r="E13"/>
  <c r="E12"/>
  <c r="E11"/>
  <c r="E10"/>
  <c r="D67" i="3"/>
  <c r="N19" i="8"/>
  <c r="N20"/>
  <c r="N21"/>
  <c r="N22"/>
  <c r="N23"/>
  <c r="N24"/>
  <c r="N25"/>
  <c r="N18"/>
  <c r="N26" s="1"/>
  <c r="N7"/>
  <c r="N8"/>
  <c r="N9"/>
  <c r="N10"/>
  <c r="N11"/>
  <c r="N12"/>
  <c r="K7"/>
  <c r="K8"/>
  <c r="K9"/>
  <c r="K10"/>
  <c r="K11"/>
  <c r="K12"/>
  <c r="K6"/>
  <c r="K19"/>
  <c r="K20"/>
  <c r="K26" s="1"/>
  <c r="K21"/>
  <c r="K22"/>
  <c r="K23"/>
  <c r="K24"/>
  <c r="K25"/>
  <c r="K18"/>
  <c r="H19"/>
  <c r="H20"/>
  <c r="H26" s="1"/>
  <c r="H28" s="1"/>
  <c r="H21"/>
  <c r="H22"/>
  <c r="H23"/>
  <c r="H24"/>
  <c r="H25"/>
  <c r="H18"/>
  <c r="G24"/>
  <c r="G21"/>
  <c r="G22"/>
  <c r="H10"/>
  <c r="H11"/>
  <c r="H12"/>
  <c r="G9"/>
  <c r="G8"/>
  <c r="G7"/>
  <c r="G6"/>
  <c r="N6" s="1"/>
  <c r="D97" i="3"/>
  <c r="N97"/>
  <c r="N96"/>
  <c r="N95"/>
  <c r="N94"/>
  <c r="N93"/>
  <c r="N92"/>
  <c r="N91"/>
  <c r="N90"/>
  <c r="N89"/>
  <c r="M97"/>
  <c r="M96"/>
  <c r="M95"/>
  <c r="M94"/>
  <c r="M93"/>
  <c r="M92"/>
  <c r="M91"/>
  <c r="M90"/>
  <c r="M89"/>
  <c r="L97"/>
  <c r="L96"/>
  <c r="L95"/>
  <c r="L94"/>
  <c r="L93"/>
  <c r="L92"/>
  <c r="L91"/>
  <c r="L89"/>
  <c r="K97"/>
  <c r="K96"/>
  <c r="K95"/>
  <c r="K94"/>
  <c r="K93"/>
  <c r="K92"/>
  <c r="K91"/>
  <c r="K89"/>
  <c r="J97"/>
  <c r="J96"/>
  <c r="J95"/>
  <c r="J94"/>
  <c r="J93"/>
  <c r="J92"/>
  <c r="J91"/>
  <c r="J90"/>
  <c r="J89"/>
  <c r="I97"/>
  <c r="I96"/>
  <c r="I95"/>
  <c r="I94"/>
  <c r="I93"/>
  <c r="I92"/>
  <c r="I91"/>
  <c r="I90"/>
  <c r="I89"/>
  <c r="H97"/>
  <c r="H96"/>
  <c r="H95"/>
  <c r="H94"/>
  <c r="H93"/>
  <c r="H92"/>
  <c r="H91"/>
  <c r="H90"/>
  <c r="H89"/>
  <c r="G97"/>
  <c r="G96"/>
  <c r="G95"/>
  <c r="G94"/>
  <c r="G93"/>
  <c r="G92"/>
  <c r="G91"/>
  <c r="G90"/>
  <c r="G89"/>
  <c r="F97"/>
  <c r="F96"/>
  <c r="F95"/>
  <c r="F94"/>
  <c r="F93"/>
  <c r="F92"/>
  <c r="F91"/>
  <c r="F89"/>
  <c r="E97"/>
  <c r="E96"/>
  <c r="E95"/>
  <c r="E94"/>
  <c r="E93"/>
  <c r="E92"/>
  <c r="E91"/>
  <c r="E90"/>
  <c r="E89"/>
  <c r="D96"/>
  <c r="D95"/>
  <c r="D94"/>
  <c r="D93"/>
  <c r="D92"/>
  <c r="D91"/>
  <c r="D90"/>
  <c r="D89"/>
  <c r="J4"/>
  <c r="J5"/>
  <c r="J7"/>
  <c r="J8"/>
  <c r="J9"/>
  <c r="J10"/>
  <c r="J11"/>
  <c r="J12"/>
  <c r="J13"/>
  <c r="J14"/>
  <c r="J15"/>
  <c r="F23" i="6"/>
  <c r="F33" s="1"/>
  <c r="F24"/>
  <c r="F25"/>
  <c r="F26"/>
  <c r="F27"/>
  <c r="F28"/>
  <c r="F29"/>
  <c r="F30"/>
  <c r="F31"/>
  <c r="F32"/>
  <c r="F22"/>
  <c r="E32"/>
  <c r="E31"/>
  <c r="E30"/>
  <c r="E29"/>
  <c r="E28"/>
  <c r="E27"/>
  <c r="E26"/>
  <c r="E25"/>
  <c r="E24"/>
  <c r="E23"/>
  <c r="E22"/>
  <c r="D32"/>
  <c r="D31"/>
  <c r="D30"/>
  <c r="D29"/>
  <c r="D28"/>
  <c r="D27"/>
  <c r="D26"/>
  <c r="D25"/>
  <c r="D24"/>
  <c r="Q24"/>
  <c r="L24"/>
  <c r="Q21"/>
  <c r="L21"/>
  <c r="F16"/>
  <c r="F6"/>
  <c r="F7"/>
  <c r="F8"/>
  <c r="F9"/>
  <c r="F10"/>
  <c r="F11"/>
  <c r="F12"/>
  <c r="F13"/>
  <c r="F14"/>
  <c r="F15"/>
  <c r="F5"/>
  <c r="E15"/>
  <c r="E14"/>
  <c r="E13"/>
  <c r="E12"/>
  <c r="E11"/>
  <c r="E10"/>
  <c r="E9"/>
  <c r="E8"/>
  <c r="E7"/>
  <c r="E6"/>
  <c r="E5"/>
  <c r="D15"/>
  <c r="D14"/>
  <c r="D13"/>
  <c r="D12"/>
  <c r="D11"/>
  <c r="D10"/>
  <c r="D9"/>
  <c r="D8"/>
  <c r="D7"/>
  <c r="D6"/>
  <c r="D5"/>
  <c r="P4"/>
  <c r="J37" i="3"/>
  <c r="G91" i="4"/>
  <c r="G81"/>
  <c r="G82"/>
  <c r="G83"/>
  <c r="G84"/>
  <c r="G85"/>
  <c r="G86"/>
  <c r="G87"/>
  <c r="G88"/>
  <c r="G89"/>
  <c r="G90"/>
  <c r="G80"/>
  <c r="F90"/>
  <c r="F89"/>
  <c r="F88"/>
  <c r="F87"/>
  <c r="F86"/>
  <c r="F85"/>
  <c r="F84"/>
  <c r="F83"/>
  <c r="F82"/>
  <c r="F81"/>
  <c r="F80"/>
  <c r="E90"/>
  <c r="E89"/>
  <c r="E88"/>
  <c r="E87"/>
  <c r="E86"/>
  <c r="E85"/>
  <c r="E84"/>
  <c r="E83"/>
  <c r="E82"/>
  <c r="E81"/>
  <c r="E80"/>
  <c r="K89"/>
  <c r="L89"/>
  <c r="M89"/>
  <c r="N89"/>
  <c r="O89"/>
  <c r="P89"/>
  <c r="Q89"/>
  <c r="R89"/>
  <c r="S89"/>
  <c r="T89"/>
  <c r="J89"/>
  <c r="K83"/>
  <c r="L83"/>
  <c r="M83"/>
  <c r="N83"/>
  <c r="O83"/>
  <c r="P83"/>
  <c r="Q83"/>
  <c r="R83"/>
  <c r="S83"/>
  <c r="T83"/>
  <c r="J83"/>
  <c r="G77"/>
  <c r="G67"/>
  <c r="G68"/>
  <c r="G69"/>
  <c r="G70"/>
  <c r="G71"/>
  <c r="G72"/>
  <c r="G73"/>
  <c r="G74"/>
  <c r="G75"/>
  <c r="G76"/>
  <c r="G66"/>
  <c r="F76"/>
  <c r="F75"/>
  <c r="F74"/>
  <c r="F73"/>
  <c r="F72"/>
  <c r="F71"/>
  <c r="F70"/>
  <c r="F69"/>
  <c r="F68"/>
  <c r="F67"/>
  <c r="F66"/>
  <c r="E76"/>
  <c r="E75"/>
  <c r="E74"/>
  <c r="E73"/>
  <c r="E72"/>
  <c r="E71"/>
  <c r="E70"/>
  <c r="E69"/>
  <c r="E68"/>
  <c r="E67"/>
  <c r="E66"/>
  <c r="G63"/>
  <c r="G18"/>
  <c r="G32"/>
  <c r="G46"/>
  <c r="G53"/>
  <c r="G54"/>
  <c r="G55"/>
  <c r="G56"/>
  <c r="G57"/>
  <c r="G58"/>
  <c r="G59"/>
  <c r="G60"/>
  <c r="G61"/>
  <c r="G62"/>
  <c r="G52"/>
  <c r="F62"/>
  <c r="F61"/>
  <c r="F60"/>
  <c r="F59"/>
  <c r="F58"/>
  <c r="F57"/>
  <c r="F56"/>
  <c r="F55"/>
  <c r="F54"/>
  <c r="F53"/>
  <c r="F52"/>
  <c r="E62"/>
  <c r="E61"/>
  <c r="E60"/>
  <c r="E59"/>
  <c r="E58"/>
  <c r="E57"/>
  <c r="E56"/>
  <c r="E55"/>
  <c r="E54"/>
  <c r="E53"/>
  <c r="E52"/>
  <c r="G36"/>
  <c r="G37"/>
  <c r="G38"/>
  <c r="G39"/>
  <c r="G40"/>
  <c r="G41"/>
  <c r="G42"/>
  <c r="G43"/>
  <c r="G44"/>
  <c r="G45"/>
  <c r="G35"/>
  <c r="F45"/>
  <c r="F44"/>
  <c r="F43"/>
  <c r="F42"/>
  <c r="F41"/>
  <c r="F40"/>
  <c r="F39"/>
  <c r="F38"/>
  <c r="F37"/>
  <c r="F36"/>
  <c r="F35"/>
  <c r="E45"/>
  <c r="E44"/>
  <c r="E43"/>
  <c r="E42"/>
  <c r="E41"/>
  <c r="E40"/>
  <c r="E39"/>
  <c r="E38"/>
  <c r="E37"/>
  <c r="E36"/>
  <c r="E35"/>
  <c r="L44"/>
  <c r="M44"/>
  <c r="N44"/>
  <c r="O44"/>
  <c r="P44"/>
  <c r="Q44"/>
  <c r="R44"/>
  <c r="S44"/>
  <c r="T44"/>
  <c r="U44"/>
  <c r="K44"/>
  <c r="L38"/>
  <c r="M38"/>
  <c r="N38"/>
  <c r="O38"/>
  <c r="P38"/>
  <c r="Q38"/>
  <c r="R38"/>
  <c r="S38"/>
  <c r="T38"/>
  <c r="U38"/>
  <c r="K38"/>
  <c r="G22"/>
  <c r="G23"/>
  <c r="G24"/>
  <c r="G25"/>
  <c r="G26"/>
  <c r="G27"/>
  <c r="G28"/>
  <c r="G29"/>
  <c r="G30"/>
  <c r="G31"/>
  <c r="G21"/>
  <c r="F31"/>
  <c r="F30"/>
  <c r="F29"/>
  <c r="F28"/>
  <c r="F27"/>
  <c r="F26"/>
  <c r="F25"/>
  <c r="F24"/>
  <c r="F23"/>
  <c r="F22"/>
  <c r="F21"/>
  <c r="E31"/>
  <c r="E30"/>
  <c r="E29"/>
  <c r="E28"/>
  <c r="E27"/>
  <c r="E26"/>
  <c r="E25"/>
  <c r="E24"/>
  <c r="E23"/>
  <c r="E22"/>
  <c r="E21"/>
  <c r="F17"/>
  <c r="F16"/>
  <c r="F15"/>
  <c r="F14"/>
  <c r="F13"/>
  <c r="F12"/>
  <c r="F11"/>
  <c r="F10"/>
  <c r="F9"/>
  <c r="F8"/>
  <c r="F7"/>
  <c r="E17"/>
  <c r="E16"/>
  <c r="E15"/>
  <c r="E14"/>
  <c r="E13"/>
  <c r="E12"/>
  <c r="E11"/>
  <c r="E10"/>
  <c r="E9"/>
  <c r="E8"/>
  <c r="G8"/>
  <c r="E7"/>
  <c r="D50" i="2"/>
  <c r="C51"/>
  <c r="D51"/>
  <c r="E51"/>
  <c r="F51"/>
  <c r="G51"/>
  <c r="H51"/>
  <c r="I51"/>
  <c r="J51"/>
  <c r="K51"/>
  <c r="L51"/>
  <c r="B51"/>
  <c r="C50"/>
  <c r="E50"/>
  <c r="F50"/>
  <c r="G50"/>
  <c r="H50"/>
  <c r="I50"/>
  <c r="J50"/>
  <c r="K50"/>
  <c r="L50"/>
  <c r="B50"/>
  <c r="G9" i="4"/>
  <c r="G10"/>
  <c r="G11"/>
  <c r="G12"/>
  <c r="G13"/>
  <c r="G15"/>
  <c r="G16"/>
  <c r="G17"/>
  <c r="G7"/>
  <c r="K67" i="3"/>
  <c r="K82" s="1"/>
  <c r="F67"/>
  <c r="F82" s="1"/>
  <c r="N82"/>
  <c r="N81"/>
  <c r="N80"/>
  <c r="N78"/>
  <c r="N76"/>
  <c r="N74"/>
  <c r="M82"/>
  <c r="M81"/>
  <c r="M80"/>
  <c r="M77"/>
  <c r="M78"/>
  <c r="M76"/>
  <c r="M74"/>
  <c r="L82"/>
  <c r="L81"/>
  <c r="L80"/>
  <c r="L78"/>
  <c r="L76"/>
  <c r="L74"/>
  <c r="K81"/>
  <c r="K80"/>
  <c r="K78"/>
  <c r="K76"/>
  <c r="K74"/>
  <c r="J82"/>
  <c r="J81"/>
  <c r="J80"/>
  <c r="J78"/>
  <c r="J76"/>
  <c r="J75"/>
  <c r="J74"/>
  <c r="I82"/>
  <c r="I81"/>
  <c r="I80"/>
  <c r="I78"/>
  <c r="I77"/>
  <c r="I76"/>
  <c r="I75"/>
  <c r="I74"/>
  <c r="H82"/>
  <c r="H81"/>
  <c r="H80"/>
  <c r="H78"/>
  <c r="H76"/>
  <c r="H75"/>
  <c r="H74"/>
  <c r="G82"/>
  <c r="G81"/>
  <c r="G80"/>
  <c r="G78"/>
  <c r="G76"/>
  <c r="G75"/>
  <c r="G74"/>
  <c r="F81"/>
  <c r="F78"/>
  <c r="F75"/>
  <c r="E82"/>
  <c r="E81"/>
  <c r="E80"/>
  <c r="E78"/>
  <c r="E77"/>
  <c r="E76"/>
  <c r="E75"/>
  <c r="E74"/>
  <c r="D82"/>
  <c r="D81"/>
  <c r="D80"/>
  <c r="D78"/>
  <c r="D77"/>
  <c r="D76"/>
  <c r="D75"/>
  <c r="D79" s="1"/>
  <c r="D83" s="1"/>
  <c r="D74"/>
  <c r="H79"/>
  <c r="H83" s="1"/>
  <c r="I79"/>
  <c r="J79"/>
  <c r="J83" s="1"/>
  <c r="K79"/>
  <c r="L79"/>
  <c r="M79"/>
  <c r="M83" s="1"/>
  <c r="N79"/>
  <c r="N83" s="1"/>
  <c r="L99" i="2"/>
  <c r="L98"/>
  <c r="L97"/>
  <c r="L96"/>
  <c r="L93"/>
  <c r="L91"/>
  <c r="K99"/>
  <c r="K98"/>
  <c r="K97"/>
  <c r="K96"/>
  <c r="K94"/>
  <c r="K93"/>
  <c r="K92"/>
  <c r="K91"/>
  <c r="J99"/>
  <c r="J98"/>
  <c r="J97"/>
  <c r="J96"/>
  <c r="J93"/>
  <c r="J91"/>
  <c r="I99"/>
  <c r="I98"/>
  <c r="I97"/>
  <c r="I96"/>
  <c r="I93"/>
  <c r="I92"/>
  <c r="I91"/>
  <c r="H99"/>
  <c r="H98"/>
  <c r="H97"/>
  <c r="H96"/>
  <c r="H93"/>
  <c r="H92"/>
  <c r="H91"/>
  <c r="G99"/>
  <c r="G98"/>
  <c r="G97"/>
  <c r="G96"/>
  <c r="G94"/>
  <c r="G93"/>
  <c r="G92"/>
  <c r="G91"/>
  <c r="F99"/>
  <c r="F98"/>
  <c r="F97"/>
  <c r="F96"/>
  <c r="F93"/>
  <c r="F92"/>
  <c r="F95" s="1"/>
  <c r="F91"/>
  <c r="E99"/>
  <c r="E98"/>
  <c r="E97"/>
  <c r="E100" s="1"/>
  <c r="E96"/>
  <c r="E93"/>
  <c r="E91"/>
  <c r="D99"/>
  <c r="D98"/>
  <c r="D97"/>
  <c r="D96"/>
  <c r="C100"/>
  <c r="H100"/>
  <c r="I100"/>
  <c r="K100"/>
  <c r="L100"/>
  <c r="B100"/>
  <c r="C95"/>
  <c r="D95"/>
  <c r="I95"/>
  <c r="J95"/>
  <c r="K95"/>
  <c r="L95"/>
  <c r="B95"/>
  <c r="D93"/>
  <c r="D91"/>
  <c r="C99"/>
  <c r="C98"/>
  <c r="C97"/>
  <c r="C96"/>
  <c r="C93"/>
  <c r="C92"/>
  <c r="C91"/>
  <c r="B99"/>
  <c r="B98"/>
  <c r="B97"/>
  <c r="B96"/>
  <c r="B94"/>
  <c r="B93"/>
  <c r="B92"/>
  <c r="B91"/>
  <c r="B65"/>
  <c r="B66"/>
  <c r="B67"/>
  <c r="C65"/>
  <c r="C67"/>
  <c r="D65"/>
  <c r="D67"/>
  <c r="E65"/>
  <c r="E67"/>
  <c r="D82"/>
  <c r="F65"/>
  <c r="F67"/>
  <c r="G65"/>
  <c r="G66"/>
  <c r="G68"/>
  <c r="G67"/>
  <c r="H65"/>
  <c r="H67"/>
  <c r="I65"/>
  <c r="I66"/>
  <c r="I67"/>
  <c r="J65"/>
  <c r="J67"/>
  <c r="K65"/>
  <c r="K67"/>
  <c r="L65"/>
  <c r="L67"/>
  <c r="I82"/>
  <c r="B80"/>
  <c r="O50" i="5"/>
  <c r="O51"/>
  <c r="O52"/>
  <c r="O53"/>
  <c r="O54"/>
  <c r="O55"/>
  <c r="O56"/>
  <c r="O57"/>
  <c r="O58"/>
  <c r="O59"/>
  <c r="O60"/>
  <c r="O61"/>
  <c r="O62"/>
  <c r="O49"/>
  <c r="D31" i="3"/>
  <c r="D45" i="5"/>
  <c r="D44"/>
  <c r="D43"/>
  <c r="B32" i="2"/>
  <c r="O40" i="5"/>
  <c r="O26"/>
  <c r="O27"/>
  <c r="O28"/>
  <c r="O29"/>
  <c r="O30"/>
  <c r="O31"/>
  <c r="O32"/>
  <c r="O33"/>
  <c r="O34"/>
  <c r="O35"/>
  <c r="O36"/>
  <c r="O37"/>
  <c r="O38"/>
  <c r="O39"/>
  <c r="O25"/>
  <c r="O19"/>
  <c r="O7"/>
  <c r="O8"/>
  <c r="O15"/>
  <c r="O16"/>
  <c r="O17"/>
  <c r="O18"/>
  <c r="M32" i="3"/>
  <c r="N32"/>
  <c r="N34" s="1"/>
  <c r="F77" i="2"/>
  <c r="D77"/>
  <c r="E64" i="3"/>
  <c r="G64"/>
  <c r="J64"/>
  <c r="L64"/>
  <c r="M64"/>
  <c r="N64"/>
  <c r="D64"/>
  <c r="N49"/>
  <c r="L49"/>
  <c r="K62"/>
  <c r="K49"/>
  <c r="J49"/>
  <c r="H49"/>
  <c r="I49"/>
  <c r="H61"/>
  <c r="H64" s="1"/>
  <c r="G49"/>
  <c r="F49"/>
  <c r="F62"/>
  <c r="F61"/>
  <c r="F64" s="1"/>
  <c r="E49"/>
  <c r="D49"/>
  <c r="K61"/>
  <c r="K64" s="1"/>
  <c r="I61"/>
  <c r="I64" s="1"/>
  <c r="C43" i="2"/>
  <c r="B43"/>
  <c r="F34" i="3"/>
  <c r="H34"/>
  <c r="I34"/>
  <c r="L34"/>
  <c r="M34"/>
  <c r="K32"/>
  <c r="K34" s="1"/>
  <c r="E31"/>
  <c r="E32"/>
  <c r="D32"/>
  <c r="J32"/>
  <c r="J34" s="1"/>
  <c r="G31"/>
  <c r="G34" s="1"/>
  <c r="D34"/>
  <c r="E23"/>
  <c r="E22"/>
  <c r="E21"/>
  <c r="D23"/>
  <c r="D22"/>
  <c r="D45" i="2"/>
  <c r="F45"/>
  <c r="G45"/>
  <c r="H45"/>
  <c r="J45"/>
  <c r="K45"/>
  <c r="L45"/>
  <c r="I43"/>
  <c r="I45" s="1"/>
  <c r="C34"/>
  <c r="C33"/>
  <c r="C32"/>
  <c r="B34"/>
  <c r="B33"/>
  <c r="C80"/>
  <c r="E80"/>
  <c r="H80"/>
  <c r="J80"/>
  <c r="K80"/>
  <c r="L80"/>
  <c r="D78"/>
  <c r="I78"/>
  <c r="F80"/>
  <c r="G77"/>
  <c r="G80" s="1"/>
  <c r="I77"/>
  <c r="I80" s="1"/>
  <c r="E42"/>
  <c r="E45" s="1"/>
  <c r="C42"/>
  <c r="C45" s="1"/>
  <c r="B42"/>
  <c r="J23" i="3"/>
  <c r="N51"/>
  <c r="M52"/>
  <c r="P52" s="1"/>
  <c r="M51"/>
  <c r="M49"/>
  <c r="L51"/>
  <c r="K51"/>
  <c r="J51"/>
  <c r="I51"/>
  <c r="I50"/>
  <c r="H51"/>
  <c r="G51"/>
  <c r="F51"/>
  <c r="E51"/>
  <c r="D51"/>
  <c r="P51" s="1"/>
  <c r="D50"/>
  <c r="P50" s="1"/>
  <c r="P49"/>
  <c r="E9"/>
  <c r="L21"/>
  <c r="D21" s="1"/>
  <c r="J21"/>
  <c r="L23"/>
  <c r="K23"/>
  <c r="K21"/>
  <c r="J22"/>
  <c r="I14"/>
  <c r="H9"/>
  <c r="H7"/>
  <c r="H5"/>
  <c r="H23"/>
  <c r="G23"/>
  <c r="G22"/>
  <c r="P22" s="1"/>
  <c r="G21"/>
  <c r="I23"/>
  <c r="F23"/>
  <c r="F10"/>
  <c r="F9"/>
  <c r="E10"/>
  <c r="I15"/>
  <c r="I10"/>
  <c r="I9"/>
  <c r="I8"/>
  <c r="I7"/>
  <c r="I5"/>
  <c r="I16" s="1"/>
  <c r="H15"/>
  <c r="H14"/>
  <c r="H13"/>
  <c r="G7"/>
  <c r="G5"/>
  <c r="H10"/>
  <c r="H16" s="1"/>
  <c r="G6"/>
  <c r="J6" s="1"/>
  <c r="G10"/>
  <c r="G9"/>
  <c r="G14"/>
  <c r="G13"/>
  <c r="G11"/>
  <c r="G8"/>
  <c r="F14"/>
  <c r="F13"/>
  <c r="F11"/>
  <c r="F7"/>
  <c r="F8"/>
  <c r="F6"/>
  <c r="F5"/>
  <c r="F16" s="1"/>
  <c r="D69" s="1"/>
  <c r="E14"/>
  <c r="E11"/>
  <c r="E8"/>
  <c r="E7"/>
  <c r="E16" s="1"/>
  <c r="E5"/>
  <c r="N66" i="2"/>
  <c r="B6"/>
  <c r="J33"/>
  <c r="I34"/>
  <c r="I32"/>
  <c r="E6"/>
  <c r="I21" s="1"/>
  <c r="E2"/>
  <c r="I17" s="1"/>
  <c r="J34"/>
  <c r="H34"/>
  <c r="H32"/>
  <c r="F34"/>
  <c r="E34"/>
  <c r="E32"/>
  <c r="G34"/>
  <c r="F32"/>
  <c r="E33"/>
  <c r="D34"/>
  <c r="K18"/>
  <c r="K23"/>
  <c r="K24"/>
  <c r="K25"/>
  <c r="I18"/>
  <c r="I19"/>
  <c r="I20"/>
  <c r="I23"/>
  <c r="I24"/>
  <c r="I25"/>
  <c r="I26"/>
  <c r="I27"/>
  <c r="G19"/>
  <c r="G20"/>
  <c r="G23"/>
  <c r="G24"/>
  <c r="G25"/>
  <c r="G26"/>
  <c r="G27"/>
  <c r="G17"/>
  <c r="E19"/>
  <c r="E23"/>
  <c r="E24"/>
  <c r="E25"/>
  <c r="E27"/>
  <c r="C18"/>
  <c r="C19"/>
  <c r="L19" s="1"/>
  <c r="C21"/>
  <c r="L21" s="1"/>
  <c r="C23"/>
  <c r="L23" s="1"/>
  <c r="C24"/>
  <c r="L24" s="1"/>
  <c r="C25"/>
  <c r="L25" s="1"/>
  <c r="C26"/>
  <c r="L26" s="1"/>
  <c r="C27"/>
  <c r="L27" s="1"/>
  <c r="C7"/>
  <c r="E22" s="1"/>
  <c r="C6"/>
  <c r="E21" s="1"/>
  <c r="B7"/>
  <c r="C22" s="1"/>
  <c r="L22" s="1"/>
  <c r="F11"/>
  <c r="K26" s="1"/>
  <c r="F7"/>
  <c r="K22" s="1"/>
  <c r="F6"/>
  <c r="K21" s="1"/>
  <c r="F5"/>
  <c r="K20" s="1"/>
  <c r="F4"/>
  <c r="K19" s="1"/>
  <c r="F2"/>
  <c r="F13" s="1"/>
  <c r="F12"/>
  <c r="K27" s="1"/>
  <c r="D3"/>
  <c r="E7"/>
  <c r="I22" s="1"/>
  <c r="D7"/>
  <c r="G22" s="1"/>
  <c r="D6"/>
  <c r="G21" s="1"/>
  <c r="C11"/>
  <c r="E26" s="1"/>
  <c r="C5"/>
  <c r="E20" s="1"/>
  <c r="C3"/>
  <c r="E18" s="1"/>
  <c r="C2"/>
  <c r="B5"/>
  <c r="C20" s="1"/>
  <c r="L20" s="1"/>
  <c r="B2"/>
  <c r="N13" i="8" l="1"/>
  <c r="N28" s="1"/>
  <c r="H8"/>
  <c r="H6"/>
  <c r="H9"/>
  <c r="H7"/>
  <c r="G14" i="4"/>
  <c r="F74" i="3"/>
  <c r="F76"/>
  <c r="F80"/>
  <c r="G100" i="2"/>
  <c r="G95"/>
  <c r="L83" i="3"/>
  <c r="K83"/>
  <c r="I83"/>
  <c r="G79"/>
  <c r="G83" s="1"/>
  <c r="E79"/>
  <c r="E83" s="1"/>
  <c r="J100" i="2"/>
  <c r="H95"/>
  <c r="F100"/>
  <c r="E95"/>
  <c r="D100"/>
  <c r="C13"/>
  <c r="N65"/>
  <c r="D13"/>
  <c r="E13"/>
  <c r="N33"/>
  <c r="N67"/>
  <c r="N68"/>
  <c r="B45"/>
  <c r="O13" i="5"/>
  <c r="O6"/>
  <c r="P23" i="3"/>
  <c r="P64"/>
  <c r="P21"/>
  <c r="D43" s="1"/>
  <c r="N27" s="1"/>
  <c r="E34"/>
  <c r="M53"/>
  <c r="M54" s="1"/>
  <c r="K53"/>
  <c r="K54" s="1"/>
  <c r="I53"/>
  <c r="I54" s="1"/>
  <c r="G53"/>
  <c r="G54" s="1"/>
  <c r="E53"/>
  <c r="E54" s="1"/>
  <c r="N53"/>
  <c r="N54" s="1"/>
  <c r="L53"/>
  <c r="L54" s="1"/>
  <c r="J53"/>
  <c r="J54" s="1"/>
  <c r="H53"/>
  <c r="H54" s="1"/>
  <c r="F53"/>
  <c r="F54" s="1"/>
  <c r="D53"/>
  <c r="B13" i="2"/>
  <c r="I28"/>
  <c r="B60"/>
  <c r="N32"/>
  <c r="D80"/>
  <c r="E17"/>
  <c r="E28" s="1"/>
  <c r="K17"/>
  <c r="B85"/>
  <c r="N34"/>
  <c r="C17"/>
  <c r="G18"/>
  <c r="G28" s="1"/>
  <c r="B55" s="1"/>
  <c r="B58"/>
  <c r="K13" i="8" l="1"/>
  <c r="K28" s="1"/>
  <c r="H13"/>
  <c r="F79" i="3"/>
  <c r="F83" s="1"/>
  <c r="B87" i="2"/>
  <c r="J69" s="1"/>
  <c r="J70" s="1"/>
  <c r="C28"/>
  <c r="L17"/>
  <c r="L18"/>
  <c r="P53" i="3"/>
  <c r="D54"/>
  <c r="K28" i="2"/>
  <c r="B57" s="1"/>
  <c r="B56"/>
  <c r="K38" s="1"/>
  <c r="B54"/>
  <c r="G35" s="1"/>
  <c r="G36" s="1"/>
  <c r="O9" i="5"/>
  <c r="O12"/>
  <c r="O11"/>
  <c r="I69" i="2"/>
  <c r="I70" s="1"/>
  <c r="D41" i="3"/>
  <c r="H24" s="1"/>
  <c r="H25" s="1"/>
  <c r="H38" s="1"/>
  <c r="D44"/>
  <c r="D57" s="1"/>
  <c r="H56"/>
  <c r="I56"/>
  <c r="I27"/>
  <c r="D27"/>
  <c r="G57"/>
  <c r="J28"/>
  <c r="N57"/>
  <c r="F27"/>
  <c r="G56"/>
  <c r="L56"/>
  <c r="D56"/>
  <c r="F28"/>
  <c r="E27"/>
  <c r="F57"/>
  <c r="I28"/>
  <c r="K56"/>
  <c r="I57"/>
  <c r="N56"/>
  <c r="J56"/>
  <c r="F56"/>
  <c r="K27"/>
  <c r="G27"/>
  <c r="M56"/>
  <c r="E56"/>
  <c r="J27"/>
  <c r="L27"/>
  <c r="H27"/>
  <c r="H57"/>
  <c r="M27"/>
  <c r="M57"/>
  <c r="N28"/>
  <c r="M28"/>
  <c r="L24"/>
  <c r="L25" s="1"/>
  <c r="L38" s="1"/>
  <c r="M24"/>
  <c r="M25" s="1"/>
  <c r="M38" s="1"/>
  <c r="K57"/>
  <c r="E57"/>
  <c r="L28"/>
  <c r="H28"/>
  <c r="D28"/>
  <c r="J57"/>
  <c r="E28"/>
  <c r="G28"/>
  <c r="L57"/>
  <c r="J24"/>
  <c r="J25" s="1"/>
  <c r="J38" s="1"/>
  <c r="I24"/>
  <c r="I25" s="1"/>
  <c r="I38" s="1"/>
  <c r="K28"/>
  <c r="I35" i="2"/>
  <c r="I36" s="1"/>
  <c r="K37"/>
  <c r="F35"/>
  <c r="F36" s="1"/>
  <c r="C35"/>
  <c r="C36" s="1"/>
  <c r="L37"/>
  <c r="L35"/>
  <c r="L36" s="1"/>
  <c r="H71"/>
  <c r="D71"/>
  <c r="J37"/>
  <c r="F37"/>
  <c r="B37"/>
  <c r="K71"/>
  <c r="G71"/>
  <c r="C71"/>
  <c r="G37"/>
  <c r="C37"/>
  <c r="E24" i="3" l="1"/>
  <c r="E25" s="1"/>
  <c r="E38" s="1"/>
  <c r="F24"/>
  <c r="F25" s="1"/>
  <c r="F38" s="1"/>
  <c r="N24"/>
  <c r="N25" s="1"/>
  <c r="N38" s="1"/>
  <c r="F69" i="2"/>
  <c r="F70" s="1"/>
  <c r="H69"/>
  <c r="H70" s="1"/>
  <c r="G69"/>
  <c r="G70" s="1"/>
  <c r="B69"/>
  <c r="B70" s="1"/>
  <c r="E69"/>
  <c r="E70" s="1"/>
  <c r="K69"/>
  <c r="K70" s="1"/>
  <c r="K74" s="1"/>
  <c r="K84" s="1"/>
  <c r="K72"/>
  <c r="B38"/>
  <c r="L72"/>
  <c r="D69"/>
  <c r="D70" s="1"/>
  <c r="L69"/>
  <c r="L70" s="1"/>
  <c r="C69"/>
  <c r="C70" s="1"/>
  <c r="G38"/>
  <c r="G72"/>
  <c r="D72"/>
  <c r="E72"/>
  <c r="J72"/>
  <c r="E38"/>
  <c r="L38"/>
  <c r="L28"/>
  <c r="J73"/>
  <c r="K39"/>
  <c r="K73"/>
  <c r="I73"/>
  <c r="E39"/>
  <c r="H73"/>
  <c r="D73"/>
  <c r="H39"/>
  <c r="G73"/>
  <c r="C73"/>
  <c r="F39"/>
  <c r="G39"/>
  <c r="C39"/>
  <c r="I39"/>
  <c r="L39"/>
  <c r="L73"/>
  <c r="F73"/>
  <c r="B73"/>
  <c r="D39"/>
  <c r="E73"/>
  <c r="J39"/>
  <c r="B39"/>
  <c r="H72"/>
  <c r="J38"/>
  <c r="I72"/>
  <c r="H38"/>
  <c r="C38"/>
  <c r="B72"/>
  <c r="C72"/>
  <c r="F72"/>
  <c r="I38"/>
  <c r="K35"/>
  <c r="K36" s="1"/>
  <c r="H35"/>
  <c r="H36" s="1"/>
  <c r="D35"/>
  <c r="D36" s="1"/>
  <c r="E35"/>
  <c r="E36" s="1"/>
  <c r="J35"/>
  <c r="J36" s="1"/>
  <c r="B35"/>
  <c r="B36" s="1"/>
  <c r="F38"/>
  <c r="D38"/>
  <c r="O10" i="5"/>
  <c r="O14"/>
  <c r="K24" i="3"/>
  <c r="K25" s="1"/>
  <c r="K38" s="1"/>
  <c r="D24"/>
  <c r="D25" s="1"/>
  <c r="D38" s="1"/>
  <c r="G24"/>
  <c r="P28"/>
  <c r="P27"/>
  <c r="E37" i="2"/>
  <c r="I37"/>
  <c r="E71"/>
  <c r="I71"/>
  <c r="L71"/>
  <c r="D37"/>
  <c r="H37"/>
  <c r="B71"/>
  <c r="F71"/>
  <c r="J71"/>
  <c r="P56" i="3"/>
  <c r="P57"/>
  <c r="N35" i="2"/>
  <c r="G16" i="3"/>
  <c r="D42" l="1"/>
  <c r="J16"/>
  <c r="N69" i="2"/>
  <c r="C40"/>
  <c r="C47" s="1"/>
  <c r="L40"/>
  <c r="L47" s="1"/>
  <c r="D74"/>
  <c r="D84" s="1"/>
  <c r="F40"/>
  <c r="F47" s="1"/>
  <c r="J40"/>
  <c r="J47" s="1"/>
  <c r="G40"/>
  <c r="G47" s="1"/>
  <c r="G74"/>
  <c r="G84" s="1"/>
  <c r="B40"/>
  <c r="B47" s="1"/>
  <c r="C74"/>
  <c r="C84" s="1"/>
  <c r="H74"/>
  <c r="H84" s="1"/>
  <c r="N39"/>
  <c r="N38"/>
  <c r="N72"/>
  <c r="D40"/>
  <c r="D47" s="1"/>
  <c r="I40"/>
  <c r="K40"/>
  <c r="K47" s="1"/>
  <c r="N73"/>
  <c r="F74"/>
  <c r="F84" s="1"/>
  <c r="L74"/>
  <c r="L84" s="1"/>
  <c r="E74"/>
  <c r="E84" s="1"/>
  <c r="E40"/>
  <c r="E47" s="1"/>
  <c r="J74"/>
  <c r="J84" s="1"/>
  <c r="B74"/>
  <c r="B84" s="1"/>
  <c r="I74"/>
  <c r="I84" s="1"/>
  <c r="I47"/>
  <c r="H40"/>
  <c r="H47" s="1"/>
  <c r="P24" i="3"/>
  <c r="G25"/>
  <c r="G38" s="1"/>
  <c r="N71" i="2"/>
  <c r="N37"/>
  <c r="I26" i="3"/>
  <c r="K26"/>
  <c r="K55"/>
  <c r="K58" s="1"/>
  <c r="K65" s="1"/>
  <c r="H26"/>
  <c r="D55"/>
  <c r="D58" s="1"/>
  <c r="D65" s="1"/>
  <c r="L55"/>
  <c r="L58" s="1"/>
  <c r="L65" s="1"/>
  <c r="L26"/>
  <c r="H55"/>
  <c r="H58" s="1"/>
  <c r="H65" s="1"/>
  <c r="M55"/>
  <c r="M58" s="1"/>
  <c r="M65" s="1"/>
  <c r="M26"/>
  <c r="J55"/>
  <c r="J58" s="1"/>
  <c r="J65" s="1"/>
  <c r="N55"/>
  <c r="N58" s="1"/>
  <c r="N65" s="1"/>
  <c r="I55"/>
  <c r="I58" s="1"/>
  <c r="I65" s="1"/>
  <c r="D26"/>
  <c r="D29" s="1"/>
  <c r="D39" s="1"/>
  <c r="N26"/>
  <c r="F55"/>
  <c r="F58" s="1"/>
  <c r="F65" s="1"/>
  <c r="J26"/>
  <c r="G55"/>
  <c r="G58" s="1"/>
  <c r="G65" s="1"/>
  <c r="G26"/>
  <c r="E55"/>
  <c r="E58" s="1"/>
  <c r="E65" s="1"/>
  <c r="F26"/>
  <c r="E26"/>
  <c r="P65" l="1"/>
  <c r="N84" i="2"/>
  <c r="N47"/>
  <c r="E29" i="3"/>
  <c r="M29"/>
  <c r="H29"/>
  <c r="K29"/>
  <c r="F29"/>
  <c r="J29"/>
  <c r="N29"/>
  <c r="L29"/>
  <c r="I29"/>
  <c r="G29"/>
  <c r="P26"/>
  <c r="P29" s="1"/>
  <c r="P55"/>
  <c r="P58" s="1"/>
  <c r="D35"/>
  <c r="I35" l="1"/>
  <c r="I39"/>
  <c r="N35"/>
  <c r="N39"/>
  <c r="F35"/>
  <c r="F39"/>
  <c r="H35"/>
  <c r="H39"/>
  <c r="E35"/>
  <c r="E39"/>
  <c r="G35"/>
  <c r="G39"/>
  <c r="L35"/>
  <c r="L39"/>
  <c r="J35"/>
  <c r="J39"/>
  <c r="K35"/>
  <c r="K39"/>
  <c r="M35"/>
  <c r="M39"/>
  <c r="P35"/>
  <c r="E20" i="1"/>
</calcChain>
</file>

<file path=xl/sharedStrings.xml><?xml version="1.0" encoding="utf-8"?>
<sst xmlns="http://schemas.openxmlformats.org/spreadsheetml/2006/main" count="655" uniqueCount="213">
  <si>
    <t>položka</t>
  </si>
  <si>
    <t>jednicové náklady</t>
  </si>
  <si>
    <t>režijní náklady</t>
  </si>
  <si>
    <t>celkem</t>
  </si>
  <si>
    <t>Sloupec1</t>
  </si>
  <si>
    <t xml:space="preserve">výnosy </t>
  </si>
  <si>
    <t>rostlinná výroba</t>
  </si>
  <si>
    <t>opravy a udržování</t>
  </si>
  <si>
    <t>ostatní služby</t>
  </si>
  <si>
    <t>daně a poplatky</t>
  </si>
  <si>
    <t>odpisy</t>
  </si>
  <si>
    <t>režijní mzdy</t>
  </si>
  <si>
    <t>živočišná výroba</t>
  </si>
  <si>
    <t>správa</t>
  </si>
  <si>
    <t>zásobování</t>
  </si>
  <si>
    <t>mechanizace</t>
  </si>
  <si>
    <t>SZP</t>
  </si>
  <si>
    <t>ostatní provzní náklady</t>
  </si>
  <si>
    <t>ostatní finanční náklady</t>
  </si>
  <si>
    <t>režijní materiál</t>
  </si>
  <si>
    <t>energie a voda</t>
  </si>
  <si>
    <t>pokuty a penále</t>
  </si>
  <si>
    <t>index</t>
  </si>
  <si>
    <t>rozpočet RV</t>
  </si>
  <si>
    <t>rozpočet ŽV</t>
  </si>
  <si>
    <t>rozpočet správa</t>
  </si>
  <si>
    <t>rozpočet zásobování</t>
  </si>
  <si>
    <t>rozpočet mechanizace</t>
  </si>
  <si>
    <t>ROZPOČET NA ROK 2016</t>
  </si>
  <si>
    <t>PLÁNOVÉ KALKULACE NA ROK 2016- RV</t>
  </si>
  <si>
    <t>cukrovka</t>
  </si>
  <si>
    <t>brambory</t>
  </si>
  <si>
    <t>kukuřice- siláž</t>
  </si>
  <si>
    <t>PLÁNOVÉ KALKULACE NA ROK 2016- ŽV</t>
  </si>
  <si>
    <t>základní stádo</t>
  </si>
  <si>
    <t>telata do 3 měs.</t>
  </si>
  <si>
    <t>ostatní přímé náklady</t>
  </si>
  <si>
    <t>přímý materiál</t>
  </si>
  <si>
    <t>přímé mzdy</t>
  </si>
  <si>
    <t>hrach setý</t>
  </si>
  <si>
    <t>řepka</t>
  </si>
  <si>
    <t xml:space="preserve">odpisy </t>
  </si>
  <si>
    <t>jalovicev 0,3-2 roky</t>
  </si>
  <si>
    <t>vysokob. Jalovice</t>
  </si>
  <si>
    <t>skot-výkrm</t>
  </si>
  <si>
    <t>krávy masné</t>
  </si>
  <si>
    <t>telata masná</t>
  </si>
  <si>
    <t>jalovice masné</t>
  </si>
  <si>
    <t>jalovice masné (březí)</t>
  </si>
  <si>
    <t>plemenní býci</t>
  </si>
  <si>
    <t>výrobní režie</t>
  </si>
  <si>
    <t>správní režie</t>
  </si>
  <si>
    <t>zásobovací režie</t>
  </si>
  <si>
    <t>mechanizační režie</t>
  </si>
  <si>
    <t>seno luční</t>
  </si>
  <si>
    <t>výrobní režie celkem RV</t>
  </si>
  <si>
    <t>výrobní režie celkem ŽV</t>
  </si>
  <si>
    <t>množství (kg)</t>
  </si>
  <si>
    <t xml:space="preserve">ječmen jarní </t>
  </si>
  <si>
    <t xml:space="preserve">pšenice ozimá </t>
  </si>
  <si>
    <t>tržby za výrobky</t>
  </si>
  <si>
    <t>Výnosy celkem</t>
  </si>
  <si>
    <t>tržby za mléko</t>
  </si>
  <si>
    <t>spotřeba vlastních výrobků</t>
  </si>
  <si>
    <t>tržby z prodaných zvířat</t>
  </si>
  <si>
    <t>dotace</t>
  </si>
  <si>
    <t>Režijní koeficient VR-ŽV</t>
  </si>
  <si>
    <t>Režijní koeficient M</t>
  </si>
  <si>
    <t>Režijní koeficient SH</t>
  </si>
  <si>
    <t>Režijní koeficient SP</t>
  </si>
  <si>
    <t>Režijní koeficient VR-RV</t>
  </si>
  <si>
    <t>VÝSLEDNÉ KALKULACE 2016- RV</t>
  </si>
  <si>
    <t>VÝSLEDNÉ KALKULACE 2016- ŽV</t>
  </si>
  <si>
    <t>ostatní provozní výnosy (dotace)</t>
  </si>
  <si>
    <t>rezijní koeficient RV</t>
  </si>
  <si>
    <t>režijní koeficient SR</t>
  </si>
  <si>
    <t>režijní koeficient M</t>
  </si>
  <si>
    <t>režijní koeficient Z</t>
  </si>
  <si>
    <t>režijní koeficient ŽV</t>
  </si>
  <si>
    <t>příchovky , přírůstky</t>
  </si>
  <si>
    <t>sláma pšeničná</t>
  </si>
  <si>
    <t>sláma pšeničná 12%</t>
  </si>
  <si>
    <t>sláma ječná 15%</t>
  </si>
  <si>
    <t>vojtěška- senáž</t>
  </si>
  <si>
    <t>HV</t>
  </si>
  <si>
    <t xml:space="preserve">Výnosy celkem </t>
  </si>
  <si>
    <t>kukuřice</t>
  </si>
  <si>
    <t>vojtěška</t>
  </si>
  <si>
    <t>sláma ječná</t>
  </si>
  <si>
    <t>louky-seno luční</t>
  </si>
  <si>
    <t xml:space="preserve">HV </t>
  </si>
  <si>
    <t>masný výkrm</t>
  </si>
  <si>
    <t>příchovky, přírůstky</t>
  </si>
  <si>
    <t>Vlastní náklady</t>
  </si>
  <si>
    <t>Výrobní náklady</t>
  </si>
  <si>
    <t>celý podnik</t>
  </si>
  <si>
    <t>ostatní provozní výnosy</t>
  </si>
  <si>
    <t>Celý podnik</t>
  </si>
  <si>
    <t>Rozpočtová výsledovka 2016- RV</t>
  </si>
  <si>
    <t>Rozpočtová výsledovka 2016- ŽV</t>
  </si>
  <si>
    <t>index2</t>
  </si>
  <si>
    <t>index3</t>
  </si>
  <si>
    <t>index4</t>
  </si>
  <si>
    <t>index5</t>
  </si>
  <si>
    <t>Sloupec2</t>
  </si>
  <si>
    <t>Skutečné režijní náklady 2016</t>
  </si>
  <si>
    <t>Sloupec3</t>
  </si>
  <si>
    <t>Sloupec4</t>
  </si>
  <si>
    <t>Sloupec5</t>
  </si>
  <si>
    <t>Sloupec6</t>
  </si>
  <si>
    <t>Sloupec7</t>
  </si>
  <si>
    <t xml:space="preserve">Celkem obě střediska </t>
  </si>
  <si>
    <t xml:space="preserve">náklady </t>
  </si>
  <si>
    <t>HV (ztráta)</t>
  </si>
  <si>
    <t>Skutečné náklady 2016 RV</t>
  </si>
  <si>
    <t>Skutečné náklady 2016 ŽV</t>
  </si>
  <si>
    <t>přímé mzdy celkem</t>
  </si>
  <si>
    <t>Základní stádo</t>
  </si>
  <si>
    <t>Telata do 3. měsíců</t>
  </si>
  <si>
    <t>Jalovice do 2 let</t>
  </si>
  <si>
    <t>Vysokobřezí jalovice</t>
  </si>
  <si>
    <t>Skot- výkrm</t>
  </si>
  <si>
    <t>Masné krávy</t>
  </si>
  <si>
    <t>Masná telata</t>
  </si>
  <si>
    <t>Masné jalovice</t>
  </si>
  <si>
    <t>Masné březí jalovice</t>
  </si>
  <si>
    <t>Masní plemenní býci</t>
  </si>
  <si>
    <t>Masný výkrm</t>
  </si>
  <si>
    <t xml:space="preserve">odchylka </t>
  </si>
  <si>
    <t>SN</t>
  </si>
  <si>
    <t>PSN</t>
  </si>
  <si>
    <t>Živočišná výroba</t>
  </si>
  <si>
    <t xml:space="preserve">Mzdová odchylka </t>
  </si>
  <si>
    <t>materiálová odchylka</t>
  </si>
  <si>
    <t>odchylka režijních nákladů</t>
  </si>
  <si>
    <t>odchylka</t>
  </si>
  <si>
    <t>mzdová odchylka</t>
  </si>
  <si>
    <t>množství (q)</t>
  </si>
  <si>
    <t>výrobní náklady</t>
  </si>
  <si>
    <t>vlastní náklady</t>
  </si>
  <si>
    <t>vojteška</t>
  </si>
  <si>
    <t>množství q</t>
  </si>
  <si>
    <t>Živočišná výroba cenové odchylky</t>
  </si>
  <si>
    <t>Rostlinná výroba</t>
  </si>
  <si>
    <t xml:space="preserve">Pšenice ozimá </t>
  </si>
  <si>
    <t xml:space="preserve">Ječmen jarní </t>
  </si>
  <si>
    <t xml:space="preserve">Hrách setý </t>
  </si>
  <si>
    <t xml:space="preserve">Řepka olejka </t>
  </si>
  <si>
    <t xml:space="preserve">Řepa cukrovka </t>
  </si>
  <si>
    <t xml:space="preserve">Brambory </t>
  </si>
  <si>
    <t xml:space="preserve">Kukuřice </t>
  </si>
  <si>
    <t xml:space="preserve">Vojtěška </t>
  </si>
  <si>
    <t xml:space="preserve">Seno luční </t>
  </si>
  <si>
    <t xml:space="preserve">Sláma pšeničná </t>
  </si>
  <si>
    <t xml:space="preserve">Sláma ječná </t>
  </si>
  <si>
    <t>úspora</t>
  </si>
  <si>
    <t>překročení</t>
  </si>
  <si>
    <t>množstevní odchylka</t>
  </si>
  <si>
    <t>SM</t>
  </si>
  <si>
    <t>PSM</t>
  </si>
  <si>
    <t xml:space="preserve">Rostlinná výroba </t>
  </si>
  <si>
    <t>q</t>
  </si>
  <si>
    <t>kg</t>
  </si>
  <si>
    <t>Sloupec8</t>
  </si>
  <si>
    <t xml:space="preserve">základní stádo </t>
  </si>
  <si>
    <t>spotřeba vlastního výrobku rostlinné výroby</t>
  </si>
  <si>
    <t>Interní výnosy RV</t>
  </si>
  <si>
    <t>jalovice do 2 let</t>
  </si>
  <si>
    <t>vysokobřezí jalovice</t>
  </si>
  <si>
    <t>skot ve výkrmu</t>
  </si>
  <si>
    <t>Krávy masné</t>
  </si>
  <si>
    <t>Jalovice masné</t>
  </si>
  <si>
    <t>Plemenní masní býci</t>
  </si>
  <si>
    <t>jalovice masné březí</t>
  </si>
  <si>
    <t>ŽV</t>
  </si>
  <si>
    <t>RV</t>
  </si>
  <si>
    <t>pšenice ozimá</t>
  </si>
  <si>
    <t>SR/q</t>
  </si>
  <si>
    <t>ječmen jarní</t>
  </si>
  <si>
    <t xml:space="preserve">kukuřice </t>
  </si>
  <si>
    <t>objem prodeje</t>
  </si>
  <si>
    <t>ZR/q</t>
  </si>
  <si>
    <t>MR/q</t>
  </si>
  <si>
    <t>Zásobování</t>
  </si>
  <si>
    <t>Mechanizace</t>
  </si>
  <si>
    <t>telata do 3.měs</t>
  </si>
  <si>
    <t>skot výkrm</t>
  </si>
  <si>
    <t>krávy- dojnice</t>
  </si>
  <si>
    <t>SR/kg</t>
  </si>
  <si>
    <t>telata do 3. měs masná</t>
  </si>
  <si>
    <t>ZR/kg</t>
  </si>
  <si>
    <t>MR/kg</t>
  </si>
  <si>
    <t xml:space="preserve">celkem </t>
  </si>
  <si>
    <t xml:space="preserve">částka </t>
  </si>
  <si>
    <t>Upgrade systému SIDUS</t>
  </si>
  <si>
    <t>Zaškolení nové účetní</t>
  </si>
  <si>
    <t>Stolní PC Lenovo</t>
  </si>
  <si>
    <t>Monitor DELL</t>
  </si>
  <si>
    <t xml:space="preserve">Tiskárna Canon </t>
  </si>
  <si>
    <t xml:space="preserve">Roční mzda nové účetní </t>
  </si>
  <si>
    <t>Kancelářský stůl</t>
  </si>
  <si>
    <t xml:space="preserve">Celkem </t>
  </si>
  <si>
    <t>příslušentství k PC</t>
  </si>
  <si>
    <t>Náklady v roce 2016</t>
  </si>
  <si>
    <t>spotřeba materiálu</t>
  </si>
  <si>
    <t>spotřeba energie</t>
  </si>
  <si>
    <t xml:space="preserve">osobní náklady </t>
  </si>
  <si>
    <t>zdravotní a sociální pojištění</t>
  </si>
  <si>
    <t>jiné provozní náklady</t>
  </si>
  <si>
    <t>zůstatková cena prodaného DHM</t>
  </si>
  <si>
    <t>finanční náklady</t>
  </si>
  <si>
    <t>celkové náklady</t>
  </si>
  <si>
    <t xml:space="preserve">režijní náklady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</si>
</sst>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NumberFormat="1"/>
    <xf numFmtId="0" fontId="0" fillId="2" borderId="1" xfId="0" applyFont="1" applyFill="1" applyBorder="1"/>
    <xf numFmtId="0" fontId="0" fillId="3" borderId="2" xfId="0" applyFont="1" applyFill="1" applyBorder="1"/>
    <xf numFmtId="0" fontId="0" fillId="2" borderId="2" xfId="0" applyFont="1" applyFill="1" applyBorder="1"/>
    <xf numFmtId="0" fontId="2" fillId="2" borderId="2" xfId="0" applyFont="1" applyFill="1" applyBorder="1"/>
    <xf numFmtId="0" fontId="1" fillId="3" borderId="3" xfId="0" applyFont="1" applyFill="1" applyBorder="1"/>
    <xf numFmtId="0" fontId="0" fillId="0" borderId="0" xfId="0" applyFont="1"/>
    <xf numFmtId="0" fontId="1" fillId="4" borderId="0" xfId="0" applyFont="1" applyFill="1"/>
  </cellXfs>
  <cellStyles count="1">
    <cellStyle name="normální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pieChart>
        <c:varyColors val="1"/>
        <c:ser>
          <c:idx val="0"/>
          <c:order val="0"/>
          <c:dLbls>
            <c:dLbl>
              <c:idx val="11"/>
              <c:layout>
                <c:manualLayout>
                  <c:x val="2.5987918267119749E-2"/>
                  <c:y val="-3.4413539099199851E-3"/>
                </c:manualLayout>
              </c:layout>
              <c:dLblPos val="bestFit"/>
              <c:showPercent val="1"/>
            </c:dLbl>
            <c:dLblPos val="outEnd"/>
            <c:showPercent val="1"/>
          </c:dLbls>
          <c:cat>
            <c:strRef>
              <c:f>'celkové náklady XYZ'!$D$10:$D$20</c:f>
              <c:strCache>
                <c:ptCount val="11"/>
                <c:pt idx="0">
                  <c:v>spotřeba materiálu</c:v>
                </c:pt>
                <c:pt idx="1">
                  <c:v>spotřeba energie</c:v>
                </c:pt>
                <c:pt idx="2">
                  <c:v>opravy a udržování</c:v>
                </c:pt>
                <c:pt idx="3">
                  <c:v>ostatní služby</c:v>
                </c:pt>
                <c:pt idx="4">
                  <c:v>osobní náklady </c:v>
                </c:pt>
                <c:pt idx="5">
                  <c:v>zdravotní a sociální pojištění</c:v>
                </c:pt>
                <c:pt idx="6">
                  <c:v>daně a poplatky</c:v>
                </c:pt>
                <c:pt idx="7">
                  <c:v>jiné provozní náklady</c:v>
                </c:pt>
                <c:pt idx="8">
                  <c:v>zůstatková cena prodaného DHM</c:v>
                </c:pt>
                <c:pt idx="9">
                  <c:v>odpisy</c:v>
                </c:pt>
                <c:pt idx="10">
                  <c:v>finanční náklady</c:v>
                </c:pt>
              </c:strCache>
            </c:strRef>
          </c:cat>
          <c:val>
            <c:numRef>
              <c:f>'celkové náklady XYZ'!$E$10:$E$20</c:f>
              <c:numCache>
                <c:formatCode>General</c:formatCode>
                <c:ptCount val="11"/>
                <c:pt idx="0">
                  <c:v>20150540</c:v>
                </c:pt>
                <c:pt idx="1">
                  <c:v>1934083</c:v>
                </c:pt>
                <c:pt idx="2">
                  <c:v>3954313</c:v>
                </c:pt>
                <c:pt idx="3">
                  <c:v>9671485</c:v>
                </c:pt>
                <c:pt idx="4">
                  <c:v>14609596</c:v>
                </c:pt>
                <c:pt idx="5">
                  <c:v>5567471</c:v>
                </c:pt>
                <c:pt idx="6">
                  <c:v>661625</c:v>
                </c:pt>
                <c:pt idx="7">
                  <c:v>1351090</c:v>
                </c:pt>
                <c:pt idx="8">
                  <c:v>1685966</c:v>
                </c:pt>
                <c:pt idx="9">
                  <c:v>6908742</c:v>
                </c:pt>
                <c:pt idx="10">
                  <c:v>766539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pieChart>
        <c:varyColors val="1"/>
        <c:ser>
          <c:idx val="0"/>
          <c:order val="0"/>
          <c:dLbls>
            <c:dLblPos val="outEnd"/>
            <c:showPercent val="1"/>
          </c:dLbls>
          <c:cat>
            <c:strRef>
              <c:f>'celkové náklady XYZ'!$D$41:$D$42</c:f>
              <c:strCache>
                <c:ptCount val="2"/>
                <c:pt idx="0">
                  <c:v>režijní náklady </c:v>
                </c:pt>
                <c:pt idx="1">
                  <c:v>jednicové náklady</c:v>
                </c:pt>
              </c:strCache>
            </c:strRef>
          </c:cat>
          <c:val>
            <c:numRef>
              <c:f>'celkové náklady XYZ'!$E$41:$E$42</c:f>
              <c:numCache>
                <c:formatCode>General</c:formatCode>
                <c:ptCount val="2"/>
                <c:pt idx="0">
                  <c:v>31090883.759999998</c:v>
                </c:pt>
                <c:pt idx="1">
                  <c:v>36170566.240000002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147108</xdr:colOff>
      <xdr:row>10</xdr:row>
      <xdr:rowOff>119592</xdr:rowOff>
    </xdr:from>
    <xdr:to>
      <xdr:col>15</xdr:col>
      <xdr:colOff>74083</xdr:colOff>
      <xdr:row>30</xdr:row>
      <xdr:rowOff>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518583</xdr:colOff>
      <xdr:row>32</xdr:row>
      <xdr:rowOff>137583</xdr:rowOff>
    </xdr:from>
    <xdr:to>
      <xdr:col>14</xdr:col>
      <xdr:colOff>381000</xdr:colOff>
      <xdr:row>47</xdr:row>
      <xdr:rowOff>21167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5" name="Tabulka5" displayName="Tabulka5" ref="A16:L28" totalsRowShown="0">
  <autoFilter ref="A16:L28">
    <filterColumn colId="11"/>
  </autoFilter>
  <tableColumns count="12">
    <tableColumn id="1" name="Sloupec1"/>
    <tableColumn id="2" name="index"/>
    <tableColumn id="3" name="rozpočet RV"/>
    <tableColumn id="4" name="index2"/>
    <tableColumn id="5" name="rozpočet ŽV"/>
    <tableColumn id="6" name="index3"/>
    <tableColumn id="7" name="rozpočet správa"/>
    <tableColumn id="8" name="index4"/>
    <tableColumn id="9" name="rozpočet zásobování"/>
    <tableColumn id="10" name="index5"/>
    <tableColumn id="11" name="rozpočet mechanizace"/>
    <tableColumn id="12" name="Sloupec2" dataDxfId="4">
      <calculatedColumnFormula>SUM(Tabulka5[[#This Row],[rozpočet RV]:[rozpočet mechanizace]])</calculatedColumnFormula>
    </tableColumn>
  </tableColumns>
  <tableStyleInfo name="TableStyleMedium10" showFirstColumn="0" showLastColumn="0" showRowStripes="1" showColumnStripes="0"/>
</table>
</file>

<file path=xl/tables/table10.xml><?xml version="1.0" encoding="utf-8"?>
<table xmlns="http://schemas.openxmlformats.org/spreadsheetml/2006/main" id="3" name="Tabulka3" displayName="Tabulka3" ref="C24:O40" totalsRowShown="0">
  <autoFilter ref="C24:O40"/>
  <tableColumns count="13">
    <tableColumn id="1" name="Sloupec1"/>
    <tableColumn id="2" name="základní stádo"/>
    <tableColumn id="3" name="telata do 3 měs."/>
    <tableColumn id="4" name="jalovicev 0,3-2 roky"/>
    <tableColumn id="5" name="vysokob. Jalovice"/>
    <tableColumn id="6" name="skot-výkrm"/>
    <tableColumn id="7" name="krávy masné"/>
    <tableColumn id="8" name="telata masná"/>
    <tableColumn id="9" name="jalovice masné"/>
    <tableColumn id="10" name="jalovice masné (březí)"/>
    <tableColumn id="11" name="plemenní býci"/>
    <tableColumn id="12" name="masný výkrm"/>
    <tableColumn id="13" name="Celý podnik">
      <calculatedColumnFormula>SUM(D25:N25)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2" name="Tabulka12" displayName="Tabulka12" ref="C48:O62" totalsRowShown="0">
  <autoFilter ref="C48:O62"/>
  <tableColumns count="13">
    <tableColumn id="1" name="Sloupec1"/>
    <tableColumn id="2" name="pšenice ozimá "/>
    <tableColumn id="3" name="ječmen jarní "/>
    <tableColumn id="4" name="hrach setý"/>
    <tableColumn id="5" name="řepka"/>
    <tableColumn id="6" name="cukrovka"/>
    <tableColumn id="7" name="brambory"/>
    <tableColumn id="8" name="kukuřice"/>
    <tableColumn id="9" name="vojtěška"/>
    <tableColumn id="10" name="louky-seno luční"/>
    <tableColumn id="11" name="sláma pšeničná"/>
    <tableColumn id="12" name="sláma ječná"/>
    <tableColumn id="13" name="celý podnik">
      <calculatedColumnFormula>SUM(D49:N49)</calculatedColumnFormula>
    </tableColumn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id="6" name="Tabulka6" displayName="Tabulka6" ref="A31:L40" totalsRowShown="0">
  <autoFilter ref="A31:L40"/>
  <tableColumns count="12">
    <tableColumn id="1" name="Sloupec1"/>
    <tableColumn id="2" name="pšenice ozimá "/>
    <tableColumn id="3" name="ječmen jarní "/>
    <tableColumn id="4" name="hrach setý"/>
    <tableColumn id="5" name="řepka"/>
    <tableColumn id="6" name="cukrovka"/>
    <tableColumn id="7" name="brambory"/>
    <tableColumn id="8" name="kukuřice"/>
    <tableColumn id="9" name="vojteška"/>
    <tableColumn id="10" name="seno luční"/>
    <tableColumn id="11" name="sláma pšeničná 12%"/>
    <tableColumn id="12" name="sláma ječná 15%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id="7" name="Tabulka7" displayName="Tabulka7" ref="A64:L74" totalsRowShown="0">
  <autoFilter ref="A64:L74"/>
  <tableColumns count="12">
    <tableColumn id="1" name="Sloupec1"/>
    <tableColumn id="2" name="základní stádo"/>
    <tableColumn id="3" name="telata do 3 měs."/>
    <tableColumn id="4" name="jalovicev 0,3-2 roky"/>
    <tableColumn id="5" name="vysokob. Jalovice"/>
    <tableColumn id="6" name="skot-výkrm"/>
    <tableColumn id="7" name="krávy masné"/>
    <tableColumn id="8" name="telata masná"/>
    <tableColumn id="9" name="jalovice masné"/>
    <tableColumn id="10" name="jalovice masné (březí)"/>
    <tableColumn id="11" name="plemenní býci"/>
    <tableColumn id="12" name="masný výkrm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id="8" name="Tabulka8" displayName="Tabulka8" ref="A53:B57" totalsRowShown="0">
  <autoFilter ref="A53:B57"/>
  <tableColumns count="2">
    <tableColumn id="1" name="Sloupec1" dataDxfId="3"/>
    <tableColumn id="2" name="Sloupec2"/>
  </tableColumns>
  <tableStyleInfo name="TableStyleMedium12" showFirstColumn="0" showLastColumn="0" showRowStripes="1" showColumnStripes="0"/>
</table>
</file>

<file path=xl/tables/table5.xml><?xml version="1.0" encoding="utf-8"?>
<table xmlns="http://schemas.openxmlformats.org/spreadsheetml/2006/main" id="9" name="Tabulka9" displayName="Tabulka9" ref="C20:N29" totalsRowShown="0">
  <autoFilter ref="C20:N29"/>
  <tableColumns count="12">
    <tableColumn id="1" name="Sloupec1"/>
    <tableColumn id="2" name="pšenice ozimá "/>
    <tableColumn id="3" name="ječmen jarní "/>
    <tableColumn id="4" name="hrach setý"/>
    <tableColumn id="5" name="řepka"/>
    <tableColumn id="6" name="cukrovka"/>
    <tableColumn id="7" name="brambory"/>
    <tableColumn id="8" name="kukuřice"/>
    <tableColumn id="9" name="vojtěška"/>
    <tableColumn id="10" name="seno luční"/>
    <tableColumn id="11" name="sláma pšeničná"/>
    <tableColumn id="12" name="sláma ječná"/>
  </tableColumns>
  <tableStyleInfo name="TableStyleMedium11" showFirstColumn="0" showLastColumn="0" showRowStripes="1" showColumnStripes="0"/>
</table>
</file>

<file path=xl/tables/table6.xml><?xml version="1.0" encoding="utf-8"?>
<table xmlns="http://schemas.openxmlformats.org/spreadsheetml/2006/main" id="10" name="Tabulka10" displayName="Tabulka10" ref="C48:N58" totalsRowShown="0">
  <autoFilter ref="C48:N58"/>
  <tableColumns count="12">
    <tableColumn id="1" name="Sloupec1"/>
    <tableColumn id="2" name="základní stádo"/>
    <tableColumn id="3" name="telata do 3 měs."/>
    <tableColumn id="4" name="jalovicev 0,3-2 roky"/>
    <tableColumn id="5" name="vysokob. Jalovice"/>
    <tableColumn id="6" name="skot-výkrm"/>
    <tableColumn id="7" name="krávy masné"/>
    <tableColumn id="8" name="telata masná"/>
    <tableColumn id="9" name="jalovice masné"/>
    <tableColumn id="10" name="jalovice masné (březí)"/>
    <tableColumn id="11" name="plemenní býci"/>
    <tableColumn id="12" name="masný výkrm"/>
  </tableColumns>
  <tableStyleInfo name="TableStyleMedium11" showFirstColumn="0" showLastColumn="0" showRowStripes="1" showColumnStripes="0"/>
</table>
</file>

<file path=xl/tables/table7.xml><?xml version="1.0" encoding="utf-8"?>
<table xmlns="http://schemas.openxmlformats.org/spreadsheetml/2006/main" id="11" name="Tabulka11" displayName="Tabulka11" ref="C3:J16" totalsRowShown="0" headerRowDxfId="2">
  <autoFilter ref="C3:J16">
    <filterColumn colId="7"/>
  </autoFilter>
  <tableColumns count="8">
    <tableColumn id="1" name="Sloupec1"/>
    <tableColumn id="2" name="Sloupec2"/>
    <tableColumn id="3" name="Sloupec3"/>
    <tableColumn id="4" name="Sloupec4"/>
    <tableColumn id="5" name="Sloupec5"/>
    <tableColumn id="6" name="Sloupec6"/>
    <tableColumn id="7" name="Sloupec7"/>
    <tableColumn id="8" name="Sloupec8" dataDxfId="1">
      <calculatedColumnFormula>SUM(Tabulka11[[#This Row],[Sloupec3]:[Sloupec7]])</calculatedColumnFormula>
    </tableColumn>
  </tableColumns>
  <tableStyleInfo name="TableStyleMedium10" showFirstColumn="0" showLastColumn="0" showRowStripes="1" showColumnStripes="0"/>
</table>
</file>

<file path=xl/tables/table8.xml><?xml version="1.0" encoding="utf-8"?>
<table xmlns="http://schemas.openxmlformats.org/spreadsheetml/2006/main" id="13" name="Tabulka13" displayName="Tabulka13" ref="D8:E17" totalsRowShown="0" headerRowDxfId="0">
  <autoFilter ref="D8:E17"/>
  <tableColumns count="2">
    <tableColumn id="1" name="Sloupec1"/>
    <tableColumn id="2" name="částka 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2" name="Tabulka2" displayName="Tabulka2" ref="C5:O19" totalsRowShown="0">
  <autoFilter ref="C5:O19"/>
  <tableColumns count="13">
    <tableColumn id="1" name="položka"/>
    <tableColumn id="2" name="pšenice ozimá "/>
    <tableColumn id="3" name="ječmen jarní "/>
    <tableColumn id="4" name="hrach setý"/>
    <tableColumn id="5" name="řepka"/>
    <tableColumn id="6" name="cukrovka"/>
    <tableColumn id="7" name="brambory"/>
    <tableColumn id="8" name="kukuřice- siláž"/>
    <tableColumn id="9" name="vojtěška- senáž"/>
    <tableColumn id="10" name="seno luční"/>
    <tableColumn id="11" name="sláma pšeničná 12%"/>
    <tableColumn id="12" name="sláma ječná 15%"/>
    <tableColumn id="13" name="celý podnik">
      <calculatedColumnFormula>SUM(D6:N6)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1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D8:E42"/>
  <sheetViews>
    <sheetView topLeftCell="A37" zoomScale="90" zoomScaleNormal="90" workbookViewId="0">
      <selection activeCell="O7" sqref="O7"/>
    </sheetView>
  </sheetViews>
  <sheetFormatPr defaultRowHeight="15"/>
  <cols>
    <col min="3" max="3" width="17.28515625" bestFit="1" customWidth="1"/>
    <col min="4" max="4" width="31.42578125" customWidth="1"/>
    <col min="5" max="6" width="12.28515625" customWidth="1"/>
    <col min="8" max="9" width="9.140625" customWidth="1"/>
    <col min="10" max="10" width="20.85546875" customWidth="1"/>
    <col min="11" max="12" width="11.140625" customWidth="1"/>
  </cols>
  <sheetData>
    <row r="8" spans="4:5">
      <c r="D8" s="1" t="s">
        <v>203</v>
      </c>
    </row>
    <row r="9" spans="4:5">
      <c r="D9" s="2"/>
    </row>
    <row r="10" spans="4:5">
      <c r="D10" t="s">
        <v>204</v>
      </c>
      <c r="E10">
        <f>11367217+3277909+3421177+1243607+608981+231649</f>
        <v>20150540</v>
      </c>
    </row>
    <row r="11" spans="4:5">
      <c r="D11" t="s">
        <v>205</v>
      </c>
      <c r="E11">
        <f>356585+300990+906610+369898</f>
        <v>1934083</v>
      </c>
    </row>
    <row r="12" spans="4:5">
      <c r="D12" t="s">
        <v>7</v>
      </c>
      <c r="E12">
        <f>1591035+384580+1173964+406170+161877+236687</f>
        <v>3954313</v>
      </c>
    </row>
    <row r="13" spans="4:5">
      <c r="D13" t="s">
        <v>8</v>
      </c>
      <c r="E13">
        <f>4027117+1789708+1435970+409439+1914876+94375</f>
        <v>9671485</v>
      </c>
    </row>
    <row r="14" spans="4:5">
      <c r="D14" t="s">
        <v>206</v>
      </c>
      <c r="E14">
        <f>3648499+676075+4179374+3311036+2263976+530636</f>
        <v>14609596</v>
      </c>
    </row>
    <row r="15" spans="4:5">
      <c r="D15" t="s">
        <v>207</v>
      </c>
      <c r="E15">
        <f>1168854+247394+1400348+1125755+1330330+294790</f>
        <v>5567471</v>
      </c>
    </row>
    <row r="16" spans="4:5">
      <c r="D16" t="s">
        <v>9</v>
      </c>
      <c r="E16">
        <f>1600+646925+13100</f>
        <v>661625</v>
      </c>
    </row>
    <row r="17" spans="4:5">
      <c r="D17" t="s">
        <v>208</v>
      </c>
      <c r="E17">
        <f>46667+11639+1291219+1565</f>
        <v>1351090</v>
      </c>
    </row>
    <row r="18" spans="4:5">
      <c r="D18" t="s">
        <v>209</v>
      </c>
      <c r="E18">
        <f>1515105+57520+113341</f>
        <v>1685966</v>
      </c>
    </row>
    <row r="19" spans="4:5">
      <c r="D19" t="s">
        <v>10</v>
      </c>
      <c r="E19">
        <f>1572304+1152081+1834589+2273988+75780</f>
        <v>6908742</v>
      </c>
    </row>
    <row r="20" spans="4:5">
      <c r="D20" t="s">
        <v>210</v>
      </c>
      <c r="E20">
        <f ca="1">SUM(E20:E21)</f>
        <v>766539</v>
      </c>
    </row>
    <row r="28" spans="4:5">
      <c r="D28" t="s">
        <v>204</v>
      </c>
      <c r="E28">
        <v>20150540</v>
      </c>
    </row>
    <row r="29" spans="4:5">
      <c r="D29" t="s">
        <v>205</v>
      </c>
      <c r="E29">
        <v>1934083</v>
      </c>
    </row>
    <row r="30" spans="4:5">
      <c r="D30" t="s">
        <v>7</v>
      </c>
      <c r="E30">
        <v>3954313</v>
      </c>
    </row>
    <row r="31" spans="4:5">
      <c r="D31" t="s">
        <v>8</v>
      </c>
      <c r="E31">
        <v>9671485</v>
      </c>
    </row>
    <row r="32" spans="4:5">
      <c r="D32" t="s">
        <v>206</v>
      </c>
      <c r="E32">
        <v>14609596</v>
      </c>
    </row>
    <row r="33" spans="4:5">
      <c r="D33" t="s">
        <v>207</v>
      </c>
      <c r="E33">
        <v>5567471</v>
      </c>
    </row>
    <row r="34" spans="4:5">
      <c r="D34" t="s">
        <v>9</v>
      </c>
      <c r="E34">
        <v>661625</v>
      </c>
    </row>
    <row r="35" spans="4:5">
      <c r="D35" t="s">
        <v>208</v>
      </c>
      <c r="E35">
        <v>1351090</v>
      </c>
    </row>
    <row r="36" spans="4:5">
      <c r="D36" t="s">
        <v>209</v>
      </c>
      <c r="E36">
        <v>1685966</v>
      </c>
    </row>
    <row r="37" spans="4:5">
      <c r="D37" t="s">
        <v>10</v>
      </c>
      <c r="E37">
        <v>6908742</v>
      </c>
    </row>
    <row r="38" spans="4:5">
      <c r="D38" t="s">
        <v>210</v>
      </c>
      <c r="E38">
        <v>766539</v>
      </c>
    </row>
    <row r="39" spans="4:5">
      <c r="D39" t="s">
        <v>211</v>
      </c>
      <c r="E39">
        <f>SUM(E28:E38)</f>
        <v>67261450</v>
      </c>
    </row>
    <row r="41" spans="4:5">
      <c r="D41" t="s">
        <v>212</v>
      </c>
      <c r="E41">
        <v>31090883.759999998</v>
      </c>
    </row>
    <row r="42" spans="4:5">
      <c r="D42" t="s">
        <v>1</v>
      </c>
      <c r="E42">
        <f>E39-E41</f>
        <v>36170566.240000002</v>
      </c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0"/>
  <sheetViews>
    <sheetView topLeftCell="A109" zoomScale="80" zoomScaleNormal="80" workbookViewId="0">
      <selection activeCell="A64" sqref="A64:L74"/>
    </sheetView>
  </sheetViews>
  <sheetFormatPr defaultRowHeight="15"/>
  <cols>
    <col min="1" max="1" width="24.7109375" customWidth="1"/>
    <col min="2" max="2" width="16.140625" customWidth="1"/>
    <col min="3" max="3" width="17.140625" customWidth="1"/>
    <col min="4" max="4" width="20" customWidth="1"/>
    <col min="5" max="5" width="18.42578125" customWidth="1"/>
    <col min="6" max="6" width="13.7109375" customWidth="1"/>
    <col min="7" max="7" width="17" customWidth="1"/>
    <col min="8" max="8" width="15.7109375" customWidth="1"/>
    <col min="9" max="9" width="21" customWidth="1"/>
    <col min="10" max="10" width="22.5703125" customWidth="1"/>
    <col min="11" max="11" width="22.7109375" customWidth="1"/>
    <col min="12" max="12" width="17.42578125" customWidth="1"/>
    <col min="14" max="14" width="12.42578125" customWidth="1"/>
  </cols>
  <sheetData>
    <row r="1" spans="1:12">
      <c r="A1" s="1" t="s">
        <v>2</v>
      </c>
      <c r="B1" s="1" t="s">
        <v>6</v>
      </c>
      <c r="C1" s="1" t="s">
        <v>12</v>
      </c>
      <c r="D1" s="1" t="s">
        <v>13</v>
      </c>
      <c r="E1" s="1" t="s">
        <v>14</v>
      </c>
      <c r="F1" s="1" t="s">
        <v>15</v>
      </c>
    </row>
    <row r="2" spans="1:12">
      <c r="A2" t="s">
        <v>19</v>
      </c>
      <c r="B2">
        <f>13209.82+296051</f>
        <v>309260.82</v>
      </c>
      <c r="C2">
        <f>173982.63+160395.28</f>
        <v>334377.91000000003</v>
      </c>
      <c r="D2">
        <v>834269.7</v>
      </c>
      <c r="E2">
        <f>280299.64+10785</f>
        <v>291084.64</v>
      </c>
      <c r="F2">
        <f>2445690.19+379744.48+392261.36+907614.86+95053.61+364187.36+225442.87+1163950.84+154895.21</f>
        <v>6128840.7800000003</v>
      </c>
    </row>
    <row r="3" spans="1:12">
      <c r="A3" t="s">
        <v>20</v>
      </c>
      <c r="C3">
        <f>425173.53+208139.19</f>
        <v>633312.72</v>
      </c>
      <c r="D3">
        <f>1422150.94-E3-F3</f>
        <v>853290.57</v>
      </c>
      <c r="E3">
        <v>426645.28</v>
      </c>
      <c r="F3">
        <v>142215.09</v>
      </c>
    </row>
    <row r="4" spans="1:12">
      <c r="A4" t="s">
        <v>7</v>
      </c>
      <c r="B4">
        <v>37944.870000000003</v>
      </c>
      <c r="C4">
        <v>172107.75</v>
      </c>
      <c r="D4">
        <v>407194.41</v>
      </c>
      <c r="E4">
        <v>149266.14000000001</v>
      </c>
      <c r="F4">
        <f>1490171.48+140250.66+310277.15+660479.21+322153.4+154550.25+327697.24+80524.17</f>
        <v>3486103.5599999996</v>
      </c>
    </row>
    <row r="5" spans="1:12">
      <c r="A5" t="s">
        <v>8</v>
      </c>
      <c r="B5">
        <f>1129421+2751388.76</f>
        <v>3880809.76</v>
      </c>
      <c r="C5">
        <f>117515.77+21528.04</f>
        <v>139043.81</v>
      </c>
      <c r="D5">
        <v>2788865.39</v>
      </c>
      <c r="E5">
        <v>1024.5</v>
      </c>
      <c r="F5">
        <f>11539.04+405+1300+1857+537.1+9625.64</f>
        <v>25263.78</v>
      </c>
    </row>
    <row r="6" spans="1:12">
      <c r="A6" t="s">
        <v>11</v>
      </c>
      <c r="B6">
        <f>2262454.28+717940.71+898866.3+30077.62</f>
        <v>3909338.91</v>
      </c>
      <c r="C6">
        <f>818909.82+1274982.91+11279.34+992175.26</f>
        <v>3097347.33</v>
      </c>
      <c r="D6">
        <f>147898+1879245.6</f>
        <v>2027143.6</v>
      </c>
      <c r="E6">
        <f>88706.4+28140+46958+18509.46</f>
        <v>182313.86</v>
      </c>
      <c r="F6">
        <f>355722.69+39803+40158+49043.16+169533.55+476</f>
        <v>654736.39999999991</v>
      </c>
    </row>
    <row r="7" spans="1:12">
      <c r="A7" t="s">
        <v>16</v>
      </c>
      <c r="B7">
        <f>123141.94+672392.3+233629.52+305614.69</f>
        <v>1334778.45</v>
      </c>
      <c r="C7">
        <f>272245.97+433806.88+337341.46+3835.09</f>
        <v>1047229.4</v>
      </c>
      <c r="D7">
        <f>609420.62+607955.63+44328.63+76740.48+17922.69+39935.6</f>
        <v>1396303.65</v>
      </c>
      <c r="E7">
        <f>9003.65+21842.05+7140</f>
        <v>37985.699999999997</v>
      </c>
      <c r="F7">
        <f>148022.3+13532+36023+16674.91+57641.32+161.85</f>
        <v>272055.37999999995</v>
      </c>
    </row>
    <row r="8" spans="1:12">
      <c r="A8" t="s">
        <v>9</v>
      </c>
      <c r="D8">
        <v>89047.59</v>
      </c>
      <c r="E8">
        <v>2550</v>
      </c>
      <c r="F8">
        <v>800</v>
      </c>
    </row>
    <row r="9" spans="1:12">
      <c r="A9" t="s">
        <v>21</v>
      </c>
      <c r="D9">
        <v>34036</v>
      </c>
    </row>
    <row r="10" spans="1:12">
      <c r="A10" t="s">
        <v>17</v>
      </c>
      <c r="D10">
        <v>992851.92</v>
      </c>
    </row>
    <row r="11" spans="1:12">
      <c r="A11" t="s">
        <v>10</v>
      </c>
      <c r="B11">
        <v>648519.30000000005</v>
      </c>
      <c r="C11">
        <f>53205.28+196128</f>
        <v>249333.28</v>
      </c>
      <c r="D11">
        <v>122162</v>
      </c>
      <c r="E11">
        <v>64893</v>
      </c>
      <c r="F11">
        <f>797964+840000+196102+126468+130008</f>
        <v>2090542</v>
      </c>
    </row>
    <row r="12" spans="1:12">
      <c r="A12" t="s">
        <v>18</v>
      </c>
      <c r="D12">
        <v>631612.97</v>
      </c>
      <c r="F12">
        <f>161505.58+103733+13746+41383.02</f>
        <v>320367.59999999998</v>
      </c>
    </row>
    <row r="13" spans="1:12">
      <c r="A13" s="1" t="s">
        <v>3</v>
      </c>
      <c r="B13">
        <f>SUM(B2:B12)</f>
        <v>10120652.110000001</v>
      </c>
      <c r="C13">
        <f>SUM(C2:C12)</f>
        <v>5672752.2000000002</v>
      </c>
      <c r="D13">
        <f>SUM(D2:D12)</f>
        <v>10176777.800000001</v>
      </c>
      <c r="E13">
        <f>SUM(E2:E12)</f>
        <v>1155763.1199999999</v>
      </c>
      <c r="F13">
        <f>SUM(F2:F12)</f>
        <v>13120924.59</v>
      </c>
    </row>
    <row r="15" spans="1:12">
      <c r="A15" s="1" t="s">
        <v>28</v>
      </c>
    </row>
    <row r="16" spans="1:12">
      <c r="A16" s="1" t="s">
        <v>4</v>
      </c>
      <c r="B16" t="s">
        <v>22</v>
      </c>
      <c r="C16" t="s">
        <v>23</v>
      </c>
      <c r="D16" t="s">
        <v>100</v>
      </c>
      <c r="E16" t="s">
        <v>24</v>
      </c>
      <c r="F16" t="s">
        <v>101</v>
      </c>
      <c r="G16" t="s">
        <v>25</v>
      </c>
      <c r="H16" t="s">
        <v>102</v>
      </c>
      <c r="I16" t="s">
        <v>26</v>
      </c>
      <c r="J16" t="s">
        <v>103</v>
      </c>
      <c r="K16" t="s">
        <v>27</v>
      </c>
      <c r="L16" t="s">
        <v>104</v>
      </c>
    </row>
    <row r="17" spans="1:14">
      <c r="A17" t="s">
        <v>19</v>
      </c>
      <c r="B17">
        <v>0.5</v>
      </c>
      <c r="C17">
        <f t="shared" ref="C17:C27" si="0">B17*B2</f>
        <v>154630.41</v>
      </c>
      <c r="D17">
        <v>1.2</v>
      </c>
      <c r="E17">
        <f t="shared" ref="E17:E27" si="1">D17*C2</f>
        <v>401253.49200000003</v>
      </c>
      <c r="F17">
        <v>0.5</v>
      </c>
      <c r="G17">
        <f t="shared" ref="G17:G27" si="2">F17*D2</f>
        <v>417134.85</v>
      </c>
      <c r="H17">
        <v>1</v>
      </c>
      <c r="I17">
        <f t="shared" ref="I17:I27" si="3">H17*E2</f>
        <v>291084.64</v>
      </c>
      <c r="J17">
        <v>0.9</v>
      </c>
      <c r="K17">
        <f t="shared" ref="K17:K27" si="4">J17*F2</f>
        <v>5515956.7020000005</v>
      </c>
      <c r="L17" s="3">
        <f>SUM(Tabulka5[[#This Row],[rozpočet RV]:[rozpočet mechanizace]])</f>
        <v>6780063.6940000001</v>
      </c>
    </row>
    <row r="18" spans="1:14">
      <c r="A18" t="s">
        <v>20</v>
      </c>
      <c r="B18">
        <v>1</v>
      </c>
      <c r="C18">
        <f t="shared" si="0"/>
        <v>0</v>
      </c>
      <c r="D18">
        <v>1</v>
      </c>
      <c r="E18">
        <f t="shared" si="1"/>
        <v>633312.72</v>
      </c>
      <c r="F18">
        <v>1</v>
      </c>
      <c r="G18">
        <f t="shared" si="2"/>
        <v>853290.57</v>
      </c>
      <c r="H18">
        <v>1</v>
      </c>
      <c r="I18">
        <f t="shared" si="3"/>
        <v>426645.28</v>
      </c>
      <c r="J18">
        <v>1</v>
      </c>
      <c r="K18">
        <f t="shared" si="4"/>
        <v>142215.09</v>
      </c>
      <c r="L18" s="3">
        <f>SUM(Tabulka5[[#This Row],[rozpočet RV]:[rozpočet mechanizace]])</f>
        <v>2055467.6600000001</v>
      </c>
    </row>
    <row r="19" spans="1:14">
      <c r="A19" t="s">
        <v>7</v>
      </c>
      <c r="B19">
        <v>0.6</v>
      </c>
      <c r="C19">
        <f t="shared" si="0"/>
        <v>22766.922000000002</v>
      </c>
      <c r="D19">
        <v>1</v>
      </c>
      <c r="E19">
        <f t="shared" si="1"/>
        <v>172107.75</v>
      </c>
      <c r="F19">
        <v>1</v>
      </c>
      <c r="G19">
        <f t="shared" si="2"/>
        <v>407194.41</v>
      </c>
      <c r="H19">
        <v>1</v>
      </c>
      <c r="I19">
        <f t="shared" si="3"/>
        <v>149266.14000000001</v>
      </c>
      <c r="J19">
        <v>1</v>
      </c>
      <c r="K19">
        <f t="shared" si="4"/>
        <v>3486103.5599999996</v>
      </c>
      <c r="L19" s="3">
        <f>SUM(Tabulka5[[#This Row],[rozpočet RV]:[rozpočet mechanizace]])</f>
        <v>4237442.7819999997</v>
      </c>
    </row>
    <row r="20" spans="1:14">
      <c r="A20" t="s">
        <v>8</v>
      </c>
      <c r="B20">
        <v>0.5</v>
      </c>
      <c r="C20">
        <f t="shared" si="0"/>
        <v>1940404.88</v>
      </c>
      <c r="D20">
        <v>1</v>
      </c>
      <c r="E20">
        <f t="shared" si="1"/>
        <v>139043.81</v>
      </c>
      <c r="F20">
        <v>0.5</v>
      </c>
      <c r="G20">
        <f t="shared" si="2"/>
        <v>1394432.6950000001</v>
      </c>
      <c r="H20">
        <v>1</v>
      </c>
      <c r="I20">
        <f t="shared" si="3"/>
        <v>1024.5</v>
      </c>
      <c r="J20">
        <v>1</v>
      </c>
      <c r="K20">
        <f t="shared" si="4"/>
        <v>25263.78</v>
      </c>
      <c r="L20" s="3">
        <f>SUM(Tabulka5[[#This Row],[rozpočet RV]:[rozpočet mechanizace]])</f>
        <v>3500173.1649999996</v>
      </c>
    </row>
    <row r="21" spans="1:14">
      <c r="A21" t="s">
        <v>11</v>
      </c>
      <c r="B21">
        <v>0.95</v>
      </c>
      <c r="C21">
        <f t="shared" si="0"/>
        <v>3713871.9644999998</v>
      </c>
      <c r="D21">
        <v>0.95</v>
      </c>
      <c r="E21">
        <f t="shared" si="1"/>
        <v>2942479.9635000001</v>
      </c>
      <c r="F21">
        <v>1</v>
      </c>
      <c r="G21">
        <f t="shared" si="2"/>
        <v>2027143.6</v>
      </c>
      <c r="H21">
        <v>2</v>
      </c>
      <c r="I21">
        <f>H21*E6</f>
        <v>364627.72</v>
      </c>
      <c r="J21">
        <v>0.95</v>
      </c>
      <c r="K21">
        <f t="shared" si="4"/>
        <v>621999.57999999984</v>
      </c>
      <c r="L21" s="3">
        <f>SUM(Tabulka5[[#This Row],[rozpočet RV]:[rozpočet mechanizace]])</f>
        <v>9670127.7280000001</v>
      </c>
    </row>
    <row r="22" spans="1:14">
      <c r="A22" t="s">
        <v>16</v>
      </c>
      <c r="B22">
        <v>0.95</v>
      </c>
      <c r="C22">
        <f t="shared" si="0"/>
        <v>1268039.5274999999</v>
      </c>
      <c r="D22">
        <v>0.95</v>
      </c>
      <c r="E22">
        <f t="shared" si="1"/>
        <v>994867.92999999993</v>
      </c>
      <c r="F22">
        <v>1</v>
      </c>
      <c r="G22">
        <f t="shared" si="2"/>
        <v>1396303.65</v>
      </c>
      <c r="H22">
        <v>2</v>
      </c>
      <c r="I22">
        <f t="shared" si="3"/>
        <v>75971.399999999994</v>
      </c>
      <c r="J22">
        <v>1</v>
      </c>
      <c r="K22">
        <f t="shared" si="4"/>
        <v>272055.37999999995</v>
      </c>
      <c r="L22" s="3">
        <f>SUM(Tabulka5[[#This Row],[rozpočet RV]:[rozpočet mechanizace]])</f>
        <v>4007242.8374999994</v>
      </c>
    </row>
    <row r="23" spans="1:14">
      <c r="A23" t="s">
        <v>9</v>
      </c>
      <c r="B23">
        <v>1</v>
      </c>
      <c r="C23">
        <f t="shared" si="0"/>
        <v>0</v>
      </c>
      <c r="D23">
        <v>1</v>
      </c>
      <c r="E23">
        <f t="shared" si="1"/>
        <v>0</v>
      </c>
      <c r="F23">
        <v>1</v>
      </c>
      <c r="G23">
        <f t="shared" si="2"/>
        <v>89047.59</v>
      </c>
      <c r="H23">
        <v>1</v>
      </c>
      <c r="I23">
        <f t="shared" si="3"/>
        <v>2550</v>
      </c>
      <c r="J23">
        <v>1</v>
      </c>
      <c r="K23">
        <f t="shared" si="4"/>
        <v>800</v>
      </c>
      <c r="L23" s="3">
        <f>SUM(Tabulka5[[#This Row],[rozpočet RV]:[rozpočet mechanizace]])</f>
        <v>92401.59</v>
      </c>
    </row>
    <row r="24" spans="1:14">
      <c r="A24" t="s">
        <v>21</v>
      </c>
      <c r="B24">
        <v>1</v>
      </c>
      <c r="C24">
        <f t="shared" si="0"/>
        <v>0</v>
      </c>
      <c r="D24">
        <v>1</v>
      </c>
      <c r="E24">
        <f t="shared" si="1"/>
        <v>0</v>
      </c>
      <c r="F24">
        <v>1</v>
      </c>
      <c r="G24">
        <f t="shared" si="2"/>
        <v>34036</v>
      </c>
      <c r="H24">
        <v>1</v>
      </c>
      <c r="I24">
        <f t="shared" si="3"/>
        <v>0</v>
      </c>
      <c r="J24">
        <v>1</v>
      </c>
      <c r="K24">
        <f t="shared" si="4"/>
        <v>0</v>
      </c>
      <c r="L24" s="3">
        <f>SUM(Tabulka5[[#This Row],[rozpočet RV]:[rozpočet mechanizace]])</f>
        <v>34040</v>
      </c>
    </row>
    <row r="25" spans="1:14">
      <c r="A25" t="s">
        <v>17</v>
      </c>
      <c r="B25">
        <v>1</v>
      </c>
      <c r="C25">
        <f t="shared" si="0"/>
        <v>0</v>
      </c>
      <c r="D25">
        <v>1</v>
      </c>
      <c r="E25">
        <f t="shared" si="1"/>
        <v>0</v>
      </c>
      <c r="F25">
        <v>1</v>
      </c>
      <c r="G25">
        <f t="shared" si="2"/>
        <v>992851.92</v>
      </c>
      <c r="H25">
        <v>1</v>
      </c>
      <c r="I25">
        <f t="shared" si="3"/>
        <v>0</v>
      </c>
      <c r="J25">
        <v>1</v>
      </c>
      <c r="K25">
        <f t="shared" si="4"/>
        <v>0</v>
      </c>
      <c r="L25" s="3">
        <f>SUM(Tabulka5[[#This Row],[rozpočet RV]:[rozpočet mechanizace]])</f>
        <v>992855.92</v>
      </c>
    </row>
    <row r="26" spans="1:14">
      <c r="A26" t="s">
        <v>10</v>
      </c>
      <c r="B26">
        <v>1</v>
      </c>
      <c r="C26">
        <f t="shared" si="0"/>
        <v>648519.30000000005</v>
      </c>
      <c r="D26">
        <v>1</v>
      </c>
      <c r="E26">
        <f t="shared" si="1"/>
        <v>249333.28</v>
      </c>
      <c r="F26">
        <v>1</v>
      </c>
      <c r="G26">
        <f t="shared" si="2"/>
        <v>122162</v>
      </c>
      <c r="H26">
        <v>1</v>
      </c>
      <c r="I26">
        <f t="shared" si="3"/>
        <v>64893</v>
      </c>
      <c r="J26">
        <v>1</v>
      </c>
      <c r="K26">
        <f t="shared" si="4"/>
        <v>2090542</v>
      </c>
      <c r="L26" s="3">
        <f>SUM(Tabulka5[[#This Row],[rozpočet RV]:[rozpočet mechanizace]])</f>
        <v>3175453.58</v>
      </c>
    </row>
    <row r="27" spans="1:14">
      <c r="A27" t="s">
        <v>18</v>
      </c>
      <c r="B27">
        <v>1</v>
      </c>
      <c r="C27">
        <f t="shared" si="0"/>
        <v>0</v>
      </c>
      <c r="D27">
        <v>1</v>
      </c>
      <c r="E27">
        <f t="shared" si="1"/>
        <v>0</v>
      </c>
      <c r="F27">
        <v>1</v>
      </c>
      <c r="G27">
        <f t="shared" si="2"/>
        <v>631612.97</v>
      </c>
      <c r="H27">
        <v>1</v>
      </c>
      <c r="I27">
        <f t="shared" si="3"/>
        <v>0</v>
      </c>
      <c r="J27">
        <v>1</v>
      </c>
      <c r="K27">
        <f t="shared" si="4"/>
        <v>320367.59999999998</v>
      </c>
      <c r="L27" s="3">
        <f>SUM(Tabulka5[[#This Row],[rozpočet RV]:[rozpočet mechanizace]])</f>
        <v>951984.57</v>
      </c>
    </row>
    <row r="28" spans="1:14">
      <c r="A28" s="1" t="s">
        <v>3</v>
      </c>
      <c r="C28">
        <f>SUM(C17:C27)</f>
        <v>7748233.0039999997</v>
      </c>
      <c r="E28">
        <f>SUM(E17:E27)</f>
        <v>5532398.9455000004</v>
      </c>
      <c r="G28">
        <f>SUM(G17:G27)</f>
        <v>8365210.2549999999</v>
      </c>
      <c r="I28">
        <f>SUM(I17:I27)</f>
        <v>1376062.68</v>
      </c>
      <c r="K28">
        <f>SUM(K17:K27)</f>
        <v>12475303.692</v>
      </c>
      <c r="L28" s="3">
        <f>SUM(Tabulka5[[#This Row],[rozpočet RV]:[rozpočet mechanizace]])</f>
        <v>35497208.576499999</v>
      </c>
    </row>
    <row r="30" spans="1:14">
      <c r="A30" s="1" t="s">
        <v>29</v>
      </c>
    </row>
    <row r="31" spans="1:14">
      <c r="A31" t="s">
        <v>4</v>
      </c>
      <c r="B31" t="s">
        <v>59</v>
      </c>
      <c r="C31" t="s">
        <v>58</v>
      </c>
      <c r="D31" t="s">
        <v>39</v>
      </c>
      <c r="E31" t="s">
        <v>40</v>
      </c>
      <c r="F31" t="s">
        <v>30</v>
      </c>
      <c r="G31" t="s">
        <v>31</v>
      </c>
      <c r="H31" t="s">
        <v>86</v>
      </c>
      <c r="I31" t="s">
        <v>140</v>
      </c>
      <c r="J31" t="s">
        <v>54</v>
      </c>
      <c r="K31" t="s">
        <v>81</v>
      </c>
      <c r="L31" t="s">
        <v>82</v>
      </c>
      <c r="N31" t="s">
        <v>3</v>
      </c>
    </row>
    <row r="32" spans="1:14">
      <c r="A32" t="s">
        <v>37</v>
      </c>
      <c r="B32">
        <f>1703202.76+1188504.35+147565.6+836635.7-K32</f>
        <v>3410799.41</v>
      </c>
      <c r="C32">
        <f>2682974.55+1261701.03-L32</f>
        <v>3352974.24</v>
      </c>
      <c r="D32">
        <v>11440</v>
      </c>
      <c r="E32">
        <f>1282194.16+429996.18+623517.12+812949.72</f>
        <v>3148657.1799999997</v>
      </c>
      <c r="F32">
        <f>1438416.65</f>
        <v>1438416.65</v>
      </c>
      <c r="G32">
        <v>261221.1</v>
      </c>
      <c r="H32">
        <f>858269.72+232516.5</f>
        <v>1090786.22</v>
      </c>
      <c r="I32">
        <f>91100.5+599334.79+264648.93</f>
        <v>955084.22</v>
      </c>
      <c r="J32">
        <v>172859.4</v>
      </c>
      <c r="K32">
        <v>465109</v>
      </c>
      <c r="L32">
        <v>591701.34</v>
      </c>
      <c r="N32">
        <f t="shared" ref="N32:N39" si="5">SUM(B32:L32)</f>
        <v>14899048.760000002</v>
      </c>
    </row>
    <row r="33" spans="1:14">
      <c r="A33" t="s">
        <v>36</v>
      </c>
      <c r="B33">
        <f>2017302.8+113100+18839.5+29790-K33</f>
        <v>1917548.42</v>
      </c>
      <c r="C33">
        <f>178100+319883.4-L33</f>
        <v>423285.89</v>
      </c>
      <c r="D33">
        <v>1278.75</v>
      </c>
      <c r="E33">
        <f>38176.05+86744.28</f>
        <v>124920.33</v>
      </c>
      <c r="F33">
        <v>430700.24</v>
      </c>
      <c r="G33">
        <v>5000</v>
      </c>
      <c r="H33">
        <v>0</v>
      </c>
      <c r="I33">
        <v>570</v>
      </c>
      <c r="J33">
        <f>31497.44+10709.15</f>
        <v>42206.59</v>
      </c>
      <c r="K33">
        <v>261483.88</v>
      </c>
      <c r="L33">
        <v>74697.509999999995</v>
      </c>
      <c r="N33">
        <f t="shared" si="5"/>
        <v>3281691.6099999994</v>
      </c>
    </row>
    <row r="34" spans="1:14">
      <c r="A34" t="s">
        <v>38</v>
      </c>
      <c r="B34">
        <f>54098+18393.61+189887.66+58667.22+10307+3504.35+55805.72+18973.9-K34</f>
        <v>360480.97</v>
      </c>
      <c r="C34">
        <f>299135.6+101425.79+76146.44+25889.5+526.8-L34</f>
        <v>427655.50999999995</v>
      </c>
      <c r="D34">
        <f>9265+3150.2</f>
        <v>12415.2</v>
      </c>
      <c r="E34">
        <f>95868.2+10178+15705.8+5340.05+55805.72+18973.9</f>
        <v>201871.67</v>
      </c>
      <c r="F34">
        <f>80534.66+27381.81+15476.94</f>
        <v>123393.41</v>
      </c>
      <c r="G34">
        <f>192122.9+37767.28</f>
        <v>229890.18</v>
      </c>
      <c r="H34">
        <f>43022+14627.79+51999.3+16578.1</f>
        <v>126227.19</v>
      </c>
      <c r="I34">
        <f>64412.19+21900.07+15028+5109.64</f>
        <v>106449.90000000001</v>
      </c>
      <c r="J34">
        <f>603</f>
        <v>603</v>
      </c>
      <c r="K34">
        <v>49156.49</v>
      </c>
      <c r="L34">
        <v>75468.62</v>
      </c>
      <c r="N34">
        <f t="shared" si="5"/>
        <v>1713612.1399999997</v>
      </c>
    </row>
    <row r="35" spans="1:14">
      <c r="A35" t="s">
        <v>50</v>
      </c>
      <c r="B35">
        <f>B54*B32</f>
        <v>1773782.2718949022</v>
      </c>
      <c r="C35">
        <f>B54*C32</f>
        <v>1743710.3593940998</v>
      </c>
      <c r="D35">
        <f>B54*D32</f>
        <v>5949.3587136740125</v>
      </c>
      <c r="E35">
        <f>B54*E32</f>
        <v>1637455.5096333253</v>
      </c>
      <c r="F35">
        <f>B54*F32</f>
        <v>748046.90826672036</v>
      </c>
      <c r="G35">
        <f>B54*G32</f>
        <v>135847.7296748698</v>
      </c>
      <c r="H35">
        <f>B54*H32</f>
        <v>567262.10688046657</v>
      </c>
      <c r="I35">
        <f>B54*I32</f>
        <v>496690.43938370171</v>
      </c>
      <c r="J35">
        <f>B54*J32</f>
        <v>89895.330212452929</v>
      </c>
      <c r="K35">
        <f>B54*K32</f>
        <v>241879.39527606696</v>
      </c>
      <c r="L35">
        <f>B54*L32</f>
        <v>307713.59466971934</v>
      </c>
      <c r="N35">
        <f>SUM(B35:L35)</f>
        <v>7748233.0039999988</v>
      </c>
    </row>
    <row r="36" spans="1:14">
      <c r="A36" s="2" t="s">
        <v>94</v>
      </c>
      <c r="B36" s="1">
        <f>SUM(B32:B35)</f>
        <v>7462611.0718949018</v>
      </c>
      <c r="C36" s="1">
        <f t="shared" ref="C36:L36" si="6">SUM(C32:C35)</f>
        <v>5947625.9993941002</v>
      </c>
      <c r="D36" s="1">
        <f t="shared" si="6"/>
        <v>31083.308713674014</v>
      </c>
      <c r="E36" s="1">
        <f t="shared" si="6"/>
        <v>5112904.6896333247</v>
      </c>
      <c r="F36" s="1">
        <f t="shared" si="6"/>
        <v>2740557.2082667202</v>
      </c>
      <c r="G36" s="1">
        <f t="shared" si="6"/>
        <v>631959.00967486971</v>
      </c>
      <c r="H36" s="1">
        <f t="shared" si="6"/>
        <v>1784275.5168804666</v>
      </c>
      <c r="I36" s="1">
        <f t="shared" si="6"/>
        <v>1558794.5593837015</v>
      </c>
      <c r="J36" s="1">
        <f t="shared" si="6"/>
        <v>305564.32021245291</v>
      </c>
      <c r="K36" s="1">
        <f t="shared" si="6"/>
        <v>1017628.765276067</v>
      </c>
      <c r="L36" s="1">
        <f t="shared" si="6"/>
        <v>1049581.0646697194</v>
      </c>
    </row>
    <row r="37" spans="1:14">
      <c r="A37" t="s">
        <v>51</v>
      </c>
      <c r="B37">
        <f>B55*(B32+B33+B34)</f>
        <v>1096134.0399289611</v>
      </c>
      <c r="C37">
        <f>B55*(C32+C33+C34)</f>
        <v>810018.22976176487</v>
      </c>
      <c r="D37">
        <f>B55*(D32+D33+D34)</f>
        <v>4842.8559061001297</v>
      </c>
      <c r="E37">
        <f>B55*(E32+E33+E34)</f>
        <v>669655.9668382348</v>
      </c>
      <c r="F37">
        <f>B55*(F32+F33+F34)</f>
        <v>383920.56458775245</v>
      </c>
      <c r="G37">
        <f>B55*(G32+G33+G34)</f>
        <v>95591.637702426204</v>
      </c>
      <c r="H37">
        <f>B55*(H32+H33+H34)</f>
        <v>234496.39155093243</v>
      </c>
      <c r="I37">
        <f>B55*(I32+I33+I34)</f>
        <v>204648.18345048351</v>
      </c>
      <c r="J37">
        <f>B55*(J32+J33+J34)</f>
        <v>41555.499314041357</v>
      </c>
      <c r="K37">
        <f>B55*(K32+K33+K34)</f>
        <v>149472.82134952742</v>
      </c>
      <c r="L37">
        <f>B55*(L32+L33+L34)</f>
        <v>142944.39428076608</v>
      </c>
      <c r="N37">
        <f>SUM(B37:L37)</f>
        <v>3833280.5846709907</v>
      </c>
    </row>
    <row r="38" spans="1:14">
      <c r="A38" t="s">
        <v>52</v>
      </c>
      <c r="B38">
        <f>B56*(B32+B33+B34)</f>
        <v>266067.27080958145</v>
      </c>
      <c r="C38">
        <f>B56*(C32+C33+C34)</f>
        <v>196617.68711487943</v>
      </c>
      <c r="D38">
        <f>B56*(D32+D33+D34)</f>
        <v>1175.5181455213558</v>
      </c>
      <c r="E38">
        <f>B56*(E32+E33+E34)</f>
        <v>162547.21501902072</v>
      </c>
      <c r="F38">
        <f>B56*(F32+F33+F34)</f>
        <v>93189.968659450664</v>
      </c>
      <c r="G38">
        <f>B56*(G32+G33+G34)</f>
        <v>23203.189782657562</v>
      </c>
      <c r="H38">
        <f>B56*(H32+H33+H34)</f>
        <v>56919.877170035797</v>
      </c>
      <c r="I38">
        <f>B56*(I32+I33+I34)</f>
        <v>49674.749312901127</v>
      </c>
      <c r="J38">
        <f>B56*(J32+J33+J34)</f>
        <v>10086.867013392794</v>
      </c>
      <c r="K38">
        <f>B56*K32</f>
        <v>21753.209071606023</v>
      </c>
      <c r="L38">
        <f>B56*L32</f>
        <v>27673.949454793263</v>
      </c>
      <c r="N38">
        <f t="shared" si="5"/>
        <v>908909.50155384012</v>
      </c>
    </row>
    <row r="39" spans="1:14">
      <c r="A39" t="s">
        <v>53</v>
      </c>
      <c r="B39">
        <f>B57*(B32+B33+B34)</f>
        <v>1634699.5016747063</v>
      </c>
      <c r="C39">
        <f>B57*(C32+C33+C34)</f>
        <v>1208005.9083146439</v>
      </c>
      <c r="D39">
        <f>B57*(D32+D33+D34)</f>
        <v>7222.3047985056237</v>
      </c>
      <c r="E39">
        <f>B57*(E32+E33+E34)</f>
        <v>998679.20838851167</v>
      </c>
      <c r="F39">
        <f>B57*(F32+F33+F34)</f>
        <v>572552.92943456478</v>
      </c>
      <c r="G39">
        <f>B57*(G32+G33+G34)</f>
        <v>142558.84483484557</v>
      </c>
      <c r="H39">
        <f>B57*(H32+H33+H34)</f>
        <v>349711.91519393853</v>
      </c>
      <c r="I39">
        <f>B57*(I32+I33+I34)</f>
        <v>305198.3346186569</v>
      </c>
      <c r="J39">
        <f>B57*(J32+J33+J34)</f>
        <v>61973.035729197407</v>
      </c>
      <c r="K39">
        <f>B57*(K32+K33+K34)</f>
        <v>222913.56501420247</v>
      </c>
      <c r="L39">
        <f>B57*(L32+L33+L34)</f>
        <v>213177.51441521235</v>
      </c>
      <c r="N39">
        <f t="shared" si="5"/>
        <v>5716693.0624169856</v>
      </c>
    </row>
    <row r="40" spans="1:14">
      <c r="A40" s="2" t="s">
        <v>93</v>
      </c>
      <c r="B40" s="1">
        <f>SUM(B36:B39)</f>
        <v>10459511.88430815</v>
      </c>
      <c r="C40" s="1">
        <f t="shared" ref="C40:L40" si="7">SUM(C36:C39)</f>
        <v>8162267.8245853875</v>
      </c>
      <c r="D40" s="1">
        <f t="shared" si="7"/>
        <v>44323.987563801122</v>
      </c>
      <c r="E40" s="1">
        <f t="shared" si="7"/>
        <v>6943787.079879093</v>
      </c>
      <c r="F40" s="1">
        <f t="shared" si="7"/>
        <v>3790220.6709484882</v>
      </c>
      <c r="G40" s="1">
        <f t="shared" si="7"/>
        <v>893312.68199479906</v>
      </c>
      <c r="H40" s="1">
        <f t="shared" si="7"/>
        <v>2425403.7007953734</v>
      </c>
      <c r="I40" s="1">
        <f t="shared" si="7"/>
        <v>2118315.8267657431</v>
      </c>
      <c r="J40" s="1">
        <f t="shared" si="7"/>
        <v>419179.72226908442</v>
      </c>
      <c r="K40" s="1">
        <f t="shared" si="7"/>
        <v>1411768.3607114027</v>
      </c>
      <c r="L40" s="1">
        <f t="shared" si="7"/>
        <v>1433376.9228204913</v>
      </c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4">
      <c r="A42" t="s">
        <v>60</v>
      </c>
      <c r="B42">
        <f>4497777.76+1579772</f>
        <v>6077549.7599999998</v>
      </c>
      <c r="C42">
        <f>7467889.84+1446917.99</f>
        <v>8914807.8300000001</v>
      </c>
      <c r="D42">
        <v>7304.64</v>
      </c>
      <c r="E42">
        <f>3481113+381139.2</f>
        <v>3862252.2</v>
      </c>
      <c r="F42">
        <v>2577240</v>
      </c>
      <c r="G42">
        <v>604531.61</v>
      </c>
      <c r="H42">
        <v>0</v>
      </c>
      <c r="I42">
        <v>0</v>
      </c>
      <c r="J42">
        <v>565.24</v>
      </c>
      <c r="K42">
        <v>563609</v>
      </c>
      <c r="L42">
        <v>0</v>
      </c>
    </row>
    <row r="43" spans="1:14">
      <c r="A43" t="s">
        <v>63</v>
      </c>
      <c r="B43">
        <f>168000+114000+2304330</f>
        <v>2586330</v>
      </c>
      <c r="C43">
        <f>153900+135000+2158330</f>
        <v>2447230</v>
      </c>
      <c r="D43">
        <v>199200</v>
      </c>
      <c r="E43">
        <v>0</v>
      </c>
      <c r="F43">
        <v>0</v>
      </c>
      <c r="G43">
        <v>0</v>
      </c>
      <c r="H43">
        <v>1810800</v>
      </c>
      <c r="I43">
        <f>773500+436800</f>
        <v>1210300</v>
      </c>
      <c r="J43">
        <v>812000</v>
      </c>
      <c r="K43">
        <v>3712134.4</v>
      </c>
      <c r="L43">
        <v>2474756.27</v>
      </c>
    </row>
    <row r="44" spans="1:14">
      <c r="A44" t="s">
        <v>73</v>
      </c>
      <c r="B44">
        <v>0</v>
      </c>
      <c r="C44">
        <v>0</v>
      </c>
      <c r="D44">
        <v>0</v>
      </c>
      <c r="F44">
        <v>417028</v>
      </c>
      <c r="G44">
        <v>37354</v>
      </c>
      <c r="H44">
        <v>0</v>
      </c>
      <c r="I44">
        <v>0</v>
      </c>
      <c r="J44">
        <v>0</v>
      </c>
      <c r="K44">
        <v>0</v>
      </c>
      <c r="L44">
        <v>0</v>
      </c>
    </row>
    <row r="45" spans="1:14">
      <c r="A45" s="1" t="s">
        <v>61</v>
      </c>
      <c r="B45" s="1">
        <f>SUM(B42:B44)</f>
        <v>8663879.7599999998</v>
      </c>
      <c r="C45" s="1">
        <f t="shared" ref="C45:L45" si="8">SUM(C42:C44)</f>
        <v>11362037.83</v>
      </c>
      <c r="D45" s="1">
        <f t="shared" si="8"/>
        <v>206504.64</v>
      </c>
      <c r="E45" s="1">
        <f t="shared" si="8"/>
        <v>3862252.2</v>
      </c>
      <c r="F45" s="1">
        <f t="shared" si="8"/>
        <v>2994268</v>
      </c>
      <c r="G45" s="1">
        <f t="shared" si="8"/>
        <v>641885.61</v>
      </c>
      <c r="H45" s="1">
        <f t="shared" si="8"/>
        <v>1810800</v>
      </c>
      <c r="I45" s="1">
        <f t="shared" si="8"/>
        <v>1210300</v>
      </c>
      <c r="J45" s="1">
        <f t="shared" si="8"/>
        <v>812565.24</v>
      </c>
      <c r="K45" s="1">
        <f t="shared" si="8"/>
        <v>4275743.4000000004</v>
      </c>
      <c r="L45" s="1">
        <f t="shared" si="8"/>
        <v>2474756.27</v>
      </c>
    </row>
    <row r="46" spans="1:14">
      <c r="A46" s="1"/>
    </row>
    <row r="47" spans="1:14">
      <c r="A47" t="s">
        <v>84</v>
      </c>
      <c r="B47">
        <f>B45-B40</f>
        <v>-1795632.1243081503</v>
      </c>
      <c r="C47">
        <f t="shared" ref="C47:L47" si="9">C45-C40</f>
        <v>3199770.0054146126</v>
      </c>
      <c r="D47">
        <f t="shared" si="9"/>
        <v>162180.6524361989</v>
      </c>
      <c r="E47">
        <f t="shared" si="9"/>
        <v>-3081534.8798790928</v>
      </c>
      <c r="F47">
        <f t="shared" si="9"/>
        <v>-795952.67094848817</v>
      </c>
      <c r="G47">
        <f t="shared" si="9"/>
        <v>-251427.07199479907</v>
      </c>
      <c r="H47">
        <f t="shared" si="9"/>
        <v>-614603.70079537341</v>
      </c>
      <c r="I47">
        <f t="shared" si="9"/>
        <v>-908015.82676574308</v>
      </c>
      <c r="J47">
        <f t="shared" si="9"/>
        <v>393385.51773091557</v>
      </c>
      <c r="K47">
        <f t="shared" si="9"/>
        <v>2863975.0392885976</v>
      </c>
      <c r="L47">
        <f t="shared" si="9"/>
        <v>1041379.3471795088</v>
      </c>
      <c r="N47">
        <f>SUM(B47:L47)</f>
        <v>213524.28735818667</v>
      </c>
    </row>
    <row r="48" spans="1:14">
      <c r="A48" t="s">
        <v>137</v>
      </c>
      <c r="B48">
        <v>18800</v>
      </c>
      <c r="C48">
        <v>27000</v>
      </c>
      <c r="D48">
        <v>400</v>
      </c>
      <c r="E48">
        <v>4022.02</v>
      </c>
      <c r="F48">
        <v>34350.400000000001</v>
      </c>
      <c r="G48">
        <v>1151.06</v>
      </c>
      <c r="H48">
        <v>36360</v>
      </c>
      <c r="I48">
        <v>22667</v>
      </c>
      <c r="J48">
        <v>8700</v>
      </c>
      <c r="K48">
        <v>10200</v>
      </c>
      <c r="L48">
        <v>9930</v>
      </c>
    </row>
    <row r="49" spans="1:14">
      <c r="L49">
        <v>9930</v>
      </c>
    </row>
    <row r="50" spans="1:14">
      <c r="A50" t="s">
        <v>138</v>
      </c>
      <c r="B50">
        <f>B36/B48</f>
        <v>396.94739744121819</v>
      </c>
      <c r="C50">
        <f t="shared" ref="C50:L50" si="10">C36/C48</f>
        <v>220.28244442200372</v>
      </c>
      <c r="D50">
        <f t="shared" si="10"/>
        <v>77.70827178418503</v>
      </c>
      <c r="E50">
        <f t="shared" si="10"/>
        <v>1271.2280619274206</v>
      </c>
      <c r="F50">
        <f t="shared" si="10"/>
        <v>79.782395787726486</v>
      </c>
      <c r="G50">
        <f t="shared" si="10"/>
        <v>549.02351717101601</v>
      </c>
      <c r="H50">
        <f t="shared" si="10"/>
        <v>49.072483962609091</v>
      </c>
      <c r="I50">
        <f t="shared" si="10"/>
        <v>68.769336894326628</v>
      </c>
      <c r="J50">
        <f t="shared" si="10"/>
        <v>35.122335656603781</v>
      </c>
      <c r="K50">
        <f t="shared" si="10"/>
        <v>99.767526007457548</v>
      </c>
      <c r="L50">
        <f t="shared" si="10"/>
        <v>105.69799241386903</v>
      </c>
    </row>
    <row r="51" spans="1:14">
      <c r="A51" t="s">
        <v>139</v>
      </c>
      <c r="B51">
        <f>B40/B48</f>
        <v>556.35701512277399</v>
      </c>
      <c r="C51">
        <f t="shared" ref="C51:L51" si="11">C40/C48</f>
        <v>302.30621572538473</v>
      </c>
      <c r="D51">
        <f t="shared" si="11"/>
        <v>110.8099689095028</v>
      </c>
      <c r="E51">
        <f t="shared" si="11"/>
        <v>1726.4427028903617</v>
      </c>
      <c r="F51">
        <f t="shared" si="11"/>
        <v>110.33992823805511</v>
      </c>
      <c r="G51">
        <f t="shared" si="11"/>
        <v>776.07829478463248</v>
      </c>
      <c r="H51">
        <f t="shared" si="11"/>
        <v>66.705272299102674</v>
      </c>
      <c r="I51">
        <f t="shared" si="11"/>
        <v>93.453735684728599</v>
      </c>
      <c r="J51">
        <f t="shared" si="11"/>
        <v>48.181577272308552</v>
      </c>
      <c r="K51">
        <f t="shared" si="11"/>
        <v>138.40866281484341</v>
      </c>
      <c r="L51">
        <f t="shared" si="11"/>
        <v>144.34812918635359</v>
      </c>
    </row>
    <row r="53" spans="1:14">
      <c r="A53" s="1" t="s">
        <v>4</v>
      </c>
      <c r="B53" t="s">
        <v>104</v>
      </c>
    </row>
    <row r="54" spans="1:14">
      <c r="A54" s="1" t="s">
        <v>70</v>
      </c>
      <c r="B54">
        <f>C28/N32</f>
        <v>0.52004883860786821</v>
      </c>
    </row>
    <row r="55" spans="1:14">
      <c r="A55" s="1" t="s">
        <v>69</v>
      </c>
      <c r="B55">
        <f>G28/(N32+N33+N34+N65+N66+N67)</f>
        <v>0.19268184690827067</v>
      </c>
    </row>
    <row r="56" spans="1:14">
      <c r="A56" s="1" t="s">
        <v>68</v>
      </c>
      <c r="B56">
        <f>I28/(N32+N65)</f>
        <v>4.6770131456510246E-2</v>
      </c>
    </row>
    <row r="57" spans="1:14">
      <c r="A57" s="1" t="s">
        <v>67</v>
      </c>
      <c r="B57">
        <f>K28/(N32+N33+N34+N65+N66+N67)</f>
        <v>0.28735255694013967</v>
      </c>
    </row>
    <row r="58" spans="1:14">
      <c r="A58" t="s">
        <v>55</v>
      </c>
      <c r="B58">
        <f>B2+B4+B5+B6+B7+B11</f>
        <v>10120652.110000001</v>
      </c>
    </row>
    <row r="60" spans="1:14">
      <c r="A60" t="s">
        <v>116</v>
      </c>
      <c r="B60">
        <f>B34+C34+D34+E34+F34+G34+H34+I34+J34+K34+L34+M34</f>
        <v>1713612.1399999997</v>
      </c>
    </row>
    <row r="63" spans="1:14">
      <c r="A63" s="1" t="s">
        <v>33</v>
      </c>
    </row>
    <row r="64" spans="1:14">
      <c r="A64" t="s">
        <v>4</v>
      </c>
      <c r="B64" t="s">
        <v>34</v>
      </c>
      <c r="C64" t="s">
        <v>35</v>
      </c>
      <c r="D64" t="s">
        <v>42</v>
      </c>
      <c r="E64" t="s">
        <v>43</v>
      </c>
      <c r="F64" t="s">
        <v>44</v>
      </c>
      <c r="G64" t="s">
        <v>45</v>
      </c>
      <c r="H64" t="s">
        <v>46</v>
      </c>
      <c r="I64" t="s">
        <v>47</v>
      </c>
      <c r="J64" t="s">
        <v>48</v>
      </c>
      <c r="K64" t="s">
        <v>49</v>
      </c>
      <c r="L64" t="s">
        <v>91</v>
      </c>
      <c r="N64" t="s">
        <v>3</v>
      </c>
    </row>
    <row r="65" spans="1:14">
      <c r="A65" t="s">
        <v>37</v>
      </c>
      <c r="B65">
        <f>2601941.33+3078900</f>
        <v>5680841.3300000001</v>
      </c>
      <c r="C65">
        <f>498627.64+850062.68</f>
        <v>1348690.32</v>
      </c>
      <c r="D65">
        <f>69472.31+181438.62+693460+732860</f>
        <v>1677230.93</v>
      </c>
      <c r="E65">
        <f>20725.56+122468</f>
        <v>143193.56</v>
      </c>
      <c r="F65">
        <f>138312.22+866650</f>
        <v>1004962.22</v>
      </c>
      <c r="G65">
        <f>144789.5+2618030</f>
        <v>2762819.5</v>
      </c>
      <c r="H65">
        <f>7784.2+202110</f>
        <v>209894.2</v>
      </c>
      <c r="I65">
        <f>15857.2+17700.4+454120+391850</f>
        <v>879527.6</v>
      </c>
      <c r="J65">
        <f>15154.4+416910</f>
        <v>432064.4</v>
      </c>
      <c r="K65">
        <f>12798.2+170040</f>
        <v>182838.2</v>
      </c>
      <c r="L65">
        <f>8085.2+192630</f>
        <v>200715.2</v>
      </c>
      <c r="N65">
        <f t="shared" ref="N65:N73" si="12">SUM(B65:L65)</f>
        <v>14522777.459999999</v>
      </c>
    </row>
    <row r="66" spans="1:14">
      <c r="A66" t="s">
        <v>36</v>
      </c>
      <c r="B66">
        <f>1476284.55+743444.63</f>
        <v>2219729.1800000002</v>
      </c>
      <c r="C66">
        <v>115816.09</v>
      </c>
      <c r="D66">
        <v>0</v>
      </c>
      <c r="E66">
        <v>0</v>
      </c>
      <c r="F66">
        <v>31875.05</v>
      </c>
      <c r="G66">
        <f>39465.66+426291+75219.63</f>
        <v>540976.29</v>
      </c>
      <c r="H66">
        <v>1869.3</v>
      </c>
      <c r="I66">
        <f>19808.4+7370</f>
        <v>27178.400000000001</v>
      </c>
      <c r="J66">
        <v>0</v>
      </c>
      <c r="K66">
        <v>37457</v>
      </c>
      <c r="L66">
        <v>0</v>
      </c>
      <c r="N66">
        <f t="shared" si="12"/>
        <v>2974901.3099999996</v>
      </c>
    </row>
    <row r="67" spans="1:14">
      <c r="A67" t="s">
        <v>38</v>
      </c>
      <c r="B67">
        <f>2195984.21+737298.69</f>
        <v>2933282.9</v>
      </c>
      <c r="C67">
        <f>290069.48+98624.18</f>
        <v>388693.66</v>
      </c>
      <c r="D67">
        <f>70146+23849.23</f>
        <v>93995.23</v>
      </c>
      <c r="E67">
        <f>382525.96+130056.79</f>
        <v>512582.75</v>
      </c>
      <c r="F67">
        <f>709532.21+241243.14</f>
        <v>950775.35</v>
      </c>
      <c r="G67">
        <f>534742.28+181813.57</f>
        <v>716555.85000000009</v>
      </c>
      <c r="H67">
        <f>57990.99+19716.92</f>
        <v>77707.91</v>
      </c>
      <c r="I67">
        <f>47915+16291.16+85789.11+29168.39</f>
        <v>179163.66000000003</v>
      </c>
      <c r="J67">
        <f>70618.9+24010.62</f>
        <v>94629.51999999999</v>
      </c>
      <c r="K67">
        <f>31000+10540.03</f>
        <v>41540.03</v>
      </c>
      <c r="L67">
        <f>25125+8542.52</f>
        <v>33667.520000000004</v>
      </c>
      <c r="N67">
        <f t="shared" si="12"/>
        <v>6022594.3799999999</v>
      </c>
    </row>
    <row r="68" spans="1:14">
      <c r="A68" t="s">
        <v>41</v>
      </c>
      <c r="B68">
        <v>1925294.53</v>
      </c>
      <c r="C68">
        <v>0</v>
      </c>
      <c r="D68">
        <v>0</v>
      </c>
      <c r="E68">
        <v>0</v>
      </c>
      <c r="F68">
        <v>0</v>
      </c>
      <c r="G68">
        <f>95384.29+2367024.49</f>
        <v>2462408.7800000003</v>
      </c>
      <c r="H68">
        <v>0</v>
      </c>
      <c r="I68">
        <v>0</v>
      </c>
      <c r="J68">
        <v>0</v>
      </c>
      <c r="K68">
        <v>192609</v>
      </c>
      <c r="L68">
        <v>0</v>
      </c>
      <c r="N68">
        <f t="shared" si="12"/>
        <v>4580312.3100000005</v>
      </c>
    </row>
    <row r="69" spans="1:14">
      <c r="A69" t="s">
        <v>50</v>
      </c>
      <c r="B69">
        <f>B87*B67</f>
        <v>2694534.97926141</v>
      </c>
      <c r="C69">
        <f>B87*C67</f>
        <v>357056.81954070693</v>
      </c>
      <c r="D69">
        <f>B87*D67</f>
        <v>86344.70105789027</v>
      </c>
      <c r="E69">
        <f>B87*E67</f>
        <v>470862.23754313181</v>
      </c>
      <c r="F69">
        <f>B87*F67</f>
        <v>873389.1429273698</v>
      </c>
      <c r="G69">
        <f>B87*G67</f>
        <v>658233.40886056109</v>
      </c>
      <c r="H69">
        <f>B87*H67</f>
        <v>71383.050595050867</v>
      </c>
      <c r="I69">
        <f>B87*I67</f>
        <v>164581.03951804253</v>
      </c>
      <c r="J69">
        <f>B87*J67</f>
        <v>86927.364459362972</v>
      </c>
      <c r="K69">
        <f>B87*K67</f>
        <v>38158.973304132494</v>
      </c>
      <c r="L69">
        <f>B87*L67</f>
        <v>30927.228432342177</v>
      </c>
      <c r="N69">
        <f t="shared" si="12"/>
        <v>5532398.9455000013</v>
      </c>
    </row>
    <row r="70" spans="1:14">
      <c r="A70" s="2" t="s">
        <v>94</v>
      </c>
      <c r="B70" s="1">
        <f>SUM(B65:B69)</f>
        <v>15453682.919261409</v>
      </c>
      <c r="C70" s="1">
        <f t="shared" ref="C70:L70" si="13">SUM(C65:C69)</f>
        <v>2210256.8895407068</v>
      </c>
      <c r="D70" s="1">
        <f t="shared" si="13"/>
        <v>1857570.8610578901</v>
      </c>
      <c r="E70" s="1">
        <f t="shared" si="13"/>
        <v>1126638.5475431317</v>
      </c>
      <c r="F70" s="1">
        <f t="shared" si="13"/>
        <v>2861001.7629273701</v>
      </c>
      <c r="G70" s="1">
        <f t="shared" si="13"/>
        <v>7140993.8288605614</v>
      </c>
      <c r="H70" s="1">
        <f t="shared" si="13"/>
        <v>360854.46059505088</v>
      </c>
      <c r="I70" s="1">
        <f t="shared" si="13"/>
        <v>1250450.6995180426</v>
      </c>
      <c r="J70" s="1">
        <f t="shared" si="13"/>
        <v>613621.28445936297</v>
      </c>
      <c r="K70" s="1">
        <f t="shared" si="13"/>
        <v>492603.20330413245</v>
      </c>
      <c r="L70" s="1">
        <f t="shared" si="13"/>
        <v>265309.94843234221</v>
      </c>
    </row>
    <row r="71" spans="1:14">
      <c r="A71" t="s">
        <v>51</v>
      </c>
      <c r="B71">
        <f>B55*(B65+B66+B67)</f>
        <v>2087486.8841722661</v>
      </c>
      <c r="C71">
        <f>B55*(C65+C66+C67)</f>
        <v>357078.0121781365</v>
      </c>
      <c r="D71">
        <f>B55*(D65+D66+D67)</f>
        <v>341283.12780104409</v>
      </c>
      <c r="E71">
        <f>B55*(E65+E66+E67)</f>
        <v>126356.19056949066</v>
      </c>
      <c r="F71">
        <f>B55*(F65+F66+F67)</f>
        <v>382976.8705597868</v>
      </c>
      <c r="G71">
        <f>B55*(G65+G66+G67)</f>
        <v>774648.77921589499</v>
      </c>
      <c r="H71">
        <f>B55*(H65+H66+H67)</f>
        <v>55775.885905941257</v>
      </c>
      <c r="I71">
        <f>B55*(I65+I66+I67)</f>
        <v>209227.37159045596</v>
      </c>
      <c r="J71">
        <f>B55*(J65+J66+J67)</f>
        <v>101484.35726095697</v>
      </c>
      <c r="K71">
        <f>B55*(K65+K66+K67)</f>
        <v>50450.895702051843</v>
      </c>
      <c r="L71">
        <f>B55*(L65+L66+L67)</f>
        <v>45161.295372984074</v>
      </c>
      <c r="N71">
        <f t="shared" si="12"/>
        <v>4531929.6703290101</v>
      </c>
    </row>
    <row r="72" spans="1:14">
      <c r="A72" t="s">
        <v>52</v>
      </c>
      <c r="B72">
        <f>B56*(B65+B66+B67)</f>
        <v>506700.74816626182</v>
      </c>
      <c r="C72">
        <f>B56*(C65+C66+C67)</f>
        <v>86674.410889113991</v>
      </c>
      <c r="D72">
        <f>B56*(D65+D66+D67)</f>
        <v>82840.48034240985</v>
      </c>
      <c r="E72">
        <f>B56*(E65+E66+E67)</f>
        <v>30670.744224765218</v>
      </c>
      <c r="F72">
        <f>B56*(F65+F66+F67)</f>
        <v>92960.903522018751</v>
      </c>
      <c r="G72">
        <f>B56*(G65+G66+G67)</f>
        <v>188032.37470419655</v>
      </c>
      <c r="H72">
        <f>B56*(H65+H66+H67)</f>
        <v>13538.615898601376</v>
      </c>
      <c r="I72">
        <f>B56*(I65+I66+I67)</f>
        <v>50786.266742836095</v>
      </c>
      <c r="J72">
        <f>B56*(J65+J66+J67)</f>
        <v>24633.543875744694</v>
      </c>
      <c r="K72">
        <f>B56*(K65+K66+K67)</f>
        <v>12246.068127045595</v>
      </c>
      <c r="L72">
        <f>B56*(L65+L66+L67)</f>
        <v>10962.110625534435</v>
      </c>
      <c r="N72">
        <f t="shared" si="12"/>
        <v>1100046.2671185285</v>
      </c>
    </row>
    <row r="73" spans="1:14">
      <c r="A73" t="s">
        <v>53</v>
      </c>
      <c r="B73">
        <f>B57*(B65+B66+B67)</f>
        <v>3113135.4788781512</v>
      </c>
      <c r="C73">
        <f>B57*(C65+C66+C67)</f>
        <v>532521.77863614587</v>
      </c>
      <c r="D73">
        <f>B57*(D65+D66+D67)</f>
        <v>508966.3659952649</v>
      </c>
      <c r="E73">
        <f>B57*(E65+E66+E67)</f>
        <v>188438.99945926969</v>
      </c>
      <c r="F73">
        <f>B57*(F65+F66+F67)</f>
        <v>571145.56856349017</v>
      </c>
      <c r="G73">
        <f>B57*(G65+G66+G67)</f>
        <v>1155258.3235524839</v>
      </c>
      <c r="H73">
        <f>B57*(H65+H66+H67)</f>
        <v>83180.349824567529</v>
      </c>
      <c r="I73">
        <f>B57*(I65+I66+I67)</f>
        <v>312027.42330472014</v>
      </c>
      <c r="J73">
        <f>B57*(J65+J66+J67)</f>
        <v>151346.84463682538</v>
      </c>
      <c r="K73">
        <f>B57*(K65+K66+K67)</f>
        <v>75239.022837509576</v>
      </c>
      <c r="L73">
        <f>B57*(L65+L66+L67)</f>
        <v>67350.473894584822</v>
      </c>
      <c r="N73">
        <f t="shared" si="12"/>
        <v>6758610.6295830132</v>
      </c>
    </row>
    <row r="74" spans="1:14">
      <c r="A74" s="2" t="s">
        <v>93</v>
      </c>
      <c r="B74" s="1">
        <f>SUM(B70:B73)</f>
        <v>21161006.03047809</v>
      </c>
      <c r="C74" s="1">
        <f t="shared" ref="C74:L74" si="14">SUM(C70:C73)</f>
        <v>3186531.0912441029</v>
      </c>
      <c r="D74" s="1">
        <f t="shared" si="14"/>
        <v>2790660.8351966091</v>
      </c>
      <c r="E74" s="1">
        <f t="shared" si="14"/>
        <v>1472104.4817966572</v>
      </c>
      <c r="F74" s="1">
        <f t="shared" si="14"/>
        <v>3908085.105572666</v>
      </c>
      <c r="G74" s="1">
        <f t="shared" si="14"/>
        <v>9258933.3063331358</v>
      </c>
      <c r="H74" s="1">
        <f t="shared" si="14"/>
        <v>513349.312224161</v>
      </c>
      <c r="I74" s="1">
        <f t="shared" si="14"/>
        <v>1822491.7611560547</v>
      </c>
      <c r="J74" s="1">
        <f t="shared" si="14"/>
        <v>891086.03023289004</v>
      </c>
      <c r="K74" s="1">
        <f t="shared" si="14"/>
        <v>630539.18997073942</v>
      </c>
      <c r="L74" s="1">
        <f t="shared" si="14"/>
        <v>388783.82832544553</v>
      </c>
    </row>
    <row r="75" spans="1:14">
      <c r="A75" s="1"/>
    </row>
    <row r="76" spans="1:14">
      <c r="A76" t="s">
        <v>62</v>
      </c>
      <c r="B76">
        <v>16308090.6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</row>
    <row r="77" spans="1:14">
      <c r="A77" t="s">
        <v>64</v>
      </c>
      <c r="B77">
        <v>1258886.8400000001</v>
      </c>
      <c r="C77">
        <v>277551.7</v>
      </c>
      <c r="D77">
        <f>104906.92+304690.88+66177.2+14636</f>
        <v>490411</v>
      </c>
      <c r="E77">
        <v>66177.2</v>
      </c>
      <c r="F77">
        <f>3242285.29+27301.8</f>
        <v>3269587.09</v>
      </c>
      <c r="G77">
        <f>425304.32+427631.18</f>
        <v>852935.5</v>
      </c>
      <c r="H77">
        <v>2170.5</v>
      </c>
      <c r="I77">
        <f>1057637+286000+7109</f>
        <v>1350746</v>
      </c>
      <c r="J77">
        <v>0</v>
      </c>
      <c r="K77">
        <v>93221.73</v>
      </c>
      <c r="L77">
        <v>1949573.16</v>
      </c>
    </row>
    <row r="78" spans="1:14">
      <c r="A78" t="s">
        <v>79</v>
      </c>
      <c r="B78">
        <v>539250</v>
      </c>
      <c r="C78">
        <v>831279</v>
      </c>
      <c r="D78">
        <f>613830+1066118</f>
        <v>1679948</v>
      </c>
      <c r="E78">
        <v>229119</v>
      </c>
      <c r="F78">
        <v>1552409</v>
      </c>
      <c r="G78">
        <v>633000</v>
      </c>
      <c r="H78">
        <v>1160764</v>
      </c>
      <c r="I78">
        <f>429900+652717</f>
        <v>1082617</v>
      </c>
      <c r="J78">
        <v>743226</v>
      </c>
      <c r="L78">
        <v>547119</v>
      </c>
    </row>
    <row r="79" spans="1:14">
      <c r="A79" t="s">
        <v>65</v>
      </c>
      <c r="B79">
        <v>1092742.52</v>
      </c>
      <c r="C79">
        <v>0</v>
      </c>
      <c r="D79">
        <v>0</v>
      </c>
      <c r="E79">
        <v>0</v>
      </c>
      <c r="F79">
        <v>0</v>
      </c>
      <c r="G79">
        <v>0</v>
      </c>
      <c r="H79">
        <v>1290007.96</v>
      </c>
      <c r="I79">
        <v>0</v>
      </c>
      <c r="J79">
        <v>0</v>
      </c>
      <c r="K79">
        <v>0</v>
      </c>
      <c r="L79">
        <v>0</v>
      </c>
    </row>
    <row r="80" spans="1:14">
      <c r="A80" s="1" t="s">
        <v>61</v>
      </c>
      <c r="B80" s="1">
        <f t="shared" ref="B80:L80" si="15">SUM(B76:B79)</f>
        <v>19198969.960000001</v>
      </c>
      <c r="C80" s="1">
        <f t="shared" si="15"/>
        <v>1108830.7</v>
      </c>
      <c r="D80" s="1">
        <f t="shared" si="15"/>
        <v>2170359</v>
      </c>
      <c r="E80" s="1">
        <f t="shared" si="15"/>
        <v>295296.2</v>
      </c>
      <c r="F80" s="1">
        <f t="shared" si="15"/>
        <v>4821996.09</v>
      </c>
      <c r="G80" s="1">
        <f t="shared" si="15"/>
        <v>1485935.5</v>
      </c>
      <c r="H80" s="1">
        <f t="shared" si="15"/>
        <v>2452942.46</v>
      </c>
      <c r="I80" s="1">
        <f t="shared" si="15"/>
        <v>2433363</v>
      </c>
      <c r="J80" s="1">
        <f t="shared" si="15"/>
        <v>743226</v>
      </c>
      <c r="K80" s="1">
        <f t="shared" si="15"/>
        <v>93221.73</v>
      </c>
      <c r="L80" s="1">
        <f t="shared" si="15"/>
        <v>2496692.16</v>
      </c>
    </row>
    <row r="81" spans="1:1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4">
      <c r="A82" t="s">
        <v>57</v>
      </c>
      <c r="B82">
        <v>207221</v>
      </c>
      <c r="C82">
        <v>7121</v>
      </c>
      <c r="D82">
        <f>26446+4559</f>
        <v>31005</v>
      </c>
      <c r="E82">
        <v>36720</v>
      </c>
      <c r="F82">
        <v>36865</v>
      </c>
      <c r="G82">
        <v>36561</v>
      </c>
      <c r="H82">
        <v>44032</v>
      </c>
      <c r="I82">
        <f>8420+15902</f>
        <v>24322</v>
      </c>
      <c r="J82">
        <v>32001</v>
      </c>
      <c r="K82">
        <v>14400</v>
      </c>
      <c r="L82">
        <v>36102</v>
      </c>
    </row>
    <row r="84" spans="1:14">
      <c r="A84" t="s">
        <v>84</v>
      </c>
      <c r="B84">
        <f t="shared" ref="B84:L84" si="16">B80-B74</f>
        <v>-1962036.0704780892</v>
      </c>
      <c r="C84">
        <f t="shared" si="16"/>
        <v>-2077700.391244103</v>
      </c>
      <c r="D84">
        <f t="shared" si="16"/>
        <v>-620301.83519660914</v>
      </c>
      <c r="E84">
        <f t="shared" si="16"/>
        <v>-1176808.2817966572</v>
      </c>
      <c r="F84">
        <f t="shared" si="16"/>
        <v>913910.98442733381</v>
      </c>
      <c r="G84">
        <f t="shared" si="16"/>
        <v>-7772997.8063331358</v>
      </c>
      <c r="H84">
        <f t="shared" si="16"/>
        <v>1939593.1477758391</v>
      </c>
      <c r="I84">
        <f t="shared" si="16"/>
        <v>610871.23884394532</v>
      </c>
      <c r="J84">
        <f t="shared" si="16"/>
        <v>-147860.03023289004</v>
      </c>
      <c r="K84">
        <f t="shared" si="16"/>
        <v>-537317.45997073944</v>
      </c>
      <c r="L84">
        <f t="shared" si="16"/>
        <v>2107908.3316745544</v>
      </c>
      <c r="N84">
        <f>SUM(B84:L84)</f>
        <v>-8722738.1725305505</v>
      </c>
    </row>
    <row r="85" spans="1:14">
      <c r="A85" t="s">
        <v>56</v>
      </c>
      <c r="B85">
        <f>C2+C3+C4+C5+C6+C7+C11</f>
        <v>5672752.2000000002</v>
      </c>
    </row>
    <row r="87" spans="1:14">
      <c r="A87" s="1" t="s">
        <v>66</v>
      </c>
      <c r="B87">
        <f>E28/N67</f>
        <v>0.91860726398446257</v>
      </c>
    </row>
    <row r="90" spans="1:14">
      <c r="B90" t="s">
        <v>34</v>
      </c>
      <c r="C90" t="s">
        <v>35</v>
      </c>
      <c r="D90" t="s">
        <v>42</v>
      </c>
      <c r="E90" t="s">
        <v>43</v>
      </c>
      <c r="F90" t="s">
        <v>44</v>
      </c>
      <c r="G90" t="s">
        <v>45</v>
      </c>
      <c r="H90" t="s">
        <v>46</v>
      </c>
      <c r="I90" t="s">
        <v>47</v>
      </c>
      <c r="J90" t="s">
        <v>48</v>
      </c>
      <c r="K90" t="s">
        <v>49</v>
      </c>
      <c r="L90" t="s">
        <v>91</v>
      </c>
    </row>
    <row r="91" spans="1:14">
      <c r="A91" t="s">
        <v>37</v>
      </c>
      <c r="B91">
        <f>5680841.33/B82</f>
        <v>27.414409398661334</v>
      </c>
      <c r="C91">
        <f>1348690.32/C82</f>
        <v>189.39619716331975</v>
      </c>
      <c r="D91">
        <f>1677230.93/D82</f>
        <v>54.095498467989032</v>
      </c>
      <c r="E91">
        <f>143193.56/E82</f>
        <v>3.8996067538126362</v>
      </c>
      <c r="F91">
        <f>1004962.22/F82</f>
        <v>27.260605452326054</v>
      </c>
      <c r="G91">
        <f>2762819.5/G82</f>
        <v>75.567394217882438</v>
      </c>
      <c r="H91">
        <f>209894.2/H82</f>
        <v>4.7668559229651164</v>
      </c>
      <c r="I91">
        <f>879527.6/I82</f>
        <v>36.16181235095798</v>
      </c>
      <c r="J91">
        <f>432064.4/J82</f>
        <v>13.501590575294523</v>
      </c>
      <c r="K91">
        <f>182838.2/K82</f>
        <v>12.697097222222222</v>
      </c>
      <c r="L91">
        <f>200715.2/L82</f>
        <v>5.5596698243864608</v>
      </c>
    </row>
    <row r="92" spans="1:14">
      <c r="A92" t="s">
        <v>36</v>
      </c>
      <c r="B92">
        <f>2219729.18/B82</f>
        <v>10.711893003122272</v>
      </c>
      <c r="C92">
        <f>115816.09/C82</f>
        <v>16.264020502738379</v>
      </c>
      <c r="D92">
        <v>0</v>
      </c>
      <c r="E92">
        <v>0</v>
      </c>
      <c r="F92">
        <f>31875.05/F82</f>
        <v>0.86464261494642614</v>
      </c>
      <c r="G92">
        <f>540976.29/G82</f>
        <v>14.796539755477149</v>
      </c>
      <c r="H92">
        <f>1869.3/H82</f>
        <v>4.2453215843023258E-2</v>
      </c>
      <c r="I92">
        <f>27178.4/I82</f>
        <v>1.1174409999177699</v>
      </c>
      <c r="J92">
        <v>0</v>
      </c>
      <c r="K92">
        <f>37457/K82</f>
        <v>2.6011805555555556</v>
      </c>
      <c r="L92">
        <v>0</v>
      </c>
    </row>
    <row r="93" spans="1:14">
      <c r="A93" t="s">
        <v>38</v>
      </c>
      <c r="B93">
        <f>2933282.9/B82</f>
        <v>14.155336090454153</v>
      </c>
      <c r="C93">
        <f>388693.66/C82</f>
        <v>54.584139867996065</v>
      </c>
      <c r="D93">
        <f>93995.23/D82</f>
        <v>3.0316152233510723</v>
      </c>
      <c r="E93">
        <f>512582.75/E82</f>
        <v>13.959225217864924</v>
      </c>
      <c r="F93">
        <f>950775.35/E82</f>
        <v>25.892574891067536</v>
      </c>
      <c r="G93">
        <f>716555.85/G82</f>
        <v>19.598912775908754</v>
      </c>
      <c r="H93">
        <f>77707.91/H82</f>
        <v>1.7648053688226746</v>
      </c>
      <c r="I93">
        <f>179163.66/I82</f>
        <v>7.3663210262313958</v>
      </c>
      <c r="J93">
        <f>94629.52/J82</f>
        <v>2.9570800912471484</v>
      </c>
      <c r="K93">
        <f>41540.03/K82</f>
        <v>2.8847243055555554</v>
      </c>
      <c r="L93">
        <f>33667.52/L82</f>
        <v>0.93256661680793296</v>
      </c>
    </row>
    <row r="94" spans="1:14">
      <c r="A94" t="s">
        <v>41</v>
      </c>
      <c r="B94">
        <f>1925294.53/B82</f>
        <v>9.2910203599056089</v>
      </c>
      <c r="C94">
        <v>0</v>
      </c>
      <c r="D94">
        <v>0</v>
      </c>
      <c r="E94">
        <v>0</v>
      </c>
      <c r="F94">
        <v>0</v>
      </c>
      <c r="G94">
        <f>2462408.78/G82</f>
        <v>67.350695549902895</v>
      </c>
      <c r="H94">
        <v>0</v>
      </c>
      <c r="I94">
        <v>0</v>
      </c>
      <c r="J94">
        <v>0</v>
      </c>
      <c r="K94">
        <f>192609/K82</f>
        <v>13.375624999999999</v>
      </c>
      <c r="L94">
        <v>0</v>
      </c>
    </row>
    <row r="95" spans="1:14">
      <c r="A95" t="s">
        <v>50</v>
      </c>
      <c r="B95">
        <f>SUM(B91:B94)</f>
        <v>61.57265885214337</v>
      </c>
      <c r="C95">
        <f t="shared" ref="C95:L95" si="17">SUM(C91:C94)</f>
        <v>260.24435753405419</v>
      </c>
      <c r="D95">
        <f t="shared" si="17"/>
        <v>57.127113691340107</v>
      </c>
      <c r="E95">
        <f t="shared" si="17"/>
        <v>17.85883197167756</v>
      </c>
      <c r="F95">
        <f t="shared" si="17"/>
        <v>54.01782295834002</v>
      </c>
      <c r="G95">
        <f t="shared" si="17"/>
        <v>177.31354229917125</v>
      </c>
      <c r="H95">
        <f t="shared" si="17"/>
        <v>6.5741145076308145</v>
      </c>
      <c r="I95">
        <f t="shared" si="17"/>
        <v>44.645574377107145</v>
      </c>
      <c r="J95">
        <f t="shared" si="17"/>
        <v>16.458670666541671</v>
      </c>
      <c r="K95">
        <f t="shared" si="17"/>
        <v>31.558627083333331</v>
      </c>
      <c r="L95">
        <f t="shared" si="17"/>
        <v>6.492236441194394</v>
      </c>
    </row>
    <row r="96" spans="1:14">
      <c r="A96" s="2" t="s">
        <v>94</v>
      </c>
      <c r="B96" s="1">
        <f>SUM(B91:B95)</f>
        <v>123.14531770428674</v>
      </c>
      <c r="C96" s="1">
        <f>2210256.88954071/C82</f>
        <v>310.38574491513975</v>
      </c>
      <c r="D96" s="1">
        <f>1857570.86105789/D82</f>
        <v>59.911977457116272</v>
      </c>
      <c r="E96" s="1">
        <f>1126638.54754313/E82</f>
        <v>30.681877656403319</v>
      </c>
      <c r="F96" s="1">
        <f>2861001.76292737/F82</f>
        <v>77.607534597243188</v>
      </c>
      <c r="G96" s="1">
        <f>7140993.82886056/G82</f>
        <v>195.3172459413189</v>
      </c>
      <c r="H96" s="1">
        <f>360854.460595051/H82</f>
        <v>8.1952775389501049</v>
      </c>
      <c r="I96" s="1">
        <f>1250450.69951804/I82</f>
        <v>51.412330380644683</v>
      </c>
      <c r="J96" s="1">
        <f>613621.284459363/J82</f>
        <v>19.175065918545137</v>
      </c>
      <c r="K96" s="1">
        <f>492603.203304132/K82</f>
        <v>34.208555785009167</v>
      </c>
      <c r="L96" s="1">
        <f>265309.948432342/L82</f>
        <v>7.3488989095435704</v>
      </c>
    </row>
    <row r="97" spans="1:12">
      <c r="A97" t="s">
        <v>51</v>
      </c>
      <c r="B97">
        <f>2087486.88417227/B82</f>
        <v>10.073722664074925</v>
      </c>
      <c r="C97">
        <f>357078.012178137/C82</f>
        <v>50.144363457117962</v>
      </c>
      <c r="D97">
        <f>341283.127801044/D82</f>
        <v>11.007357774586163</v>
      </c>
      <c r="E97">
        <f>126356.190569491/E82</f>
        <v>3.4410727279273146</v>
      </c>
      <c r="F97">
        <f>382976.870559787/F82</f>
        <v>10.38863069469109</v>
      </c>
      <c r="G97">
        <f>774648.779215895/G82</f>
        <v>21.187844402940154</v>
      </c>
      <c r="H97">
        <f>55775.8859059413/H82</f>
        <v>1.2667125251167628</v>
      </c>
      <c r="I97">
        <f>209227.371590456/I82</f>
        <v>8.6023917272615744</v>
      </c>
      <c r="J97">
        <f>101484.357260957/J82</f>
        <v>3.1712870616842284</v>
      </c>
      <c r="K97">
        <f>50450.8957020518/K82</f>
        <v>3.5035344237535972</v>
      </c>
      <c r="L97">
        <f>45161.2953729841/L82</f>
        <v>1.2509361080545152</v>
      </c>
    </row>
    <row r="98" spans="1:12">
      <c r="A98" t="s">
        <v>52</v>
      </c>
      <c r="B98">
        <f>506700.748166262/B82</f>
        <v>2.4452191050437069</v>
      </c>
      <c r="C98">
        <f>86674.410889114/C82</f>
        <v>12.17166281268277</v>
      </c>
      <c r="D98">
        <f>82840.4803424098/D82</f>
        <v>2.6718426170749816</v>
      </c>
      <c r="E98">
        <f>30670.7442247652/E82</f>
        <v>0.83525991897508711</v>
      </c>
      <c r="F98">
        <f>92960.9035220188/F82</f>
        <v>2.5216574941548568</v>
      </c>
      <c r="G98">
        <f>188032.374704197/G82</f>
        <v>5.1429767977953826</v>
      </c>
      <c r="H98">
        <f>13538.6158986014/H82</f>
        <v>0.30747219973204487</v>
      </c>
      <c r="I98">
        <f>50786.2667428361/I82</f>
        <v>2.0880793825687074</v>
      </c>
      <c r="J98">
        <f>24633.5438757447/J82</f>
        <v>0.76977419067356334</v>
      </c>
      <c r="K98">
        <f>12246.0681270456/K82</f>
        <v>0.85042139771150005</v>
      </c>
      <c r="L98">
        <f>10962.1106255344/L82</f>
        <v>0.30364275180140715</v>
      </c>
    </row>
    <row r="99" spans="1:12">
      <c r="A99" t="s">
        <v>53</v>
      </c>
      <c r="B99">
        <f>3113135.47887815/B82</f>
        <v>15.023262501764542</v>
      </c>
      <c r="C99">
        <f>532521.778636146/C82</f>
        <v>74.781881566654405</v>
      </c>
      <c r="D99">
        <f>508966.365995265/D82</f>
        <v>16.415622189816641</v>
      </c>
      <c r="E99">
        <f>188438.99945927/E82</f>
        <v>5.1317810310258718</v>
      </c>
      <c r="F99">
        <f>571145.56856349/F82</f>
        <v>15.492894847782177</v>
      </c>
      <c r="G99">
        <f>1155258.32355248/G82</f>
        <v>31.598105181818877</v>
      </c>
      <c r="H99">
        <f>83180.3498245675/H82</f>
        <v>1.8890886133849814</v>
      </c>
      <c r="I99">
        <f>312027.42330472/I82</f>
        <v>12.829019953322918</v>
      </c>
      <c r="J99">
        <f>151346.844636825/J82</f>
        <v>4.7294410998664107</v>
      </c>
      <c r="K99">
        <f>75239.0228375096/K82</f>
        <v>5.2249321414937224</v>
      </c>
      <c r="L99">
        <f>67350.4738945848/L82</f>
        <v>1.8655607416371611</v>
      </c>
    </row>
    <row r="100" spans="1:12">
      <c r="A100" s="2" t="s">
        <v>93</v>
      </c>
      <c r="B100" s="1">
        <f>SUM(B96:B99)</f>
        <v>150.68752197516994</v>
      </c>
      <c r="C100" s="1">
        <f t="shared" ref="C100:L100" si="18">SUM(C96:C99)</f>
        <v>447.48365275159489</v>
      </c>
      <c r="D100" s="1">
        <f t="shared" si="18"/>
        <v>90.006800038594065</v>
      </c>
      <c r="E100" s="1">
        <f t="shared" si="18"/>
        <v>40.0899913343316</v>
      </c>
      <c r="F100" s="1">
        <f t="shared" si="18"/>
        <v>106.01071763387131</v>
      </c>
      <c r="G100" s="1">
        <f t="shared" si="18"/>
        <v>253.24617232387331</v>
      </c>
      <c r="H100" s="1">
        <f t="shared" si="18"/>
        <v>11.658550877183893</v>
      </c>
      <c r="I100" s="1">
        <f t="shared" si="18"/>
        <v>74.931821443797887</v>
      </c>
      <c r="J100" s="1">
        <f t="shared" si="18"/>
        <v>27.845568270769338</v>
      </c>
      <c r="K100" s="1">
        <f t="shared" si="18"/>
        <v>43.787443747967991</v>
      </c>
      <c r="L100" s="1">
        <f t="shared" si="18"/>
        <v>10.769038511036653</v>
      </c>
    </row>
  </sheetData>
  <pageMargins left="0.7" right="0.7" top="0.78740157499999996" bottom="0.78740157499999996" header="0.3" footer="0.3"/>
  <pageSetup paperSize="9" orientation="portrait" horizontalDpi="300" verticalDpi="300"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C2:P97"/>
  <sheetViews>
    <sheetView topLeftCell="D100" workbookViewId="0">
      <selection activeCell="C48" sqref="C48:N58"/>
    </sheetView>
  </sheetViews>
  <sheetFormatPr defaultRowHeight="15"/>
  <cols>
    <col min="3" max="3" width="27.5703125" customWidth="1"/>
    <col min="4" max="4" width="16.140625" customWidth="1"/>
    <col min="5" max="5" width="17.140625" customWidth="1"/>
    <col min="6" max="6" width="20" customWidth="1"/>
    <col min="7" max="7" width="18.42578125" customWidth="1"/>
    <col min="8" max="8" width="13" customWidth="1"/>
    <col min="9" max="9" width="14.140625" customWidth="1"/>
    <col min="10" max="10" width="14.42578125" customWidth="1"/>
    <col min="11" max="11" width="16.28515625" customWidth="1"/>
    <col min="12" max="12" width="19" customWidth="1"/>
    <col min="13" max="13" width="16.5703125" customWidth="1"/>
    <col min="14" max="14" width="14.7109375" customWidth="1"/>
  </cols>
  <sheetData>
    <row r="2" spans="3:10">
      <c r="C2" s="1" t="s">
        <v>105</v>
      </c>
    </row>
    <row r="3" spans="3:10">
      <c r="C3" s="10" t="s">
        <v>4</v>
      </c>
      <c r="D3" t="s">
        <v>104</v>
      </c>
      <c r="E3" s="1" t="s">
        <v>106</v>
      </c>
      <c r="F3" s="1" t="s">
        <v>107</v>
      </c>
      <c r="G3" s="1" t="s">
        <v>108</v>
      </c>
      <c r="H3" s="1" t="s">
        <v>109</v>
      </c>
      <c r="I3" s="1" t="s">
        <v>110</v>
      </c>
      <c r="J3" s="1" t="s">
        <v>163</v>
      </c>
    </row>
    <row r="4" spans="3:10">
      <c r="C4" s="1" t="s">
        <v>2</v>
      </c>
      <c r="E4" s="1" t="s">
        <v>6</v>
      </c>
      <c r="F4" s="1" t="s">
        <v>12</v>
      </c>
      <c r="G4" s="1" t="s">
        <v>13</v>
      </c>
      <c r="H4" s="1" t="s">
        <v>14</v>
      </c>
      <c r="I4" s="1" t="s">
        <v>15</v>
      </c>
      <c r="J4" s="3">
        <f>SUM(Tabulka11[[#This Row],[Sloupec3]:[Sloupec7]])</f>
        <v>0</v>
      </c>
    </row>
    <row r="5" spans="3:10">
      <c r="C5" t="s">
        <v>19</v>
      </c>
      <c r="E5">
        <f>84320.69+17472.64-69958.5</f>
        <v>31834.83</v>
      </c>
      <c r="F5">
        <f>33892.13+76928.7+12116.83+129138.13</f>
        <v>252075.78999999998</v>
      </c>
      <c r="G5">
        <f>120685.04+488969.89</f>
        <v>609654.93000000005</v>
      </c>
      <c r="H5">
        <f>121335.51+114332.48+2725.87</f>
        <v>238393.86</v>
      </c>
      <c r="I5">
        <f>992270.75+106488.76+95371.74+2174849.03+522320.9+362069.32</f>
        <v>4253370.5</v>
      </c>
      <c r="J5" s="3">
        <f>SUM(Tabulka11[[#This Row],[Sloupec3]:[Sloupec7]])</f>
        <v>5385329.9100000001</v>
      </c>
    </row>
    <row r="6" spans="3:10">
      <c r="C6" t="s">
        <v>20</v>
      </c>
      <c r="F6">
        <f>356585.01+300990</f>
        <v>657575.01</v>
      </c>
      <c r="G6">
        <f>911819.7+369898.44-H6-I6</f>
        <v>769030.88399999985</v>
      </c>
      <c r="H6">
        <v>384515.44199999998</v>
      </c>
      <c r="I6">
        <v>128171.814</v>
      </c>
      <c r="J6" s="3">
        <f>SUM(Tabulka11[[#This Row],[Sloupec3]:[Sloupec7]])</f>
        <v>1939293.15</v>
      </c>
    </row>
    <row r="7" spans="3:10">
      <c r="C7" t="s">
        <v>7</v>
      </c>
      <c r="E7">
        <f>1155664.12+150200.88</f>
        <v>1305865</v>
      </c>
      <c r="F7">
        <f>77201.14+350+1240+69347+7399</f>
        <v>155537.14000000001</v>
      </c>
      <c r="G7">
        <f>117654.58+103030.78</f>
        <v>220685.36</v>
      </c>
      <c r="H7">
        <f>58846+119032.1+21745.3</f>
        <v>199623.4</v>
      </c>
      <c r="I7">
        <f>379428.8+913371.1+275962+229755.16</f>
        <v>1798517.0599999998</v>
      </c>
      <c r="J7" s="3">
        <f>SUM(Tabulka11[[#This Row],[Sloupec3]:[Sloupec7]])</f>
        <v>3680227.96</v>
      </c>
    </row>
    <row r="8" spans="3:10">
      <c r="C8" t="s">
        <v>8</v>
      </c>
      <c r="E8">
        <f>164552.41+17482.12+1138182+3388.31</f>
        <v>1323604.8400000001</v>
      </c>
      <c r="F8">
        <f>174916.86+59583.8</f>
        <v>234500.65999999997</v>
      </c>
      <c r="G8">
        <f>2549.14+1912326.82+2549.14</f>
        <v>1917425.0999999999</v>
      </c>
      <c r="I8">
        <f>890.1+22561</f>
        <v>23451.1</v>
      </c>
      <c r="J8" s="3">
        <f>SUM(Tabulka11[[#This Row],[Sloupec3]:[Sloupec7]])</f>
        <v>3498981.6999999997</v>
      </c>
    </row>
    <row r="9" spans="3:10">
      <c r="C9" t="s">
        <v>11</v>
      </c>
      <c r="E9">
        <f>6400+2175.88+1913150.19+127610.8+431362.87+209933.6+439</f>
        <v>2691072.34</v>
      </c>
      <c r="F9">
        <f>1897.79+647179.5+1121108.27+37189+908729.7</f>
        <v>2716104.26</v>
      </c>
      <c r="G9">
        <f>10050.82+2075926.6+9273.03+202755.11+12348</f>
        <v>2310353.56</v>
      </c>
      <c r="H9">
        <f>165649+318607.89+8418+2862.16</f>
        <v>495537.05</v>
      </c>
      <c r="I9">
        <f>260918.41+53189+15494</f>
        <v>329601.41000000003</v>
      </c>
      <c r="J9" s="3">
        <f>SUM(Tabulka11[[#This Row],[Sloupec3]:[Sloupec7]])</f>
        <v>8542668.6199999992</v>
      </c>
    </row>
    <row r="10" spans="3:10">
      <c r="C10" t="s">
        <v>16</v>
      </c>
      <c r="E10">
        <f>43388.13+20015+568092.16+39097+71377.84+143968.86</f>
        <v>885938.99</v>
      </c>
      <c r="F10">
        <f>381178.05+220041.24-0.02+24328.95+308971.26+9706.02</f>
        <v>944225.5</v>
      </c>
      <c r="G10">
        <f>68936.27+103712.29+13816+665335.3+359625.27+28198+6160+16546.76+220400</f>
        <v>1482729.8900000001</v>
      </c>
      <c r="H10">
        <f>108325.71+46413.5</f>
        <v>154739.21000000002</v>
      </c>
      <c r="I10">
        <f>88718.43+18084.38+5268.01+25596.96</f>
        <v>137667.78</v>
      </c>
      <c r="J10" s="3">
        <f>SUM(Tabulka11[[#This Row],[Sloupec3]:[Sloupec7]])</f>
        <v>3605301.3699999996</v>
      </c>
    </row>
    <row r="11" spans="3:10">
      <c r="C11" t="s">
        <v>9</v>
      </c>
      <c r="E11">
        <f>200+310</f>
        <v>510</v>
      </c>
      <c r="F11">
        <f>100+1827</f>
        <v>1927</v>
      </c>
      <c r="G11">
        <f>13100+53575+550938</f>
        <v>617613</v>
      </c>
      <c r="J11" s="3">
        <f>SUM(Tabulka11[[#This Row],[Sloupec3]:[Sloupec7]])</f>
        <v>620050</v>
      </c>
    </row>
    <row r="12" spans="3:10">
      <c r="C12" t="s">
        <v>21</v>
      </c>
      <c r="G12">
        <v>250</v>
      </c>
      <c r="J12" s="3">
        <f>SUM(Tabulka11[[#This Row],[Sloupec3]:[Sloupec7]])</f>
        <v>250</v>
      </c>
    </row>
    <row r="13" spans="3:10">
      <c r="C13" t="s">
        <v>17</v>
      </c>
      <c r="F13">
        <f>65966.65+49993.3+11639+45012.3</f>
        <v>172611.25</v>
      </c>
      <c r="G13">
        <f>101853.89+11853+1565</f>
        <v>115271.89</v>
      </c>
      <c r="H13">
        <f>1565+11853</f>
        <v>13418</v>
      </c>
      <c r="I13">
        <v>29081</v>
      </c>
      <c r="J13" s="3">
        <f>SUM(Tabulka11[[#This Row],[Sloupec3]:[Sloupec7]])</f>
        <v>330382.14</v>
      </c>
    </row>
    <row r="14" spans="3:10">
      <c r="C14" t="s">
        <v>10</v>
      </c>
      <c r="E14">
        <f>11250+703456</f>
        <v>714706</v>
      </c>
      <c r="F14">
        <f>3948+186328</f>
        <v>190276</v>
      </c>
      <c r="G14">
        <f>11772+64008+16964+95015</f>
        <v>187759</v>
      </c>
      <c r="H14">
        <f>16964+64008</f>
        <v>80972</v>
      </c>
      <c r="I14">
        <f>709252+840000+373624+63199+11802</f>
        <v>1997877</v>
      </c>
      <c r="J14" s="3">
        <f>SUM(Tabulka11[[#This Row],[Sloupec3]:[Sloupec7]])</f>
        <v>3171590</v>
      </c>
    </row>
    <row r="15" spans="3:10">
      <c r="C15" t="s">
        <v>18</v>
      </c>
      <c r="G15">
        <v>40977.519999999997</v>
      </c>
      <c r="H15">
        <f>8163.9</f>
        <v>8163.9</v>
      </c>
      <c r="I15">
        <f>91629.41+33076.33+98067.12+44894.63</f>
        <v>267667.49</v>
      </c>
      <c r="J15" s="3">
        <f>SUM(Tabulka11[[#This Row],[Sloupec3]:[Sloupec7]])</f>
        <v>316808.90999999997</v>
      </c>
    </row>
    <row r="16" spans="3:10">
      <c r="C16" s="1" t="s">
        <v>3</v>
      </c>
      <c r="E16">
        <f>SUM(E5:E14)</f>
        <v>6953532</v>
      </c>
      <c r="F16">
        <f>SUM(F5:F15)</f>
        <v>5324832.6099999994</v>
      </c>
      <c r="G16">
        <f>SUM(G5:G15)</f>
        <v>8271751.1339999987</v>
      </c>
      <c r="H16">
        <f>SUM(H5:H15)</f>
        <v>1575362.8619999997</v>
      </c>
      <c r="I16">
        <f>SUM(I5:I15)</f>
        <v>8965405.154000001</v>
      </c>
      <c r="J16" s="3">
        <f>SUM(Tabulka11[[#This Row],[Sloupec3]:[Sloupec7]])</f>
        <v>31090883.759999998</v>
      </c>
    </row>
    <row r="19" spans="3:16">
      <c r="C19" s="1" t="s">
        <v>71</v>
      </c>
    </row>
    <row r="20" spans="3:16">
      <c r="C20" t="s">
        <v>4</v>
      </c>
      <c r="D20" t="s">
        <v>59</v>
      </c>
      <c r="E20" t="s">
        <v>58</v>
      </c>
      <c r="F20" t="s">
        <v>39</v>
      </c>
      <c r="G20" t="s">
        <v>40</v>
      </c>
      <c r="H20" t="s">
        <v>30</v>
      </c>
      <c r="I20" t="s">
        <v>31</v>
      </c>
      <c r="J20" t="s">
        <v>86</v>
      </c>
      <c r="K20" t="s">
        <v>87</v>
      </c>
      <c r="L20" t="s">
        <v>54</v>
      </c>
      <c r="M20" t="s">
        <v>80</v>
      </c>
      <c r="N20" t="s">
        <v>88</v>
      </c>
      <c r="P20" t="s">
        <v>3</v>
      </c>
    </row>
    <row r="21" spans="3:16">
      <c r="C21" t="s">
        <v>37</v>
      </c>
      <c r="D21">
        <f>2444212.96+880779.33+556473.39+17845.84+19177-L21</f>
        <v>3872663.88</v>
      </c>
      <c r="E21">
        <f>471847.47+1144040.78+9192.26-N21</f>
        <v>1381318.43</v>
      </c>
      <c r="F21">
        <v>39412.78</v>
      </c>
      <c r="G21">
        <f>1531501.3+877097.12+1016575.55</f>
        <v>3425173.9699999997</v>
      </c>
      <c r="H21">
        <v>1206633.8700000001</v>
      </c>
      <c r="I21">
        <v>271003.8</v>
      </c>
      <c r="J21">
        <f>802273.05+975562.55+100382.14</f>
        <v>1878217.74</v>
      </c>
      <c r="K21">
        <f>57483.3+83211.45+417166.18</f>
        <v>557860.92999999993</v>
      </c>
      <c r="L21">
        <f>45824.64</f>
        <v>45824.639999999999</v>
      </c>
      <c r="M21">
        <v>470218.56</v>
      </c>
      <c r="N21">
        <v>243762.08</v>
      </c>
      <c r="P21">
        <f t="shared" ref="P21" si="0">SUM(D21:L21)</f>
        <v>12678110.040000001</v>
      </c>
    </row>
    <row r="22" spans="3:16">
      <c r="C22" t="s">
        <v>36</v>
      </c>
      <c r="D22">
        <f>459635.32+134931+26965-M22</f>
        <v>546947.56000000006</v>
      </c>
      <c r="E22">
        <f>90384.75+61506-N22</f>
        <v>129107.14</v>
      </c>
      <c r="F22">
        <v>0</v>
      </c>
      <c r="G22">
        <f>131741.89+77688.41</f>
        <v>209430.30000000002</v>
      </c>
      <c r="H22">
        <v>549738.43999999994</v>
      </c>
      <c r="I22">
        <v>8760</v>
      </c>
      <c r="J22">
        <f>109500+66165</f>
        <v>175665</v>
      </c>
      <c r="K22">
        <v>0</v>
      </c>
      <c r="L22">
        <v>0</v>
      </c>
      <c r="M22">
        <v>74583.759999999995</v>
      </c>
      <c r="N22">
        <v>22783.61</v>
      </c>
      <c r="P22">
        <f>SUM(D22:N22)</f>
        <v>1717015.81</v>
      </c>
    </row>
    <row r="23" spans="3:16">
      <c r="C23" t="s">
        <v>38</v>
      </c>
      <c r="D23">
        <f>152513.62+48867+51854.21+16614.91+24141+8207.87+17845.84+6067.41+6520.31-M23</f>
        <v>292716.31</v>
      </c>
      <c r="E23">
        <f>36425+279180.12+12384.61+91812.92-N23</f>
        <v>356832.24999999994</v>
      </c>
      <c r="F23">
        <f>6367+2164.74</f>
        <v>8531.74</v>
      </c>
      <c r="G23">
        <f>90813.35+26325.8+8950.9+30876.52+38767.93+13181.33</f>
        <v>208915.83</v>
      </c>
      <c r="H23">
        <f>67992.81+23117.58+13899.84</f>
        <v>105010.23</v>
      </c>
      <c r="I23">
        <f>192769.48+41818.81</f>
        <v>234588.29</v>
      </c>
      <c r="J23">
        <f>40518.15+30546.73+10385.96+13776.22+2211.01+37785+12846.9+903.18</f>
        <v>148973.15</v>
      </c>
      <c r="K23">
        <f>48172.2+16378.39+36385+12370.88</f>
        <v>113306.47</v>
      </c>
      <c r="L23">
        <f>482.4+15580.63+44650.12+15181.14</f>
        <v>75894.290000000008</v>
      </c>
      <c r="M23">
        <v>39915.86</v>
      </c>
      <c r="N23">
        <v>62970.400000000001</v>
      </c>
      <c r="P23">
        <f>SUM(D23:N23)</f>
        <v>1647654.8199999998</v>
      </c>
    </row>
    <row r="24" spans="3:16">
      <c r="C24" t="s">
        <v>50</v>
      </c>
      <c r="D24">
        <f>D41*D21</f>
        <v>2124030.484816975</v>
      </c>
      <c r="E24">
        <f>D41*E21</f>
        <v>757608.34027236118</v>
      </c>
      <c r="F24">
        <f>D41*F21</f>
        <v>21616.631033671005</v>
      </c>
      <c r="G24">
        <f>D41*G21</f>
        <v>1878596.7885448355</v>
      </c>
      <c r="H24">
        <f>D41*H21</f>
        <v>661799.52696867741</v>
      </c>
      <c r="I24">
        <f>D41*I21</f>
        <v>148636.79124697042</v>
      </c>
      <c r="J24">
        <f>D41*J21</f>
        <v>1030141.489295488</v>
      </c>
      <c r="K24">
        <f>D41*K21</f>
        <v>305968.61961806723</v>
      </c>
      <c r="L24">
        <f>D41*L21</f>
        <v>25133.328202953504</v>
      </c>
      <c r="M24">
        <f>D41*M21</f>
        <v>257899.62333801604</v>
      </c>
      <c r="N24">
        <f>D41*N21</f>
        <v>133695.59171822426</v>
      </c>
      <c r="P24">
        <f>SUM(D24:N24)</f>
        <v>7345127.2150562396</v>
      </c>
    </row>
    <row r="25" spans="3:16">
      <c r="C25" s="2" t="s">
        <v>94</v>
      </c>
      <c r="D25" s="1">
        <f>SUM(D21:D24)</f>
        <v>6836358.234816974</v>
      </c>
      <c r="E25" s="1">
        <f t="shared" ref="E25:N25" si="1">SUM(E21:E24)</f>
        <v>2624866.1602723608</v>
      </c>
      <c r="F25" s="1">
        <f t="shared" si="1"/>
        <v>69561.151033671005</v>
      </c>
      <c r="G25" s="1">
        <f t="shared" si="1"/>
        <v>5722116.8885448352</v>
      </c>
      <c r="H25" s="1">
        <f t="shared" si="1"/>
        <v>2523182.0669686776</v>
      </c>
      <c r="I25" s="1">
        <f t="shared" si="1"/>
        <v>662988.88124697038</v>
      </c>
      <c r="J25" s="1">
        <f t="shared" si="1"/>
        <v>3232997.3792954879</v>
      </c>
      <c r="K25" s="1">
        <f t="shared" si="1"/>
        <v>977136.01961806719</v>
      </c>
      <c r="L25" s="1">
        <f t="shared" si="1"/>
        <v>146852.2582029535</v>
      </c>
      <c r="M25" s="1">
        <f t="shared" si="1"/>
        <v>842617.80333801592</v>
      </c>
      <c r="N25" s="1">
        <f t="shared" si="1"/>
        <v>463211.68171822431</v>
      </c>
    </row>
    <row r="26" spans="3:16">
      <c r="C26" t="s">
        <v>51</v>
      </c>
      <c r="D26">
        <f>D42*(D21+D22+D23)</f>
        <v>996681.80807171972</v>
      </c>
      <c r="E26">
        <f>D42*(E21+E22+E23)</f>
        <v>394934.73266447947</v>
      </c>
      <c r="F26">
        <f>D42*(F21+F22+F23)</f>
        <v>10140.515137286606</v>
      </c>
      <c r="G26">
        <f>D42*(G21+G22+G23)</f>
        <v>812924.47509152931</v>
      </c>
      <c r="H26">
        <f>D42*(I21+I22+I23)</f>
        <v>108788.14001141326</v>
      </c>
      <c r="I26">
        <f>D42*(I21+I22+I23)</f>
        <v>108788.14001141326</v>
      </c>
      <c r="J26">
        <f>D42*(J21+J22+J23)</f>
        <v>465915.46849996538</v>
      </c>
      <c r="K26">
        <f>D42*(K21+K22+K23)</f>
        <v>141955.39301161622</v>
      </c>
      <c r="L26">
        <f>D42*(L21+L22+L23)</f>
        <v>25744.186241917301</v>
      </c>
      <c r="M26">
        <f>D42*(M21+M22+M23)</f>
        <v>123670.93372374307</v>
      </c>
      <c r="N26">
        <f>D42*(N21+N22+N23)</f>
        <v>69694.365458753076</v>
      </c>
      <c r="P26">
        <f>SUM(D26:N26)</f>
        <v>3259238.1579238363</v>
      </c>
    </row>
    <row r="27" spans="3:16">
      <c r="C27" t="s">
        <v>52</v>
      </c>
      <c r="D27">
        <f>D43*D21</f>
        <v>228242.13117263449</v>
      </c>
      <c r="E27">
        <f>D43*E21</f>
        <v>81410.386251036456</v>
      </c>
      <c r="F27">
        <f>D43*F21</f>
        <v>2322.8602278383596</v>
      </c>
      <c r="G27">
        <f>D43*G21</f>
        <v>201868.54082204346</v>
      </c>
      <c r="H27">
        <f>D43*H21</f>
        <v>71115.050148344817</v>
      </c>
      <c r="I27">
        <f>D43*I21</f>
        <v>15972.076788621893</v>
      </c>
      <c r="J27">
        <f>D43*J21</f>
        <v>110696.00488639595</v>
      </c>
      <c r="K27">
        <f>D43*K21</f>
        <v>32878.496948500433</v>
      </c>
      <c r="L27">
        <f>D43*L21</f>
        <v>2700.7542657739646</v>
      </c>
      <c r="M27">
        <f>D43*M21</f>
        <v>27713.142574957292</v>
      </c>
      <c r="N27">
        <f>D43*N21</f>
        <v>14366.538992863543</v>
      </c>
      <c r="P27">
        <f>SUM(D27:N27)</f>
        <v>789285.98307901062</v>
      </c>
    </row>
    <row r="28" spans="3:16">
      <c r="C28" t="s">
        <v>53</v>
      </c>
      <c r="D28">
        <f>D44*(D21+D22+D23)</f>
        <v>1080261.7334865574</v>
      </c>
      <c r="E28">
        <f>D44*(E21+E22+E23)</f>
        <v>428053.24173377588</v>
      </c>
      <c r="F28">
        <f>D44*(F21+F22+F23)</f>
        <v>10990.880310984507</v>
      </c>
      <c r="G28">
        <f>D44*(G21+G22+G23)</f>
        <v>881094.8444569516</v>
      </c>
      <c r="H28">
        <f>D44*(H21+H22+H23)</f>
        <v>426706.38292126678</v>
      </c>
      <c r="I28">
        <f>D44*(I21+I22+I23)</f>
        <v>117910.91576044001</v>
      </c>
      <c r="J28">
        <f>D44*(J21+J22+J23)</f>
        <v>504986.29310163617</v>
      </c>
      <c r="K28">
        <f>D44*(K21+K22+K23)</f>
        <v>153859.51433103642</v>
      </c>
      <c r="L28">
        <f>D44*(L21+L22+L23)</f>
        <v>27903.046921965255</v>
      </c>
      <c r="M28">
        <f>D44*(M21+M22+M23)</f>
        <v>134041.7535108641</v>
      </c>
      <c r="N28">
        <f>D44*(N21+N22+N23)</f>
        <v>75538.808308720152</v>
      </c>
      <c r="P28">
        <f>SUM(D28:N28)</f>
        <v>3841347.4148441977</v>
      </c>
    </row>
    <row r="29" spans="3:16">
      <c r="C29" s="2" t="s">
        <v>93</v>
      </c>
      <c r="D29" s="1">
        <f>SUM(D25:D28)</f>
        <v>9141543.9075478856</v>
      </c>
      <c r="E29" s="1">
        <f t="shared" ref="E29:N29" si="2">SUM(E25:E28)</f>
        <v>3529264.5209216527</v>
      </c>
      <c r="F29" s="1">
        <f t="shared" si="2"/>
        <v>93015.40670978048</v>
      </c>
      <c r="G29" s="1">
        <f t="shared" si="2"/>
        <v>7618004.7489153594</v>
      </c>
      <c r="H29" s="1">
        <f t="shared" si="2"/>
        <v>3129791.640049702</v>
      </c>
      <c r="I29" s="1">
        <f t="shared" si="2"/>
        <v>905660.01380744553</v>
      </c>
      <c r="J29" s="1">
        <f t="shared" si="2"/>
        <v>4314595.1457834849</v>
      </c>
      <c r="K29" s="1">
        <f t="shared" si="2"/>
        <v>1305829.4239092204</v>
      </c>
      <c r="L29" s="1">
        <f t="shared" si="2"/>
        <v>203200.24563261002</v>
      </c>
      <c r="M29" s="1">
        <f t="shared" si="2"/>
        <v>1128043.6331475805</v>
      </c>
      <c r="N29" s="1">
        <f t="shared" si="2"/>
        <v>622811.39447856101</v>
      </c>
      <c r="P29">
        <f>SUM(P21:P28)</f>
        <v>31277779.440903287</v>
      </c>
    </row>
    <row r="30" spans="3:16"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3:16">
      <c r="C31" t="s">
        <v>60</v>
      </c>
      <c r="D31">
        <f>4525683.13+1938070</f>
        <v>6463753.1299999999</v>
      </c>
      <c r="E31">
        <f>6052776.22+374629</f>
        <v>6427405.2199999997</v>
      </c>
      <c r="F31">
        <v>118800</v>
      </c>
      <c r="G31">
        <f>4200331+1256945</f>
        <v>5457276</v>
      </c>
      <c r="H31">
        <v>3786623</v>
      </c>
      <c r="I31">
        <v>272055.52</v>
      </c>
      <c r="J31">
        <v>2549679</v>
      </c>
      <c r="K31">
        <v>0</v>
      </c>
      <c r="L31">
        <v>0</v>
      </c>
      <c r="M31">
        <v>147435</v>
      </c>
      <c r="N31">
        <v>0</v>
      </c>
    </row>
    <row r="32" spans="3:16">
      <c r="C32" t="s">
        <v>63</v>
      </c>
      <c r="D32">
        <f>72000+33900</f>
        <v>105900</v>
      </c>
      <c r="E32">
        <f>78000+51000</f>
        <v>129000</v>
      </c>
      <c r="F32">
        <v>0</v>
      </c>
      <c r="G32">
        <v>0</v>
      </c>
      <c r="H32">
        <v>0</v>
      </c>
      <c r="I32">
        <v>0</v>
      </c>
      <c r="J32">
        <f>1881000+171900</f>
        <v>2052900</v>
      </c>
      <c r="K32">
        <f>389550+743760</f>
        <v>1133310</v>
      </c>
      <c r="L32">
        <v>298660</v>
      </c>
      <c r="M32">
        <f>155000+340000</f>
        <v>495000</v>
      </c>
      <c r="N32">
        <f>160000+110000</f>
        <v>270000</v>
      </c>
    </row>
    <row r="33" spans="3:16">
      <c r="C33" t="s">
        <v>73</v>
      </c>
      <c r="D33">
        <v>0</v>
      </c>
      <c r="E33">
        <v>10971</v>
      </c>
      <c r="F33">
        <v>0</v>
      </c>
      <c r="G33">
        <v>0</v>
      </c>
      <c r="H33">
        <v>470063.2</v>
      </c>
      <c r="I33">
        <v>31347</v>
      </c>
      <c r="J33">
        <v>346903</v>
      </c>
      <c r="K33">
        <v>0</v>
      </c>
      <c r="L33">
        <v>3686969.34</v>
      </c>
      <c r="M33">
        <v>0</v>
      </c>
      <c r="N33">
        <v>0</v>
      </c>
    </row>
    <row r="34" spans="3:16">
      <c r="C34" s="1" t="s">
        <v>61</v>
      </c>
      <c r="D34" s="1">
        <f>SUM(D31:D33)</f>
        <v>6569653.1299999999</v>
      </c>
      <c r="E34" s="1">
        <f t="shared" ref="E34:N34" si="3">SUM(E31:E33)</f>
        <v>6567376.2199999997</v>
      </c>
      <c r="F34" s="1">
        <f t="shared" si="3"/>
        <v>118800</v>
      </c>
      <c r="G34" s="1">
        <f t="shared" si="3"/>
        <v>5457276</v>
      </c>
      <c r="H34" s="1">
        <f t="shared" si="3"/>
        <v>4256686.2</v>
      </c>
      <c r="I34" s="1">
        <f t="shared" si="3"/>
        <v>303402.52</v>
      </c>
      <c r="J34" s="1">
        <f t="shared" si="3"/>
        <v>4949482</v>
      </c>
      <c r="K34" s="1">
        <f t="shared" si="3"/>
        <v>1133310</v>
      </c>
      <c r="L34" s="1">
        <f t="shared" si="3"/>
        <v>3985629.34</v>
      </c>
      <c r="M34" s="1">
        <f t="shared" si="3"/>
        <v>642435</v>
      </c>
      <c r="N34" s="1">
        <f t="shared" si="3"/>
        <v>270000</v>
      </c>
    </row>
    <row r="35" spans="3:16">
      <c r="C35" t="s">
        <v>90</v>
      </c>
      <c r="D35">
        <f>D34-D29</f>
        <v>-2571890.7775478857</v>
      </c>
      <c r="E35">
        <f t="shared" ref="E35:N35" si="4">E34-E29</f>
        <v>3038111.6990783471</v>
      </c>
      <c r="F35">
        <f t="shared" si="4"/>
        <v>25784.59329021952</v>
      </c>
      <c r="G35">
        <f t="shared" si="4"/>
        <v>-2160728.7489153594</v>
      </c>
      <c r="H35">
        <f t="shared" si="4"/>
        <v>1126894.5599502982</v>
      </c>
      <c r="I35">
        <f t="shared" si="4"/>
        <v>-602257.49380744551</v>
      </c>
      <c r="J35">
        <f t="shared" si="4"/>
        <v>634886.85421651509</v>
      </c>
      <c r="K35">
        <f t="shared" si="4"/>
        <v>-172519.42390922038</v>
      </c>
      <c r="L35">
        <f t="shared" si="4"/>
        <v>3782429.09436739</v>
      </c>
      <c r="M35">
        <f t="shared" si="4"/>
        <v>-485608.63314758055</v>
      </c>
      <c r="N35">
        <f t="shared" si="4"/>
        <v>-352811.39447856101</v>
      </c>
      <c r="P35">
        <f>SUM(D35:N35)</f>
        <v>2262290.3290967173</v>
      </c>
    </row>
    <row r="37" spans="3:16">
      <c r="C37" t="s">
        <v>141</v>
      </c>
      <c r="D37">
        <v>22264</v>
      </c>
      <c r="E37">
        <v>17059</v>
      </c>
      <c r="F37">
        <v>297</v>
      </c>
      <c r="G37">
        <v>5474.5</v>
      </c>
      <c r="H37">
        <v>49465.3</v>
      </c>
      <c r="I37">
        <v>1902</v>
      </c>
      <c r="J37">
        <f>12439.4+41800</f>
        <v>54239.4</v>
      </c>
      <c r="K37">
        <v>15582</v>
      </c>
      <c r="L37">
        <v>3200</v>
      </c>
      <c r="M37">
        <v>9900</v>
      </c>
      <c r="N37">
        <v>5400</v>
      </c>
    </row>
    <row r="38" spans="3:16">
      <c r="C38" t="s">
        <v>138</v>
      </c>
      <c r="D38">
        <f>D25/D37</f>
        <v>307.05884992889753</v>
      </c>
      <c r="E38">
        <f t="shared" ref="E38:N38" si="5">E25/E37</f>
        <v>153.86987281038517</v>
      </c>
      <c r="F38">
        <f t="shared" si="5"/>
        <v>234.21262974300001</v>
      </c>
      <c r="G38">
        <f t="shared" si="5"/>
        <v>1045.2309596392063</v>
      </c>
      <c r="H38">
        <f t="shared" si="5"/>
        <v>51.009133007758521</v>
      </c>
      <c r="I38">
        <f t="shared" si="5"/>
        <v>348.57459581859644</v>
      </c>
      <c r="J38">
        <f t="shared" si="5"/>
        <v>59.606068269477312</v>
      </c>
      <c r="K38">
        <f t="shared" si="5"/>
        <v>62.709281197411578</v>
      </c>
      <c r="L38">
        <f t="shared" si="5"/>
        <v>45.891330688422968</v>
      </c>
      <c r="M38">
        <f t="shared" si="5"/>
        <v>85.112909428082418</v>
      </c>
      <c r="N38">
        <f t="shared" si="5"/>
        <v>85.779941058930433</v>
      </c>
    </row>
    <row r="39" spans="3:16">
      <c r="C39" t="s">
        <v>139</v>
      </c>
      <c r="D39">
        <f>D29/D37</f>
        <v>410.59755244106566</v>
      </c>
      <c r="E39">
        <f t="shared" ref="E39:N39" si="6">E29/E37</f>
        <v>206.88577999423487</v>
      </c>
      <c r="F39">
        <f t="shared" si="6"/>
        <v>313.18318757501845</v>
      </c>
      <c r="G39">
        <f t="shared" si="6"/>
        <v>1391.5434740917635</v>
      </c>
      <c r="H39">
        <f t="shared" si="6"/>
        <v>63.272468579988434</v>
      </c>
      <c r="I39">
        <f t="shared" si="6"/>
        <v>476.16194206490303</v>
      </c>
      <c r="J39">
        <f t="shared" si="6"/>
        <v>79.54725062931162</v>
      </c>
      <c r="K39">
        <f t="shared" si="6"/>
        <v>83.803710942704427</v>
      </c>
      <c r="L39">
        <f t="shared" si="6"/>
        <v>63.50007676019063</v>
      </c>
      <c r="M39">
        <f t="shared" si="6"/>
        <v>113.94380132803843</v>
      </c>
      <c r="N39">
        <f t="shared" si="6"/>
        <v>115.33544342195574</v>
      </c>
    </row>
    <row r="41" spans="3:16">
      <c r="C41" s="1" t="s">
        <v>74</v>
      </c>
      <c r="D41">
        <f>E16/P21</f>
        <v>0.54846755376481959</v>
      </c>
    </row>
    <row r="42" spans="3:16">
      <c r="C42" s="1" t="s">
        <v>75</v>
      </c>
      <c r="D42">
        <f>G16/(P21+P22+P23+P49+P50+P51)</f>
        <v>0.21150519678341981</v>
      </c>
    </row>
    <row r="43" spans="3:16">
      <c r="C43" s="1" t="s">
        <v>77</v>
      </c>
      <c r="D43">
        <f>H16/(P21+P49)</f>
        <v>5.8936726306501583E-2</v>
      </c>
    </row>
    <row r="44" spans="3:16">
      <c r="C44" s="1" t="s">
        <v>76</v>
      </c>
      <c r="D44">
        <f>I16/(P21+P22+P23+P49+P50+P51)</f>
        <v>0.22924163827241378</v>
      </c>
    </row>
    <row r="47" spans="3:16">
      <c r="C47" s="1" t="s">
        <v>72</v>
      </c>
    </row>
    <row r="48" spans="3:16">
      <c r="C48" t="s">
        <v>4</v>
      </c>
      <c r="D48" t="s">
        <v>34</v>
      </c>
      <c r="E48" t="s">
        <v>35</v>
      </c>
      <c r="F48" t="s">
        <v>42</v>
      </c>
      <c r="G48" t="s">
        <v>43</v>
      </c>
      <c r="H48" t="s">
        <v>44</v>
      </c>
      <c r="I48" t="s">
        <v>45</v>
      </c>
      <c r="J48" t="s">
        <v>46</v>
      </c>
      <c r="K48" t="s">
        <v>47</v>
      </c>
      <c r="L48" t="s">
        <v>48</v>
      </c>
      <c r="M48" t="s">
        <v>49</v>
      </c>
      <c r="N48" t="s">
        <v>91</v>
      </c>
      <c r="P48" t="s">
        <v>3</v>
      </c>
    </row>
    <row r="49" spans="3:16">
      <c r="C49" t="s">
        <v>37</v>
      </c>
      <c r="D49">
        <f>1961492.95+2751390</f>
        <v>4712882.95</v>
      </c>
      <c r="E49">
        <f>372222.32+784910</f>
        <v>1157132.32</v>
      </c>
      <c r="F49">
        <f>95905.37+150177.75+495610+615570</f>
        <v>1357263.12</v>
      </c>
      <c r="G49">
        <f>8789.25+91540</f>
        <v>100329.25</v>
      </c>
      <c r="H49">
        <f>161204.49+833500+28760</f>
        <v>1023464.49</v>
      </c>
      <c r="I49">
        <f>480+172458+71940</f>
        <v>244878</v>
      </c>
      <c r="J49">
        <f>23904.8+2971378+212340</f>
        <v>3207622.8</v>
      </c>
      <c r="K49">
        <f>25868.8+20322.8+524140+469640</f>
        <v>1039971.6</v>
      </c>
      <c r="L49">
        <f>18485.4+440490+210730</f>
        <v>669705.4</v>
      </c>
      <c r="M49">
        <f>64+18211</f>
        <v>18275</v>
      </c>
      <c r="N49">
        <f>11606.4+508490</f>
        <v>520096.4</v>
      </c>
      <c r="P49">
        <f>SUM(D49:N49)</f>
        <v>14051621.33</v>
      </c>
    </row>
    <row r="50" spans="3:16">
      <c r="C50" t="s">
        <v>36</v>
      </c>
      <c r="D50">
        <f>339166.93+1142546.38</f>
        <v>1481713.3099999998</v>
      </c>
      <c r="E50">
        <v>110926.53</v>
      </c>
      <c r="F50">
        <v>774970.74</v>
      </c>
      <c r="G50">
        <v>124292.91</v>
      </c>
      <c r="H50">
        <v>7850.2</v>
      </c>
      <c r="I50">
        <f>35962.35+341272.9</f>
        <v>377235.25</v>
      </c>
      <c r="J50">
        <v>8582.16</v>
      </c>
      <c r="K50">
        <v>0</v>
      </c>
      <c r="L50">
        <v>0</v>
      </c>
      <c r="M50">
        <v>0</v>
      </c>
      <c r="N50">
        <v>0</v>
      </c>
      <c r="P50">
        <f>SUM(D50:N50)</f>
        <v>2885571.1000000006</v>
      </c>
    </row>
    <row r="51" spans="3:16">
      <c r="C51" t="s">
        <v>38</v>
      </c>
      <c r="D51">
        <f>1644128+557612.04</f>
        <v>2201740.04</v>
      </c>
      <c r="E51">
        <f>320757+109056.26</f>
        <v>429813.26</v>
      </c>
      <c r="F51">
        <f>18452+6273.6</f>
        <v>24725.599999999999</v>
      </c>
      <c r="G51">
        <f>572400+188677.39</f>
        <v>761077.39</v>
      </c>
      <c r="H51">
        <f>910937.5+307960.9</f>
        <v>1218898.3999999999</v>
      </c>
      <c r="I51">
        <f>770203+261868.31</f>
        <v>1032071.31</v>
      </c>
      <c r="J51">
        <f>39736+13509.97</f>
        <v>53245.97</v>
      </c>
      <c r="K51">
        <f>88059.6+29939.94+76081+25867.42</f>
        <v>219947.96000000002</v>
      </c>
      <c r="L51">
        <f>59549+20246.18</f>
        <v>79795.179999999993</v>
      </c>
      <c r="M51">
        <f>48802.44+16592.51</f>
        <v>65394.95</v>
      </c>
      <c r="N51">
        <f>31560+10730.33</f>
        <v>42290.33</v>
      </c>
      <c r="P51">
        <f>SUM(D51:N51)</f>
        <v>6129000.3899999997</v>
      </c>
    </row>
    <row r="52" spans="3:16">
      <c r="C52" t="s">
        <v>41</v>
      </c>
      <c r="D52">
        <v>133</v>
      </c>
      <c r="E52">
        <v>37200</v>
      </c>
      <c r="F52">
        <v>0</v>
      </c>
      <c r="G52">
        <v>0</v>
      </c>
      <c r="H52">
        <v>0</v>
      </c>
      <c r="I52">
        <v>187817.28</v>
      </c>
      <c r="J52">
        <v>0</v>
      </c>
      <c r="K52">
        <v>0</v>
      </c>
      <c r="L52">
        <v>0</v>
      </c>
      <c r="M52">
        <f>1334+174690</f>
        <v>176024</v>
      </c>
      <c r="N52">
        <v>0</v>
      </c>
      <c r="P52">
        <f>SUM(D52:N52)</f>
        <v>401174.28</v>
      </c>
    </row>
    <row r="53" spans="3:16">
      <c r="C53" t="s">
        <v>50</v>
      </c>
      <c r="D53">
        <f>D69*D51</f>
        <v>1912856.3252929903</v>
      </c>
      <c r="E53">
        <f>D69*E51</f>
        <v>373418.74978383037</v>
      </c>
      <c r="F53">
        <f>D69*F51</f>
        <v>21481.428096599615</v>
      </c>
      <c r="G53">
        <f>D69*G51</f>
        <v>661218.7056828835</v>
      </c>
      <c r="H53">
        <f>D69*H51</f>
        <v>1058970.3924944315</v>
      </c>
      <c r="I53">
        <f>D69*I51</f>
        <v>896656.32527940162</v>
      </c>
      <c r="J53">
        <f>D69*J51</f>
        <v>46259.725789817043</v>
      </c>
      <c r="K53">
        <f>D69*K51</f>
        <v>191089.24708535965</v>
      </c>
      <c r="L53">
        <f>D69*L51</f>
        <v>69325.493481461468</v>
      </c>
      <c r="M53">
        <f>D69*M51</f>
        <v>56814.674519757944</v>
      </c>
      <c r="N53">
        <f>D69*N51</f>
        <v>36741.542493467081</v>
      </c>
      <c r="P53">
        <f>SUM(D53:N53)</f>
        <v>5324832.6100000003</v>
      </c>
    </row>
    <row r="54" spans="3:16">
      <c r="C54" s="2" t="s">
        <v>94</v>
      </c>
      <c r="D54" s="1">
        <f>SUM(D49:D53)</f>
        <v>10309325.62529299</v>
      </c>
      <c r="E54" s="1">
        <f t="shared" ref="E54:N54" si="7">SUM(E49:E53)</f>
        <v>2108490.8597838306</v>
      </c>
      <c r="F54" s="1">
        <f t="shared" si="7"/>
        <v>2178440.8880965998</v>
      </c>
      <c r="G54" s="1">
        <f t="shared" si="7"/>
        <v>1646918.2556828836</v>
      </c>
      <c r="H54" s="1">
        <f t="shared" si="7"/>
        <v>3309183.4824944315</v>
      </c>
      <c r="I54" s="1">
        <f t="shared" si="7"/>
        <v>2738658.1652794015</v>
      </c>
      <c r="J54" s="1">
        <f t="shared" si="7"/>
        <v>3315710.6557898172</v>
      </c>
      <c r="K54" s="1">
        <f t="shared" si="7"/>
        <v>1451008.8070853597</v>
      </c>
      <c r="L54" s="1">
        <f t="shared" si="7"/>
        <v>818826.0734814615</v>
      </c>
      <c r="M54" s="1">
        <f t="shared" si="7"/>
        <v>316508.62451975793</v>
      </c>
      <c r="N54" s="1">
        <f t="shared" si="7"/>
        <v>599128.27249346708</v>
      </c>
    </row>
    <row r="55" spans="3:16">
      <c r="C55" t="s">
        <v>51</v>
      </c>
      <c r="D55">
        <f>D42*(D49+D50+D51)</f>
        <v>1775868.7613912711</v>
      </c>
      <c r="E55">
        <f>D42*(E49+E50+E51)</f>
        <v>359108.77473863022</v>
      </c>
      <c r="F55">
        <f>D42*(F49+F50+F51)</f>
        <v>456208.135041159</v>
      </c>
      <c r="G55">
        <f>D42*(G49+G50+G51)</f>
        <v>208480.57729207835</v>
      </c>
      <c r="H55">
        <f>D42*(H49+H50+H51)</f>
        <v>475931.76240507711</v>
      </c>
      <c r="I55">
        <f>D42*(I49+I50+I51)</f>
        <v>349868.63087889471</v>
      </c>
      <c r="J55">
        <f>D42*(J49+J50+J51)</f>
        <v>691505.86232338496</v>
      </c>
      <c r="K55">
        <f>D42*(K49+K50+K51)</f>
        <v>266479.53446907969</v>
      </c>
      <c r="L55">
        <f>D42*(L49+L50+L51)</f>
        <v>158523.26766218728</v>
      </c>
      <c r="M55">
        <f>D42*(M49+M50+M51)</f>
        <v>17696.629239608894</v>
      </c>
      <c r="N55">
        <f>D42*(N49+N50+N51)</f>
        <v>118947.71599703399</v>
      </c>
      <c r="P55">
        <f>SUM(D55:N55)</f>
        <v>4878619.6514384048</v>
      </c>
    </row>
    <row r="56" spans="3:16">
      <c r="C56" t="s">
        <v>52</v>
      </c>
      <c r="D56">
        <f>D43*D49</f>
        <v>277761.89253872778</v>
      </c>
      <c r="E56">
        <f>D43*E49</f>
        <v>68197.590844247214</v>
      </c>
      <c r="F56">
        <f>D43*F49</f>
        <v>79992.645029348423</v>
      </c>
      <c r="G56">
        <f>D43*G49</f>
        <v>5913.0775477865736</v>
      </c>
      <c r="H56">
        <f>D43*H49</f>
        <v>60319.646531553226</v>
      </c>
      <c r="I56">
        <f>D43*I49</f>
        <v>14432.307664483495</v>
      </c>
      <c r="J56">
        <f>D43*J49</f>
        <v>189046.78705809425</v>
      </c>
      <c r="K56">
        <f>D43*K49</f>
        <v>61292.521555734544</v>
      </c>
      <c r="L56">
        <f>D43*L49</f>
        <v>39470.243865786164</v>
      </c>
      <c r="M56">
        <f>D43*M49</f>
        <v>1077.0686732513163</v>
      </c>
      <c r="N56">
        <f>D43*N49</f>
        <v>30652.779179796773</v>
      </c>
      <c r="P56">
        <f>SUM(D56:N56)</f>
        <v>828156.56048880983</v>
      </c>
    </row>
    <row r="57" spans="3:16">
      <c r="C57" t="s">
        <v>53</v>
      </c>
      <c r="D57">
        <f>D44*(D49+D50+D51)</f>
        <v>1924789.8888981373</v>
      </c>
      <c r="E57">
        <f>D44*(E49+E50+E51)</f>
        <v>389222.98407343996</v>
      </c>
      <c r="F57">
        <f>D44*(F49+F50+F51)</f>
        <v>494464.92029758106</v>
      </c>
      <c r="G57">
        <f>D43*(G49+G50+G51)</f>
        <v>58093.904598791778</v>
      </c>
      <c r="H57">
        <f>D43*(H49+H50+H51)</f>
        <v>132620.1930166372</v>
      </c>
      <c r="I57">
        <f>D43*(I49+I50+I51)</f>
        <v>97492.222673160752</v>
      </c>
      <c r="J57">
        <f>D44*(J49+J50+J51)</f>
        <v>749494.28744446684</v>
      </c>
      <c r="K57">
        <f>D44*(K49+K50+K51)</f>
        <v>288826.02402585873</v>
      </c>
      <c r="L57">
        <f>D44*(L49+L50+L51)</f>
        <v>171816.74084532436</v>
      </c>
      <c r="M57">
        <f>D44*(M49+M50+M51)</f>
        <v>19180.636412170948</v>
      </c>
      <c r="N57">
        <f>D44*(N49+N50+N51)</f>
        <v>128922.45532786564</v>
      </c>
      <c r="P57">
        <f>SUM(D57:N57)</f>
        <v>4454924.2576134345</v>
      </c>
    </row>
    <row r="58" spans="3:16">
      <c r="C58" s="2" t="s">
        <v>93</v>
      </c>
      <c r="D58" s="1">
        <f>SUM(D54:D57)</f>
        <v>14287746.168121127</v>
      </c>
      <c r="E58" s="1">
        <f t="shared" ref="E58:N58" si="8">SUM(E54:E57)</f>
        <v>2925020.209440148</v>
      </c>
      <c r="F58" s="1">
        <f t="shared" si="8"/>
        <v>3209106.5884646885</v>
      </c>
      <c r="G58" s="1">
        <f t="shared" si="8"/>
        <v>1919405.8151215403</v>
      </c>
      <c r="H58" s="1">
        <f t="shared" si="8"/>
        <v>3978055.0844476987</v>
      </c>
      <c r="I58" s="1">
        <f t="shared" si="8"/>
        <v>3200451.3264959403</v>
      </c>
      <c r="J58" s="1">
        <f t="shared" si="8"/>
        <v>4945757.5926157637</v>
      </c>
      <c r="K58" s="1">
        <f t="shared" si="8"/>
        <v>2067606.8871360328</v>
      </c>
      <c r="L58" s="1">
        <f t="shared" si="8"/>
        <v>1188636.3258547592</v>
      </c>
      <c r="M58" s="1">
        <f t="shared" si="8"/>
        <v>354462.95884478907</v>
      </c>
      <c r="N58" s="1">
        <f t="shared" si="8"/>
        <v>877651.22299816355</v>
      </c>
      <c r="P58">
        <f>SUM(P49:P57)</f>
        <v>38953900.179540657</v>
      </c>
    </row>
    <row r="59" spans="3:16">
      <c r="C59" s="2"/>
    </row>
    <row r="60" spans="3:16">
      <c r="C60" t="s">
        <v>62</v>
      </c>
      <c r="D60">
        <v>11210427.800000001</v>
      </c>
    </row>
    <row r="61" spans="3:16">
      <c r="C61" t="s">
        <v>64</v>
      </c>
      <c r="D61">
        <v>2135949.81</v>
      </c>
      <c r="E61">
        <v>261652.35</v>
      </c>
      <c r="F61">
        <f>981742.5+1255389.87+125527.72+18865.8</f>
        <v>2381525.89</v>
      </c>
      <c r="H61">
        <f>2256144.39+44917.4</f>
        <v>2301061.79</v>
      </c>
      <c r="I61">
        <f>498923.58+65467.47</f>
        <v>564391.05000000005</v>
      </c>
      <c r="J61">
        <v>61.9</v>
      </c>
      <c r="K61">
        <f>75.6+308.3</f>
        <v>383.9</v>
      </c>
      <c r="N61">
        <v>979936.49</v>
      </c>
    </row>
    <row r="62" spans="3:16">
      <c r="C62" t="s">
        <v>92</v>
      </c>
      <c r="D62">
        <v>497000</v>
      </c>
      <c r="E62">
        <v>488474</v>
      </c>
      <c r="F62">
        <f>755984+948606</f>
        <v>1704590</v>
      </c>
      <c r="G62">
        <v>99033</v>
      </c>
      <c r="H62">
        <v>1577014</v>
      </c>
      <c r="I62">
        <v>630000</v>
      </c>
      <c r="J62">
        <v>1079290</v>
      </c>
      <c r="K62">
        <f>9100+507233+294420</f>
        <v>810753</v>
      </c>
      <c r="L62">
        <v>543477</v>
      </c>
      <c r="M62">
        <v>5090</v>
      </c>
      <c r="N62">
        <v>512080</v>
      </c>
    </row>
    <row r="63" spans="3:16">
      <c r="C63" t="s">
        <v>65</v>
      </c>
      <c r="D63">
        <v>546585.92000000004</v>
      </c>
      <c r="J63">
        <v>1558100.08</v>
      </c>
    </row>
    <row r="64" spans="3:16">
      <c r="C64" s="1" t="s">
        <v>85</v>
      </c>
      <c r="D64">
        <f>SUM(D60:D63)</f>
        <v>14389963.530000001</v>
      </c>
      <c r="E64">
        <f t="shared" ref="E64:N64" si="9">SUM(E60:E63)</f>
        <v>750126.35</v>
      </c>
      <c r="F64">
        <f t="shared" si="9"/>
        <v>4086115.89</v>
      </c>
      <c r="G64">
        <f t="shared" si="9"/>
        <v>99033</v>
      </c>
      <c r="H64">
        <f t="shared" si="9"/>
        <v>3878075.79</v>
      </c>
      <c r="I64">
        <f t="shared" si="9"/>
        <v>1194391.05</v>
      </c>
      <c r="J64">
        <f t="shared" si="9"/>
        <v>2637451.98</v>
      </c>
      <c r="K64">
        <f t="shared" si="9"/>
        <v>811136.9</v>
      </c>
      <c r="L64">
        <f t="shared" si="9"/>
        <v>543477</v>
      </c>
      <c r="M64">
        <f t="shared" si="9"/>
        <v>5090</v>
      </c>
      <c r="N64">
        <f t="shared" si="9"/>
        <v>1492016.49</v>
      </c>
      <c r="P64">
        <f>SUM(D64:N64)</f>
        <v>29886877.979999997</v>
      </c>
    </row>
    <row r="65" spans="3:16">
      <c r="C65" s="1" t="s">
        <v>84</v>
      </c>
      <c r="D65">
        <f>D64-D58</f>
        <v>102217.36187887378</v>
      </c>
      <c r="E65">
        <f t="shared" ref="E65:N65" si="10">E64-E58</f>
        <v>-2174893.8594401479</v>
      </c>
      <c r="F65">
        <f t="shared" si="10"/>
        <v>877009.30153531162</v>
      </c>
      <c r="G65">
        <f t="shared" si="10"/>
        <v>-1820372.8151215403</v>
      </c>
      <c r="H65">
        <f t="shared" si="10"/>
        <v>-99979.29444769863</v>
      </c>
      <c r="I65">
        <f t="shared" si="10"/>
        <v>-2006060.2764959403</v>
      </c>
      <c r="J65">
        <f t="shared" si="10"/>
        <v>-2308305.6126157637</v>
      </c>
      <c r="K65">
        <f t="shared" si="10"/>
        <v>-1256469.9871360329</v>
      </c>
      <c r="L65">
        <f t="shared" si="10"/>
        <v>-645159.3258547592</v>
      </c>
      <c r="M65">
        <f t="shared" si="10"/>
        <v>-349372.95884478907</v>
      </c>
      <c r="N65">
        <f t="shared" si="10"/>
        <v>614365.26700183644</v>
      </c>
      <c r="P65">
        <f>SUM(D65:N65)</f>
        <v>-9067022.1995406505</v>
      </c>
    </row>
    <row r="66" spans="3:16">
      <c r="C66" s="1"/>
    </row>
    <row r="67" spans="3:16">
      <c r="C67" s="1" t="s">
        <v>57</v>
      </c>
      <c r="D67">
        <f>150639</f>
        <v>150639</v>
      </c>
      <c r="E67">
        <v>7121</v>
      </c>
      <c r="F67">
        <f>27841+2759</f>
        <v>30600</v>
      </c>
      <c r="G67">
        <v>15593</v>
      </c>
      <c r="H67">
        <v>41313</v>
      </c>
      <c r="I67">
        <v>17142</v>
      </c>
      <c r="J67">
        <v>31770</v>
      </c>
      <c r="K67">
        <f>23001+18638</f>
        <v>41639</v>
      </c>
      <c r="L67">
        <v>17496</v>
      </c>
      <c r="M67">
        <v>14400</v>
      </c>
      <c r="N67">
        <v>13156</v>
      </c>
    </row>
    <row r="68" spans="3:16">
      <c r="C68" s="1"/>
    </row>
    <row r="69" spans="3:16">
      <c r="C69" s="1" t="s">
        <v>78</v>
      </c>
      <c r="D69">
        <f>F16/P51</f>
        <v>0.86879299578572877</v>
      </c>
    </row>
    <row r="72" spans="3:16">
      <c r="C72" t="s">
        <v>174</v>
      </c>
    </row>
    <row r="73" spans="3:16">
      <c r="D73" t="s">
        <v>34</v>
      </c>
      <c r="E73" t="s">
        <v>35</v>
      </c>
      <c r="F73" t="s">
        <v>42</v>
      </c>
      <c r="G73" t="s">
        <v>43</v>
      </c>
      <c r="H73" t="s">
        <v>44</v>
      </c>
      <c r="I73" t="s">
        <v>45</v>
      </c>
      <c r="J73" t="s">
        <v>46</v>
      </c>
      <c r="K73" t="s">
        <v>47</v>
      </c>
      <c r="L73" t="s">
        <v>48</v>
      </c>
      <c r="M73" t="s">
        <v>49</v>
      </c>
      <c r="N73" t="s">
        <v>91</v>
      </c>
    </row>
    <row r="74" spans="3:16">
      <c r="C74" t="s">
        <v>37</v>
      </c>
      <c r="D74">
        <f>4712882.95/D67</f>
        <v>31.285941555639642</v>
      </c>
      <c r="E74">
        <f>1157132.32/E67</f>
        <v>162.49576183120348</v>
      </c>
      <c r="F74">
        <f>1357263.12/F67</f>
        <v>44.355003921568631</v>
      </c>
      <c r="G74">
        <f>100329.25/G67</f>
        <v>6.4342493426537546</v>
      </c>
      <c r="H74">
        <f>1023464.49/H67</f>
        <v>24.773424587902113</v>
      </c>
      <c r="I74">
        <f>244878/I67</f>
        <v>14.285264263213161</v>
      </c>
      <c r="J74">
        <f>3207622.8/J67</f>
        <v>100.96389046270066</v>
      </c>
      <c r="K74">
        <f>1039971.6/K67</f>
        <v>24.975902399193064</v>
      </c>
      <c r="L74">
        <f>669705.4/L67</f>
        <v>38.277629172382262</v>
      </c>
      <c r="M74">
        <f>18275/M67</f>
        <v>1.2690972222222223</v>
      </c>
      <c r="N74">
        <f>520096.4/N67</f>
        <v>39.533019154758286</v>
      </c>
    </row>
    <row r="75" spans="3:16">
      <c r="C75" t="s">
        <v>36</v>
      </c>
      <c r="D75">
        <f>1481713.31/D67</f>
        <v>9.8361865785088867</v>
      </c>
      <c r="E75">
        <f>110926.53/E67</f>
        <v>15.577380985816598</v>
      </c>
      <c r="F75">
        <f>774970.74/F67</f>
        <v>25.325841176470586</v>
      </c>
      <c r="G75">
        <f>124292.91/G67</f>
        <v>7.9710709933944717</v>
      </c>
      <c r="H75">
        <f>7850.2/H67</f>
        <v>0.19001766998281411</v>
      </c>
      <c r="I75">
        <f>377235.25/I67</f>
        <v>22.006489907828726</v>
      </c>
      <c r="J75">
        <f>8582.16/J67</f>
        <v>0.27013408876298395</v>
      </c>
      <c r="K75">
        <v>0</v>
      </c>
      <c r="L75">
        <v>0</v>
      </c>
      <c r="M75">
        <v>0</v>
      </c>
      <c r="N75">
        <v>0</v>
      </c>
    </row>
    <row r="76" spans="3:16">
      <c r="C76" t="s">
        <v>38</v>
      </c>
      <c r="D76">
        <f>2201740.04/D67</f>
        <v>14.61600276156905</v>
      </c>
      <c r="E76">
        <f>429813.26/E67</f>
        <v>60.358553573936248</v>
      </c>
      <c r="F76">
        <f>24725.6/F67</f>
        <v>0.80802614379084958</v>
      </c>
      <c r="G76">
        <f>761077.39/G67</f>
        <v>48.808913615083689</v>
      </c>
      <c r="H76">
        <f>1218898.4/H67</f>
        <v>29.503991479679517</v>
      </c>
      <c r="I76">
        <f>1032071.31/I67</f>
        <v>60.20717010850543</v>
      </c>
      <c r="J76">
        <f>53245.97/J67</f>
        <v>1.6759826880705069</v>
      </c>
      <c r="K76">
        <f>219947.96/K67</f>
        <v>5.2822584596171858</v>
      </c>
      <c r="L76">
        <f>79795.18/L67</f>
        <v>4.5607670324645628</v>
      </c>
      <c r="M76">
        <f>65394.95/M67</f>
        <v>4.5413159722222218</v>
      </c>
      <c r="N76">
        <f>42290.33/N67</f>
        <v>3.2145279720279722</v>
      </c>
    </row>
    <row r="77" spans="3:16">
      <c r="C77" t="s">
        <v>41</v>
      </c>
      <c r="D77">
        <f>133/D67</f>
        <v>8.8290548928232398E-4</v>
      </c>
      <c r="E77">
        <f>37200/E67</f>
        <v>5.2239853953096471</v>
      </c>
      <c r="F77">
        <v>0</v>
      </c>
      <c r="G77">
        <v>0</v>
      </c>
      <c r="H77">
        <v>0</v>
      </c>
      <c r="I77">
        <f>187817.28/I67</f>
        <v>10.956555827791389</v>
      </c>
      <c r="J77">
        <v>0</v>
      </c>
      <c r="K77">
        <v>0</v>
      </c>
      <c r="L77">
        <v>0</v>
      </c>
      <c r="M77">
        <f>176024/M67</f>
        <v>12.223888888888888</v>
      </c>
      <c r="N77">
        <v>0</v>
      </c>
    </row>
    <row r="78" spans="3:16">
      <c r="C78" t="s">
        <v>50</v>
      </c>
      <c r="D78">
        <f>1912856.32529299/D67</f>
        <v>12.698280825636058</v>
      </c>
      <c r="E78">
        <f>373418.74978383/E67</f>
        <v>52.439088580793431</v>
      </c>
      <c r="F78">
        <f>21481.4280965996/F67</f>
        <v>0.70200745413724186</v>
      </c>
      <c r="G78">
        <f>661218.705682884/G67</f>
        <v>42.404842280695441</v>
      </c>
      <c r="H78">
        <f>1058970.39249443/H67</f>
        <v>25.632861145267352</v>
      </c>
      <c r="I78">
        <f>896656.325279402/I67</f>
        <v>52.307567686349429</v>
      </c>
      <c r="J78">
        <f>46259.725789817/J67</f>
        <v>1.4560820204537928</v>
      </c>
      <c r="K78">
        <f>191089.24708536/K67</f>
        <v>4.589189151645332</v>
      </c>
      <c r="L78">
        <f>69325.4934814615/L67</f>
        <v>3.9623624532156776</v>
      </c>
      <c r="M78">
        <f>56814.6745197579/M67</f>
        <v>3.945463508316521</v>
      </c>
      <c r="N78">
        <f>36741.5424934671/N67</f>
        <v>2.7927593868552067</v>
      </c>
    </row>
    <row r="79" spans="3:16">
      <c r="C79" s="2" t="s">
        <v>94</v>
      </c>
      <c r="D79" s="2">
        <f>SUM(D74:D78)</f>
        <v>68.437294626842913</v>
      </c>
      <c r="E79" s="2">
        <f t="shared" ref="E79:N79" si="11">SUM(E74:E78)</f>
        <v>296.09477036705943</v>
      </c>
      <c r="F79" s="2">
        <f t="shared" si="11"/>
        <v>71.190878695967314</v>
      </c>
      <c r="G79" s="2">
        <f t="shared" si="11"/>
        <v>105.61907623182736</v>
      </c>
      <c r="H79" s="2">
        <f t="shared" si="11"/>
        <v>80.100294882831804</v>
      </c>
      <c r="I79" s="2">
        <f t="shared" si="11"/>
        <v>159.76304779368814</v>
      </c>
      <c r="J79" s="2">
        <f t="shared" si="11"/>
        <v>104.36608925998794</v>
      </c>
      <c r="K79" s="2">
        <f t="shared" si="11"/>
        <v>34.847350010455585</v>
      </c>
      <c r="L79" s="2">
        <f t="shared" si="11"/>
        <v>46.800758658062499</v>
      </c>
      <c r="M79" s="2">
        <f t="shared" si="11"/>
        <v>21.979765591649855</v>
      </c>
      <c r="N79" s="2">
        <f t="shared" si="11"/>
        <v>45.540306513641468</v>
      </c>
    </row>
    <row r="80" spans="3:16">
      <c r="C80" t="s">
        <v>51</v>
      </c>
      <c r="D80">
        <f>1775868.76139127/D67</f>
        <v>11.78890434343875</v>
      </c>
      <c r="E80">
        <f>359108.77473863/E67</f>
        <v>50.429542864573797</v>
      </c>
      <c r="F80">
        <f>456208.135041159/F67</f>
        <v>14.908762583044412</v>
      </c>
      <c r="G80">
        <f>208480.577292078/G67</f>
        <v>13.370138991347272</v>
      </c>
      <c r="H80">
        <f>475931.762405077/H67</f>
        <v>11.520145290951444</v>
      </c>
      <c r="I80">
        <f>349868.630878895/I67</f>
        <v>20.410023969133999</v>
      </c>
      <c r="J80">
        <f>691505.862323385/J67</f>
        <v>21.766001332180831</v>
      </c>
      <c r="K80">
        <f>266479.53446908/K67</f>
        <v>6.3997582667470398</v>
      </c>
      <c r="L80">
        <f>158523.267662187/L67</f>
        <v>9.0605434191922143</v>
      </c>
      <c r="M80">
        <f>17696.6292396089/M67</f>
        <v>1.2289325860839515</v>
      </c>
      <c r="N80">
        <f>118947.715997034/N67</f>
        <v>9.0413283670594407</v>
      </c>
    </row>
    <row r="81" spans="3:14">
      <c r="C81" t="s">
        <v>52</v>
      </c>
      <c r="D81">
        <f>277761.892538728/D67</f>
        <v>1.8438909747059395</v>
      </c>
      <c r="E81">
        <f>68197.5908442472/E67</f>
        <v>9.5769682410121053</v>
      </c>
      <c r="F81">
        <f>79992.6450293484/F67</f>
        <v>2.6141387264492941</v>
      </c>
      <c r="G81">
        <f>5913.07754778657/G67</f>
        <v>0.3792135924957718</v>
      </c>
      <c r="H81">
        <f>60319.6465315532/H67</f>
        <v>1.4600645446119429</v>
      </c>
      <c r="I81">
        <f>14432.3076644835/I67</f>
        <v>0.84192671009704234</v>
      </c>
      <c r="J81">
        <f>189046.787058094/J67</f>
        <v>5.9504811790397856</v>
      </c>
      <c r="K81">
        <f>61292.5215557345/K67</f>
        <v>1.4719979239591368</v>
      </c>
      <c r="L81">
        <f>39470.2438657862/L67</f>
        <v>2.255958154194456</v>
      </c>
      <c r="M81">
        <f>1077.06867325132/M67</f>
        <v>7.479643564245278E-2</v>
      </c>
      <c r="N81">
        <f>30652.7791797968/N67</f>
        <v>2.3299467299936758</v>
      </c>
    </row>
    <row r="82" spans="3:14">
      <c r="C82" t="s">
        <v>53</v>
      </c>
      <c r="D82">
        <f>1924789.88889814/D67</f>
        <v>12.777500440776558</v>
      </c>
      <c r="E82">
        <f>389222.98407344/E67</f>
        <v>54.658472696733611</v>
      </c>
      <c r="F82">
        <f>494464.920297581/F67</f>
        <v>16.158984323450358</v>
      </c>
      <c r="G82">
        <f>58093.9045987918/G67</f>
        <v>3.7256400050530236</v>
      </c>
      <c r="H82">
        <f>132620.193016637/H67</f>
        <v>3.2101322348083414</v>
      </c>
      <c r="I82">
        <f>97492.2226731608/I67</f>
        <v>5.6873306891355035</v>
      </c>
      <c r="J82">
        <f>749494.287444467/J67</f>
        <v>23.591258654216777</v>
      </c>
      <c r="K82">
        <f>288826.024025859/K67</f>
        <v>6.9364303663838953</v>
      </c>
      <c r="L82">
        <f>171816.740845324/L67</f>
        <v>9.820344126961821</v>
      </c>
      <c r="M82">
        <f>19180.6364121709/M67</f>
        <v>1.3319886397340903</v>
      </c>
      <c r="N82">
        <f>128922.455327866/N67</f>
        <v>9.7995177354717242</v>
      </c>
    </row>
    <row r="83" spans="3:14">
      <c r="C83" s="2" t="s">
        <v>93</v>
      </c>
      <c r="D83" s="2">
        <f>SUM(D79:D82)</f>
        <v>94.847590385764164</v>
      </c>
      <c r="E83" s="2">
        <f t="shared" ref="E83:N83" si="12">SUM(E79:E82)</f>
        <v>410.75975416937894</v>
      </c>
      <c r="F83" s="2">
        <f t="shared" si="12"/>
        <v>104.87276432891137</v>
      </c>
      <c r="G83" s="2">
        <f t="shared" si="12"/>
        <v>123.09406882072344</v>
      </c>
      <c r="H83" s="2">
        <f t="shared" si="12"/>
        <v>96.290636953203531</v>
      </c>
      <c r="I83" s="2">
        <f t="shared" si="12"/>
        <v>186.7023291620547</v>
      </c>
      <c r="J83" s="2">
        <f t="shared" si="12"/>
        <v>155.67383042542534</v>
      </c>
      <c r="K83" s="2">
        <f t="shared" si="12"/>
        <v>49.65553656754566</v>
      </c>
      <c r="L83" s="2">
        <f t="shared" si="12"/>
        <v>67.937604358410994</v>
      </c>
      <c r="M83" s="2">
        <f t="shared" si="12"/>
        <v>24.615483253110348</v>
      </c>
      <c r="N83" s="2">
        <f t="shared" si="12"/>
        <v>66.711099346166307</v>
      </c>
    </row>
    <row r="87" spans="3:14">
      <c r="C87" t="s">
        <v>175</v>
      </c>
    </row>
    <row r="88" spans="3:14">
      <c r="D88" t="s">
        <v>59</v>
      </c>
      <c r="E88" t="s">
        <v>58</v>
      </c>
      <c r="F88" t="s">
        <v>39</v>
      </c>
      <c r="G88" t="s">
        <v>40</v>
      </c>
      <c r="H88" t="s">
        <v>30</v>
      </c>
      <c r="I88" t="s">
        <v>31</v>
      </c>
      <c r="J88" t="s">
        <v>86</v>
      </c>
      <c r="K88" t="s">
        <v>87</v>
      </c>
      <c r="L88" t="s">
        <v>54</v>
      </c>
      <c r="M88" t="s">
        <v>80</v>
      </c>
      <c r="N88" t="s">
        <v>88</v>
      </c>
    </row>
    <row r="89" spans="3:14">
      <c r="C89" t="s">
        <v>37</v>
      </c>
      <c r="D89">
        <f>3872663.88/D37</f>
        <v>173.94286201940352</v>
      </c>
      <c r="E89">
        <f>1381318.43/E37</f>
        <v>80.973001348261917</v>
      </c>
      <c r="F89">
        <f>39412.78/F37</f>
        <v>132.70296296296297</v>
      </c>
      <c r="G89">
        <f>3425173.97/G37</f>
        <v>625.659689469358</v>
      </c>
      <c r="H89">
        <f>1206633.87/H37</f>
        <v>24.393541937479405</v>
      </c>
      <c r="I89">
        <f>271003.8/I37</f>
        <v>142.48359621451104</v>
      </c>
      <c r="J89">
        <f>1878217.74/J37</f>
        <v>34.628291242159754</v>
      </c>
      <c r="K89">
        <f>557860.93/K37</f>
        <v>35.80162559363368</v>
      </c>
      <c r="L89">
        <f>45824.64/L37</f>
        <v>14.3202</v>
      </c>
      <c r="M89">
        <f>470218.56/M37</f>
        <v>47.496824242424239</v>
      </c>
      <c r="N89">
        <f>243762.08/N37</f>
        <v>45.141125925925927</v>
      </c>
    </row>
    <row r="90" spans="3:14">
      <c r="C90" t="s">
        <v>36</v>
      </c>
      <c r="D90">
        <f>546947.56/D37</f>
        <v>24.566455264103489</v>
      </c>
      <c r="E90">
        <f>129107.14/E37</f>
        <v>7.5682712937452372</v>
      </c>
      <c r="F90">
        <v>0</v>
      </c>
      <c r="G90">
        <f>209430.3/G37</f>
        <v>38.255603251438487</v>
      </c>
      <c r="H90">
        <f>549738.44/H37</f>
        <v>11.113617829064008</v>
      </c>
      <c r="I90">
        <f>8760/I37</f>
        <v>4.6056782334384856</v>
      </c>
      <c r="J90">
        <f>175665/J37</f>
        <v>3.238697330722685</v>
      </c>
      <c r="K90">
        <v>0</v>
      </c>
      <c r="L90">
        <v>0</v>
      </c>
      <c r="M90">
        <f>74583.76/M37</f>
        <v>7.5337131313131307</v>
      </c>
      <c r="N90">
        <f>22783.61/N37</f>
        <v>4.2191870370370372</v>
      </c>
    </row>
    <row r="91" spans="3:14">
      <c r="C91" t="s">
        <v>38</v>
      </c>
      <c r="D91">
        <f>292716.31/D37</f>
        <v>13.147516618756738</v>
      </c>
      <c r="E91">
        <f>356832.25/E37</f>
        <v>20.917536197901402</v>
      </c>
      <c r="F91">
        <f>8531.74/F37</f>
        <v>28.726397306397306</v>
      </c>
      <c r="G91">
        <f>208915.83/G37</f>
        <v>38.161627545894596</v>
      </c>
      <c r="H91">
        <f>105010.23/H37</f>
        <v>2.1229069671062337</v>
      </c>
      <c r="I91">
        <f>234588.29/I37</f>
        <v>123.33769190325972</v>
      </c>
      <c r="J91">
        <f>148973.15/J37</f>
        <v>2.7465855079517838</v>
      </c>
      <c r="K91">
        <f>113306.47/K37</f>
        <v>7.2716255936336802</v>
      </c>
      <c r="L91">
        <f>75894.29/L37</f>
        <v>23.716965624999997</v>
      </c>
      <c r="M91">
        <f>39915.86/M37</f>
        <v>4.0319050505050509</v>
      </c>
      <c r="N91">
        <f>62970.4/N37</f>
        <v>11.661185185185186</v>
      </c>
    </row>
    <row r="92" spans="3:14">
      <c r="C92" t="s">
        <v>50</v>
      </c>
      <c r="D92">
        <f>2124030.48481697/D37</f>
        <v>95.402016026633575</v>
      </c>
      <c r="E92">
        <f>757608.340272361/E37</f>
        <v>44.41106397047664</v>
      </c>
      <c r="F92">
        <f>21616.631033671/F37</f>
        <v>72.783269473639734</v>
      </c>
      <c r="G92">
        <f>1878596.78854484/G37</f>
        <v>343.15403937251619</v>
      </c>
      <c r="H92">
        <f>661799.526968677/H37</f>
        <v>13.379066274108858</v>
      </c>
      <c r="I92">
        <f>148636.79124697/I37</f>
        <v>78.147629467386963</v>
      </c>
      <c r="J92">
        <f>1030141.48929549/J37</f>
        <v>18.992494188643125</v>
      </c>
      <c r="K92">
        <f>305968.619618067/K37</f>
        <v>19.636030010144204</v>
      </c>
      <c r="L92">
        <f>25133.3282029535/L37</f>
        <v>7.8541650634229692</v>
      </c>
      <c r="M92">
        <f>257899.623338016/M37</f>
        <v>26.050467003840001</v>
      </c>
      <c r="N92">
        <f>133695.591718224/N37</f>
        <v>24.758442910782222</v>
      </c>
    </row>
    <row r="93" spans="3:14">
      <c r="C93" s="2" t="s">
        <v>94</v>
      </c>
      <c r="D93" s="2">
        <f>6836358.23481697/D37</f>
        <v>307.05884992889736</v>
      </c>
      <c r="E93" s="2">
        <f>2624866.16027236/E37</f>
        <v>153.86987281038512</v>
      </c>
      <c r="F93" s="2">
        <f>69561.151033671/F37</f>
        <v>234.21262974300001</v>
      </c>
      <c r="G93" s="2">
        <f>5722116.88854484/G37</f>
        <v>1045.2309596392072</v>
      </c>
      <c r="H93" s="2">
        <f>2523182.06696868/H37</f>
        <v>51.009133007758564</v>
      </c>
      <c r="I93" s="2">
        <f>662988.88124697/I37</f>
        <v>348.57459581859621</v>
      </c>
      <c r="J93" s="2">
        <f>3232997.37929549/J37</f>
        <v>59.606068269477355</v>
      </c>
      <c r="K93" s="2">
        <f>977136.019618067/K37</f>
        <v>62.709281197411563</v>
      </c>
      <c r="L93" s="2">
        <f>146852.258202953/L37</f>
        <v>45.891330688422812</v>
      </c>
      <c r="M93" s="2">
        <f>842617.803338016/M37</f>
        <v>85.112909428082432</v>
      </c>
      <c r="N93" s="2">
        <f>463211.681718224/N37</f>
        <v>85.779941058930376</v>
      </c>
    </row>
    <row r="94" spans="3:14">
      <c r="C94" t="s">
        <v>51</v>
      </c>
      <c r="D94">
        <f>996681.80807172/D37</f>
        <v>44.766520305053895</v>
      </c>
      <c r="E94">
        <f>394934.732664479/E37</f>
        <v>23.151106903363562</v>
      </c>
      <c r="F94">
        <f>10140.5151372866/F37</f>
        <v>34.143148610392593</v>
      </c>
      <c r="G94">
        <f>812924.475091529/G37</f>
        <v>148.49291717810374</v>
      </c>
      <c r="H94">
        <f>108788.140011413/H37</f>
        <v>2.1992819210924219</v>
      </c>
      <c r="I94">
        <f>108788.140011413/I37</f>
        <v>57.196708733655619</v>
      </c>
      <c r="J94">
        <f>465915.468499965/J37</f>
        <v>8.5899819780448343</v>
      </c>
      <c r="K94">
        <f>141955.393011616/K37</f>
        <v>9.1102164684646372</v>
      </c>
      <c r="L94">
        <f>25744.1862419173/L37</f>
        <v>8.045058200599156</v>
      </c>
      <c r="M94">
        <f>123670.933723743/M37</f>
        <v>12.492013507448789</v>
      </c>
      <c r="N94">
        <f>69694.3654587531/N37</f>
        <v>12.906363973843167</v>
      </c>
    </row>
    <row r="95" spans="3:14">
      <c r="C95" t="s">
        <v>52</v>
      </c>
      <c r="D95">
        <f>228242.131172634/D37</f>
        <v>10.251622851807133</v>
      </c>
      <c r="E95">
        <f>81410.3862510365/E37</f>
        <v>4.7722836186784985</v>
      </c>
      <c r="F95">
        <f>2322.86022783836/F37</f>
        <v>7.8210782082099666</v>
      </c>
      <c r="G95">
        <f>201868.540822043/G37</f>
        <v>36.874333879266231</v>
      </c>
      <c r="H95">
        <f>71115.0501483448/H37</f>
        <v>1.4376755048153917</v>
      </c>
      <c r="I95">
        <f>15972.0767886219/I37</f>
        <v>8.3975167132607265</v>
      </c>
      <c r="J95">
        <f>110696.004886396/J37</f>
        <v>2.0408781234009963</v>
      </c>
      <c r="K95">
        <f>32878.4969485003/K37</f>
        <v>2.110030608939828</v>
      </c>
      <c r="L95">
        <f>2700.75426577396/L37</f>
        <v>0.84398570805436246</v>
      </c>
      <c r="M95">
        <f>27713.1425749573/M37</f>
        <v>2.7993073308037677</v>
      </c>
      <c r="N95">
        <f>14366.5389928635/N37</f>
        <v>2.6604701838636111</v>
      </c>
    </row>
    <row r="96" spans="3:14">
      <c r="C96" t="s">
        <v>53</v>
      </c>
      <c r="D96">
        <f>1080261.73348656/D37</f>
        <v>48.520559355307221</v>
      </c>
      <c r="E96">
        <f>428053.241733776/E37</f>
        <v>25.092516661807608</v>
      </c>
      <c r="F96">
        <f>10990.8803109845/F37</f>
        <v>37.006331013415824</v>
      </c>
      <c r="G96">
        <f>881094.844456952/G37</f>
        <v>160.94526339518714</v>
      </c>
      <c r="H96">
        <f>426706.382921267/H37</f>
        <v>8.626378146322109</v>
      </c>
      <c r="I96">
        <f>117910.91576044/I37</f>
        <v>61.993120799390113</v>
      </c>
      <c r="J96">
        <f>504986.293101636/J37</f>
        <v>9.3103222583884779</v>
      </c>
      <c r="K96">
        <f>153859.514331036/K37</f>
        <v>9.8741826678883342</v>
      </c>
      <c r="L96">
        <f>27903.0469219653/L37</f>
        <v>8.7197021631141567</v>
      </c>
      <c r="M96">
        <f>134041.753510864/M37</f>
        <v>13.539571061703432</v>
      </c>
      <c r="N96">
        <f>75538.8083087202/N37</f>
        <v>13.988668205318556</v>
      </c>
    </row>
    <row r="97" spans="3:14">
      <c r="C97" s="1" t="s">
        <v>93</v>
      </c>
      <c r="D97" s="2">
        <f>9141543.90754789/D37</f>
        <v>410.59755244106583</v>
      </c>
      <c r="E97" s="2">
        <f>3529264.52092165/E37</f>
        <v>206.8857799942347</v>
      </c>
      <c r="F97" s="2">
        <f>93015.4067097805/F37</f>
        <v>313.18318757501851</v>
      </c>
      <c r="G97" s="2">
        <f>7618004.74891536/G37</f>
        <v>1391.5434740917638</v>
      </c>
      <c r="H97" s="2">
        <f>3129791.6400497/H37</f>
        <v>63.272468579988399</v>
      </c>
      <c r="I97" s="2">
        <f>905660.013807446/I37</f>
        <v>476.16194206490326</v>
      </c>
      <c r="J97" s="2">
        <f>4314595.14578348/J37</f>
        <v>79.547250629311534</v>
      </c>
      <c r="K97" s="2">
        <f>1305829.42390922/K37</f>
        <v>83.803710942704399</v>
      </c>
      <c r="L97" s="2">
        <f>203200.24563261/L37</f>
        <v>63.500076760190623</v>
      </c>
      <c r="M97" s="2">
        <f>1128043.63314758/M37</f>
        <v>113.94380132803839</v>
      </c>
      <c r="N97" s="2">
        <f>622811.394478561/N37</f>
        <v>115.33544342195574</v>
      </c>
    </row>
  </sheetData>
  <pageMargins left="0.7" right="0.7" top="0.78740157499999996" bottom="0.78740157499999996" header="0.3" footer="0.3"/>
  <pageSetup paperSize="9" orientation="portrait" horizontalDpi="300" verticalDpi="300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D4:U91"/>
  <sheetViews>
    <sheetView tabSelected="1" workbookViewId="0">
      <selection activeCell="J39" sqref="J39"/>
    </sheetView>
  </sheetViews>
  <sheetFormatPr defaultRowHeight="15"/>
  <cols>
    <col min="4" max="4" width="24.28515625" customWidth="1"/>
    <col min="5" max="5" width="18.28515625" customWidth="1"/>
    <col min="6" max="6" width="17.42578125" customWidth="1"/>
    <col min="7" max="7" width="11.7109375" customWidth="1"/>
    <col min="9" max="9" width="18.85546875" customWidth="1"/>
    <col min="10" max="10" width="14.140625" customWidth="1"/>
    <col min="11" max="11" width="14.85546875" customWidth="1"/>
  </cols>
  <sheetData>
    <row r="4" spans="4:19">
      <c r="D4" s="1" t="s">
        <v>142</v>
      </c>
    </row>
    <row r="6" spans="4:19">
      <c r="D6" s="1" t="s">
        <v>133</v>
      </c>
      <c r="E6" t="s">
        <v>129</v>
      </c>
      <c r="F6" t="s">
        <v>130</v>
      </c>
      <c r="G6" s="1" t="s">
        <v>128</v>
      </c>
      <c r="I6" t="s">
        <v>129</v>
      </c>
    </row>
    <row r="7" spans="4:19">
      <c r="D7" t="s">
        <v>117</v>
      </c>
      <c r="E7">
        <f>I7</f>
        <v>4712882.95</v>
      </c>
      <c r="F7">
        <f>I15</f>
        <v>5680841.3300000001</v>
      </c>
      <c r="G7" s="1">
        <f>E7-F7</f>
        <v>-967958.37999999989</v>
      </c>
      <c r="I7">
        <v>4712882.95</v>
      </c>
      <c r="J7">
        <v>1157132.32</v>
      </c>
      <c r="K7">
        <v>1357263.12</v>
      </c>
      <c r="L7">
        <v>100329.25</v>
      </c>
      <c r="M7">
        <v>1023464.49</v>
      </c>
      <c r="N7">
        <v>244878</v>
      </c>
      <c r="O7">
        <v>3207622.8</v>
      </c>
      <c r="P7">
        <v>1039971.6</v>
      </c>
      <c r="Q7">
        <v>669705.4</v>
      </c>
      <c r="R7">
        <v>18275</v>
      </c>
      <c r="S7">
        <v>520096.4</v>
      </c>
    </row>
    <row r="8" spans="4:19">
      <c r="D8" t="s">
        <v>118</v>
      </c>
      <c r="E8">
        <f>J7</f>
        <v>1157132.32</v>
      </c>
      <c r="F8">
        <f>J15</f>
        <v>1348690.32</v>
      </c>
      <c r="G8" s="1">
        <f t="shared" ref="G8:G17" si="0">E8-F8</f>
        <v>-191558</v>
      </c>
      <c r="I8">
        <v>1481713.3099999998</v>
      </c>
      <c r="J8">
        <v>110926.53</v>
      </c>
      <c r="K8">
        <v>774970.74</v>
      </c>
      <c r="L8">
        <v>124292.91</v>
      </c>
      <c r="M8">
        <v>7850.2</v>
      </c>
      <c r="N8">
        <v>377235.25</v>
      </c>
      <c r="O8">
        <v>8582.16</v>
      </c>
      <c r="P8">
        <v>0</v>
      </c>
      <c r="Q8">
        <v>0</v>
      </c>
      <c r="R8">
        <v>0</v>
      </c>
      <c r="S8">
        <v>0</v>
      </c>
    </row>
    <row r="9" spans="4:19">
      <c r="D9" t="s">
        <v>119</v>
      </c>
      <c r="E9">
        <f>K7</f>
        <v>1357263.12</v>
      </c>
      <c r="F9">
        <f>K15</f>
        <v>1677230.93</v>
      </c>
      <c r="G9" s="1">
        <f t="shared" si="0"/>
        <v>-319967.80999999982</v>
      </c>
      <c r="I9">
        <v>2201740.04</v>
      </c>
      <c r="J9">
        <v>429813.26</v>
      </c>
      <c r="K9">
        <v>24725.599999999999</v>
      </c>
      <c r="L9">
        <v>761077.39</v>
      </c>
      <c r="M9">
        <v>1218898.3999999999</v>
      </c>
      <c r="N9">
        <v>1032071.31</v>
      </c>
      <c r="O9">
        <v>53245.97</v>
      </c>
      <c r="P9">
        <v>219947.96000000002</v>
      </c>
      <c r="Q9">
        <v>79795.179999999993</v>
      </c>
      <c r="R9">
        <v>65394.95</v>
      </c>
      <c r="S9">
        <v>42290.33</v>
      </c>
    </row>
    <row r="10" spans="4:19">
      <c r="D10" t="s">
        <v>120</v>
      </c>
      <c r="E10">
        <f>L7</f>
        <v>100329.25</v>
      </c>
      <c r="F10">
        <f>L15</f>
        <v>143193.56</v>
      </c>
      <c r="G10" s="1">
        <f t="shared" si="0"/>
        <v>-42864.31</v>
      </c>
      <c r="I10">
        <v>133</v>
      </c>
      <c r="J10">
        <v>37200</v>
      </c>
      <c r="K10">
        <v>0</v>
      </c>
      <c r="L10">
        <v>0</v>
      </c>
      <c r="M10">
        <v>0</v>
      </c>
      <c r="N10">
        <v>187817.28</v>
      </c>
      <c r="O10">
        <v>0</v>
      </c>
      <c r="P10">
        <v>0</v>
      </c>
      <c r="Q10">
        <v>0</v>
      </c>
      <c r="R10">
        <v>176024</v>
      </c>
      <c r="S10">
        <v>0</v>
      </c>
    </row>
    <row r="11" spans="4:19">
      <c r="D11" t="s">
        <v>121</v>
      </c>
      <c r="E11">
        <f>M7</f>
        <v>1023464.49</v>
      </c>
      <c r="F11">
        <f>M15</f>
        <v>1004962.22</v>
      </c>
      <c r="G11" s="1">
        <f t="shared" si="0"/>
        <v>18502.270000000019</v>
      </c>
    </row>
    <row r="12" spans="4:19">
      <c r="D12" t="s">
        <v>122</v>
      </c>
      <c r="E12">
        <f>N7</f>
        <v>244878</v>
      </c>
      <c r="F12">
        <f>N15</f>
        <v>2762819.5</v>
      </c>
      <c r="G12" s="1">
        <f t="shared" si="0"/>
        <v>-2517941.5</v>
      </c>
    </row>
    <row r="13" spans="4:19">
      <c r="D13" t="s">
        <v>123</v>
      </c>
      <c r="E13">
        <f>O7</f>
        <v>3207622.8</v>
      </c>
      <c r="F13">
        <f>O15</f>
        <v>209894.2</v>
      </c>
      <c r="G13" s="1">
        <f t="shared" si="0"/>
        <v>2997728.5999999996</v>
      </c>
    </row>
    <row r="14" spans="4:19">
      <c r="D14" t="s">
        <v>124</v>
      </c>
      <c r="E14">
        <f>P7</f>
        <v>1039971.6</v>
      </c>
      <c r="F14">
        <f>P15</f>
        <v>879527.6</v>
      </c>
      <c r="G14" s="1">
        <f t="shared" si="0"/>
        <v>160444</v>
      </c>
      <c r="I14" t="s">
        <v>130</v>
      </c>
    </row>
    <row r="15" spans="4:19">
      <c r="D15" t="s">
        <v>125</v>
      </c>
      <c r="E15">
        <f>Q7</f>
        <v>669705.4</v>
      </c>
      <c r="F15">
        <f>Q15</f>
        <v>432064.4</v>
      </c>
      <c r="G15" s="1">
        <f t="shared" si="0"/>
        <v>237641</v>
      </c>
      <c r="I15">
        <v>5680841.3300000001</v>
      </c>
      <c r="J15">
        <v>1348690.32</v>
      </c>
      <c r="K15">
        <v>1677230.93</v>
      </c>
      <c r="L15">
        <v>143193.56</v>
      </c>
      <c r="M15">
        <v>1004962.22</v>
      </c>
      <c r="N15">
        <v>2762819.5</v>
      </c>
      <c r="O15">
        <v>209894.2</v>
      </c>
      <c r="P15">
        <v>879527.6</v>
      </c>
      <c r="Q15">
        <v>432064.4</v>
      </c>
      <c r="R15">
        <v>182838.2</v>
      </c>
      <c r="S15">
        <v>200715.2</v>
      </c>
    </row>
    <row r="16" spans="4:19">
      <c r="D16" t="s">
        <v>126</v>
      </c>
      <c r="E16">
        <f>R7</f>
        <v>18275</v>
      </c>
      <c r="F16">
        <f>R15</f>
        <v>182838.2</v>
      </c>
      <c r="G16" s="1">
        <f t="shared" si="0"/>
        <v>-164563.20000000001</v>
      </c>
      <c r="I16">
        <v>2219729.1800000002</v>
      </c>
      <c r="J16">
        <v>115816.09</v>
      </c>
      <c r="K16">
        <v>0</v>
      </c>
      <c r="L16">
        <v>0</v>
      </c>
      <c r="M16">
        <v>31875.05</v>
      </c>
      <c r="N16">
        <v>540976.29</v>
      </c>
      <c r="O16">
        <v>1869.3</v>
      </c>
      <c r="P16">
        <v>27178.400000000001</v>
      </c>
      <c r="Q16">
        <v>0</v>
      </c>
      <c r="R16">
        <v>37457</v>
      </c>
      <c r="S16">
        <v>0</v>
      </c>
    </row>
    <row r="17" spans="4:19">
      <c r="D17" t="s">
        <v>127</v>
      </c>
      <c r="E17">
        <f>S7</f>
        <v>520096.4</v>
      </c>
      <c r="F17">
        <f>S15</f>
        <v>200715.2</v>
      </c>
      <c r="G17" s="1">
        <f t="shared" si="0"/>
        <v>319381.2</v>
      </c>
      <c r="I17">
        <v>2933282.9</v>
      </c>
      <c r="J17">
        <v>388693.66</v>
      </c>
      <c r="K17">
        <v>93995.23</v>
      </c>
      <c r="L17">
        <v>512582.75</v>
      </c>
      <c r="M17">
        <v>950775.35</v>
      </c>
      <c r="N17">
        <v>716555.85000000009</v>
      </c>
      <c r="O17">
        <v>77707.91</v>
      </c>
      <c r="P17">
        <v>179163.66000000003</v>
      </c>
      <c r="Q17">
        <v>94629.51999999999</v>
      </c>
      <c r="R17">
        <v>41540.03</v>
      </c>
      <c r="S17">
        <v>33667.520000000004</v>
      </c>
    </row>
    <row r="18" spans="4:19">
      <c r="F18" t="s">
        <v>155</v>
      </c>
      <c r="G18" s="1">
        <f>SUM(G7:G17)</f>
        <v>-471156.12999999983</v>
      </c>
    </row>
    <row r="19" spans="4:19">
      <c r="G19" s="1"/>
      <c r="I19">
        <v>1925294.53</v>
      </c>
      <c r="J19">
        <v>0</v>
      </c>
      <c r="K19">
        <v>0</v>
      </c>
      <c r="L19">
        <v>0</v>
      </c>
      <c r="M19">
        <v>0</v>
      </c>
      <c r="N19">
        <v>2462408.7800000003</v>
      </c>
      <c r="O19">
        <v>0</v>
      </c>
      <c r="P19">
        <v>0</v>
      </c>
      <c r="Q19">
        <v>0</v>
      </c>
      <c r="R19">
        <v>192609</v>
      </c>
      <c r="S19">
        <v>0</v>
      </c>
    </row>
    <row r="20" spans="4:19">
      <c r="D20" s="1" t="s">
        <v>132</v>
      </c>
      <c r="E20" t="s">
        <v>129</v>
      </c>
      <c r="F20" t="s">
        <v>130</v>
      </c>
      <c r="G20" s="1" t="s">
        <v>135</v>
      </c>
    </row>
    <row r="21" spans="4:19">
      <c r="D21" t="s">
        <v>117</v>
      </c>
      <c r="E21">
        <f>I9</f>
        <v>2201740.04</v>
      </c>
      <c r="F21">
        <f>I17</f>
        <v>2933282.9</v>
      </c>
      <c r="G21" s="1">
        <f>E21-F21</f>
        <v>-731542.85999999987</v>
      </c>
    </row>
    <row r="22" spans="4:19">
      <c r="D22" t="s">
        <v>118</v>
      </c>
      <c r="E22">
        <f>J9</f>
        <v>429813.26</v>
      </c>
      <c r="F22">
        <f>J17</f>
        <v>388693.66</v>
      </c>
      <c r="G22" s="1">
        <f t="shared" ref="G22:G31" si="1">E22-F22</f>
        <v>41119.600000000035</v>
      </c>
    </row>
    <row r="23" spans="4:19">
      <c r="D23" t="s">
        <v>119</v>
      </c>
      <c r="E23">
        <f>K9</f>
        <v>24725.599999999999</v>
      </c>
      <c r="F23">
        <f>K17</f>
        <v>93995.23</v>
      </c>
      <c r="G23" s="1">
        <f t="shared" si="1"/>
        <v>-69269.63</v>
      </c>
    </row>
    <row r="24" spans="4:19">
      <c r="D24" t="s">
        <v>120</v>
      </c>
      <c r="E24">
        <f>L9</f>
        <v>761077.39</v>
      </c>
      <c r="F24">
        <f>L17</f>
        <v>512582.75</v>
      </c>
      <c r="G24" s="1">
        <f t="shared" si="1"/>
        <v>248494.64</v>
      </c>
    </row>
    <row r="25" spans="4:19">
      <c r="D25" t="s">
        <v>121</v>
      </c>
      <c r="E25">
        <f>M9</f>
        <v>1218898.3999999999</v>
      </c>
      <c r="F25">
        <f>M17</f>
        <v>950775.35</v>
      </c>
      <c r="G25" s="1">
        <f t="shared" si="1"/>
        <v>268123.04999999993</v>
      </c>
    </row>
    <row r="26" spans="4:19">
      <c r="D26" t="s">
        <v>122</v>
      </c>
      <c r="E26">
        <f>N9</f>
        <v>1032071.31</v>
      </c>
      <c r="F26">
        <f>N17</f>
        <v>716555.85000000009</v>
      </c>
      <c r="G26" s="1">
        <f t="shared" si="1"/>
        <v>315515.45999999996</v>
      </c>
    </row>
    <row r="27" spans="4:19">
      <c r="D27" t="s">
        <v>123</v>
      </c>
      <c r="E27">
        <f>O9</f>
        <v>53245.97</v>
      </c>
      <c r="F27">
        <f>O17</f>
        <v>77707.91</v>
      </c>
      <c r="G27" s="1">
        <f t="shared" si="1"/>
        <v>-24461.940000000002</v>
      </c>
    </row>
    <row r="28" spans="4:19">
      <c r="D28" t="s">
        <v>124</v>
      </c>
      <c r="E28">
        <f>P9</f>
        <v>219947.96000000002</v>
      </c>
      <c r="F28">
        <f>P17</f>
        <v>179163.66000000003</v>
      </c>
      <c r="G28" s="1">
        <f t="shared" si="1"/>
        <v>40784.299999999988</v>
      </c>
    </row>
    <row r="29" spans="4:19">
      <c r="D29" t="s">
        <v>125</v>
      </c>
      <c r="E29">
        <f>Q9</f>
        <v>79795.179999999993</v>
      </c>
      <c r="F29">
        <f>Q17</f>
        <v>94629.51999999999</v>
      </c>
      <c r="G29" s="1">
        <f t="shared" si="1"/>
        <v>-14834.339999999997</v>
      </c>
    </row>
    <row r="30" spans="4:19">
      <c r="D30" t="s">
        <v>126</v>
      </c>
      <c r="E30">
        <f>R9</f>
        <v>65394.95</v>
      </c>
      <c r="F30">
        <f>R17</f>
        <v>41540.03</v>
      </c>
      <c r="G30" s="1">
        <f t="shared" si="1"/>
        <v>23854.92</v>
      </c>
    </row>
    <row r="31" spans="4:19">
      <c r="D31" t="s">
        <v>127</v>
      </c>
      <c r="E31">
        <f>S9</f>
        <v>42290.33</v>
      </c>
      <c r="F31">
        <f>S17</f>
        <v>33667.520000000004</v>
      </c>
      <c r="G31" s="1">
        <f t="shared" si="1"/>
        <v>8622.8099999999977</v>
      </c>
    </row>
    <row r="32" spans="4:19">
      <c r="F32" t="s">
        <v>156</v>
      </c>
      <c r="G32" s="1">
        <f>SUM(G21:G31)</f>
        <v>106406.01000000011</v>
      </c>
    </row>
    <row r="33" spans="4:21">
      <c r="G33" s="1"/>
      <c r="J33" t="s">
        <v>129</v>
      </c>
    </row>
    <row r="34" spans="4:21">
      <c r="D34" s="1" t="s">
        <v>134</v>
      </c>
      <c r="E34" t="s">
        <v>129</v>
      </c>
      <c r="F34" t="s">
        <v>130</v>
      </c>
      <c r="G34" s="1" t="s">
        <v>135</v>
      </c>
      <c r="J34" t="s">
        <v>50</v>
      </c>
      <c r="K34">
        <v>1912856.3252929903</v>
      </c>
      <c r="L34">
        <v>373418.74978383037</v>
      </c>
      <c r="M34">
        <v>21481.428096599615</v>
      </c>
      <c r="N34">
        <v>661218.7056828835</v>
      </c>
      <c r="O34">
        <v>1058970.3924944315</v>
      </c>
      <c r="P34">
        <v>896656.32527940162</v>
      </c>
      <c r="Q34">
        <v>46259.725789817043</v>
      </c>
      <c r="R34">
        <v>191089.24708535965</v>
      </c>
      <c r="S34">
        <v>69325.493481461468</v>
      </c>
      <c r="T34">
        <v>56814.674519757944</v>
      </c>
      <c r="U34">
        <v>36741.542493467081</v>
      </c>
    </row>
    <row r="35" spans="4:21">
      <c r="D35" t="s">
        <v>117</v>
      </c>
      <c r="E35">
        <f>K38</f>
        <v>5891276.8681211267</v>
      </c>
      <c r="F35">
        <f>K44</f>
        <v>8401858.0904780887</v>
      </c>
      <c r="G35" s="1">
        <f>E35-F35</f>
        <v>-2510581.222356962</v>
      </c>
      <c r="J35" t="s">
        <v>51</v>
      </c>
      <c r="K35">
        <v>1775868.7613912711</v>
      </c>
      <c r="L35">
        <v>359108.77473863022</v>
      </c>
      <c r="M35">
        <v>456208.135041159</v>
      </c>
      <c r="N35">
        <v>208480.57729207835</v>
      </c>
      <c r="O35">
        <v>475931.76240507711</v>
      </c>
      <c r="P35">
        <v>349868.63087889471</v>
      </c>
      <c r="Q35">
        <v>691505.86232338496</v>
      </c>
      <c r="R35">
        <v>266479.53446907969</v>
      </c>
      <c r="S35">
        <v>158523.26766218728</v>
      </c>
      <c r="T35">
        <v>17696.629239608894</v>
      </c>
      <c r="U35">
        <v>118947.71599703399</v>
      </c>
    </row>
    <row r="36" spans="4:21">
      <c r="D36" t="s">
        <v>118</v>
      </c>
      <c r="E36">
        <f>L38</f>
        <v>1189948.0994401476</v>
      </c>
      <c r="F36">
        <f>L44</f>
        <v>1333331.0212441033</v>
      </c>
      <c r="G36" s="1">
        <f t="shared" ref="G36:G45" si="2">E36-F36</f>
        <v>-143382.92180395569</v>
      </c>
      <c r="J36" t="s">
        <v>52</v>
      </c>
      <c r="K36">
        <v>277761.89253872778</v>
      </c>
      <c r="L36">
        <v>68197.590844247214</v>
      </c>
      <c r="M36">
        <v>79992.645029348423</v>
      </c>
      <c r="N36">
        <v>5913.0775477865736</v>
      </c>
      <c r="O36">
        <v>60319.646531553226</v>
      </c>
      <c r="P36">
        <v>14432.307664483495</v>
      </c>
      <c r="Q36">
        <v>189046.78705809425</v>
      </c>
      <c r="R36">
        <v>61292.521555734544</v>
      </c>
      <c r="S36">
        <v>39470.243865786164</v>
      </c>
      <c r="T36">
        <v>1077.0686732513163</v>
      </c>
      <c r="U36">
        <v>30652.779179796773</v>
      </c>
    </row>
    <row r="37" spans="4:21">
      <c r="D37" t="s">
        <v>119</v>
      </c>
      <c r="E37">
        <f>M38</f>
        <v>1052147.1284646881</v>
      </c>
      <c r="F37">
        <f>M44</f>
        <v>1019434.6751966091</v>
      </c>
      <c r="G37" s="1">
        <f t="shared" si="2"/>
        <v>32712.453268078971</v>
      </c>
      <c r="J37" t="s">
        <v>53</v>
      </c>
      <c r="K37">
        <v>1924789.8888981373</v>
      </c>
      <c r="L37">
        <v>389222.98407343996</v>
      </c>
      <c r="M37">
        <v>494464.92029758106</v>
      </c>
      <c r="N37">
        <v>58093.904598791778</v>
      </c>
      <c r="O37">
        <v>132620.1930166372</v>
      </c>
      <c r="P37">
        <v>97492.222673160752</v>
      </c>
      <c r="Q37">
        <v>749494.28744446684</v>
      </c>
      <c r="R37">
        <v>288826.02402585873</v>
      </c>
      <c r="S37">
        <v>171816.74084532436</v>
      </c>
      <c r="T37">
        <v>19180.636412170948</v>
      </c>
      <c r="U37">
        <v>128922.45532786564</v>
      </c>
    </row>
    <row r="38" spans="4:21">
      <c r="D38" t="s">
        <v>120</v>
      </c>
      <c r="E38">
        <f>N38</f>
        <v>933706.26512154017</v>
      </c>
      <c r="F38">
        <f>N44</f>
        <v>816328.17179665738</v>
      </c>
      <c r="G38" s="1">
        <f t="shared" si="2"/>
        <v>117378.09332488279</v>
      </c>
      <c r="K38">
        <f>SUM(K34:K37)</f>
        <v>5891276.8681211267</v>
      </c>
      <c r="L38">
        <f t="shared" ref="L38:U38" si="3">SUM(L34:L37)</f>
        <v>1189948.0994401476</v>
      </c>
      <c r="M38">
        <f t="shared" si="3"/>
        <v>1052147.1284646881</v>
      </c>
      <c r="N38">
        <f t="shared" si="3"/>
        <v>933706.26512154017</v>
      </c>
      <c r="O38">
        <f t="shared" si="3"/>
        <v>1727841.994447699</v>
      </c>
      <c r="P38">
        <f t="shared" si="3"/>
        <v>1358449.4864959405</v>
      </c>
      <c r="Q38">
        <f t="shared" si="3"/>
        <v>1676306.662615763</v>
      </c>
      <c r="R38">
        <f t="shared" si="3"/>
        <v>807687.32713603263</v>
      </c>
      <c r="S38">
        <f t="shared" si="3"/>
        <v>439135.7458547593</v>
      </c>
      <c r="T38">
        <f t="shared" si="3"/>
        <v>94769.008844789103</v>
      </c>
      <c r="U38">
        <f t="shared" si="3"/>
        <v>315264.49299816345</v>
      </c>
    </row>
    <row r="39" spans="4:21">
      <c r="D39" t="s">
        <v>121</v>
      </c>
      <c r="E39">
        <f>O38</f>
        <v>1727841.994447699</v>
      </c>
      <c r="F39">
        <f>O44</f>
        <v>1920472.4855726655</v>
      </c>
      <c r="G39" s="1">
        <f t="shared" si="2"/>
        <v>-192630.49112496641</v>
      </c>
      <c r="J39" t="s">
        <v>130</v>
      </c>
    </row>
    <row r="40" spans="4:21">
      <c r="D40" t="s">
        <v>122</v>
      </c>
      <c r="E40">
        <f>P38</f>
        <v>1358449.4864959405</v>
      </c>
      <c r="F40">
        <f>P44</f>
        <v>2776172.8863331368</v>
      </c>
      <c r="G40" s="1">
        <f t="shared" si="2"/>
        <v>-1417723.3998371963</v>
      </c>
      <c r="J40" t="s">
        <v>50</v>
      </c>
      <c r="K40">
        <v>2694534.97926141</v>
      </c>
      <c r="L40">
        <v>357056.81954070693</v>
      </c>
      <c r="M40">
        <v>86344.70105789027</v>
      </c>
      <c r="N40">
        <v>470862.23754313181</v>
      </c>
      <c r="O40">
        <v>873389.1429273698</v>
      </c>
      <c r="P40">
        <v>658233.40886056109</v>
      </c>
      <c r="Q40">
        <v>71383.050595050867</v>
      </c>
      <c r="R40">
        <v>164581.03951804253</v>
      </c>
      <c r="S40">
        <v>86927.364459362972</v>
      </c>
      <c r="T40">
        <v>38158.973304132494</v>
      </c>
      <c r="U40">
        <v>30927.228432342177</v>
      </c>
    </row>
    <row r="41" spans="4:21">
      <c r="D41" t="s">
        <v>123</v>
      </c>
      <c r="E41">
        <f>Q38</f>
        <v>1676306.662615763</v>
      </c>
      <c r="F41">
        <f>Q44</f>
        <v>223877.90222416105</v>
      </c>
      <c r="G41" s="1">
        <f t="shared" si="2"/>
        <v>1452428.7603916021</v>
      </c>
      <c r="J41" t="s">
        <v>51</v>
      </c>
      <c r="K41">
        <v>2087486.8841722661</v>
      </c>
      <c r="L41">
        <v>357078.0121781365</v>
      </c>
      <c r="M41">
        <v>341283.12780104409</v>
      </c>
      <c r="N41">
        <v>126356.19056949066</v>
      </c>
      <c r="O41">
        <v>382976.8705597868</v>
      </c>
      <c r="P41">
        <v>774648.77921589499</v>
      </c>
      <c r="Q41">
        <v>55775.885905941257</v>
      </c>
      <c r="R41">
        <v>209227.37159045596</v>
      </c>
      <c r="S41">
        <v>101484.35726095697</v>
      </c>
      <c r="T41">
        <v>50450.895702051843</v>
      </c>
      <c r="U41">
        <v>45161.295372984074</v>
      </c>
    </row>
    <row r="42" spans="4:21">
      <c r="D42" t="s">
        <v>124</v>
      </c>
      <c r="E42">
        <f>R38</f>
        <v>807687.32713603263</v>
      </c>
      <c r="F42">
        <f>R44</f>
        <v>736622.10115605476</v>
      </c>
      <c r="G42" s="1">
        <f t="shared" si="2"/>
        <v>71065.225979977869</v>
      </c>
      <c r="J42" t="s">
        <v>52</v>
      </c>
      <c r="K42">
        <v>506700.74816626182</v>
      </c>
      <c r="L42">
        <v>86674.410889113991</v>
      </c>
      <c r="M42">
        <v>82840.48034240985</v>
      </c>
      <c r="N42">
        <v>30670.744224765218</v>
      </c>
      <c r="O42">
        <v>92960.903522018751</v>
      </c>
      <c r="P42">
        <v>188032.37470419655</v>
      </c>
      <c r="Q42">
        <v>13538.615898601376</v>
      </c>
      <c r="R42">
        <v>50786.266742836095</v>
      </c>
      <c r="S42">
        <v>24633.543875744694</v>
      </c>
      <c r="T42">
        <v>12246.068127045595</v>
      </c>
      <c r="U42">
        <v>10962.110625534435</v>
      </c>
    </row>
    <row r="43" spans="4:21">
      <c r="D43" t="s">
        <v>125</v>
      </c>
      <c r="E43">
        <f>S38</f>
        <v>439135.7458547593</v>
      </c>
      <c r="F43">
        <f>S44</f>
        <v>364392.11023289</v>
      </c>
      <c r="G43" s="1">
        <f t="shared" si="2"/>
        <v>74743.635621869296</v>
      </c>
      <c r="J43" t="s">
        <v>53</v>
      </c>
      <c r="K43">
        <v>3113135.4788781512</v>
      </c>
      <c r="L43">
        <v>532521.77863614587</v>
      </c>
      <c r="M43">
        <v>508966.3659952649</v>
      </c>
      <c r="N43">
        <v>188438.99945926969</v>
      </c>
      <c r="O43">
        <v>571145.56856349017</v>
      </c>
      <c r="P43">
        <v>1155258.3235524839</v>
      </c>
      <c r="Q43">
        <v>83180.349824567529</v>
      </c>
      <c r="R43">
        <v>312027.42330472014</v>
      </c>
      <c r="S43">
        <v>151346.84463682538</v>
      </c>
      <c r="T43">
        <v>75239.022837509576</v>
      </c>
      <c r="U43">
        <v>67350.473894584822</v>
      </c>
    </row>
    <row r="44" spans="4:21">
      <c r="D44" t="s">
        <v>126</v>
      </c>
      <c r="E44">
        <f>T38</f>
        <v>94769.008844789103</v>
      </c>
      <c r="F44">
        <f>T44</f>
        <v>176094.9599707395</v>
      </c>
      <c r="G44" s="1">
        <f t="shared" si="2"/>
        <v>-81325.951125950392</v>
      </c>
      <c r="K44">
        <f>SUM(K40:K43)</f>
        <v>8401858.0904780887</v>
      </c>
      <c r="L44">
        <f t="shared" ref="L44:U44" si="4">SUM(L40:L43)</f>
        <v>1333331.0212441033</v>
      </c>
      <c r="M44">
        <f t="shared" si="4"/>
        <v>1019434.6751966091</v>
      </c>
      <c r="N44">
        <f t="shared" si="4"/>
        <v>816328.17179665738</v>
      </c>
      <c r="O44">
        <f t="shared" si="4"/>
        <v>1920472.4855726655</v>
      </c>
      <c r="P44">
        <f t="shared" si="4"/>
        <v>2776172.8863331368</v>
      </c>
      <c r="Q44">
        <f t="shared" si="4"/>
        <v>223877.90222416105</v>
      </c>
      <c r="R44">
        <f t="shared" si="4"/>
        <v>736622.10115605476</v>
      </c>
      <c r="S44">
        <f t="shared" si="4"/>
        <v>364392.11023289</v>
      </c>
      <c r="T44">
        <f t="shared" si="4"/>
        <v>176094.9599707395</v>
      </c>
      <c r="U44">
        <f t="shared" si="4"/>
        <v>154401.1083254455</v>
      </c>
    </row>
    <row r="45" spans="4:21">
      <c r="D45" t="s">
        <v>127</v>
      </c>
      <c r="E45">
        <f>U38</f>
        <v>315264.49299816345</v>
      </c>
      <c r="F45">
        <f>U44</f>
        <v>154401.1083254455</v>
      </c>
      <c r="G45" s="1">
        <f t="shared" si="2"/>
        <v>160863.38467271795</v>
      </c>
    </row>
    <row r="46" spans="4:21">
      <c r="F46" t="s">
        <v>155</v>
      </c>
      <c r="G46" s="1">
        <f>SUM(G35:G45)</f>
        <v>-2436452.4329899019</v>
      </c>
    </row>
    <row r="49" spans="4:20">
      <c r="D49" s="1" t="s">
        <v>143</v>
      </c>
    </row>
    <row r="50" spans="4:20">
      <c r="I50" s="1" t="s">
        <v>129</v>
      </c>
    </row>
    <row r="51" spans="4:20">
      <c r="D51" s="1" t="s">
        <v>133</v>
      </c>
      <c r="E51" t="s">
        <v>129</v>
      </c>
      <c r="F51" t="s">
        <v>130</v>
      </c>
      <c r="G51" s="1" t="s">
        <v>135</v>
      </c>
      <c r="I51" s="1" t="s">
        <v>37</v>
      </c>
      <c r="J51">
        <v>3872663.88</v>
      </c>
      <c r="K51">
        <v>1381318.43</v>
      </c>
      <c r="L51">
        <v>39412.78</v>
      </c>
      <c r="M51">
        <v>3425173.9699999997</v>
      </c>
      <c r="N51">
        <v>1206633.8700000001</v>
      </c>
      <c r="O51">
        <v>271003.8</v>
      </c>
      <c r="P51">
        <v>1878217.74</v>
      </c>
      <c r="Q51">
        <v>557860.92999999993</v>
      </c>
      <c r="R51">
        <v>45824.639999999999</v>
      </c>
      <c r="S51">
        <v>470218.56</v>
      </c>
      <c r="T51">
        <v>243762.08</v>
      </c>
    </row>
    <row r="52" spans="4:20">
      <c r="D52" t="s">
        <v>144</v>
      </c>
      <c r="E52">
        <f>J51</f>
        <v>3872663.88</v>
      </c>
      <c r="F52">
        <f>J57</f>
        <v>3410799.41</v>
      </c>
      <c r="G52" s="1">
        <f>E52-F52</f>
        <v>461864.46999999974</v>
      </c>
      <c r="I52" s="1" t="s">
        <v>36</v>
      </c>
      <c r="J52">
        <v>546947.56000000006</v>
      </c>
      <c r="K52">
        <v>129107.14</v>
      </c>
      <c r="L52">
        <v>0</v>
      </c>
      <c r="M52">
        <v>209430.30000000002</v>
      </c>
      <c r="N52">
        <v>549738.43999999994</v>
      </c>
      <c r="O52">
        <v>8760</v>
      </c>
      <c r="P52">
        <v>175665</v>
      </c>
      <c r="Q52">
        <v>0</v>
      </c>
      <c r="R52">
        <v>0</v>
      </c>
      <c r="S52">
        <v>74583.759999999995</v>
      </c>
      <c r="T52">
        <v>22783.61</v>
      </c>
    </row>
    <row r="53" spans="4:20">
      <c r="D53" t="s">
        <v>145</v>
      </c>
      <c r="E53">
        <f>K51</f>
        <v>1381318.43</v>
      </c>
      <c r="F53">
        <f>K57</f>
        <v>3352974.24</v>
      </c>
      <c r="G53" s="1">
        <f t="shared" ref="G53:G62" si="5">E53-F53</f>
        <v>-1971655.8100000003</v>
      </c>
      <c r="I53" s="1" t="s">
        <v>38</v>
      </c>
      <c r="J53">
        <v>292716.31</v>
      </c>
      <c r="K53">
        <v>356832.24999999994</v>
      </c>
      <c r="L53">
        <v>8531.74</v>
      </c>
      <c r="M53">
        <v>208915.83</v>
      </c>
      <c r="N53">
        <v>105010.23</v>
      </c>
      <c r="O53">
        <v>234588.29</v>
      </c>
      <c r="P53">
        <v>148973.15</v>
      </c>
      <c r="Q53">
        <v>113306.47</v>
      </c>
      <c r="R53">
        <v>75894.290000000008</v>
      </c>
      <c r="S53">
        <v>39915.86</v>
      </c>
      <c r="T53">
        <v>62970.400000000001</v>
      </c>
    </row>
    <row r="54" spans="4:20">
      <c r="D54" t="s">
        <v>146</v>
      </c>
      <c r="E54">
        <f>L51</f>
        <v>39412.78</v>
      </c>
      <c r="F54">
        <f>L57</f>
        <v>11440</v>
      </c>
      <c r="G54" s="1">
        <f t="shared" si="5"/>
        <v>27972.78</v>
      </c>
    </row>
    <row r="55" spans="4:20">
      <c r="D55" t="s">
        <v>147</v>
      </c>
      <c r="E55">
        <f>M51</f>
        <v>3425173.9699999997</v>
      </c>
      <c r="F55">
        <f>M57</f>
        <v>3148657.1799999997</v>
      </c>
      <c r="G55" s="1">
        <f t="shared" si="5"/>
        <v>276516.79000000004</v>
      </c>
    </row>
    <row r="56" spans="4:20">
      <c r="D56" t="s">
        <v>148</v>
      </c>
      <c r="E56">
        <f>N51</f>
        <v>1206633.8700000001</v>
      </c>
      <c r="F56">
        <f>N57</f>
        <v>1438416.65</v>
      </c>
      <c r="G56" s="1">
        <f t="shared" si="5"/>
        <v>-231782.7799999998</v>
      </c>
      <c r="I56" s="1" t="s">
        <v>130</v>
      </c>
    </row>
    <row r="57" spans="4:20">
      <c r="D57" t="s">
        <v>149</v>
      </c>
      <c r="E57">
        <f>O51</f>
        <v>271003.8</v>
      </c>
      <c r="F57">
        <f>O57</f>
        <v>261221.1</v>
      </c>
      <c r="G57" s="1">
        <f t="shared" si="5"/>
        <v>9782.6999999999825</v>
      </c>
      <c r="I57" s="1" t="s">
        <v>37</v>
      </c>
      <c r="J57">
        <v>3410799.41</v>
      </c>
      <c r="K57">
        <v>3352974.24</v>
      </c>
      <c r="L57">
        <v>11440</v>
      </c>
      <c r="M57">
        <v>3148657.1799999997</v>
      </c>
      <c r="N57">
        <v>1438416.65</v>
      </c>
      <c r="O57">
        <v>261221.1</v>
      </c>
      <c r="P57">
        <v>1090786.22</v>
      </c>
      <c r="Q57">
        <v>955084.22</v>
      </c>
      <c r="R57">
        <v>172859.4</v>
      </c>
      <c r="S57">
        <v>465109</v>
      </c>
      <c r="T57">
        <v>591701.34</v>
      </c>
    </row>
    <row r="58" spans="4:20">
      <c r="D58" t="s">
        <v>150</v>
      </c>
      <c r="E58">
        <f>P51</f>
        <v>1878217.74</v>
      </c>
      <c r="F58">
        <f>P57</f>
        <v>1090786.22</v>
      </c>
      <c r="G58" s="1">
        <f t="shared" si="5"/>
        <v>787431.52</v>
      </c>
      <c r="I58" s="1" t="s">
        <v>36</v>
      </c>
      <c r="J58">
        <v>1917548.42</v>
      </c>
      <c r="K58">
        <v>423285.89</v>
      </c>
      <c r="L58">
        <v>1278.75</v>
      </c>
      <c r="M58">
        <v>124920.33</v>
      </c>
      <c r="N58">
        <v>430700.24</v>
      </c>
      <c r="O58">
        <v>5000</v>
      </c>
      <c r="P58">
        <v>0</v>
      </c>
      <c r="Q58">
        <v>570</v>
      </c>
      <c r="R58">
        <v>42206.59</v>
      </c>
      <c r="S58">
        <v>261483.88</v>
      </c>
      <c r="T58">
        <v>74697.509999999995</v>
      </c>
    </row>
    <row r="59" spans="4:20">
      <c r="D59" t="s">
        <v>151</v>
      </c>
      <c r="E59">
        <f>Q51</f>
        <v>557860.92999999993</v>
      </c>
      <c r="F59">
        <f>Q57</f>
        <v>955084.22</v>
      </c>
      <c r="G59" s="1">
        <f t="shared" si="5"/>
        <v>-397223.29000000004</v>
      </c>
      <c r="I59" s="1" t="s">
        <v>38</v>
      </c>
      <c r="J59">
        <v>360480.97</v>
      </c>
      <c r="K59">
        <v>427655.50999999995</v>
      </c>
      <c r="L59">
        <v>12415.2</v>
      </c>
      <c r="M59">
        <v>201871.67</v>
      </c>
      <c r="N59">
        <v>123393.41</v>
      </c>
      <c r="O59">
        <v>229890.18</v>
      </c>
      <c r="P59">
        <v>126227.19</v>
      </c>
      <c r="Q59">
        <v>106449.90000000001</v>
      </c>
      <c r="R59">
        <v>603</v>
      </c>
      <c r="S59">
        <v>49156.49</v>
      </c>
      <c r="T59">
        <v>75468.62</v>
      </c>
    </row>
    <row r="60" spans="4:20">
      <c r="D60" t="s">
        <v>152</v>
      </c>
      <c r="E60">
        <f>R51</f>
        <v>45824.639999999999</v>
      </c>
      <c r="F60">
        <f>R57</f>
        <v>172859.4</v>
      </c>
      <c r="G60" s="1">
        <f t="shared" si="5"/>
        <v>-127034.76</v>
      </c>
    </row>
    <row r="61" spans="4:20">
      <c r="D61" t="s">
        <v>153</v>
      </c>
      <c r="E61">
        <f>S51</f>
        <v>470218.56</v>
      </c>
      <c r="F61">
        <f>S57</f>
        <v>465109</v>
      </c>
      <c r="G61" s="1">
        <f t="shared" si="5"/>
        <v>5109.5599999999977</v>
      </c>
    </row>
    <row r="62" spans="4:20">
      <c r="D62" t="s">
        <v>154</v>
      </c>
      <c r="E62">
        <f>T51</f>
        <v>243762.08</v>
      </c>
      <c r="F62">
        <f>T57</f>
        <v>591701.34</v>
      </c>
      <c r="G62" s="1">
        <f t="shared" si="5"/>
        <v>-347939.26</v>
      </c>
    </row>
    <row r="63" spans="4:20">
      <c r="F63" t="s">
        <v>155</v>
      </c>
      <c r="G63" s="1">
        <f>SUM(G52:G62)</f>
        <v>-1506958.0800000003</v>
      </c>
    </row>
    <row r="65" spans="4:20">
      <c r="D65" s="1" t="s">
        <v>136</v>
      </c>
      <c r="E65" t="s">
        <v>129</v>
      </c>
      <c r="F65" t="s">
        <v>130</v>
      </c>
      <c r="G65" s="1" t="s">
        <v>135</v>
      </c>
      <c r="I65" s="1" t="s">
        <v>157</v>
      </c>
      <c r="J65" t="s">
        <v>158</v>
      </c>
      <c r="K65" t="s">
        <v>159</v>
      </c>
      <c r="L65" t="s">
        <v>135</v>
      </c>
    </row>
    <row r="66" spans="4:20">
      <c r="D66" t="s">
        <v>144</v>
      </c>
      <c r="E66">
        <f>J53</f>
        <v>292716.31</v>
      </c>
      <c r="F66">
        <f>J59</f>
        <v>360480.97</v>
      </c>
      <c r="G66" s="1">
        <f>E66-F66</f>
        <v>-67764.659999999974</v>
      </c>
      <c r="I66" t="s">
        <v>144</v>
      </c>
    </row>
    <row r="67" spans="4:20">
      <c r="D67" t="s">
        <v>145</v>
      </c>
      <c r="E67">
        <f>K53</f>
        <v>356832.24999999994</v>
      </c>
      <c r="F67">
        <f>K59</f>
        <v>427655.50999999995</v>
      </c>
      <c r="G67" s="1">
        <f t="shared" ref="G67:G76" si="6">E67-F67</f>
        <v>-70823.260000000009</v>
      </c>
      <c r="I67" t="s">
        <v>145</v>
      </c>
    </row>
    <row r="68" spans="4:20">
      <c r="D68" t="s">
        <v>146</v>
      </c>
      <c r="E68">
        <f>L53</f>
        <v>8531.74</v>
      </c>
      <c r="F68">
        <f>L59</f>
        <v>12415.2</v>
      </c>
      <c r="G68" s="1">
        <f t="shared" si="6"/>
        <v>-3883.4600000000009</v>
      </c>
      <c r="I68" t="s">
        <v>146</v>
      </c>
    </row>
    <row r="69" spans="4:20">
      <c r="D69" t="s">
        <v>147</v>
      </c>
      <c r="E69">
        <f>M53</f>
        <v>208915.83</v>
      </c>
      <c r="F69">
        <f>M59</f>
        <v>201871.67</v>
      </c>
      <c r="G69" s="1">
        <f t="shared" si="6"/>
        <v>7044.1599999999744</v>
      </c>
      <c r="I69" t="s">
        <v>147</v>
      </c>
    </row>
    <row r="70" spans="4:20">
      <c r="D70" t="s">
        <v>148</v>
      </c>
      <c r="E70">
        <f>N53</f>
        <v>105010.23</v>
      </c>
      <c r="F70">
        <f>N59</f>
        <v>123393.41</v>
      </c>
      <c r="G70" s="1">
        <f t="shared" si="6"/>
        <v>-18383.180000000008</v>
      </c>
      <c r="I70" t="s">
        <v>148</v>
      </c>
    </row>
    <row r="71" spans="4:20">
      <c r="D71" t="s">
        <v>149</v>
      </c>
      <c r="E71">
        <f>O53</f>
        <v>234588.29</v>
      </c>
      <c r="F71">
        <f>O59</f>
        <v>229890.18</v>
      </c>
      <c r="G71" s="1">
        <f t="shared" si="6"/>
        <v>4698.1100000000151</v>
      </c>
      <c r="I71" t="s">
        <v>149</v>
      </c>
    </row>
    <row r="72" spans="4:20">
      <c r="D72" t="s">
        <v>150</v>
      </c>
      <c r="E72">
        <f>P53</f>
        <v>148973.15</v>
      </c>
      <c r="F72">
        <f>P59</f>
        <v>126227.19</v>
      </c>
      <c r="G72" s="1">
        <f t="shared" si="6"/>
        <v>22745.959999999992</v>
      </c>
      <c r="I72" t="s">
        <v>150</v>
      </c>
    </row>
    <row r="73" spans="4:20">
      <c r="D73" t="s">
        <v>151</v>
      </c>
      <c r="E73">
        <f>Q53</f>
        <v>113306.47</v>
      </c>
      <c r="F73">
        <f>Q59</f>
        <v>106449.90000000001</v>
      </c>
      <c r="G73" s="1">
        <f t="shared" si="6"/>
        <v>6856.5699999999924</v>
      </c>
      <c r="I73" t="s">
        <v>151</v>
      </c>
    </row>
    <row r="74" spans="4:20">
      <c r="D74" t="s">
        <v>152</v>
      </c>
      <c r="E74">
        <f>R53</f>
        <v>75894.290000000008</v>
      </c>
      <c r="F74">
        <f>R59</f>
        <v>603</v>
      </c>
      <c r="G74" s="1">
        <f t="shared" si="6"/>
        <v>75291.290000000008</v>
      </c>
      <c r="I74" t="s">
        <v>152</v>
      </c>
    </row>
    <row r="75" spans="4:20">
      <c r="D75" t="s">
        <v>153</v>
      </c>
      <c r="E75">
        <f>S53</f>
        <v>39915.86</v>
      </c>
      <c r="F75">
        <f>S59</f>
        <v>49156.49</v>
      </c>
      <c r="G75" s="1">
        <f t="shared" si="6"/>
        <v>-9240.6299999999974</v>
      </c>
      <c r="I75" t="s">
        <v>153</v>
      </c>
    </row>
    <row r="76" spans="4:20">
      <c r="D76" t="s">
        <v>154</v>
      </c>
      <c r="E76">
        <f>T53</f>
        <v>62970.400000000001</v>
      </c>
      <c r="F76">
        <f>T59</f>
        <v>75468.62</v>
      </c>
      <c r="G76" s="1">
        <f t="shared" si="6"/>
        <v>-12498.219999999994</v>
      </c>
      <c r="I76" t="s">
        <v>154</v>
      </c>
    </row>
    <row r="77" spans="4:20">
      <c r="F77" t="s">
        <v>155</v>
      </c>
      <c r="G77" s="1">
        <f>SUM(G66:G76)</f>
        <v>-65957.320000000007</v>
      </c>
    </row>
    <row r="79" spans="4:20">
      <c r="D79" s="1" t="s">
        <v>134</v>
      </c>
      <c r="E79" t="s">
        <v>129</v>
      </c>
      <c r="F79" t="s">
        <v>130</v>
      </c>
      <c r="G79" s="1" t="s">
        <v>135</v>
      </c>
      <c r="I79" t="s">
        <v>50</v>
      </c>
      <c r="J79">
        <v>2124030.484816975</v>
      </c>
      <c r="K79">
        <v>757608.34027236118</v>
      </c>
      <c r="L79">
        <v>21616.631033671005</v>
      </c>
      <c r="M79">
        <v>1878596.7885448355</v>
      </c>
      <c r="N79">
        <v>661799.52696867741</v>
      </c>
      <c r="O79">
        <v>148636.79124697042</v>
      </c>
      <c r="P79">
        <v>1030141.489295488</v>
      </c>
      <c r="Q79">
        <v>305968.61961806723</v>
      </c>
      <c r="R79">
        <v>25133.328202953504</v>
      </c>
      <c r="S79">
        <v>257899.62333801604</v>
      </c>
      <c r="T79">
        <v>133695.59171822426</v>
      </c>
    </row>
    <row r="80" spans="4:20">
      <c r="D80" t="s">
        <v>144</v>
      </c>
      <c r="E80">
        <f>J83</f>
        <v>4429216.1575478865</v>
      </c>
      <c r="F80">
        <f>J89</f>
        <v>4770683.0843081512</v>
      </c>
      <c r="G80" s="1">
        <f>E80-F80</f>
        <v>-341466.92676026467</v>
      </c>
      <c r="I80" t="s">
        <v>51</v>
      </c>
      <c r="J80">
        <v>996681.80807171972</v>
      </c>
      <c r="K80">
        <v>394934.73266447947</v>
      </c>
      <c r="L80">
        <v>10140.515137286606</v>
      </c>
      <c r="M80">
        <v>812924.47509152931</v>
      </c>
      <c r="N80">
        <v>108788.14001141326</v>
      </c>
      <c r="O80">
        <v>108788.14001141326</v>
      </c>
      <c r="P80">
        <v>465915.46849996538</v>
      </c>
      <c r="Q80">
        <v>141955.39301161622</v>
      </c>
      <c r="R80">
        <v>25744.186241917301</v>
      </c>
      <c r="S80">
        <v>123670.93372374307</v>
      </c>
      <c r="T80">
        <v>69694.365458753076</v>
      </c>
    </row>
    <row r="81" spans="4:20">
      <c r="D81" t="s">
        <v>145</v>
      </c>
      <c r="E81">
        <f>K83</f>
        <v>1662006.7009216531</v>
      </c>
      <c r="F81">
        <f>K89</f>
        <v>3958352.1845853883</v>
      </c>
      <c r="G81" s="1">
        <f t="shared" ref="G81:G90" si="7">E81-F81</f>
        <v>-2296345.483663735</v>
      </c>
      <c r="I81" t="s">
        <v>52</v>
      </c>
      <c r="J81">
        <v>228242.13117263449</v>
      </c>
      <c r="K81">
        <v>81410.386251036456</v>
      </c>
      <c r="L81">
        <v>2322.8602278383596</v>
      </c>
      <c r="M81">
        <v>201868.54082204346</v>
      </c>
      <c r="N81">
        <v>71115.050148344817</v>
      </c>
      <c r="O81">
        <v>15972.076788621893</v>
      </c>
      <c r="P81">
        <v>110696.00488639595</v>
      </c>
      <c r="Q81">
        <v>32878.496948500433</v>
      </c>
      <c r="R81">
        <v>2700.7542657739646</v>
      </c>
      <c r="S81">
        <v>27713.142574957292</v>
      </c>
      <c r="T81">
        <v>14366.538992863543</v>
      </c>
    </row>
    <row r="82" spans="4:20">
      <c r="D82" t="s">
        <v>146</v>
      </c>
      <c r="E82">
        <f>L83</f>
        <v>45070.886709780476</v>
      </c>
      <c r="F82">
        <f>L89</f>
        <v>19190.037563801121</v>
      </c>
      <c r="G82" s="1">
        <f t="shared" si="7"/>
        <v>25880.849145979355</v>
      </c>
      <c r="I82" t="s">
        <v>53</v>
      </c>
      <c r="J82">
        <v>1080261.7334865574</v>
      </c>
      <c r="K82">
        <v>428053.24173377588</v>
      </c>
      <c r="L82">
        <v>10990.880310984507</v>
      </c>
      <c r="M82">
        <v>881094.8444569516</v>
      </c>
      <c r="N82">
        <v>426706.38292126678</v>
      </c>
      <c r="O82">
        <v>117910.91576044001</v>
      </c>
      <c r="P82">
        <v>504986.29310163617</v>
      </c>
      <c r="Q82">
        <v>153859.51433103642</v>
      </c>
      <c r="R82">
        <v>27903.046921965255</v>
      </c>
      <c r="S82">
        <v>134041.7535108641</v>
      </c>
      <c r="T82">
        <v>75538.808308720152</v>
      </c>
    </row>
    <row r="83" spans="4:20">
      <c r="D83" t="s">
        <v>147</v>
      </c>
      <c r="E83">
        <f>M83</f>
        <v>3774484.6489153598</v>
      </c>
      <c r="F83">
        <f>M89</f>
        <v>3468337.8998790924</v>
      </c>
      <c r="G83" s="1">
        <f t="shared" si="7"/>
        <v>306146.7490362674</v>
      </c>
      <c r="J83">
        <f>SUM(J79:J82)</f>
        <v>4429216.1575478865</v>
      </c>
      <c r="K83">
        <f t="shared" ref="K83:T83" si="8">SUM(K79:K82)</f>
        <v>1662006.7009216531</v>
      </c>
      <c r="L83">
        <f t="shared" si="8"/>
        <v>45070.886709780476</v>
      </c>
      <c r="M83">
        <f t="shared" si="8"/>
        <v>3774484.6489153598</v>
      </c>
      <c r="N83">
        <f t="shared" si="8"/>
        <v>1268409.1000497022</v>
      </c>
      <c r="O83">
        <f t="shared" si="8"/>
        <v>391307.92380744556</v>
      </c>
      <c r="P83">
        <f t="shared" si="8"/>
        <v>2111739.2557834852</v>
      </c>
      <c r="Q83">
        <f t="shared" si="8"/>
        <v>634662.02390922036</v>
      </c>
      <c r="R83">
        <f t="shared" si="8"/>
        <v>81481.315632610014</v>
      </c>
      <c r="S83">
        <f t="shared" si="8"/>
        <v>543325.4531475805</v>
      </c>
      <c r="T83">
        <f t="shared" si="8"/>
        <v>293295.30447856104</v>
      </c>
    </row>
    <row r="84" spans="4:20">
      <c r="D84" t="s">
        <v>148</v>
      </c>
      <c r="E84">
        <f>N83</f>
        <v>1268409.1000497022</v>
      </c>
      <c r="F84">
        <f>N89</f>
        <v>1797710.3709484884</v>
      </c>
      <c r="G84" s="1">
        <f t="shared" si="7"/>
        <v>-529301.27089878614</v>
      </c>
    </row>
    <row r="85" spans="4:20">
      <c r="D85" t="s">
        <v>149</v>
      </c>
      <c r="E85">
        <f>O83</f>
        <v>391307.92380744556</v>
      </c>
      <c r="F85">
        <f>O89</f>
        <v>397201.40199479915</v>
      </c>
      <c r="G85" s="1">
        <f t="shared" si="7"/>
        <v>-5893.4781873535831</v>
      </c>
      <c r="I85" t="s">
        <v>50</v>
      </c>
      <c r="J85">
        <v>1773782.2718949022</v>
      </c>
      <c r="K85">
        <v>1743710.3593940998</v>
      </c>
      <c r="L85">
        <v>5949.3587136740125</v>
      </c>
      <c r="M85">
        <v>1637455.5096333253</v>
      </c>
      <c r="N85">
        <v>748046.90826672036</v>
      </c>
      <c r="O85">
        <v>135847.7296748698</v>
      </c>
      <c r="P85">
        <v>567262.10688046657</v>
      </c>
      <c r="Q85">
        <v>496690.43938370171</v>
      </c>
      <c r="R85">
        <v>89895.330212452929</v>
      </c>
      <c r="S85">
        <v>241879.39527606696</v>
      </c>
      <c r="T85">
        <v>307713.59466971934</v>
      </c>
    </row>
    <row r="86" spans="4:20">
      <c r="D86" t="s">
        <v>150</v>
      </c>
      <c r="E86">
        <f>P83</f>
        <v>2111739.2557834852</v>
      </c>
      <c r="F86">
        <f>P89</f>
        <v>1208390.2907953733</v>
      </c>
      <c r="G86" s="1">
        <f t="shared" si="7"/>
        <v>903348.96498811198</v>
      </c>
      <c r="I86" t="s">
        <v>51</v>
      </c>
      <c r="J86">
        <v>1096134.0399289611</v>
      </c>
      <c r="K86">
        <v>810018.22976176487</v>
      </c>
      <c r="L86">
        <v>4842.8559061001297</v>
      </c>
      <c r="M86">
        <v>669655.9668382348</v>
      </c>
      <c r="N86">
        <v>383920.56458775245</v>
      </c>
      <c r="O86">
        <v>95591.637702426204</v>
      </c>
      <c r="P86">
        <v>234496.39155093243</v>
      </c>
      <c r="Q86">
        <v>204648.18345048351</v>
      </c>
      <c r="R86">
        <v>41555.499314041357</v>
      </c>
      <c r="S86">
        <v>149472.82134952742</v>
      </c>
      <c r="T86">
        <v>142944.39428076608</v>
      </c>
    </row>
    <row r="87" spans="4:20">
      <c r="D87" t="s">
        <v>151</v>
      </c>
      <c r="E87">
        <f>Q83</f>
        <v>634662.02390922036</v>
      </c>
      <c r="F87">
        <f>Q89</f>
        <v>1056211.7067657434</v>
      </c>
      <c r="G87" s="1">
        <f t="shared" si="7"/>
        <v>-421549.68285652308</v>
      </c>
      <c r="I87" t="s">
        <v>52</v>
      </c>
      <c r="J87">
        <v>266067.27080958145</v>
      </c>
      <c r="K87">
        <v>196617.68711487943</v>
      </c>
      <c r="L87">
        <v>1175.5181455213558</v>
      </c>
      <c r="M87">
        <v>162547.21501902072</v>
      </c>
      <c r="N87">
        <v>93189.968659450664</v>
      </c>
      <c r="O87">
        <v>23203.189782657562</v>
      </c>
      <c r="P87">
        <v>56919.877170035797</v>
      </c>
      <c r="Q87">
        <v>49674.749312901127</v>
      </c>
      <c r="R87">
        <v>10086.867013392794</v>
      </c>
      <c r="S87">
        <v>21753.209071606023</v>
      </c>
      <c r="T87">
        <v>27673.949454793263</v>
      </c>
    </row>
    <row r="88" spans="4:20">
      <c r="D88" t="s">
        <v>152</v>
      </c>
      <c r="E88">
        <f>R83</f>
        <v>81481.315632610014</v>
      </c>
      <c r="F88">
        <f>R89</f>
        <v>203510.73226908449</v>
      </c>
      <c r="G88" s="1">
        <f t="shared" si="7"/>
        <v>-122029.41663647447</v>
      </c>
      <c r="I88" t="s">
        <v>53</v>
      </c>
      <c r="J88">
        <v>1634699.5016747063</v>
      </c>
      <c r="K88">
        <v>1208005.9083146439</v>
      </c>
      <c r="L88">
        <v>7222.3047985056237</v>
      </c>
      <c r="M88">
        <v>998679.20838851167</v>
      </c>
      <c r="N88">
        <v>572552.92943456478</v>
      </c>
      <c r="O88">
        <v>142558.84483484557</v>
      </c>
      <c r="P88">
        <v>349711.91519393853</v>
      </c>
      <c r="Q88">
        <v>305198.3346186569</v>
      </c>
      <c r="R88">
        <v>61973.035729197407</v>
      </c>
      <c r="S88">
        <v>222913.56501420247</v>
      </c>
      <c r="T88">
        <v>213177.51441521235</v>
      </c>
    </row>
    <row r="89" spans="4:20">
      <c r="D89" t="s">
        <v>153</v>
      </c>
      <c r="E89">
        <f>S83</f>
        <v>543325.4531475805</v>
      </c>
      <c r="F89">
        <f>S89</f>
        <v>636018.99071140296</v>
      </c>
      <c r="G89" s="1">
        <f t="shared" si="7"/>
        <v>-92693.537563822465</v>
      </c>
      <c r="J89">
        <f>SUM(J85:J88)</f>
        <v>4770683.0843081512</v>
      </c>
      <c r="K89">
        <f t="shared" ref="K89:T89" si="9">SUM(K85:K88)</f>
        <v>3958352.1845853883</v>
      </c>
      <c r="L89">
        <f t="shared" si="9"/>
        <v>19190.037563801121</v>
      </c>
      <c r="M89">
        <f t="shared" si="9"/>
        <v>3468337.8998790924</v>
      </c>
      <c r="N89">
        <f t="shared" si="9"/>
        <v>1797710.3709484884</v>
      </c>
      <c r="O89">
        <f t="shared" si="9"/>
        <v>397201.40199479915</v>
      </c>
      <c r="P89">
        <f t="shared" si="9"/>
        <v>1208390.2907953733</v>
      </c>
      <c r="Q89">
        <f t="shared" si="9"/>
        <v>1056211.7067657434</v>
      </c>
      <c r="R89">
        <f t="shared" si="9"/>
        <v>203510.73226908449</v>
      </c>
      <c r="S89">
        <f t="shared" si="9"/>
        <v>636018.99071140296</v>
      </c>
      <c r="T89">
        <f t="shared" si="9"/>
        <v>691509.45282049105</v>
      </c>
    </row>
    <row r="90" spans="4:20">
      <c r="D90" t="s">
        <v>154</v>
      </c>
      <c r="E90">
        <f>T83</f>
        <v>293295.30447856104</v>
      </c>
      <c r="F90">
        <f>T89</f>
        <v>691509.45282049105</v>
      </c>
      <c r="G90" s="1">
        <f t="shared" si="7"/>
        <v>-398214.14834193001</v>
      </c>
    </row>
    <row r="91" spans="4:20">
      <c r="F91" t="s">
        <v>155</v>
      </c>
      <c r="G91" s="1">
        <f>SUM(G80:G90)</f>
        <v>-2972117.38173853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C2:T33"/>
  <sheetViews>
    <sheetView workbookViewId="0">
      <selection activeCell="B45" sqref="B45"/>
    </sheetView>
  </sheetViews>
  <sheetFormatPr defaultRowHeight="15"/>
  <cols>
    <col min="3" max="3" width="21.85546875" customWidth="1"/>
    <col min="4" max="4" width="13.5703125" customWidth="1"/>
    <col min="5" max="5" width="11.7109375" customWidth="1"/>
    <col min="6" max="6" width="11.85546875" customWidth="1"/>
  </cols>
  <sheetData>
    <row r="2" spans="3:20">
      <c r="C2" s="1" t="s">
        <v>160</v>
      </c>
    </row>
    <row r="3" spans="3:20">
      <c r="C3" t="s">
        <v>161</v>
      </c>
      <c r="I3" t="s">
        <v>158</v>
      </c>
    </row>
    <row r="4" spans="3:20">
      <c r="C4" s="1" t="s">
        <v>157</v>
      </c>
      <c r="D4" t="s">
        <v>158</v>
      </c>
      <c r="E4" t="s">
        <v>159</v>
      </c>
      <c r="F4" s="1" t="s">
        <v>135</v>
      </c>
      <c r="I4" t="s">
        <v>141</v>
      </c>
      <c r="J4">
        <v>22264</v>
      </c>
      <c r="K4">
        <v>17059</v>
      </c>
      <c r="L4">
        <v>297</v>
      </c>
      <c r="M4">
        <v>5474.5</v>
      </c>
      <c r="N4">
        <v>49465.3</v>
      </c>
      <c r="O4">
        <v>1902</v>
      </c>
      <c r="P4">
        <f>12439.4+41800</f>
        <v>54239.4</v>
      </c>
      <c r="Q4">
        <v>15582</v>
      </c>
      <c r="R4">
        <v>3200</v>
      </c>
      <c r="S4">
        <v>9900</v>
      </c>
      <c r="T4">
        <v>5400</v>
      </c>
    </row>
    <row r="5" spans="3:20">
      <c r="C5" t="s">
        <v>144</v>
      </c>
      <c r="D5">
        <f>J4</f>
        <v>22264</v>
      </c>
      <c r="E5">
        <f>J7</f>
        <v>18800</v>
      </c>
      <c r="F5" s="1">
        <f>D5-E5</f>
        <v>3464</v>
      </c>
    </row>
    <row r="6" spans="3:20">
      <c r="C6" t="s">
        <v>145</v>
      </c>
      <c r="D6">
        <f>K4</f>
        <v>17059</v>
      </c>
      <c r="E6">
        <f>K7</f>
        <v>27000</v>
      </c>
      <c r="F6" s="1">
        <f t="shared" ref="F6:F15" si="0">D6-E6</f>
        <v>-9941</v>
      </c>
      <c r="I6" t="s">
        <v>159</v>
      </c>
    </row>
    <row r="7" spans="3:20">
      <c r="C7" t="s">
        <v>146</v>
      </c>
      <c r="D7">
        <f>L4</f>
        <v>297</v>
      </c>
      <c r="E7">
        <f>L7</f>
        <v>400</v>
      </c>
      <c r="F7" s="1">
        <f t="shared" si="0"/>
        <v>-103</v>
      </c>
      <c r="I7" t="s">
        <v>137</v>
      </c>
      <c r="J7">
        <v>18800</v>
      </c>
      <c r="K7">
        <v>27000</v>
      </c>
      <c r="L7">
        <v>400</v>
      </c>
      <c r="M7">
        <v>4022.02</v>
      </c>
      <c r="N7">
        <v>34350.400000000001</v>
      </c>
      <c r="O7">
        <v>1151.06</v>
      </c>
      <c r="P7">
        <v>36360</v>
      </c>
      <c r="Q7">
        <v>22667</v>
      </c>
      <c r="R7">
        <v>8700</v>
      </c>
      <c r="S7">
        <v>10200</v>
      </c>
      <c r="T7">
        <v>9930</v>
      </c>
    </row>
    <row r="8" spans="3:20">
      <c r="C8" t="s">
        <v>147</v>
      </c>
      <c r="D8">
        <f>M4</f>
        <v>5474.5</v>
      </c>
      <c r="E8">
        <f>M7</f>
        <v>4022.02</v>
      </c>
      <c r="F8" s="1">
        <f t="shared" si="0"/>
        <v>1452.48</v>
      </c>
    </row>
    <row r="9" spans="3:20">
      <c r="C9" t="s">
        <v>148</v>
      </c>
      <c r="D9">
        <f>N4</f>
        <v>49465.3</v>
      </c>
      <c r="E9">
        <f>N7</f>
        <v>34350.400000000001</v>
      </c>
      <c r="F9" s="1">
        <f t="shared" si="0"/>
        <v>15114.900000000001</v>
      </c>
    </row>
    <row r="10" spans="3:20">
      <c r="C10" t="s">
        <v>149</v>
      </c>
      <c r="D10">
        <f>O4</f>
        <v>1902</v>
      </c>
      <c r="E10">
        <f>O7</f>
        <v>1151.06</v>
      </c>
      <c r="F10" s="1">
        <f t="shared" si="0"/>
        <v>750.94</v>
      </c>
    </row>
    <row r="11" spans="3:20">
      <c r="C11" t="s">
        <v>150</v>
      </c>
      <c r="D11">
        <f>P4</f>
        <v>54239.4</v>
      </c>
      <c r="E11">
        <f>P7</f>
        <v>36360</v>
      </c>
      <c r="F11" s="1">
        <f t="shared" si="0"/>
        <v>17879.400000000001</v>
      </c>
    </row>
    <row r="12" spans="3:20">
      <c r="C12" t="s">
        <v>151</v>
      </c>
      <c r="D12">
        <f>Q4</f>
        <v>15582</v>
      </c>
      <c r="E12">
        <f>Q7</f>
        <v>22667</v>
      </c>
      <c r="F12" s="1">
        <f t="shared" si="0"/>
        <v>-7085</v>
      </c>
    </row>
    <row r="13" spans="3:20">
      <c r="C13" t="s">
        <v>152</v>
      </c>
      <c r="D13">
        <f>R4</f>
        <v>3200</v>
      </c>
      <c r="E13">
        <f>R7</f>
        <v>8700</v>
      </c>
      <c r="F13" s="1">
        <f t="shared" si="0"/>
        <v>-5500</v>
      </c>
    </row>
    <row r="14" spans="3:20">
      <c r="C14" t="s">
        <v>153</v>
      </c>
      <c r="D14">
        <f>S4</f>
        <v>9900</v>
      </c>
      <c r="E14">
        <f>S7</f>
        <v>10200</v>
      </c>
      <c r="F14" s="1">
        <f t="shared" si="0"/>
        <v>-300</v>
      </c>
    </row>
    <row r="15" spans="3:20">
      <c r="C15" t="s">
        <v>154</v>
      </c>
      <c r="D15">
        <f>T4</f>
        <v>5400</v>
      </c>
      <c r="E15">
        <f>T7</f>
        <v>9930</v>
      </c>
      <c r="F15" s="1">
        <f t="shared" si="0"/>
        <v>-4530</v>
      </c>
    </row>
    <row r="16" spans="3:20">
      <c r="E16" t="s">
        <v>156</v>
      </c>
      <c r="F16" s="1">
        <f>SUM(F5:F15)</f>
        <v>11202.720000000001</v>
      </c>
    </row>
    <row r="19" spans="3:20">
      <c r="C19" s="1" t="s">
        <v>131</v>
      </c>
    </row>
    <row r="20" spans="3:20">
      <c r="C20" t="s">
        <v>162</v>
      </c>
      <c r="I20" t="s">
        <v>158</v>
      </c>
    </row>
    <row r="21" spans="3:20">
      <c r="C21" s="1" t="s">
        <v>157</v>
      </c>
      <c r="D21" t="s">
        <v>158</v>
      </c>
      <c r="E21" t="s">
        <v>159</v>
      </c>
      <c r="F21" s="1" t="s">
        <v>135</v>
      </c>
      <c r="I21" s="1" t="s">
        <v>57</v>
      </c>
      <c r="J21">
        <v>48226</v>
      </c>
      <c r="K21">
        <v>2280</v>
      </c>
      <c r="L21">
        <f>27841+2759</f>
        <v>30600</v>
      </c>
      <c r="M21">
        <v>15593</v>
      </c>
      <c r="N21">
        <v>41313</v>
      </c>
      <c r="O21">
        <v>17142</v>
      </c>
      <c r="P21">
        <v>31770</v>
      </c>
      <c r="Q21">
        <f>23001+18638</f>
        <v>41639</v>
      </c>
      <c r="R21">
        <v>17496</v>
      </c>
      <c r="S21">
        <v>14400</v>
      </c>
      <c r="T21">
        <v>13156</v>
      </c>
    </row>
    <row r="22" spans="3:20">
      <c r="C22" t="s">
        <v>117</v>
      </c>
      <c r="D22">
        <v>150639</v>
      </c>
      <c r="E22">
        <f>J24</f>
        <v>207221</v>
      </c>
      <c r="F22">
        <f>D22-E22</f>
        <v>-56582</v>
      </c>
    </row>
    <row r="23" spans="3:20">
      <c r="C23" t="s">
        <v>118</v>
      </c>
      <c r="D23">
        <v>7121</v>
      </c>
      <c r="E23">
        <f>K24</f>
        <v>7121</v>
      </c>
      <c r="F23">
        <f t="shared" ref="F23:F32" si="1">D23-E23</f>
        <v>0</v>
      </c>
      <c r="I23" t="s">
        <v>159</v>
      </c>
    </row>
    <row r="24" spans="3:20">
      <c r="C24" t="s">
        <v>119</v>
      </c>
      <c r="D24">
        <f>L21</f>
        <v>30600</v>
      </c>
      <c r="E24">
        <f>L24</f>
        <v>31005</v>
      </c>
      <c r="F24">
        <f t="shared" si="1"/>
        <v>-405</v>
      </c>
      <c r="I24" s="1" t="s">
        <v>57</v>
      </c>
      <c r="J24">
        <v>207221</v>
      </c>
      <c r="K24">
        <v>7121</v>
      </c>
      <c r="L24">
        <f>26446+4559</f>
        <v>31005</v>
      </c>
      <c r="M24">
        <v>36720</v>
      </c>
      <c r="N24">
        <v>36865</v>
      </c>
      <c r="O24">
        <v>36561</v>
      </c>
      <c r="P24">
        <v>44032</v>
      </c>
      <c r="Q24">
        <f>8420+15902</f>
        <v>24322</v>
      </c>
      <c r="R24">
        <v>32001</v>
      </c>
      <c r="S24">
        <v>14400</v>
      </c>
      <c r="T24">
        <v>36102</v>
      </c>
    </row>
    <row r="25" spans="3:20">
      <c r="C25" t="s">
        <v>120</v>
      </c>
      <c r="D25">
        <f>M21</f>
        <v>15593</v>
      </c>
      <c r="E25">
        <f>M24</f>
        <v>36720</v>
      </c>
      <c r="F25">
        <f t="shared" si="1"/>
        <v>-21127</v>
      </c>
    </row>
    <row r="26" spans="3:20">
      <c r="C26" t="s">
        <v>121</v>
      </c>
      <c r="D26">
        <f>N21</f>
        <v>41313</v>
      </c>
      <c r="E26">
        <f>N24</f>
        <v>36865</v>
      </c>
      <c r="F26">
        <f t="shared" si="1"/>
        <v>4448</v>
      </c>
    </row>
    <row r="27" spans="3:20">
      <c r="C27" t="s">
        <v>122</v>
      </c>
      <c r="D27">
        <f>O21</f>
        <v>17142</v>
      </c>
      <c r="E27">
        <f>O24</f>
        <v>36561</v>
      </c>
      <c r="F27">
        <f t="shared" si="1"/>
        <v>-19419</v>
      </c>
    </row>
    <row r="28" spans="3:20">
      <c r="C28" t="s">
        <v>123</v>
      </c>
      <c r="D28">
        <f>P21</f>
        <v>31770</v>
      </c>
      <c r="E28">
        <f>P24</f>
        <v>44032</v>
      </c>
      <c r="F28">
        <f t="shared" si="1"/>
        <v>-12262</v>
      </c>
    </row>
    <row r="29" spans="3:20">
      <c r="C29" t="s">
        <v>124</v>
      </c>
      <c r="D29">
        <f>Q21</f>
        <v>41639</v>
      </c>
      <c r="E29">
        <f>Q24</f>
        <v>24322</v>
      </c>
      <c r="F29">
        <f t="shared" si="1"/>
        <v>17317</v>
      </c>
    </row>
    <row r="30" spans="3:20">
      <c r="C30" t="s">
        <v>125</v>
      </c>
      <c r="D30">
        <f>R21</f>
        <v>17496</v>
      </c>
      <c r="E30">
        <f>R24</f>
        <v>32001</v>
      </c>
      <c r="F30">
        <f t="shared" si="1"/>
        <v>-14505</v>
      </c>
    </row>
    <row r="31" spans="3:20">
      <c r="C31" t="s">
        <v>126</v>
      </c>
      <c r="D31">
        <f>S21</f>
        <v>14400</v>
      </c>
      <c r="E31">
        <f>S24</f>
        <v>14400</v>
      </c>
      <c r="F31">
        <f t="shared" si="1"/>
        <v>0</v>
      </c>
    </row>
    <row r="32" spans="3:20">
      <c r="C32" t="s">
        <v>127</v>
      </c>
      <c r="D32">
        <f>T21</f>
        <v>13156</v>
      </c>
      <c r="E32">
        <f>T24</f>
        <v>36102</v>
      </c>
      <c r="F32">
        <f t="shared" si="1"/>
        <v>-22946</v>
      </c>
    </row>
    <row r="33" spans="5:6">
      <c r="E33" t="s">
        <v>155</v>
      </c>
      <c r="F33">
        <f>SUM(F22:F32)</f>
        <v>-125481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E3:N28"/>
  <sheetViews>
    <sheetView topLeftCell="B1" workbookViewId="0">
      <selection activeCell="O26" sqref="O26"/>
    </sheetView>
  </sheetViews>
  <sheetFormatPr defaultRowHeight="15"/>
  <cols>
    <col min="5" max="5" width="27" customWidth="1"/>
    <col min="6" max="6" width="13" customWidth="1"/>
    <col min="7" max="7" width="14.5703125" customWidth="1"/>
  </cols>
  <sheetData>
    <row r="3" spans="5:14">
      <c r="E3" t="s">
        <v>175</v>
      </c>
      <c r="F3" t="s">
        <v>51</v>
      </c>
      <c r="J3" t="s">
        <v>183</v>
      </c>
      <c r="M3" t="s">
        <v>184</v>
      </c>
    </row>
    <row r="5" spans="5:14">
      <c r="F5" t="s">
        <v>177</v>
      </c>
      <c r="G5" t="s">
        <v>180</v>
      </c>
      <c r="J5" t="s">
        <v>181</v>
      </c>
      <c r="M5" t="s">
        <v>182</v>
      </c>
    </row>
    <row r="6" spans="5:14">
      <c r="E6" t="s">
        <v>176</v>
      </c>
      <c r="F6">
        <v>44.766520305053895</v>
      </c>
      <c r="G6">
        <f>13661.83+6299.88</f>
        <v>19961.71</v>
      </c>
      <c r="H6">
        <f>F6*G6</f>
        <v>893616.29603859736</v>
      </c>
      <c r="J6">
        <v>10.251622851807133</v>
      </c>
      <c r="K6">
        <f>J6*G6</f>
        <v>204639.92239714696</v>
      </c>
      <c r="M6">
        <v>48.520559355307221</v>
      </c>
      <c r="N6">
        <f>G6*M6</f>
        <v>968553.33488842961</v>
      </c>
    </row>
    <row r="7" spans="5:14">
      <c r="E7" t="s">
        <v>178</v>
      </c>
      <c r="F7">
        <v>23.151106903363562</v>
      </c>
      <c r="G7">
        <f>14543.94+1052.8</f>
        <v>15596.74</v>
      </c>
      <c r="H7">
        <f t="shared" ref="H7:H12" si="0">F7*G7</f>
        <v>361081.79508396657</v>
      </c>
      <c r="J7">
        <v>4.7722836186784985</v>
      </c>
      <c r="K7">
        <f t="shared" ref="K7:K12" si="1">J7*G7</f>
        <v>74432.066806787683</v>
      </c>
      <c r="M7">
        <v>25.092516661807608</v>
      </c>
      <c r="N7">
        <f t="shared" ref="N7:N12" si="2">G7*M7</f>
        <v>391361.45831988117</v>
      </c>
    </row>
    <row r="8" spans="5:14">
      <c r="E8" t="s">
        <v>179</v>
      </c>
      <c r="F8">
        <v>8.5899819780448343</v>
      </c>
      <c r="G8">
        <f>11866.4</f>
        <v>11866.4</v>
      </c>
      <c r="H8">
        <f t="shared" si="0"/>
        <v>101932.16214427122</v>
      </c>
      <c r="J8">
        <v>7.8210782082099666</v>
      </c>
      <c r="K8">
        <f t="shared" si="1"/>
        <v>92808.042449902743</v>
      </c>
      <c r="M8">
        <v>9.3103222583884779</v>
      </c>
      <c r="N8">
        <f t="shared" si="2"/>
        <v>110480.00804694103</v>
      </c>
    </row>
    <row r="9" spans="5:14">
      <c r="E9" t="s">
        <v>40</v>
      </c>
      <c r="F9">
        <v>148.49291717810374</v>
      </c>
      <c r="G9">
        <f>1227.633+132.31</f>
        <v>1359.943</v>
      </c>
      <c r="H9">
        <f t="shared" si="0"/>
        <v>201941.90326594192</v>
      </c>
      <c r="J9">
        <v>2.0408781234009963</v>
      </c>
      <c r="K9">
        <f t="shared" si="1"/>
        <v>2775.4779177723212</v>
      </c>
      <c r="M9">
        <v>160.94526339518714</v>
      </c>
      <c r="N9">
        <f t="shared" si="2"/>
        <v>218876.38433744098</v>
      </c>
    </row>
    <row r="10" spans="5:14">
      <c r="E10" t="s">
        <v>30</v>
      </c>
      <c r="F10">
        <v>57.196708733655619</v>
      </c>
      <c r="G10">
        <v>651.5</v>
      </c>
      <c r="H10">
        <f t="shared" si="0"/>
        <v>37263.655739976639</v>
      </c>
      <c r="J10">
        <v>1.4376755048153917</v>
      </c>
      <c r="K10">
        <f t="shared" si="1"/>
        <v>936.64559138722768</v>
      </c>
      <c r="M10">
        <v>8.626378146322109</v>
      </c>
      <c r="N10">
        <f t="shared" si="2"/>
        <v>5620.085362328854</v>
      </c>
    </row>
    <row r="11" spans="5:14">
      <c r="E11" t="s">
        <v>31</v>
      </c>
      <c r="F11">
        <v>2.1992819210924219</v>
      </c>
      <c r="G11">
        <v>49965.3</v>
      </c>
      <c r="H11">
        <f t="shared" si="0"/>
        <v>109887.78097195919</v>
      </c>
      <c r="J11">
        <v>8.3975167132607265</v>
      </c>
      <c r="K11">
        <f t="shared" si="1"/>
        <v>419584.4418330862</v>
      </c>
      <c r="M11">
        <v>61.993120799390113</v>
      </c>
      <c r="N11">
        <f t="shared" si="2"/>
        <v>3097504.8786777668</v>
      </c>
    </row>
    <row r="12" spans="5:14">
      <c r="E12" t="s">
        <v>80</v>
      </c>
      <c r="F12">
        <v>12.492013507448789</v>
      </c>
      <c r="G12">
        <v>1845</v>
      </c>
      <c r="H12">
        <f t="shared" si="0"/>
        <v>23047.764921243015</v>
      </c>
      <c r="J12">
        <v>2.7993073308037677</v>
      </c>
      <c r="K12">
        <f t="shared" si="1"/>
        <v>5164.7220253329515</v>
      </c>
      <c r="M12">
        <v>13.539571061703432</v>
      </c>
      <c r="N12">
        <f t="shared" si="2"/>
        <v>24980.508608842832</v>
      </c>
    </row>
    <row r="13" spans="5:14">
      <c r="H13" s="1">
        <f>SUM(H6:H12)</f>
        <v>1728771.3581659559</v>
      </c>
      <c r="K13" s="1">
        <f>SUM(K6:K12)</f>
        <v>800341.31902141613</v>
      </c>
      <c r="N13" s="1">
        <f>SUM(N6:N12)</f>
        <v>4817376.6582416324</v>
      </c>
    </row>
    <row r="17" spans="5:14">
      <c r="E17" t="s">
        <v>174</v>
      </c>
      <c r="F17" t="s">
        <v>188</v>
      </c>
      <c r="G17" t="s">
        <v>180</v>
      </c>
      <c r="J17" t="s">
        <v>190</v>
      </c>
      <c r="M17" t="s">
        <v>191</v>
      </c>
    </row>
    <row r="18" spans="5:14">
      <c r="E18" t="s">
        <v>185</v>
      </c>
      <c r="F18">
        <v>157.50384856957456</v>
      </c>
      <c r="G18">
        <v>4712</v>
      </c>
      <c r="H18">
        <f>F18*G18</f>
        <v>742158.13445983536</v>
      </c>
      <c r="J18">
        <v>29.911224054494387</v>
      </c>
      <c r="K18">
        <f>G18*J18</f>
        <v>140941.68774477756</v>
      </c>
      <c r="M18">
        <v>54.658472696733611</v>
      </c>
      <c r="N18">
        <f>G18*M18</f>
        <v>257550.72334700878</v>
      </c>
    </row>
    <row r="19" spans="5:14">
      <c r="E19" t="s">
        <v>186</v>
      </c>
      <c r="F19">
        <v>11.520145290951444</v>
      </c>
      <c r="G19">
        <v>47795</v>
      </c>
      <c r="H19">
        <f t="shared" ref="H19:H25" si="3">F19*G19</f>
        <v>550605.34418102424</v>
      </c>
      <c r="J19">
        <v>1.4600645446119429</v>
      </c>
      <c r="K19">
        <f t="shared" ref="K19:K25" si="4">G19*J19</f>
        <v>69783.784909727809</v>
      </c>
      <c r="M19">
        <v>3.2101322348083414</v>
      </c>
      <c r="N19">
        <f t="shared" ref="N19:N25" si="5">G19*M19</f>
        <v>153428.27016266467</v>
      </c>
    </row>
    <row r="20" spans="5:14">
      <c r="E20" t="s">
        <v>187</v>
      </c>
      <c r="F20">
        <v>11.78890434343875</v>
      </c>
      <c r="G20">
        <v>75388</v>
      </c>
      <c r="H20">
        <f t="shared" si="3"/>
        <v>888741.92064316047</v>
      </c>
      <c r="J20">
        <v>1.8438909747059395</v>
      </c>
      <c r="K20">
        <f t="shared" si="4"/>
        <v>139007.25280113137</v>
      </c>
      <c r="M20">
        <v>12.777500440776558</v>
      </c>
      <c r="N20">
        <f t="shared" si="5"/>
        <v>963270.20322926319</v>
      </c>
    </row>
    <row r="21" spans="5:14">
      <c r="E21" t="s">
        <v>45</v>
      </c>
      <c r="F21">
        <v>20.410023969133999</v>
      </c>
      <c r="G21">
        <f>15642+2369</f>
        <v>18011</v>
      </c>
      <c r="H21">
        <f t="shared" si="3"/>
        <v>367604.94170807244</v>
      </c>
      <c r="J21">
        <v>0.84192671009704234</v>
      </c>
      <c r="K21">
        <f t="shared" si="4"/>
        <v>15163.941975557829</v>
      </c>
      <c r="M21">
        <v>5.6873306891355035</v>
      </c>
      <c r="N21">
        <f t="shared" si="5"/>
        <v>102434.51304201955</v>
      </c>
    </row>
    <row r="22" spans="5:14">
      <c r="E22" t="s">
        <v>167</v>
      </c>
      <c r="F22">
        <v>14.908762583044412</v>
      </c>
      <c r="G22">
        <f>19683+22950+2547</f>
        <v>45180</v>
      </c>
      <c r="H22">
        <f t="shared" si="3"/>
        <v>673577.89350194659</v>
      </c>
      <c r="J22">
        <v>2.6141387264492941</v>
      </c>
      <c r="K22">
        <f t="shared" si="4"/>
        <v>118106.78766097911</v>
      </c>
      <c r="M22">
        <v>16.158984323450358</v>
      </c>
      <c r="N22">
        <f t="shared" si="5"/>
        <v>730062.91173348716</v>
      </c>
    </row>
    <row r="23" spans="5:14">
      <c r="E23" t="s">
        <v>189</v>
      </c>
      <c r="F23">
        <v>21.766001332180831</v>
      </c>
      <c r="G23">
        <v>31</v>
      </c>
      <c r="H23">
        <f t="shared" si="3"/>
        <v>674.74604129760576</v>
      </c>
      <c r="J23">
        <v>5.9504811790397856</v>
      </c>
      <c r="K23">
        <f t="shared" si="4"/>
        <v>184.46491655023334</v>
      </c>
      <c r="M23">
        <v>23.591258654216777</v>
      </c>
      <c r="N23">
        <f t="shared" si="5"/>
        <v>731.32901828072011</v>
      </c>
    </row>
    <row r="24" spans="5:14">
      <c r="E24" t="s">
        <v>47</v>
      </c>
      <c r="F24">
        <v>6.3997582667470398</v>
      </c>
      <c r="G24">
        <f>154+38</f>
        <v>192</v>
      </c>
      <c r="H24">
        <f t="shared" si="3"/>
        <v>1228.7535872154317</v>
      </c>
      <c r="J24">
        <v>1.4719979239591368</v>
      </c>
      <c r="K24">
        <f t="shared" si="4"/>
        <v>282.62360140015426</v>
      </c>
      <c r="M24">
        <v>6.9364303663838953</v>
      </c>
      <c r="N24">
        <f t="shared" si="5"/>
        <v>1331.7946303457079</v>
      </c>
    </row>
    <row r="25" spans="5:14">
      <c r="E25" t="s">
        <v>91</v>
      </c>
      <c r="F25">
        <v>9.0413283670594407</v>
      </c>
      <c r="G25">
        <v>11610</v>
      </c>
      <c r="H25">
        <f t="shared" si="3"/>
        <v>104969.82234156011</v>
      </c>
      <c r="J25">
        <v>1.4719979239591368</v>
      </c>
      <c r="K25">
        <f t="shared" si="4"/>
        <v>17089.895897165577</v>
      </c>
      <c r="M25">
        <v>9.7995177354717242</v>
      </c>
      <c r="N25">
        <f t="shared" si="5"/>
        <v>113772.40090882672</v>
      </c>
    </row>
    <row r="26" spans="5:14">
      <c r="H26" s="1">
        <f>SUM(H18:H25)</f>
        <v>3329561.5564641119</v>
      </c>
      <c r="K26" s="1">
        <f>SUM(K18:K25)</f>
        <v>500560.43950728961</v>
      </c>
      <c r="N26" s="1">
        <f>SUM(N18:N25)</f>
        <v>2322582.1460718969</v>
      </c>
    </row>
    <row r="28" spans="5:14">
      <c r="E28" s="2" t="s">
        <v>192</v>
      </c>
      <c r="F28" s="2"/>
      <c r="G28" s="2"/>
      <c r="H28" s="2">
        <f>H13+H26</f>
        <v>5058332.9146300675</v>
      </c>
      <c r="I28" s="2"/>
      <c r="J28" s="2"/>
      <c r="K28" s="2">
        <f>K13+K26</f>
        <v>1300901.7585287057</v>
      </c>
      <c r="L28" s="2"/>
      <c r="M28" s="2"/>
      <c r="N28" s="2">
        <f>N13+N26</f>
        <v>7139958.8043135293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D3:E18"/>
  <sheetViews>
    <sheetView workbookViewId="0">
      <selection activeCell="J9" sqref="J9"/>
    </sheetView>
  </sheetViews>
  <sheetFormatPr defaultRowHeight="15"/>
  <cols>
    <col min="4" max="4" width="26.140625" customWidth="1"/>
    <col min="5" max="5" width="40.7109375" bestFit="1" customWidth="1"/>
  </cols>
  <sheetData>
    <row r="3" spans="4:5">
      <c r="D3" s="1" t="s">
        <v>166</v>
      </c>
      <c r="E3" s="1" t="s">
        <v>165</v>
      </c>
    </row>
    <row r="4" spans="4:5">
      <c r="D4" t="s">
        <v>164</v>
      </c>
      <c r="E4">
        <f>2751390+2971378</f>
        <v>5722768</v>
      </c>
    </row>
    <row r="5" spans="4:5">
      <c r="D5" t="s">
        <v>35</v>
      </c>
      <c r="E5">
        <f>784910</f>
        <v>784910</v>
      </c>
    </row>
    <row r="6" spans="4:5">
      <c r="D6" t="s">
        <v>167</v>
      </c>
      <c r="E6">
        <f>495610+616570</f>
        <v>1112180</v>
      </c>
    </row>
    <row r="7" spans="4:5">
      <c r="D7" t="s">
        <v>168</v>
      </c>
      <c r="E7">
        <v>91540</v>
      </c>
    </row>
    <row r="8" spans="4:5">
      <c r="D8" t="s">
        <v>169</v>
      </c>
      <c r="E8">
        <f>833500+28760</f>
        <v>862260</v>
      </c>
    </row>
    <row r="9" spans="4:5">
      <c r="D9" t="s">
        <v>170</v>
      </c>
      <c r="E9">
        <f>71940+2971378</f>
        <v>3043318</v>
      </c>
    </row>
    <row r="10" spans="4:5">
      <c r="D10" t="s">
        <v>171</v>
      </c>
      <c r="E10">
        <f>9100+524140+469640</f>
        <v>1002880</v>
      </c>
    </row>
    <row r="11" spans="4:5">
      <c r="D11" t="s">
        <v>173</v>
      </c>
      <c r="E11">
        <v>440490</v>
      </c>
    </row>
    <row r="12" spans="4:5">
      <c r="D12" t="s">
        <v>46</v>
      </c>
      <c r="E12">
        <v>212340</v>
      </c>
    </row>
    <row r="13" spans="4:5">
      <c r="D13" t="s">
        <v>172</v>
      </c>
      <c r="E13">
        <f>5090+210730</f>
        <v>215820</v>
      </c>
    </row>
    <row r="14" spans="4:5">
      <c r="D14" t="s">
        <v>127</v>
      </c>
      <c r="E14">
        <v>508490</v>
      </c>
    </row>
    <row r="15" spans="4:5">
      <c r="E15" s="1">
        <f>SUM(E4:E14)</f>
        <v>13996996</v>
      </c>
    </row>
    <row r="18" spans="4:4">
      <c r="D18" s="1"/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D8:E17"/>
  <sheetViews>
    <sheetView topLeftCell="A4" workbookViewId="0">
      <selection activeCell="H21" sqref="H21"/>
    </sheetView>
  </sheetViews>
  <sheetFormatPr defaultRowHeight="15"/>
  <cols>
    <col min="4" max="4" width="30.7109375" customWidth="1"/>
  </cols>
  <sheetData>
    <row r="8" spans="4:5">
      <c r="D8" s="1" t="s">
        <v>4</v>
      </c>
      <c r="E8" s="1" t="s">
        <v>193</v>
      </c>
    </row>
    <row r="9" spans="4:5">
      <c r="D9" t="s">
        <v>194</v>
      </c>
      <c r="E9">
        <v>13800</v>
      </c>
    </row>
    <row r="10" spans="4:5">
      <c r="D10" t="s">
        <v>195</v>
      </c>
      <c r="E10">
        <v>8000</v>
      </c>
    </row>
    <row r="11" spans="4:5">
      <c r="D11" t="s">
        <v>196</v>
      </c>
      <c r="E11">
        <v>15404</v>
      </c>
    </row>
    <row r="12" spans="4:5">
      <c r="D12" t="s">
        <v>197</v>
      </c>
      <c r="E12">
        <v>6282</v>
      </c>
    </row>
    <row r="13" spans="4:5">
      <c r="D13" t="s">
        <v>202</v>
      </c>
      <c r="E13">
        <v>1500</v>
      </c>
    </row>
    <row r="14" spans="4:5">
      <c r="D14" t="s">
        <v>198</v>
      </c>
      <c r="E14">
        <v>2250</v>
      </c>
    </row>
    <row r="15" spans="4:5">
      <c r="D15" t="s">
        <v>199</v>
      </c>
      <c r="E15">
        <f>25081*12</f>
        <v>300972</v>
      </c>
    </row>
    <row r="16" spans="4:5">
      <c r="D16" t="s">
        <v>200</v>
      </c>
      <c r="E16">
        <v>2500</v>
      </c>
    </row>
    <row r="17" spans="4:5">
      <c r="D17" s="1" t="s">
        <v>201</v>
      </c>
      <c r="E17">
        <f>SUM(E9:E16)</f>
        <v>350708</v>
      </c>
    </row>
  </sheetData>
  <pageMargins left="0.7" right="0.7" top="0.78740157499999996" bottom="0.78740157499999996" header="0.3" footer="0.3"/>
  <pageSetup paperSize="9" orientation="landscape" horizontalDpi="4294967293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C3:O83"/>
  <sheetViews>
    <sheetView workbookViewId="0">
      <selection activeCell="U27" sqref="U27"/>
    </sheetView>
  </sheetViews>
  <sheetFormatPr defaultRowHeight="15"/>
  <cols>
    <col min="3" max="3" width="24.140625" customWidth="1"/>
    <col min="4" max="4" width="16.140625" customWidth="1"/>
    <col min="5" max="5" width="17.140625" customWidth="1"/>
    <col min="6" max="6" width="20" customWidth="1"/>
    <col min="7" max="7" width="18.42578125" customWidth="1"/>
    <col min="8" max="8" width="13" customWidth="1"/>
    <col min="9" max="9" width="14.140625" customWidth="1"/>
    <col min="10" max="10" width="15.7109375" customWidth="1"/>
    <col min="11" max="11" width="16.7109375" customWidth="1"/>
    <col min="12" max="12" width="22.5703125" customWidth="1"/>
    <col min="13" max="13" width="20.5703125" customWidth="1"/>
    <col min="14" max="14" width="17.42578125" customWidth="1"/>
    <col min="15" max="15" width="15.85546875" customWidth="1"/>
  </cols>
  <sheetData>
    <row r="3" spans="3:15">
      <c r="C3" s="1" t="s">
        <v>98</v>
      </c>
    </row>
    <row r="5" spans="3:15">
      <c r="C5" t="s">
        <v>0</v>
      </c>
      <c r="D5" t="s">
        <v>59</v>
      </c>
      <c r="E5" t="s">
        <v>58</v>
      </c>
      <c r="F5" t="s">
        <v>39</v>
      </c>
      <c r="G5" t="s">
        <v>40</v>
      </c>
      <c r="H5" t="s">
        <v>30</v>
      </c>
      <c r="I5" t="s">
        <v>31</v>
      </c>
      <c r="J5" t="s">
        <v>32</v>
      </c>
      <c r="K5" t="s">
        <v>83</v>
      </c>
      <c r="L5" t="s">
        <v>54</v>
      </c>
      <c r="M5" t="s">
        <v>81</v>
      </c>
      <c r="N5" t="s">
        <v>82</v>
      </c>
      <c r="O5" s="1" t="s">
        <v>95</v>
      </c>
    </row>
    <row r="6" spans="3:15">
      <c r="C6" t="s">
        <v>37</v>
      </c>
      <c r="D6">
        <v>3410799.41</v>
      </c>
      <c r="E6">
        <v>3352974.24</v>
      </c>
      <c r="F6">
        <v>11440</v>
      </c>
      <c r="G6">
        <v>3148657.1799999997</v>
      </c>
      <c r="H6">
        <v>1438416.65</v>
      </c>
      <c r="I6">
        <v>261221.1</v>
      </c>
      <c r="J6">
        <v>1090786.22</v>
      </c>
      <c r="K6">
        <v>955084.22</v>
      </c>
      <c r="L6">
        <v>172859.4</v>
      </c>
      <c r="M6">
        <v>465109</v>
      </c>
      <c r="N6">
        <v>591701.34</v>
      </c>
      <c r="O6">
        <f>SUM(D6:N6)</f>
        <v>14899048.760000002</v>
      </c>
    </row>
    <row r="7" spans="3:15">
      <c r="C7" t="s">
        <v>36</v>
      </c>
      <c r="D7">
        <v>1917548.42</v>
      </c>
      <c r="E7">
        <v>423285.89</v>
      </c>
      <c r="F7">
        <v>1278.75</v>
      </c>
      <c r="G7">
        <v>124920.33</v>
      </c>
      <c r="H7">
        <v>430700.24</v>
      </c>
      <c r="I7">
        <v>5000</v>
      </c>
      <c r="J7">
        <v>0</v>
      </c>
      <c r="K7">
        <v>570</v>
      </c>
      <c r="L7">
        <v>42206.59</v>
      </c>
      <c r="M7">
        <v>261483.88</v>
      </c>
      <c r="N7">
        <v>74697.509999999995</v>
      </c>
      <c r="O7">
        <f t="shared" ref="O7:O19" si="0">SUM(D7:N7)</f>
        <v>3281691.6099999994</v>
      </c>
    </row>
    <row r="8" spans="3:15">
      <c r="C8" t="s">
        <v>38</v>
      </c>
      <c r="D8">
        <v>360480.97</v>
      </c>
      <c r="E8">
        <v>427655.50999999995</v>
      </c>
      <c r="F8">
        <v>12415.2</v>
      </c>
      <c r="G8">
        <v>201871.67</v>
      </c>
      <c r="H8">
        <v>123393.41</v>
      </c>
      <c r="I8">
        <v>229890.18</v>
      </c>
      <c r="J8">
        <v>126227.19</v>
      </c>
      <c r="K8">
        <v>106449.90000000001</v>
      </c>
      <c r="L8">
        <v>603</v>
      </c>
      <c r="M8">
        <v>49156.49</v>
      </c>
      <c r="N8">
        <v>75468.62</v>
      </c>
      <c r="O8">
        <f t="shared" si="0"/>
        <v>1713612.1399999997</v>
      </c>
    </row>
    <row r="9" spans="3:15">
      <c r="C9" t="s">
        <v>50</v>
      </c>
      <c r="D9">
        <v>1773782.2718949022</v>
      </c>
      <c r="E9">
        <v>1743710.3593940998</v>
      </c>
      <c r="F9">
        <v>5949.3587136740125</v>
      </c>
      <c r="G9">
        <v>1637455.5096333253</v>
      </c>
      <c r="H9">
        <v>748046.90826672036</v>
      </c>
      <c r="I9">
        <v>135847.7296748698</v>
      </c>
      <c r="J9">
        <v>567262.10688046657</v>
      </c>
      <c r="K9">
        <v>496690.43938370171</v>
      </c>
      <c r="L9">
        <v>89895.330212452929</v>
      </c>
      <c r="M9">
        <v>241879.39527606696</v>
      </c>
      <c r="N9">
        <v>307713.59466971934</v>
      </c>
      <c r="O9">
        <f t="shared" si="0"/>
        <v>7748233.0039999988</v>
      </c>
    </row>
    <row r="10" spans="3:15">
      <c r="C10" s="2" t="s">
        <v>94</v>
      </c>
      <c r="D10">
        <v>7462611.0718949018</v>
      </c>
      <c r="E10">
        <v>5947625.9993941002</v>
      </c>
      <c r="F10">
        <v>31083.308713674014</v>
      </c>
      <c r="G10">
        <v>5112904.6896333247</v>
      </c>
      <c r="H10">
        <v>2740557.2082667202</v>
      </c>
      <c r="I10">
        <v>631959.00967486971</v>
      </c>
      <c r="J10">
        <v>1784275.5168804666</v>
      </c>
      <c r="K10">
        <v>1558794.5593837015</v>
      </c>
      <c r="L10">
        <v>305564.32021245291</v>
      </c>
      <c r="M10">
        <v>1017628.765276067</v>
      </c>
      <c r="N10">
        <v>1049581.0646697194</v>
      </c>
      <c r="O10">
        <f t="shared" si="0"/>
        <v>27642585.514000002</v>
      </c>
    </row>
    <row r="11" spans="3:15">
      <c r="C11" t="s">
        <v>51</v>
      </c>
      <c r="D11">
        <v>1096134.0399289611</v>
      </c>
      <c r="E11">
        <v>810018.22976176487</v>
      </c>
      <c r="F11">
        <v>4842.8559061001297</v>
      </c>
      <c r="G11">
        <v>669655.9668382348</v>
      </c>
      <c r="H11">
        <v>383920.56458775245</v>
      </c>
      <c r="I11">
        <v>95591.637702426204</v>
      </c>
      <c r="J11">
        <v>234496.39155093243</v>
      </c>
      <c r="K11">
        <v>204648.18345048351</v>
      </c>
      <c r="L11">
        <v>41555.499314041357</v>
      </c>
      <c r="M11">
        <v>149472.82134952742</v>
      </c>
      <c r="N11">
        <v>142944.39428076608</v>
      </c>
      <c r="O11">
        <f t="shared" si="0"/>
        <v>3833280.5846709907</v>
      </c>
    </row>
    <row r="12" spans="3:15">
      <c r="C12" t="s">
        <v>52</v>
      </c>
      <c r="D12">
        <v>266067.27080958145</v>
      </c>
      <c r="E12">
        <v>196617.68711487943</v>
      </c>
      <c r="F12">
        <v>1175.5181455213558</v>
      </c>
      <c r="G12">
        <v>162547.21501902072</v>
      </c>
      <c r="H12">
        <v>93189.968659450664</v>
      </c>
      <c r="I12">
        <v>23203.189782657562</v>
      </c>
      <c r="J12">
        <v>56919.877170035797</v>
      </c>
      <c r="K12">
        <v>49674.749312901127</v>
      </c>
      <c r="L12">
        <v>10086.867013392794</v>
      </c>
      <c r="M12">
        <v>21753.209071606023</v>
      </c>
      <c r="N12">
        <v>27673.949454793263</v>
      </c>
      <c r="O12">
        <f t="shared" si="0"/>
        <v>908909.50155384012</v>
      </c>
    </row>
    <row r="13" spans="3:15">
      <c r="C13" t="s">
        <v>53</v>
      </c>
      <c r="D13">
        <v>1634699.5016747063</v>
      </c>
      <c r="E13">
        <v>1208005.9083146439</v>
      </c>
      <c r="F13">
        <v>7222.3047985056237</v>
      </c>
      <c r="G13">
        <v>998679.20838851167</v>
      </c>
      <c r="H13">
        <v>572552.92943456478</v>
      </c>
      <c r="I13">
        <v>142558.84483484557</v>
      </c>
      <c r="J13">
        <v>349711.91519393853</v>
      </c>
      <c r="K13">
        <v>305198.3346186569</v>
      </c>
      <c r="L13">
        <v>61973.035729197407</v>
      </c>
      <c r="M13">
        <v>222913.56501420247</v>
      </c>
      <c r="N13">
        <v>213177.51441521235</v>
      </c>
      <c r="O13">
        <f t="shared" si="0"/>
        <v>5716693.0624169856</v>
      </c>
    </row>
    <row r="14" spans="3:15">
      <c r="C14" s="2" t="s">
        <v>93</v>
      </c>
      <c r="D14">
        <v>10459511.88430815</v>
      </c>
      <c r="E14">
        <v>8162267.8245853875</v>
      </c>
      <c r="F14">
        <v>44323.987563801122</v>
      </c>
      <c r="G14">
        <v>6943787.079879093</v>
      </c>
      <c r="H14">
        <v>3790220.6709484882</v>
      </c>
      <c r="I14">
        <v>893312.68199479906</v>
      </c>
      <c r="J14">
        <v>2425403.7007953734</v>
      </c>
      <c r="K14">
        <v>2118315.8267657431</v>
      </c>
      <c r="L14">
        <v>419179.72226908442</v>
      </c>
      <c r="M14">
        <v>1411768.3607114027</v>
      </c>
      <c r="N14">
        <v>1433376.9228204913</v>
      </c>
      <c r="O14">
        <f t="shared" si="0"/>
        <v>38101468.662641823</v>
      </c>
    </row>
    <row r="15" spans="3:15">
      <c r="C15" t="s">
        <v>60</v>
      </c>
      <c r="D15">
        <v>6077549.7599999998</v>
      </c>
      <c r="E15">
        <v>8914807.8300000001</v>
      </c>
      <c r="F15">
        <v>7304.64</v>
      </c>
      <c r="G15">
        <v>3862252.2</v>
      </c>
      <c r="H15">
        <v>2577240</v>
      </c>
      <c r="I15">
        <v>604531.61</v>
      </c>
      <c r="J15">
        <v>0</v>
      </c>
      <c r="K15">
        <v>0</v>
      </c>
      <c r="L15">
        <v>565.24</v>
      </c>
      <c r="M15">
        <v>563609</v>
      </c>
      <c r="N15">
        <v>0</v>
      </c>
      <c r="O15">
        <f t="shared" si="0"/>
        <v>22607860.279999997</v>
      </c>
    </row>
    <row r="16" spans="3:15">
      <c r="C16" t="s">
        <v>63</v>
      </c>
      <c r="D16">
        <v>2586330</v>
      </c>
      <c r="E16">
        <v>2447230</v>
      </c>
      <c r="F16">
        <v>199200</v>
      </c>
      <c r="G16">
        <v>0</v>
      </c>
      <c r="H16">
        <v>0</v>
      </c>
      <c r="I16">
        <v>0</v>
      </c>
      <c r="J16">
        <v>1810800</v>
      </c>
      <c r="K16">
        <v>1210300</v>
      </c>
      <c r="L16">
        <v>812000</v>
      </c>
      <c r="M16">
        <v>3712134.4</v>
      </c>
      <c r="N16">
        <v>2474756.27</v>
      </c>
      <c r="O16">
        <f t="shared" si="0"/>
        <v>15252750.67</v>
      </c>
    </row>
    <row r="17" spans="3:15">
      <c r="C17" t="s">
        <v>96</v>
      </c>
      <c r="D17">
        <v>0</v>
      </c>
      <c r="E17">
        <v>0</v>
      </c>
      <c r="F17">
        <v>0</v>
      </c>
      <c r="H17">
        <v>417028</v>
      </c>
      <c r="I17">
        <v>37354</v>
      </c>
      <c r="J17">
        <v>0</v>
      </c>
      <c r="K17">
        <v>0</v>
      </c>
      <c r="L17">
        <v>0</v>
      </c>
      <c r="M17">
        <v>0</v>
      </c>
      <c r="N17">
        <v>0</v>
      </c>
      <c r="O17">
        <f t="shared" si="0"/>
        <v>454382</v>
      </c>
    </row>
    <row r="18" spans="3:15">
      <c r="C18" s="2" t="s">
        <v>61</v>
      </c>
      <c r="D18">
        <v>8663879.7599999998</v>
      </c>
      <c r="E18">
        <v>11362037.83</v>
      </c>
      <c r="F18">
        <v>206504.64</v>
      </c>
      <c r="G18">
        <v>3862252.2</v>
      </c>
      <c r="H18">
        <v>2994268</v>
      </c>
      <c r="I18">
        <v>641885.61</v>
      </c>
      <c r="J18">
        <v>1810800</v>
      </c>
      <c r="K18">
        <v>1210300</v>
      </c>
      <c r="L18">
        <v>812565.24</v>
      </c>
      <c r="M18">
        <v>4275743.4000000004</v>
      </c>
      <c r="N18">
        <v>2474756.27</v>
      </c>
      <c r="O18">
        <f t="shared" si="0"/>
        <v>38314992.950000003</v>
      </c>
    </row>
    <row r="19" spans="3:15">
      <c r="C19" s="1" t="s">
        <v>84</v>
      </c>
      <c r="D19" s="1">
        <v>-1795632.1243081503</v>
      </c>
      <c r="E19" s="1">
        <v>3199770.0054146126</v>
      </c>
      <c r="F19" s="1">
        <v>162180.6524361989</v>
      </c>
      <c r="G19" s="1">
        <v>-3081534.8798790928</v>
      </c>
      <c r="H19" s="1">
        <v>-795952.67094848817</v>
      </c>
      <c r="I19" s="1">
        <v>-251427.07199479907</v>
      </c>
      <c r="J19" s="1">
        <v>-614603.70079537341</v>
      </c>
      <c r="K19" s="1">
        <v>-908015.82676574308</v>
      </c>
      <c r="L19" s="1">
        <v>393385.51773091557</v>
      </c>
      <c r="M19" s="1">
        <v>2863975.0392885976</v>
      </c>
      <c r="N19" s="1">
        <v>1041379.3471795088</v>
      </c>
      <c r="O19" s="1">
        <f t="shared" si="0"/>
        <v>213524.28735818667</v>
      </c>
    </row>
    <row r="22" spans="3:15">
      <c r="C22" s="1" t="s">
        <v>99</v>
      </c>
    </row>
    <row r="24" spans="3:15">
      <c r="C24" t="s">
        <v>4</v>
      </c>
      <c r="D24" t="s">
        <v>34</v>
      </c>
      <c r="E24" t="s">
        <v>35</v>
      </c>
      <c r="F24" t="s">
        <v>42</v>
      </c>
      <c r="G24" t="s">
        <v>43</v>
      </c>
      <c r="H24" t="s">
        <v>44</v>
      </c>
      <c r="I24" t="s">
        <v>45</v>
      </c>
      <c r="J24" t="s">
        <v>46</v>
      </c>
      <c r="K24" t="s">
        <v>47</v>
      </c>
      <c r="L24" t="s">
        <v>48</v>
      </c>
      <c r="M24" t="s">
        <v>49</v>
      </c>
      <c r="N24" t="s">
        <v>91</v>
      </c>
      <c r="O24" s="1" t="s">
        <v>97</v>
      </c>
    </row>
    <row r="25" spans="3:15">
      <c r="C25" t="s">
        <v>37</v>
      </c>
      <c r="D25">
        <v>5680841.3300000001</v>
      </c>
      <c r="E25">
        <v>1348690.32</v>
      </c>
      <c r="F25">
        <v>1677230.93</v>
      </c>
      <c r="G25">
        <v>143193.56</v>
      </c>
      <c r="H25">
        <v>1004962.22</v>
      </c>
      <c r="I25">
        <v>2762819.5</v>
      </c>
      <c r="J25">
        <v>209894.2</v>
      </c>
      <c r="K25">
        <v>879527.6</v>
      </c>
      <c r="L25">
        <v>432064.4</v>
      </c>
      <c r="M25">
        <v>182838.2</v>
      </c>
      <c r="N25">
        <v>200715.2</v>
      </c>
      <c r="O25">
        <f>SUM(D25:N25)</f>
        <v>14522777.459999999</v>
      </c>
    </row>
    <row r="26" spans="3:15">
      <c r="C26" t="s">
        <v>36</v>
      </c>
      <c r="D26">
        <v>2219729.1800000002</v>
      </c>
      <c r="E26">
        <v>115816.09</v>
      </c>
      <c r="F26">
        <v>0</v>
      </c>
      <c r="G26">
        <v>0</v>
      </c>
      <c r="H26">
        <v>31875.05</v>
      </c>
      <c r="I26">
        <v>540976.29</v>
      </c>
      <c r="J26">
        <v>1869.3</v>
      </c>
      <c r="K26">
        <v>27178.400000000001</v>
      </c>
      <c r="L26">
        <v>0</v>
      </c>
      <c r="M26">
        <v>37457</v>
      </c>
      <c r="N26">
        <v>0</v>
      </c>
      <c r="O26">
        <f t="shared" ref="O26:O39" si="1">SUM(D26:N26)</f>
        <v>2974901.3099999996</v>
      </c>
    </row>
    <row r="27" spans="3:15">
      <c r="C27" t="s">
        <v>38</v>
      </c>
      <c r="D27">
        <v>2933282.9</v>
      </c>
      <c r="E27">
        <v>388693.66</v>
      </c>
      <c r="F27">
        <v>93995.23</v>
      </c>
      <c r="G27">
        <v>512582.75</v>
      </c>
      <c r="H27">
        <v>950775.35</v>
      </c>
      <c r="I27">
        <v>716555.85000000009</v>
      </c>
      <c r="J27">
        <v>77707.91</v>
      </c>
      <c r="K27">
        <v>179163.66000000003</v>
      </c>
      <c r="L27">
        <v>94629.51999999999</v>
      </c>
      <c r="M27">
        <v>41540.03</v>
      </c>
      <c r="N27">
        <v>33667.520000000004</v>
      </c>
      <c r="O27">
        <f t="shared" si="1"/>
        <v>6022594.3799999999</v>
      </c>
    </row>
    <row r="28" spans="3:15">
      <c r="C28" t="s">
        <v>41</v>
      </c>
      <c r="D28">
        <v>1925294.53</v>
      </c>
      <c r="E28">
        <v>0</v>
      </c>
      <c r="F28">
        <v>0</v>
      </c>
      <c r="G28">
        <v>0</v>
      </c>
      <c r="H28">
        <v>0</v>
      </c>
      <c r="I28">
        <v>2462408.7800000003</v>
      </c>
      <c r="J28">
        <v>0</v>
      </c>
      <c r="K28">
        <v>0</v>
      </c>
      <c r="L28">
        <v>0</v>
      </c>
      <c r="M28">
        <v>192609</v>
      </c>
      <c r="N28">
        <v>0</v>
      </c>
      <c r="O28">
        <f t="shared" si="1"/>
        <v>4580312.3100000005</v>
      </c>
    </row>
    <row r="29" spans="3:15">
      <c r="C29" t="s">
        <v>50</v>
      </c>
      <c r="D29">
        <v>2694534.97926141</v>
      </c>
      <c r="E29">
        <v>357056.81954070693</v>
      </c>
      <c r="F29">
        <v>86344.70105789027</v>
      </c>
      <c r="G29">
        <v>470862.23754313181</v>
      </c>
      <c r="H29">
        <v>873389.1429273698</v>
      </c>
      <c r="I29">
        <v>658233.40886056109</v>
      </c>
      <c r="J29">
        <v>71383.050595050867</v>
      </c>
      <c r="K29">
        <v>164581.03951804253</v>
      </c>
      <c r="L29">
        <v>86927.364459362972</v>
      </c>
      <c r="M29">
        <v>38158.973304132494</v>
      </c>
      <c r="N29">
        <v>30927.228432342177</v>
      </c>
      <c r="O29">
        <f t="shared" si="1"/>
        <v>5532398.9455000013</v>
      </c>
    </row>
    <row r="30" spans="3:15">
      <c r="C30" s="2" t="s">
        <v>94</v>
      </c>
      <c r="D30">
        <v>15453682.919261409</v>
      </c>
      <c r="E30">
        <v>2210256.8895407068</v>
      </c>
      <c r="F30">
        <v>1857570.8610578901</v>
      </c>
      <c r="G30">
        <v>1126638.5475431317</v>
      </c>
      <c r="H30">
        <v>2861001.7629273701</v>
      </c>
      <c r="I30">
        <v>7140993.8288605614</v>
      </c>
      <c r="J30">
        <v>360854.46059505088</v>
      </c>
      <c r="K30">
        <v>1250450.6995180426</v>
      </c>
      <c r="L30">
        <v>613621.28445936297</v>
      </c>
      <c r="M30">
        <v>492603.20330413245</v>
      </c>
      <c r="N30">
        <v>265309.94843234221</v>
      </c>
      <c r="O30">
        <f t="shared" si="1"/>
        <v>33632984.405500002</v>
      </c>
    </row>
    <row r="31" spans="3:15">
      <c r="C31" t="s">
        <v>51</v>
      </c>
      <c r="D31">
        <v>2087486.8841722661</v>
      </c>
      <c r="E31">
        <v>357078.0121781365</v>
      </c>
      <c r="F31">
        <v>341283.12780104409</v>
      </c>
      <c r="G31">
        <v>126356.19056949066</v>
      </c>
      <c r="H31">
        <v>382976.8705597868</v>
      </c>
      <c r="I31">
        <v>774648.77921589499</v>
      </c>
      <c r="J31">
        <v>55775.885905941257</v>
      </c>
      <c r="K31">
        <v>209227.37159045596</v>
      </c>
      <c r="L31">
        <v>101484.35726095697</v>
      </c>
      <c r="M31">
        <v>50450.895702051843</v>
      </c>
      <c r="N31">
        <v>45161.295372984074</v>
      </c>
      <c r="O31">
        <f t="shared" si="1"/>
        <v>4531929.6703290101</v>
      </c>
    </row>
    <row r="32" spans="3:15">
      <c r="C32" t="s">
        <v>52</v>
      </c>
      <c r="D32">
        <v>506700.74816626182</v>
      </c>
      <c r="E32">
        <v>86674.410889113991</v>
      </c>
      <c r="F32">
        <v>82840.48034240985</v>
      </c>
      <c r="G32">
        <v>30670.744224765218</v>
      </c>
      <c r="H32">
        <v>92960.903522018751</v>
      </c>
      <c r="I32">
        <v>188032.37470419655</v>
      </c>
      <c r="J32">
        <v>13538.615898601376</v>
      </c>
      <c r="K32">
        <v>50786.266742836095</v>
      </c>
      <c r="L32">
        <v>24633.543875744694</v>
      </c>
      <c r="M32">
        <v>12246.068127045595</v>
      </c>
      <c r="N32">
        <v>10962.110625534435</v>
      </c>
      <c r="O32">
        <f t="shared" si="1"/>
        <v>1100046.2671185285</v>
      </c>
    </row>
    <row r="33" spans="3:15">
      <c r="C33" t="s">
        <v>53</v>
      </c>
      <c r="D33">
        <v>3113135.4788781512</v>
      </c>
      <c r="E33">
        <v>532521.77863614587</v>
      </c>
      <c r="F33">
        <v>508966.3659952649</v>
      </c>
      <c r="G33">
        <v>188438.99945926969</v>
      </c>
      <c r="H33">
        <v>571145.56856349017</v>
      </c>
      <c r="I33">
        <v>1155258.3235524839</v>
      </c>
      <c r="J33">
        <v>83180.349824567529</v>
      </c>
      <c r="K33">
        <v>312027.42330472014</v>
      </c>
      <c r="L33">
        <v>151346.84463682538</v>
      </c>
      <c r="M33">
        <v>75239.022837509576</v>
      </c>
      <c r="N33">
        <v>67350.473894584822</v>
      </c>
      <c r="O33">
        <f t="shared" si="1"/>
        <v>6758610.6295830132</v>
      </c>
    </row>
    <row r="34" spans="3:15">
      <c r="C34" s="2" t="s">
        <v>93</v>
      </c>
      <c r="D34">
        <v>21161006.03047809</v>
      </c>
      <c r="E34">
        <v>3186531.0912441029</v>
      </c>
      <c r="F34">
        <v>2790660.8351966091</v>
      </c>
      <c r="G34">
        <v>1472104.4817966572</v>
      </c>
      <c r="H34">
        <v>3908085.105572666</v>
      </c>
      <c r="I34">
        <v>9258933.3063331358</v>
      </c>
      <c r="J34">
        <v>513349.312224161</v>
      </c>
      <c r="K34">
        <v>1822491.7611560547</v>
      </c>
      <c r="L34">
        <v>891086.03023289004</v>
      </c>
      <c r="M34">
        <v>630539.18997073942</v>
      </c>
      <c r="N34">
        <v>388783.82832544553</v>
      </c>
      <c r="O34">
        <f t="shared" si="1"/>
        <v>46023570.972530551</v>
      </c>
    </row>
    <row r="35" spans="3:15">
      <c r="C35" t="s">
        <v>62</v>
      </c>
      <c r="D35">
        <v>16308090.6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f t="shared" si="1"/>
        <v>16308090.6</v>
      </c>
    </row>
    <row r="36" spans="3:15">
      <c r="C36" t="s">
        <v>64</v>
      </c>
      <c r="D36">
        <v>1258886.8400000001</v>
      </c>
      <c r="E36">
        <v>277551.7</v>
      </c>
      <c r="F36">
        <v>490411</v>
      </c>
      <c r="G36">
        <v>66177.2</v>
      </c>
      <c r="H36">
        <v>3269587.09</v>
      </c>
      <c r="I36">
        <v>852935.5</v>
      </c>
      <c r="J36">
        <v>2170.5</v>
      </c>
      <c r="K36">
        <v>1350746</v>
      </c>
      <c r="L36">
        <v>0</v>
      </c>
      <c r="M36">
        <v>93221.73</v>
      </c>
      <c r="N36">
        <v>1949573.16</v>
      </c>
      <c r="O36">
        <f t="shared" si="1"/>
        <v>9611260.7200000007</v>
      </c>
    </row>
    <row r="37" spans="3:15">
      <c r="C37" t="s">
        <v>79</v>
      </c>
      <c r="D37">
        <v>539250</v>
      </c>
      <c r="E37">
        <v>831279</v>
      </c>
      <c r="F37">
        <v>1679948</v>
      </c>
      <c r="G37">
        <v>229119</v>
      </c>
      <c r="H37">
        <v>1552409</v>
      </c>
      <c r="I37">
        <v>633000</v>
      </c>
      <c r="J37">
        <v>1160764</v>
      </c>
      <c r="K37">
        <v>1082617</v>
      </c>
      <c r="L37">
        <v>743226</v>
      </c>
      <c r="N37">
        <v>547119</v>
      </c>
      <c r="O37">
        <f t="shared" si="1"/>
        <v>8998731</v>
      </c>
    </row>
    <row r="38" spans="3:15">
      <c r="C38" t="s">
        <v>65</v>
      </c>
      <c r="D38">
        <v>1092742.52</v>
      </c>
      <c r="E38">
        <v>0</v>
      </c>
      <c r="F38">
        <v>0</v>
      </c>
      <c r="G38">
        <v>0</v>
      </c>
      <c r="H38">
        <v>0</v>
      </c>
      <c r="I38">
        <v>0</v>
      </c>
      <c r="J38">
        <v>1290007.96</v>
      </c>
      <c r="K38">
        <v>0</v>
      </c>
      <c r="L38">
        <v>0</v>
      </c>
      <c r="M38">
        <v>0</v>
      </c>
      <c r="N38">
        <v>0</v>
      </c>
      <c r="O38">
        <f t="shared" si="1"/>
        <v>2382750.48</v>
      </c>
    </row>
    <row r="39" spans="3:15">
      <c r="C39" s="2" t="s">
        <v>61</v>
      </c>
      <c r="D39">
        <v>19198969.960000001</v>
      </c>
      <c r="E39">
        <v>1108830.7</v>
      </c>
      <c r="F39">
        <v>2170359</v>
      </c>
      <c r="G39">
        <v>295296.2</v>
      </c>
      <c r="H39">
        <v>4821996.09</v>
      </c>
      <c r="I39">
        <v>1485935.5</v>
      </c>
      <c r="J39">
        <v>2452942.46</v>
      </c>
      <c r="K39">
        <v>2433363</v>
      </c>
      <c r="L39">
        <v>743226</v>
      </c>
      <c r="M39">
        <v>93221.73</v>
      </c>
      <c r="N39">
        <v>2496692.16</v>
      </c>
      <c r="O39">
        <f t="shared" si="1"/>
        <v>37300832.799999997</v>
      </c>
    </row>
    <row r="40" spans="3:15">
      <c r="C40" s="2" t="s">
        <v>84</v>
      </c>
      <c r="D40">
        <v>-1962036.0704780892</v>
      </c>
      <c r="E40">
        <v>-2077700.391244103</v>
      </c>
      <c r="F40">
        <v>-620301.83519660914</v>
      </c>
      <c r="G40">
        <v>-1176808.2817966572</v>
      </c>
      <c r="H40">
        <v>913910.98442733381</v>
      </c>
      <c r="I40">
        <v>-7772997.8063331358</v>
      </c>
      <c r="J40">
        <v>1939593.1477758391</v>
      </c>
      <c r="K40">
        <v>610871.23884394532</v>
      </c>
      <c r="L40">
        <v>-147860.03023289004</v>
      </c>
      <c r="M40">
        <v>-537317.45997073944</v>
      </c>
      <c r="N40">
        <v>2107908.3316745544</v>
      </c>
      <c r="O40" s="1">
        <f>SUM(D40:N40)</f>
        <v>-8722738.1725305505</v>
      </c>
    </row>
    <row r="42" spans="3:15">
      <c r="C42" s="1" t="s">
        <v>111</v>
      </c>
    </row>
    <row r="43" spans="3:15">
      <c r="C43" t="s">
        <v>112</v>
      </c>
      <c r="D43">
        <f>O14+O34</f>
        <v>84125039.635172367</v>
      </c>
    </row>
    <row r="44" spans="3:15">
      <c r="C44" t="s">
        <v>5</v>
      </c>
      <c r="D44">
        <f>O18+O39</f>
        <v>75615825.75</v>
      </c>
    </row>
    <row r="45" spans="3:15">
      <c r="C45" t="s">
        <v>113</v>
      </c>
      <c r="D45">
        <f>O19+O40</f>
        <v>-8509213.8851723634</v>
      </c>
    </row>
    <row r="47" spans="3:15">
      <c r="C47" s="1" t="s">
        <v>114</v>
      </c>
    </row>
    <row r="48" spans="3:15">
      <c r="C48" t="s">
        <v>4</v>
      </c>
      <c r="D48" t="s">
        <v>59</v>
      </c>
      <c r="E48" t="s">
        <v>58</v>
      </c>
      <c r="F48" t="s">
        <v>39</v>
      </c>
      <c r="G48" t="s">
        <v>40</v>
      </c>
      <c r="H48" t="s">
        <v>30</v>
      </c>
      <c r="I48" t="s">
        <v>31</v>
      </c>
      <c r="J48" t="s">
        <v>86</v>
      </c>
      <c r="K48" t="s">
        <v>87</v>
      </c>
      <c r="L48" t="s">
        <v>89</v>
      </c>
      <c r="M48" t="s">
        <v>80</v>
      </c>
      <c r="N48" t="s">
        <v>88</v>
      </c>
      <c r="O48" t="s">
        <v>95</v>
      </c>
    </row>
    <row r="49" spans="3:15">
      <c r="C49" s="4" t="s">
        <v>37</v>
      </c>
      <c r="D49">
        <v>3872663.88</v>
      </c>
      <c r="E49">
        <v>1381318.43</v>
      </c>
      <c r="F49">
        <v>39412.78</v>
      </c>
      <c r="G49">
        <v>3425173.9699999997</v>
      </c>
      <c r="H49">
        <v>1206633.8700000001</v>
      </c>
      <c r="I49">
        <v>271003.8</v>
      </c>
      <c r="J49">
        <v>1878217.74</v>
      </c>
      <c r="K49">
        <v>557860.92999999993</v>
      </c>
      <c r="L49">
        <v>45824.639999999999</v>
      </c>
      <c r="M49">
        <v>470218.56</v>
      </c>
      <c r="N49">
        <v>243762.08</v>
      </c>
      <c r="O49">
        <f>SUM(D49:N49)</f>
        <v>13392090.680000002</v>
      </c>
    </row>
    <row r="50" spans="3:15">
      <c r="C50" s="5" t="s">
        <v>36</v>
      </c>
      <c r="D50">
        <v>546947.56000000006</v>
      </c>
      <c r="E50">
        <v>129107.14</v>
      </c>
      <c r="F50">
        <v>0</v>
      </c>
      <c r="G50">
        <v>209430.30000000002</v>
      </c>
      <c r="H50">
        <v>549738.43999999994</v>
      </c>
      <c r="I50">
        <v>8760</v>
      </c>
      <c r="J50">
        <v>175665</v>
      </c>
      <c r="K50">
        <v>0</v>
      </c>
      <c r="L50">
        <v>0</v>
      </c>
      <c r="M50">
        <v>74583.759999999995</v>
      </c>
      <c r="N50">
        <v>22783.61</v>
      </c>
      <c r="O50">
        <f t="shared" ref="O50:O62" si="2">SUM(D50:N50)</f>
        <v>1717015.81</v>
      </c>
    </row>
    <row r="51" spans="3:15">
      <c r="C51" s="6" t="s">
        <v>38</v>
      </c>
      <c r="D51">
        <v>292716.31</v>
      </c>
      <c r="E51">
        <v>356832.24999999994</v>
      </c>
      <c r="F51">
        <v>8531.74</v>
      </c>
      <c r="G51">
        <v>208915.83</v>
      </c>
      <c r="H51">
        <v>105010.23</v>
      </c>
      <c r="I51">
        <v>234588.29</v>
      </c>
      <c r="J51">
        <v>148973.15</v>
      </c>
      <c r="K51">
        <v>113306.47</v>
      </c>
      <c r="L51">
        <v>75894.290000000008</v>
      </c>
      <c r="M51">
        <v>39915.86</v>
      </c>
      <c r="N51">
        <v>62970.400000000001</v>
      </c>
      <c r="O51">
        <f t="shared" si="2"/>
        <v>1647654.8199999998</v>
      </c>
    </row>
    <row r="52" spans="3:15">
      <c r="C52" s="5" t="s">
        <v>50</v>
      </c>
      <c r="D52">
        <v>2124030.484816975</v>
      </c>
      <c r="E52">
        <v>757608.34027236118</v>
      </c>
      <c r="F52">
        <v>21616.631033671005</v>
      </c>
      <c r="G52">
        <v>1878596.7885448355</v>
      </c>
      <c r="H52">
        <v>661799.52696867741</v>
      </c>
      <c r="I52">
        <v>148636.79124697042</v>
      </c>
      <c r="J52">
        <v>1030141.489295488</v>
      </c>
      <c r="K52">
        <v>305968.61961806723</v>
      </c>
      <c r="L52">
        <v>25133.328202953504</v>
      </c>
      <c r="M52">
        <v>257899.62333801604</v>
      </c>
      <c r="N52">
        <v>133695.59171822426</v>
      </c>
      <c r="O52">
        <f t="shared" si="2"/>
        <v>7345127.2150562396</v>
      </c>
    </row>
    <row r="53" spans="3:15">
      <c r="C53" s="7" t="s">
        <v>94</v>
      </c>
      <c r="D53">
        <v>6836358.234816974</v>
      </c>
      <c r="E53">
        <v>2624866.1602723608</v>
      </c>
      <c r="F53">
        <v>69561.151033671005</v>
      </c>
      <c r="G53">
        <v>5722116.8885448352</v>
      </c>
      <c r="H53">
        <v>2523182.0669686776</v>
      </c>
      <c r="I53">
        <v>662988.88124697038</v>
      </c>
      <c r="J53">
        <v>3232997.3792954879</v>
      </c>
      <c r="K53">
        <v>977136.01961806719</v>
      </c>
      <c r="L53">
        <v>146852.2582029535</v>
      </c>
      <c r="M53">
        <v>842617.80333801592</v>
      </c>
      <c r="N53">
        <v>463211.68171822431</v>
      </c>
      <c r="O53">
        <f t="shared" si="2"/>
        <v>24101888.525056239</v>
      </c>
    </row>
    <row r="54" spans="3:15">
      <c r="C54" s="5" t="s">
        <v>51</v>
      </c>
      <c r="D54">
        <v>996681.80807171972</v>
      </c>
      <c r="E54">
        <v>394934.73266447947</v>
      </c>
      <c r="F54">
        <v>10140.515137286606</v>
      </c>
      <c r="G54">
        <v>812924.47509152931</v>
      </c>
      <c r="H54">
        <v>108788.14001141326</v>
      </c>
      <c r="I54">
        <v>108788.14001141326</v>
      </c>
      <c r="J54">
        <v>465915.46849996538</v>
      </c>
      <c r="K54">
        <v>141955.39301161622</v>
      </c>
      <c r="L54">
        <v>25744.186241917301</v>
      </c>
      <c r="M54">
        <v>123670.93372374307</v>
      </c>
      <c r="N54">
        <v>69694.365458753076</v>
      </c>
      <c r="O54">
        <f t="shared" si="2"/>
        <v>3259238.1579238363</v>
      </c>
    </row>
    <row r="55" spans="3:15">
      <c r="C55" s="6" t="s">
        <v>52</v>
      </c>
      <c r="D55">
        <v>228242.13117263449</v>
      </c>
      <c r="E55">
        <v>81410.386251036456</v>
      </c>
      <c r="F55">
        <v>2322.8602278383596</v>
      </c>
      <c r="G55">
        <v>201868.54082204346</v>
      </c>
      <c r="H55">
        <v>71115.050148344817</v>
      </c>
      <c r="I55">
        <v>15972.076788621893</v>
      </c>
      <c r="J55">
        <v>110696.00488639595</v>
      </c>
      <c r="K55">
        <v>32878.496948500433</v>
      </c>
      <c r="L55">
        <v>2700.7542657739646</v>
      </c>
      <c r="M55">
        <v>27713.142574957292</v>
      </c>
      <c r="N55">
        <v>14366.538992863543</v>
      </c>
      <c r="O55">
        <f t="shared" si="2"/>
        <v>789285.98307901062</v>
      </c>
    </row>
    <row r="56" spans="3:15">
      <c r="C56" s="5" t="s">
        <v>53</v>
      </c>
      <c r="D56">
        <v>1080261.7334865574</v>
      </c>
      <c r="E56">
        <v>428053.24173377588</v>
      </c>
      <c r="F56">
        <v>10990.880310984507</v>
      </c>
      <c r="G56">
        <v>881094.8444569516</v>
      </c>
      <c r="H56">
        <v>426706.38292126678</v>
      </c>
      <c r="I56">
        <v>117910.91576044001</v>
      </c>
      <c r="J56">
        <v>504986.29310163617</v>
      </c>
      <c r="K56">
        <v>153859.51433103642</v>
      </c>
      <c r="L56">
        <v>27903.046921965255</v>
      </c>
      <c r="M56">
        <v>134041.7535108641</v>
      </c>
      <c r="N56">
        <v>75538.808308720152</v>
      </c>
      <c r="O56">
        <f t="shared" si="2"/>
        <v>3841347.4148441977</v>
      </c>
    </row>
    <row r="57" spans="3:15">
      <c r="C57" s="7" t="s">
        <v>93</v>
      </c>
      <c r="D57">
        <v>9141543.9075478856</v>
      </c>
      <c r="E57">
        <v>3529264.5209216527</v>
      </c>
      <c r="F57">
        <v>93015.40670978048</v>
      </c>
      <c r="G57">
        <v>7618004.7489153594</v>
      </c>
      <c r="H57">
        <v>3129791.640049702</v>
      </c>
      <c r="I57">
        <v>905660.01380744553</v>
      </c>
      <c r="J57">
        <v>4314595.1457834849</v>
      </c>
      <c r="K57">
        <v>1305829.4239092204</v>
      </c>
      <c r="L57">
        <v>203200.24563261002</v>
      </c>
      <c r="M57">
        <v>1128043.6331475805</v>
      </c>
      <c r="N57">
        <v>622811.39447856101</v>
      </c>
      <c r="O57">
        <f t="shared" si="2"/>
        <v>31991760.080903284</v>
      </c>
    </row>
    <row r="58" spans="3:15">
      <c r="C58" s="5" t="s">
        <v>60</v>
      </c>
      <c r="D58">
        <v>6463753.1299999999</v>
      </c>
      <c r="E58">
        <v>6427405.2199999997</v>
      </c>
      <c r="F58">
        <v>118800</v>
      </c>
      <c r="G58">
        <v>5457276</v>
      </c>
      <c r="H58">
        <v>3786623</v>
      </c>
      <c r="I58">
        <v>272055.52</v>
      </c>
      <c r="J58">
        <v>2549679</v>
      </c>
      <c r="K58">
        <v>0</v>
      </c>
      <c r="L58">
        <v>0</v>
      </c>
      <c r="M58">
        <v>147435</v>
      </c>
      <c r="N58">
        <v>0</v>
      </c>
      <c r="O58">
        <f t="shared" si="2"/>
        <v>25223026.870000001</v>
      </c>
    </row>
    <row r="59" spans="3:15">
      <c r="C59" s="6" t="s">
        <v>63</v>
      </c>
      <c r="D59">
        <v>105900</v>
      </c>
      <c r="E59">
        <v>129000</v>
      </c>
      <c r="F59">
        <v>0</v>
      </c>
      <c r="G59">
        <v>0</v>
      </c>
      <c r="H59">
        <v>0</v>
      </c>
      <c r="I59">
        <v>0</v>
      </c>
      <c r="J59">
        <v>2052900</v>
      </c>
      <c r="K59">
        <v>1133310</v>
      </c>
      <c r="L59">
        <v>298660</v>
      </c>
      <c r="M59">
        <v>495000</v>
      </c>
      <c r="N59">
        <v>270000</v>
      </c>
      <c r="O59">
        <f t="shared" si="2"/>
        <v>4484770</v>
      </c>
    </row>
    <row r="60" spans="3:15">
      <c r="C60" s="5" t="s">
        <v>96</v>
      </c>
      <c r="D60">
        <v>0</v>
      </c>
      <c r="E60">
        <v>10971</v>
      </c>
      <c r="F60">
        <v>0</v>
      </c>
      <c r="G60">
        <v>0</v>
      </c>
      <c r="H60">
        <v>470063.2</v>
      </c>
      <c r="I60">
        <v>31347</v>
      </c>
      <c r="J60">
        <v>346903</v>
      </c>
      <c r="K60">
        <v>0</v>
      </c>
      <c r="L60">
        <v>3686969.34</v>
      </c>
      <c r="M60">
        <v>0</v>
      </c>
      <c r="N60">
        <v>0</v>
      </c>
      <c r="O60">
        <f t="shared" si="2"/>
        <v>4546253.54</v>
      </c>
    </row>
    <row r="61" spans="3:15">
      <c r="C61" s="7" t="s">
        <v>61</v>
      </c>
      <c r="D61">
        <v>6569653.1299999999</v>
      </c>
      <c r="E61">
        <v>6567376.2199999997</v>
      </c>
      <c r="F61">
        <v>118800</v>
      </c>
      <c r="G61">
        <v>5457276</v>
      </c>
      <c r="H61">
        <v>4256686.2</v>
      </c>
      <c r="I61">
        <v>303402.52</v>
      </c>
      <c r="J61">
        <v>4949482</v>
      </c>
      <c r="K61">
        <v>1133310</v>
      </c>
      <c r="L61">
        <v>3985629.34</v>
      </c>
      <c r="M61">
        <v>642435</v>
      </c>
      <c r="N61">
        <v>270000</v>
      </c>
      <c r="O61">
        <f t="shared" si="2"/>
        <v>34254050.409999996</v>
      </c>
    </row>
    <row r="62" spans="3:15">
      <c r="C62" s="8" t="s">
        <v>84</v>
      </c>
      <c r="D62">
        <v>-2571890.7775478857</v>
      </c>
      <c r="E62">
        <v>3038111.6990783471</v>
      </c>
      <c r="F62">
        <v>25784.59329021952</v>
      </c>
      <c r="G62">
        <v>-2160728.7489153594</v>
      </c>
      <c r="H62">
        <v>1126894.5599502982</v>
      </c>
      <c r="I62">
        <v>-602257.49380744551</v>
      </c>
      <c r="J62">
        <v>634886.85421651509</v>
      </c>
      <c r="K62">
        <v>-172519.42390922038</v>
      </c>
      <c r="L62">
        <v>3782429.09436739</v>
      </c>
      <c r="M62">
        <v>-485608.63314758055</v>
      </c>
      <c r="N62">
        <v>-352811.39447856101</v>
      </c>
      <c r="O62">
        <f t="shared" si="2"/>
        <v>2262290.3290967173</v>
      </c>
    </row>
    <row r="66" spans="3:14">
      <c r="C66" s="1" t="s">
        <v>115</v>
      </c>
    </row>
    <row r="67" spans="3:14">
      <c r="D67" t="s">
        <v>34</v>
      </c>
      <c r="E67" t="s">
        <v>35</v>
      </c>
      <c r="F67" t="s">
        <v>42</v>
      </c>
      <c r="G67" t="s">
        <v>43</v>
      </c>
      <c r="H67" t="s">
        <v>44</v>
      </c>
      <c r="I67" t="s">
        <v>45</v>
      </c>
      <c r="J67" t="s">
        <v>46</v>
      </c>
      <c r="K67" t="s">
        <v>47</v>
      </c>
      <c r="L67" t="s">
        <v>48</v>
      </c>
      <c r="M67" t="s">
        <v>49</v>
      </c>
      <c r="N67" t="s">
        <v>91</v>
      </c>
    </row>
    <row r="68" spans="3:14">
      <c r="C68" t="s">
        <v>37</v>
      </c>
      <c r="D68">
        <v>4712882.95</v>
      </c>
      <c r="E68">
        <v>1157132.32</v>
      </c>
      <c r="F68">
        <v>1357263.12</v>
      </c>
      <c r="G68">
        <v>100329.25</v>
      </c>
      <c r="H68">
        <v>1023464.49</v>
      </c>
      <c r="I68">
        <v>244878</v>
      </c>
      <c r="J68">
        <v>3207622.8</v>
      </c>
      <c r="K68">
        <v>1039971.6</v>
      </c>
      <c r="L68">
        <v>669705.4</v>
      </c>
      <c r="M68">
        <v>18275</v>
      </c>
      <c r="N68">
        <v>520096.4</v>
      </c>
    </row>
    <row r="69" spans="3:14">
      <c r="C69" t="s">
        <v>36</v>
      </c>
      <c r="D69">
        <v>1481713.3099999998</v>
      </c>
      <c r="E69">
        <v>110926.53</v>
      </c>
      <c r="F69">
        <v>774970.74</v>
      </c>
      <c r="G69">
        <v>124292.91</v>
      </c>
      <c r="H69">
        <v>7850.2</v>
      </c>
      <c r="I69">
        <v>377235.25</v>
      </c>
      <c r="J69">
        <v>8582.16</v>
      </c>
      <c r="K69">
        <v>0</v>
      </c>
      <c r="L69">
        <v>0</v>
      </c>
      <c r="M69">
        <v>0</v>
      </c>
      <c r="N69">
        <v>0</v>
      </c>
    </row>
    <row r="70" spans="3:14">
      <c r="C70" t="s">
        <v>38</v>
      </c>
      <c r="D70">
        <v>2201740.04</v>
      </c>
      <c r="E70">
        <v>429813.26</v>
      </c>
      <c r="F70">
        <v>24725.599999999999</v>
      </c>
      <c r="G70">
        <v>761077.39</v>
      </c>
      <c r="H70">
        <v>1218898.3999999999</v>
      </c>
      <c r="I70">
        <v>1032071.31</v>
      </c>
      <c r="J70">
        <v>53245.97</v>
      </c>
      <c r="K70">
        <v>219947.96000000002</v>
      </c>
      <c r="L70">
        <v>79795.179999999993</v>
      </c>
      <c r="M70">
        <v>65394.95</v>
      </c>
      <c r="N70">
        <v>42290.33</v>
      </c>
    </row>
    <row r="71" spans="3:14">
      <c r="C71" t="s">
        <v>41</v>
      </c>
      <c r="D71">
        <v>133</v>
      </c>
      <c r="E71">
        <v>37200</v>
      </c>
      <c r="F71">
        <v>0</v>
      </c>
      <c r="G71">
        <v>0</v>
      </c>
      <c r="H71">
        <v>0</v>
      </c>
      <c r="I71">
        <v>187817.28</v>
      </c>
      <c r="J71">
        <v>0</v>
      </c>
      <c r="K71">
        <v>0</v>
      </c>
      <c r="L71">
        <v>0</v>
      </c>
      <c r="M71">
        <v>176024</v>
      </c>
      <c r="N71">
        <v>0</v>
      </c>
    </row>
    <row r="72" spans="3:14">
      <c r="C72" t="s">
        <v>50</v>
      </c>
      <c r="D72">
        <v>1912856.3252929903</v>
      </c>
      <c r="E72">
        <v>373418.74978383037</v>
      </c>
      <c r="F72">
        <v>21481.428096599615</v>
      </c>
      <c r="G72">
        <v>661218.7056828835</v>
      </c>
      <c r="H72">
        <v>1058970.3924944315</v>
      </c>
      <c r="I72">
        <v>896656.32527940162</v>
      </c>
      <c r="J72">
        <v>46259.725789817043</v>
      </c>
      <c r="K72">
        <v>191089.24708535965</v>
      </c>
      <c r="L72">
        <v>69325.493481461468</v>
      </c>
      <c r="M72">
        <v>56814.674519757944</v>
      </c>
      <c r="N72">
        <v>36741.542493467081</v>
      </c>
    </row>
    <row r="73" spans="3:14">
      <c r="C73" s="2" t="s">
        <v>94</v>
      </c>
      <c r="D73">
        <v>10309325.62529299</v>
      </c>
      <c r="E73">
        <v>2108490.8597838306</v>
      </c>
      <c r="F73">
        <v>2178440.8880965998</v>
      </c>
      <c r="G73">
        <v>1646918.2556828836</v>
      </c>
      <c r="H73">
        <v>3309183.4824944315</v>
      </c>
      <c r="I73">
        <v>2738658.1652794015</v>
      </c>
      <c r="J73">
        <v>3315710.6557898172</v>
      </c>
      <c r="K73">
        <v>1451008.8070853597</v>
      </c>
      <c r="L73">
        <v>818826.0734814615</v>
      </c>
      <c r="M73">
        <v>316508.62451975793</v>
      </c>
      <c r="N73">
        <v>599128.27249346708</v>
      </c>
    </row>
    <row r="74" spans="3:14">
      <c r="C74" t="s">
        <v>51</v>
      </c>
      <c r="D74">
        <v>1775868.7613912711</v>
      </c>
      <c r="E74">
        <v>359108.77473863022</v>
      </c>
      <c r="F74">
        <v>456208.135041159</v>
      </c>
      <c r="G74">
        <v>208480.57729207835</v>
      </c>
      <c r="H74">
        <v>475931.76240507711</v>
      </c>
      <c r="I74">
        <v>349868.63087889471</v>
      </c>
      <c r="J74">
        <v>691505.86232338496</v>
      </c>
      <c r="K74">
        <v>266479.53446907969</v>
      </c>
      <c r="L74">
        <v>158523.26766218728</v>
      </c>
      <c r="M74">
        <v>17696.629239608894</v>
      </c>
      <c r="N74">
        <v>118947.71599703399</v>
      </c>
    </row>
    <row r="75" spans="3:14">
      <c r="C75" t="s">
        <v>52</v>
      </c>
      <c r="D75">
        <v>277761.89253872778</v>
      </c>
      <c r="E75">
        <v>68197.590844247214</v>
      </c>
      <c r="F75">
        <v>79992.645029348423</v>
      </c>
      <c r="G75">
        <v>5913.0775477865736</v>
      </c>
      <c r="H75">
        <v>60319.646531553226</v>
      </c>
      <c r="I75">
        <v>14432.307664483495</v>
      </c>
      <c r="J75">
        <v>189046.78705809425</v>
      </c>
      <c r="K75">
        <v>61292.521555734544</v>
      </c>
      <c r="L75">
        <v>39470.243865786164</v>
      </c>
      <c r="M75">
        <v>1077.0686732513163</v>
      </c>
      <c r="N75">
        <v>30652.779179796773</v>
      </c>
    </row>
    <row r="76" spans="3:14">
      <c r="C76" t="s">
        <v>53</v>
      </c>
      <c r="D76">
        <v>1924789.8888981373</v>
      </c>
      <c r="E76">
        <v>389222.98407343996</v>
      </c>
      <c r="F76">
        <v>494464.92029758106</v>
      </c>
      <c r="G76">
        <v>58093.904598791778</v>
      </c>
      <c r="H76">
        <v>132620.1930166372</v>
      </c>
      <c r="I76">
        <v>97492.222673160752</v>
      </c>
      <c r="J76">
        <v>749494.28744446684</v>
      </c>
      <c r="K76">
        <v>288826.02402585873</v>
      </c>
      <c r="L76">
        <v>171816.74084532436</v>
      </c>
      <c r="M76">
        <v>19180.636412170948</v>
      </c>
      <c r="N76">
        <v>128922.45532786564</v>
      </c>
    </row>
    <row r="77" spans="3:14">
      <c r="C77" s="2" t="s">
        <v>93</v>
      </c>
      <c r="D77">
        <v>14287746.168121127</v>
      </c>
      <c r="E77">
        <v>2925020.209440148</v>
      </c>
      <c r="F77">
        <v>3209106.5884646885</v>
      </c>
      <c r="G77">
        <v>1919405.8151215403</v>
      </c>
      <c r="H77">
        <v>3978055.0844476987</v>
      </c>
      <c r="I77">
        <v>3200451.3264959403</v>
      </c>
      <c r="J77">
        <v>4945757.5926157637</v>
      </c>
      <c r="K77">
        <v>2067606.8871360328</v>
      </c>
      <c r="L77">
        <v>1188636.3258547592</v>
      </c>
      <c r="M77">
        <v>354462.95884478907</v>
      </c>
      <c r="N77">
        <v>877651.22299816355</v>
      </c>
    </row>
    <row r="78" spans="3:14">
      <c r="C78" s="9" t="s">
        <v>62</v>
      </c>
      <c r="D78">
        <v>11210427.800000001</v>
      </c>
    </row>
    <row r="79" spans="3:14">
      <c r="C79" t="s">
        <v>64</v>
      </c>
      <c r="D79">
        <v>2135949.81</v>
      </c>
      <c r="E79">
        <v>261652.35</v>
      </c>
      <c r="F79">
        <v>2381525.89</v>
      </c>
      <c r="H79">
        <v>2301061.79</v>
      </c>
      <c r="I79">
        <v>564391.05000000005</v>
      </c>
      <c r="J79">
        <v>61.9</v>
      </c>
      <c r="K79">
        <v>383.9</v>
      </c>
      <c r="N79">
        <v>979936.49</v>
      </c>
    </row>
    <row r="80" spans="3:14">
      <c r="C80" t="s">
        <v>92</v>
      </c>
      <c r="D80">
        <v>497000</v>
      </c>
      <c r="E80">
        <v>488474</v>
      </c>
      <c r="F80">
        <v>1704590</v>
      </c>
      <c r="G80">
        <v>99033</v>
      </c>
      <c r="H80">
        <v>1577014</v>
      </c>
      <c r="I80">
        <v>630000</v>
      </c>
      <c r="J80">
        <v>1079290</v>
      </c>
      <c r="K80">
        <v>810753</v>
      </c>
      <c r="L80">
        <v>543477</v>
      </c>
      <c r="M80">
        <v>5090</v>
      </c>
      <c r="N80">
        <v>512080</v>
      </c>
    </row>
    <row r="81" spans="3:14">
      <c r="C81" t="s">
        <v>65</v>
      </c>
      <c r="D81">
        <v>546585.92000000004</v>
      </c>
      <c r="J81">
        <v>1558100.08</v>
      </c>
    </row>
    <row r="82" spans="3:14">
      <c r="C82" s="2" t="s">
        <v>85</v>
      </c>
      <c r="D82">
        <v>14389963.530000001</v>
      </c>
      <c r="E82">
        <v>750126.35</v>
      </c>
      <c r="F82">
        <v>4086115.89</v>
      </c>
      <c r="G82">
        <v>99033</v>
      </c>
      <c r="H82">
        <v>3878075.79</v>
      </c>
      <c r="I82">
        <v>1194391.05</v>
      </c>
      <c r="J82">
        <v>2637451.98</v>
      </c>
      <c r="K82">
        <v>811136.9</v>
      </c>
      <c r="L82">
        <v>543477</v>
      </c>
      <c r="M82">
        <v>5090</v>
      </c>
      <c r="N82">
        <v>1492016.49</v>
      </c>
    </row>
    <row r="83" spans="3:14">
      <c r="C83" s="1" t="s">
        <v>84</v>
      </c>
      <c r="D83">
        <v>102217.36187887378</v>
      </c>
      <c r="E83">
        <v>-2174893.8594401479</v>
      </c>
      <c r="F83">
        <v>877009.30153531162</v>
      </c>
      <c r="G83">
        <v>-1820372.8151215403</v>
      </c>
      <c r="H83">
        <v>-99979.29444769863</v>
      </c>
      <c r="I83">
        <v>-2006060.2764959403</v>
      </c>
      <c r="J83">
        <v>-2308305.6126157637</v>
      </c>
      <c r="K83">
        <v>-1256469.9871360329</v>
      </c>
      <c r="L83">
        <v>-645159.3258547592</v>
      </c>
      <c r="M83">
        <v>-349372.95884478907</v>
      </c>
      <c r="N83">
        <v>614365.26700183644</v>
      </c>
    </row>
  </sheetData>
  <pageMargins left="0.7" right="0.7" top="0.78740157499999996" bottom="0.78740157499999996" header="0.3" footer="0.3"/>
  <pageSetup paperSize="9" orientation="landscape" horizontalDpi="4294967293" verticalDpi="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celkové náklady XYZ</vt:lpstr>
      <vt:lpstr>2015 střediska</vt:lpstr>
      <vt:lpstr>2016 střediska</vt:lpstr>
      <vt:lpstr>cenové odchylky</vt:lpstr>
      <vt:lpstr>množstevní odchylky</vt:lpstr>
      <vt:lpstr>režie na prodané výrobky</vt:lpstr>
      <vt:lpstr>spotřeba vlastních krmiv</vt:lpstr>
      <vt:lpstr>potenciální náklady </vt:lpstr>
      <vt:lpstr>rozpočtová výsledovka 2016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2017-05-22T12:14:30Z</dcterms:modified>
</cp:coreProperties>
</file>