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к\Desktop\Diplomy 2022\Ernur\"/>
    </mc:Choice>
  </mc:AlternateContent>
  <xr:revisionPtr revIDLastSave="0" documentId="13_ncr:1_{16FA543D-8953-4B40-ACD9-B830C8C765DD}" xr6:coauthVersionLast="47" xr6:coauthVersionMax="47" xr10:uidLastSave="{00000000-0000-0000-0000-000000000000}"/>
  <bookViews>
    <workbookView xWindow="-120" yWindow="-120" windowWidth="27870" windowHeight="16440" activeTab="4" xr2:uid="{11E1D2AE-D1C0-4AD8-94D9-FDBE90D1F29B}"/>
  </bookViews>
  <sheets>
    <sheet name="Sheet2" sheetId="11" r:id="rId1"/>
    <sheet name="Cash Flow St." sheetId="9" r:id="rId2"/>
    <sheet name="Balance Sheet" sheetId="7" r:id="rId3"/>
    <sheet name="Income Statement" sheetId="5" r:id="rId4"/>
    <sheet name="Profitability Ratio" sheetId="13" r:id="rId5"/>
  </sheets>
  <definedNames>
    <definedName name="_xlnm._FilterDatabase" localSheetId="1" hidden="1">'Cash Flow St.'!$A$2:$D$2</definedName>
    <definedName name="_xlnm._FilterDatabase" localSheetId="3" hidden="1">'Income Statement'!$A$2:$I$43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5" l="1"/>
  <c r="B48" i="5" s="1"/>
  <c r="B50" i="5" s="1"/>
  <c r="B51" i="5"/>
  <c r="D47" i="5"/>
  <c r="B57" i="5"/>
  <c r="B33" i="13"/>
  <c r="F33" i="13"/>
  <c r="E22" i="5"/>
  <c r="E23" i="5"/>
  <c r="I33" i="13"/>
  <c r="H33" i="13"/>
  <c r="G33" i="13"/>
  <c r="E33" i="13"/>
  <c r="D33" i="13"/>
  <c r="C33" i="13"/>
  <c r="I28" i="13"/>
  <c r="H28" i="13"/>
  <c r="G28" i="13"/>
  <c r="F28" i="13"/>
  <c r="E28" i="13"/>
  <c r="D28" i="13"/>
  <c r="C28" i="13"/>
  <c r="B28" i="13"/>
  <c r="I23" i="13"/>
  <c r="H23" i="13"/>
  <c r="G23" i="13"/>
  <c r="F23" i="13"/>
  <c r="E23" i="13"/>
  <c r="D23" i="13"/>
  <c r="C23" i="13"/>
  <c r="B23" i="13"/>
  <c r="B62" i="5"/>
  <c r="F10" i="13"/>
  <c r="G10" i="13"/>
  <c r="F17" i="13"/>
  <c r="F22" i="11"/>
  <c r="G22" i="11"/>
  <c r="H22" i="11"/>
  <c r="I22" i="11"/>
  <c r="E22" i="11"/>
  <c r="E20" i="11"/>
  <c r="P10" i="13"/>
  <c r="Q10" i="13"/>
  <c r="R10" i="13"/>
  <c r="S10" i="13"/>
  <c r="T10" i="13"/>
  <c r="D61" i="5"/>
  <c r="C61" i="5"/>
  <c r="B61" i="5"/>
  <c r="A61" i="5"/>
  <c r="B59" i="5"/>
  <c r="D64" i="5"/>
  <c r="B64" i="5"/>
  <c r="C17" i="13"/>
  <c r="D17" i="13"/>
  <c r="B17" i="13"/>
  <c r="C10" i="13"/>
  <c r="D10" i="13"/>
  <c r="B10" i="13"/>
  <c r="N10" i="13"/>
  <c r="O10" i="13"/>
  <c r="M10" i="13"/>
  <c r="B67" i="11"/>
  <c r="B54" i="11"/>
  <c r="C67" i="11"/>
  <c r="D66" i="11"/>
  <c r="C66" i="11"/>
  <c r="B66" i="11"/>
  <c r="E66" i="11" s="1"/>
  <c r="E49" i="11" s="1"/>
  <c r="C65" i="11"/>
  <c r="B65" i="11"/>
  <c r="D64" i="11"/>
  <c r="C64" i="11"/>
  <c r="B64" i="11"/>
  <c r="E64" i="11" s="1"/>
  <c r="D63" i="11"/>
  <c r="C63" i="11"/>
  <c r="B63" i="11"/>
  <c r="E63" i="11" s="1"/>
  <c r="E42" i="11" s="1"/>
  <c r="E61" i="11"/>
  <c r="D61" i="11"/>
  <c r="C61" i="11"/>
  <c r="B61" i="11"/>
  <c r="D60" i="11"/>
  <c r="C60" i="11"/>
  <c r="B60" i="11"/>
  <c r="E60" i="11" s="1"/>
  <c r="E59" i="11"/>
  <c r="D59" i="11"/>
  <c r="C59" i="11"/>
  <c r="B59" i="11"/>
  <c r="D58" i="11"/>
  <c r="C58" i="11"/>
  <c r="B58" i="11"/>
  <c r="E58" i="11" s="1"/>
  <c r="D57" i="11"/>
  <c r="C57" i="11"/>
  <c r="E57" i="11" s="1"/>
  <c r="H57" i="11" s="1"/>
  <c r="I57" i="11" s="1"/>
  <c r="B57" i="11"/>
  <c r="G56" i="11"/>
  <c r="H56" i="11" s="1"/>
  <c r="D56" i="11"/>
  <c r="C56" i="11"/>
  <c r="D51" i="11"/>
  <c r="C51" i="11"/>
  <c r="B51" i="11"/>
  <c r="D47" i="11"/>
  <c r="D48" i="11" s="1"/>
  <c r="D50" i="11" s="1"/>
  <c r="C47" i="11"/>
  <c r="C48" i="11" s="1"/>
  <c r="C50" i="11" s="1"/>
  <c r="B47" i="11"/>
  <c r="D65" i="11" s="1"/>
  <c r="O15" i="11"/>
  <c r="D9" i="11"/>
  <c r="C9" i="11"/>
  <c r="B9" i="11"/>
  <c r="D7" i="11"/>
  <c r="D5" i="11" s="1"/>
  <c r="C7" i="11"/>
  <c r="C5" i="11" s="1"/>
  <c r="B7" i="11"/>
  <c r="B8" i="11" s="1"/>
  <c r="O6" i="11"/>
  <c r="G4" i="11"/>
  <c r="H4" i="11" s="1"/>
  <c r="D4" i="11"/>
  <c r="C4" i="11"/>
  <c r="E3" i="11"/>
  <c r="O15" i="5"/>
  <c r="O6" i="5" s="1"/>
  <c r="B4" i="7"/>
  <c r="C56" i="5"/>
  <c r="E3" i="5"/>
  <c r="B10" i="7"/>
  <c r="B6" i="7"/>
  <c r="B5" i="7"/>
  <c r="B65" i="5"/>
  <c r="E61" i="5" l="1"/>
  <c r="E43" i="5" s="1"/>
  <c r="G17" i="13"/>
  <c r="E65" i="11"/>
  <c r="E16" i="11"/>
  <c r="D52" i="11"/>
  <c r="D54" i="11" s="1"/>
  <c r="B52" i="11"/>
  <c r="C52" i="11"/>
  <c r="C54" i="11" s="1"/>
  <c r="E67" i="11"/>
  <c r="E51" i="11" s="1"/>
  <c r="B48" i="11"/>
  <c r="B50" i="11" s="1"/>
  <c r="B12" i="11"/>
  <c r="F61" i="11"/>
  <c r="C8" i="11"/>
  <c r="C12" i="11"/>
  <c r="I56" i="11"/>
  <c r="G61" i="11"/>
  <c r="D67" i="11"/>
  <c r="B5" i="11"/>
  <c r="D8" i="11"/>
  <c r="D12" i="11"/>
  <c r="E46" i="11"/>
  <c r="E47" i="11"/>
  <c r="I4" i="11"/>
  <c r="E7" i="11"/>
  <c r="E10" i="11"/>
  <c r="E17" i="11"/>
  <c r="E15" i="11"/>
  <c r="F3" i="11"/>
  <c r="E5" i="11"/>
  <c r="D4" i="5"/>
  <c r="G4" i="5" s="1"/>
  <c r="H4" i="5" s="1"/>
  <c r="I4" i="5" s="1"/>
  <c r="C4" i="5"/>
  <c r="D62" i="5"/>
  <c r="C62" i="5"/>
  <c r="F3" i="5"/>
  <c r="F15" i="5" s="1"/>
  <c r="D67" i="5"/>
  <c r="C67" i="5"/>
  <c r="B67" i="5"/>
  <c r="J8" i="7"/>
  <c r="D51" i="5"/>
  <c r="B68" i="5" s="1"/>
  <c r="C66" i="5"/>
  <c r="M25" i="7"/>
  <c r="J30" i="7"/>
  <c r="H30" i="7"/>
  <c r="H33" i="7" s="1"/>
  <c r="O24" i="7" s="1"/>
  <c r="J23" i="7"/>
  <c r="H23" i="7"/>
  <c r="H26" i="7" s="1"/>
  <c r="M23" i="7"/>
  <c r="M26" i="7"/>
  <c r="O25" i="7"/>
  <c r="O23" i="7"/>
  <c r="O8" i="7"/>
  <c r="O10" i="7" s="1"/>
  <c r="M8" i="7"/>
  <c r="O9" i="7"/>
  <c r="M9" i="7"/>
  <c r="M10" i="7"/>
  <c r="D65" i="5"/>
  <c r="C65" i="5"/>
  <c r="C64" i="5"/>
  <c r="E64" i="5" s="1"/>
  <c r="E42" i="5" s="1"/>
  <c r="D60" i="5"/>
  <c r="C60" i="5"/>
  <c r="B60" i="5"/>
  <c r="D59" i="5"/>
  <c r="C59" i="5"/>
  <c r="D58" i="5"/>
  <c r="C58" i="5"/>
  <c r="B58" i="5"/>
  <c r="D57" i="5"/>
  <c r="C57" i="5"/>
  <c r="D56" i="5"/>
  <c r="G56" i="5" s="1"/>
  <c r="J31" i="7"/>
  <c r="H31" i="7"/>
  <c r="J33" i="7"/>
  <c r="J26" i="7"/>
  <c r="J25" i="7"/>
  <c r="H25" i="7"/>
  <c r="J24" i="7"/>
  <c r="H24" i="7"/>
  <c r="J18" i="7"/>
  <c r="J17" i="7"/>
  <c r="J16" i="7"/>
  <c r="H17" i="7"/>
  <c r="H16" i="7"/>
  <c r="H18" i="7" s="1"/>
  <c r="H19" i="7" s="1"/>
  <c r="C47" i="5" s="1"/>
  <c r="C48" i="5" s="1"/>
  <c r="C50" i="5" s="1"/>
  <c r="J10" i="7"/>
  <c r="J9" i="7"/>
  <c r="H9" i="7"/>
  <c r="C4" i="7"/>
  <c r="D4" i="7"/>
  <c r="C6" i="7"/>
  <c r="C5" i="7" s="1"/>
  <c r="D6" i="7"/>
  <c r="D5" i="7" s="1"/>
  <c r="C10" i="7"/>
  <c r="D10" i="7"/>
  <c r="C9" i="5"/>
  <c r="D9" i="5"/>
  <c r="B9" i="5"/>
  <c r="C7" i="5"/>
  <c r="C8" i="5" s="1"/>
  <c r="D7" i="5"/>
  <c r="D8" i="5" s="1"/>
  <c r="B7" i="5"/>
  <c r="B8" i="5" s="1"/>
  <c r="F61" i="5" l="1"/>
  <c r="H10" i="13"/>
  <c r="H17" i="13"/>
  <c r="E12" i="11"/>
  <c r="E8" i="11"/>
  <c r="F42" i="11"/>
  <c r="F5" i="11"/>
  <c r="F51" i="11"/>
  <c r="F17" i="11"/>
  <c r="F10" i="11"/>
  <c r="F7" i="11"/>
  <c r="F47" i="11"/>
  <c r="F46" i="11"/>
  <c r="G3" i="11"/>
  <c r="F49" i="11"/>
  <c r="F16" i="11"/>
  <c r="F15" i="11"/>
  <c r="D19" i="11"/>
  <c r="D13" i="11"/>
  <c r="B13" i="11"/>
  <c r="B19" i="11"/>
  <c r="C19" i="11"/>
  <c r="C13" i="11"/>
  <c r="E6" i="11"/>
  <c r="H61" i="11"/>
  <c r="I61" i="11" s="1"/>
  <c r="E58" i="5"/>
  <c r="E10" i="5" s="1"/>
  <c r="H8" i="7"/>
  <c r="H10" i="7" s="1"/>
  <c r="H11" i="7" s="1"/>
  <c r="F47" i="5"/>
  <c r="F49" i="5"/>
  <c r="F51" i="5"/>
  <c r="F42" i="5"/>
  <c r="F46" i="5"/>
  <c r="E62" i="5"/>
  <c r="F62" i="5" s="1"/>
  <c r="F17" i="5" s="1"/>
  <c r="E57" i="5"/>
  <c r="E59" i="5"/>
  <c r="E15" i="5" s="1"/>
  <c r="E65" i="5"/>
  <c r="E46" i="5" s="1"/>
  <c r="E67" i="5"/>
  <c r="E49" i="5" s="1"/>
  <c r="B5" i="5"/>
  <c r="H56" i="5"/>
  <c r="I56" i="5" s="1"/>
  <c r="D5" i="5"/>
  <c r="G3" i="5"/>
  <c r="F5" i="5"/>
  <c r="F10" i="5"/>
  <c r="F16" i="5"/>
  <c r="E60" i="5"/>
  <c r="E16" i="5" s="1"/>
  <c r="C5" i="5"/>
  <c r="O26" i="7"/>
  <c r="H27" i="7"/>
  <c r="M27" i="7"/>
  <c r="M11" i="7"/>
  <c r="B66" i="5" s="1"/>
  <c r="D12" i="5"/>
  <c r="C12" i="5"/>
  <c r="B12" i="5"/>
  <c r="B19" i="5" s="1"/>
  <c r="B22" i="5" s="1"/>
  <c r="H34" i="7"/>
  <c r="C51" i="5" s="1"/>
  <c r="C68" i="5" s="1"/>
  <c r="F43" i="5" l="1"/>
  <c r="G61" i="5"/>
  <c r="G43" i="5" s="1"/>
  <c r="J10" i="13"/>
  <c r="I10" i="13"/>
  <c r="J17" i="13"/>
  <c r="I17" i="13"/>
  <c r="D48" i="5"/>
  <c r="D50" i="5" s="1"/>
  <c r="D52" i="5" s="1"/>
  <c r="D54" i="5" s="1"/>
  <c r="D62" i="11"/>
  <c r="B22" i="11"/>
  <c r="G17" i="11"/>
  <c r="G10" i="11"/>
  <c r="G47" i="11"/>
  <c r="G46" i="11"/>
  <c r="H3" i="11"/>
  <c r="G16" i="11"/>
  <c r="G15" i="11"/>
  <c r="G42" i="11"/>
  <c r="G51" i="11"/>
  <c r="G49" i="11"/>
  <c r="G5" i="11"/>
  <c r="F6" i="11"/>
  <c r="F12" i="11"/>
  <c r="F8" i="11"/>
  <c r="D22" i="11"/>
  <c r="B62" i="11"/>
  <c r="C22" i="11"/>
  <c r="C62" i="11"/>
  <c r="E19" i="11"/>
  <c r="E13" i="11"/>
  <c r="D66" i="5"/>
  <c r="E66" i="5" s="1"/>
  <c r="E47" i="5" s="1"/>
  <c r="E5" i="5"/>
  <c r="E7" i="5" s="1"/>
  <c r="E17" i="5"/>
  <c r="G49" i="5"/>
  <c r="G51" i="5"/>
  <c r="G46" i="5"/>
  <c r="G47" i="5"/>
  <c r="G42" i="5"/>
  <c r="G62" i="5"/>
  <c r="H57" i="5"/>
  <c r="I57" i="5" s="1"/>
  <c r="D68" i="5"/>
  <c r="C52" i="5"/>
  <c r="C54" i="5" s="1"/>
  <c r="G16" i="5"/>
  <c r="G10" i="5"/>
  <c r="G5" i="5"/>
  <c r="G7" i="5" s="1"/>
  <c r="G15" i="5"/>
  <c r="H3" i="5"/>
  <c r="F7" i="5"/>
  <c r="F6" i="5" s="1"/>
  <c r="C13" i="5"/>
  <c r="C19" i="5"/>
  <c r="D13" i="5"/>
  <c r="D19" i="5"/>
  <c r="B13" i="5"/>
  <c r="B52" i="5" l="1"/>
  <c r="B54" i="5" s="1"/>
  <c r="D22" i="5"/>
  <c r="B63" i="5"/>
  <c r="H61" i="5"/>
  <c r="H43" i="5" s="1"/>
  <c r="F19" i="11"/>
  <c r="F13" i="11"/>
  <c r="G7" i="11"/>
  <c r="H17" i="11"/>
  <c r="H10" i="11"/>
  <c r="H47" i="11"/>
  <c r="H46" i="11"/>
  <c r="I3" i="11"/>
  <c r="H15" i="11"/>
  <c r="H51" i="11"/>
  <c r="H49" i="11"/>
  <c r="H16" i="11"/>
  <c r="H42" i="11"/>
  <c r="H5" i="11"/>
  <c r="E48" i="11"/>
  <c r="E50" i="11" s="1"/>
  <c r="E52" i="11" s="1"/>
  <c r="E54" i="11" s="1"/>
  <c r="E6" i="5"/>
  <c r="E12" i="5"/>
  <c r="E19" i="5" s="1"/>
  <c r="E8" i="5"/>
  <c r="H51" i="5"/>
  <c r="H49" i="5"/>
  <c r="H42" i="5"/>
  <c r="H46" i="5"/>
  <c r="H47" i="5"/>
  <c r="H62" i="5"/>
  <c r="I62" i="5" s="1"/>
  <c r="G17" i="5"/>
  <c r="E68" i="5"/>
  <c r="E51" i="5" s="1"/>
  <c r="F12" i="5"/>
  <c r="F8" i="5"/>
  <c r="G12" i="5"/>
  <c r="G13" i="5" s="1"/>
  <c r="G8" i="5"/>
  <c r="I3" i="5"/>
  <c r="H16" i="5"/>
  <c r="H10" i="5"/>
  <c r="H5" i="5"/>
  <c r="H7" i="5" s="1"/>
  <c r="H15" i="5"/>
  <c r="G6" i="5"/>
  <c r="C63" i="5"/>
  <c r="C22" i="5"/>
  <c r="C23" i="5" s="1"/>
  <c r="D63" i="5"/>
  <c r="E20" i="5" l="1"/>
  <c r="I61" i="5"/>
  <c r="I43" i="5" s="1"/>
  <c r="B23" i="5"/>
  <c r="G12" i="11"/>
  <c r="G8" i="11"/>
  <c r="H7" i="11"/>
  <c r="G6" i="11"/>
  <c r="I47" i="11"/>
  <c r="I46" i="11"/>
  <c r="I15" i="11"/>
  <c r="I5" i="11"/>
  <c r="I17" i="11"/>
  <c r="I10" i="11"/>
  <c r="I7" i="11"/>
  <c r="I51" i="11"/>
  <c r="I49" i="11"/>
  <c r="I16" i="11"/>
  <c r="I42" i="11"/>
  <c r="F48" i="11"/>
  <c r="F50" i="11" s="1"/>
  <c r="F52" i="11" s="1"/>
  <c r="F54" i="11" s="1"/>
  <c r="F20" i="11"/>
  <c r="E13" i="5"/>
  <c r="I51" i="5"/>
  <c r="I49" i="5"/>
  <c r="I47" i="5"/>
  <c r="I42" i="5"/>
  <c r="I46" i="5"/>
  <c r="H17" i="5"/>
  <c r="I17" i="5"/>
  <c r="G19" i="5"/>
  <c r="H8" i="5"/>
  <c r="H12" i="5"/>
  <c r="H6" i="5"/>
  <c r="I15" i="5"/>
  <c r="I16" i="5"/>
  <c r="I10" i="5"/>
  <c r="I5" i="5"/>
  <c r="F19" i="5"/>
  <c r="F13" i="5"/>
  <c r="I12" i="11" l="1"/>
  <c r="I8" i="11"/>
  <c r="H12" i="11"/>
  <c r="H8" i="11"/>
  <c r="G19" i="11"/>
  <c r="G13" i="11"/>
  <c r="I6" i="11"/>
  <c r="H6" i="11"/>
  <c r="F20" i="5"/>
  <c r="F22" i="5" s="1"/>
  <c r="F23" i="5" s="1"/>
  <c r="G20" i="5"/>
  <c r="G22" i="5" s="1"/>
  <c r="I7" i="5"/>
  <c r="H13" i="5"/>
  <c r="H19" i="5"/>
  <c r="G23" i="5" l="1"/>
  <c r="F48" i="5"/>
  <c r="F50" i="5" s="1"/>
  <c r="F52" i="5" s="1"/>
  <c r="F54" i="5" s="1"/>
  <c r="G48" i="5"/>
  <c r="G50" i="5" s="1"/>
  <c r="G52" i="5" s="1"/>
  <c r="G54" i="5" s="1"/>
  <c r="D23" i="5"/>
  <c r="E48" i="5"/>
  <c r="E50" i="5" s="1"/>
  <c r="E52" i="5" s="1"/>
  <c r="E54" i="5" s="1"/>
  <c r="I19" i="11"/>
  <c r="I13" i="11"/>
  <c r="G48" i="11"/>
  <c r="G50" i="11" s="1"/>
  <c r="G52" i="11" s="1"/>
  <c r="G54" i="11" s="1"/>
  <c r="G20" i="11"/>
  <c r="H19" i="11"/>
  <c r="H13" i="11"/>
  <c r="H20" i="5"/>
  <c r="H22" i="5" s="1"/>
  <c r="H23" i="5" s="1"/>
  <c r="I8" i="5"/>
  <c r="I12" i="5"/>
  <c r="I6" i="5"/>
  <c r="B69" i="11" l="1"/>
  <c r="B71" i="11" s="1"/>
  <c r="H48" i="5"/>
  <c r="H50" i="5" s="1"/>
  <c r="H52" i="5" s="1"/>
  <c r="H54" i="5" s="1"/>
  <c r="I48" i="11"/>
  <c r="I50" i="11" s="1"/>
  <c r="I52" i="11" s="1"/>
  <c r="I53" i="11" s="1"/>
  <c r="I54" i="11" s="1"/>
  <c r="I20" i="11"/>
  <c r="H20" i="11"/>
  <c r="H48" i="11" s="1"/>
  <c r="H50" i="11" s="1"/>
  <c r="H52" i="11" s="1"/>
  <c r="H54" i="11" s="1"/>
  <c r="I13" i="5"/>
  <c r="I19" i="5"/>
  <c r="I22" i="5" l="1"/>
  <c r="I23" i="5" s="1"/>
  <c r="I20" i="5"/>
  <c r="I48" i="5" l="1"/>
  <c r="I50" i="5" s="1"/>
  <c r="I52" i="5" s="1"/>
  <c r="I53" i="5" s="1"/>
  <c r="I54" i="5" s="1"/>
  <c r="B70" i="5" s="1"/>
  <c r="B72" i="5" s="1"/>
  <c r="B74" i="11"/>
  <c r="B73" i="11"/>
  <c r="B75" i="5" l="1"/>
  <c r="B74" i="5"/>
</calcChain>
</file>

<file path=xl/sharedStrings.xml><?xml version="1.0" encoding="utf-8"?>
<sst xmlns="http://schemas.openxmlformats.org/spreadsheetml/2006/main" count="492" uniqueCount="236">
  <si>
    <t>9/29/2021</t>
  </si>
  <si>
    <t>9/29/2020</t>
  </si>
  <si>
    <t>9/29/2019</t>
  </si>
  <si>
    <t>Total Revenue</t>
  </si>
  <si>
    <t>Operating Revenue</t>
  </si>
  <si>
    <t>Cost of Revenue</t>
  </si>
  <si>
    <t>Gross Profit</t>
  </si>
  <si>
    <t>Operating Expense</t>
  </si>
  <si>
    <t>Selling General and Administrative</t>
  </si>
  <si>
    <t>Research &amp; Development</t>
  </si>
  <si>
    <t>Operating Income</t>
  </si>
  <si>
    <t>Net Non Operating Interest Income Expense</t>
  </si>
  <si>
    <t>Other Income Expense</t>
  </si>
  <si>
    <t>Other Non Operating Income Expenses</t>
  </si>
  <si>
    <t>Pretax Income</t>
  </si>
  <si>
    <t>Tax Provision</t>
  </si>
  <si>
    <t>Net Income Common Stockholders</t>
  </si>
  <si>
    <t>Net Income</t>
  </si>
  <si>
    <t>Net Income Including Non-Controlling Interests</t>
  </si>
  <si>
    <t>Net Income Continuous Operations</t>
  </si>
  <si>
    <t>Diluted NI Available to Com Stockholders</t>
  </si>
  <si>
    <t>Basic EPS</t>
  </si>
  <si>
    <t>-</t>
  </si>
  <si>
    <t>Diluted EPS</t>
  </si>
  <si>
    <t>Basic Average Shares</t>
  </si>
  <si>
    <t>Diluted Average Shares</t>
  </si>
  <si>
    <t>Total Operating Income as Reported</t>
  </si>
  <si>
    <t>Total Expenses</t>
  </si>
  <si>
    <t>Net Income from Continuing &amp; Discontinued Operation</t>
  </si>
  <si>
    <t>Normalized Income</t>
  </si>
  <si>
    <t>Interest Income</t>
  </si>
  <si>
    <t>Interest Expense</t>
  </si>
  <si>
    <t>Net Interest Income</t>
  </si>
  <si>
    <t>EBIT</t>
  </si>
  <si>
    <t>EBITDA</t>
  </si>
  <si>
    <t>Reconciled Cost of Revenue</t>
  </si>
  <si>
    <t>Reconciled Depreciation</t>
  </si>
  <si>
    <t>Normalized EBITDA</t>
  </si>
  <si>
    <t>Total Assets</t>
  </si>
  <si>
    <t>Cash And Cash Equivalents</t>
  </si>
  <si>
    <t>Cash</t>
  </si>
  <si>
    <t>Cash Equivalents</t>
  </si>
  <si>
    <t>Other Short Term Investments</t>
  </si>
  <si>
    <t>Receivables</t>
  </si>
  <si>
    <t>Accounts receivable</t>
  </si>
  <si>
    <t>Other Receivables</t>
  </si>
  <si>
    <t>Inventory</t>
  </si>
  <si>
    <t>Other Current Assets</t>
  </si>
  <si>
    <t>Total non-current assets</t>
  </si>
  <si>
    <t>Net PPE</t>
  </si>
  <si>
    <t>Gross PPE</t>
  </si>
  <si>
    <t>Properties</t>
  </si>
  <si>
    <t>Land And Improvements</t>
  </si>
  <si>
    <t>Machinery Furniture Equipment</t>
  </si>
  <si>
    <t>Leases</t>
  </si>
  <si>
    <t>Accumulated Depreciation</t>
  </si>
  <si>
    <t>Investments And Advances</t>
  </si>
  <si>
    <t>Investment in Financial Assets</t>
  </si>
  <si>
    <t>Available for Sale Securities</t>
  </si>
  <si>
    <t>Other Non Current Assets</t>
  </si>
  <si>
    <t>Total Liabilities Net Minority Interest</t>
  </si>
  <si>
    <t>Current Liabilities</t>
  </si>
  <si>
    <t>Payables And Accrued Expenses</t>
  </si>
  <si>
    <t>Payables</t>
  </si>
  <si>
    <t>Accounts Payable</t>
  </si>
  <si>
    <t>Current Debt And Capital Lease Obligation</t>
  </si>
  <si>
    <t>Current Debt</t>
  </si>
  <si>
    <t>Commercial Paper</t>
  </si>
  <si>
    <t>Other Current Borrowings</t>
  </si>
  <si>
    <t>Current Deferred Liabilities</t>
  </si>
  <si>
    <t>Current Deferred Revenue</t>
  </si>
  <si>
    <t>Other Current Liabilities</t>
  </si>
  <si>
    <t>Total Non Current Liabilities Net Minority Interest</t>
  </si>
  <si>
    <t>Long Term Debt And Capital Lease Obligation</t>
  </si>
  <si>
    <t>Long Term Debt</t>
  </si>
  <si>
    <t>Tradeand Other Payables Non Current</t>
  </si>
  <si>
    <t>Other Non Current Liabilities</t>
  </si>
  <si>
    <t>Total Equity Gross Minority Interest</t>
  </si>
  <si>
    <t>Stockholders' Equity</t>
  </si>
  <si>
    <t>Capital Stock</t>
  </si>
  <si>
    <t>Common Stock</t>
  </si>
  <si>
    <t>Retained Earnings</t>
  </si>
  <si>
    <t>Gains Losses Not Affecting Retained Earnings</t>
  </si>
  <si>
    <t>Total Capitalization</t>
  </si>
  <si>
    <t>Common Stock Equity</t>
  </si>
  <si>
    <t>Net Tangible Assets</t>
  </si>
  <si>
    <t>Working Capital</t>
  </si>
  <si>
    <t>Invested Capital</t>
  </si>
  <si>
    <t>Tangible Book Value</t>
  </si>
  <si>
    <t>Total Debt</t>
  </si>
  <si>
    <t>Net Debt</t>
  </si>
  <si>
    <t>Share Issued</t>
  </si>
  <si>
    <t>Ordinary Shares Number</t>
  </si>
  <si>
    <t xml:space="preserve"> </t>
  </si>
  <si>
    <t>Cash Cash Equivalents &amp; Short Term Investments</t>
  </si>
  <si>
    <t>Operating Cash Flow</t>
  </si>
  <si>
    <t>Cash Flow from Continuing Operating Activities</t>
  </si>
  <si>
    <t>Net Income from Continuing Operations</t>
  </si>
  <si>
    <t>Depreciation Amortization Depletion</t>
  </si>
  <si>
    <t>Depreciation &amp; amortization</t>
  </si>
  <si>
    <t>Deferred Tax</t>
  </si>
  <si>
    <t>Deferred Income Tax</t>
  </si>
  <si>
    <t>Stock based compensation</t>
  </si>
  <si>
    <t>Other non-cash items</t>
  </si>
  <si>
    <t>Change in working capital</t>
  </si>
  <si>
    <t>Change in Receivables</t>
  </si>
  <si>
    <t>Changes in Account Receivables</t>
  </si>
  <si>
    <t>Change in Inventory</t>
  </si>
  <si>
    <t>Change in Payables And Accrued Expense</t>
  </si>
  <si>
    <t>Change in Payable</t>
  </si>
  <si>
    <t>Change in Account Payable</t>
  </si>
  <si>
    <t>Change in Other Current Assets</t>
  </si>
  <si>
    <t>Change in Other Current Liabilities</t>
  </si>
  <si>
    <t>Change in Other Working Capital</t>
  </si>
  <si>
    <t>Investing Cash Flow</t>
  </si>
  <si>
    <t>Cash Flow from Continuing Investing Activities</t>
  </si>
  <si>
    <t>Net PPE Purchase And Sale</t>
  </si>
  <si>
    <t>Purchase of PPE</t>
  </si>
  <si>
    <t>Net Business Purchase And Sale</t>
  </si>
  <si>
    <t>Purchase of Business</t>
  </si>
  <si>
    <t>Net Investment Purchase And Sale</t>
  </si>
  <si>
    <t>Purchase of Investment</t>
  </si>
  <si>
    <t>Sale of Investment</t>
  </si>
  <si>
    <t>Net Other Investing Changes</t>
  </si>
  <si>
    <t>Financing Cash Flow</t>
  </si>
  <si>
    <t>Cash Flow from Continuing Financing Activities</t>
  </si>
  <si>
    <t>Net Issuance Payments of Debt</t>
  </si>
  <si>
    <t>Net Long Term Debt Issuance</t>
  </si>
  <si>
    <t>Long Term Debt Issuance</t>
  </si>
  <si>
    <t>Long Term Debt Payments</t>
  </si>
  <si>
    <t>Net Short Term Debt Issuance</t>
  </si>
  <si>
    <t>Short Term Debt Payments</t>
  </si>
  <si>
    <t>Net Common Stock Issuance</t>
  </si>
  <si>
    <t>Common Stock Issuance</t>
  </si>
  <si>
    <t>Common Stock Payments</t>
  </si>
  <si>
    <t>Cash Dividends Paid</t>
  </si>
  <si>
    <t>Common Stock Dividend Paid</t>
  </si>
  <si>
    <t>Net Other Financing Charges</t>
  </si>
  <si>
    <t>End Cash Position</t>
  </si>
  <si>
    <t>Changes in Cash</t>
  </si>
  <si>
    <t>Beginning Cash Position</t>
  </si>
  <si>
    <t>Income Tax Paid Supplemental Data</t>
  </si>
  <si>
    <t>Interest Paid Supplemental Data</t>
  </si>
  <si>
    <t>Capital Expenditure</t>
  </si>
  <si>
    <t>Issuance of Capital Stock</t>
  </si>
  <si>
    <t>Issuance of Debt</t>
  </si>
  <si>
    <t>Repayment of Debt</t>
  </si>
  <si>
    <t>Repurchase of Capital Stock</t>
  </si>
  <si>
    <t>Free Cash Flow</t>
  </si>
  <si>
    <t>Name</t>
  </si>
  <si>
    <t>Growth Y-o-Y</t>
  </si>
  <si>
    <t>Gross Margin</t>
  </si>
  <si>
    <t>Operating Margin</t>
  </si>
  <si>
    <t xml:space="preserve">Interest Expense </t>
  </si>
  <si>
    <t>Change in NWC</t>
  </si>
  <si>
    <t>Current Assets</t>
  </si>
  <si>
    <t>Current Assets (Prior Year)</t>
  </si>
  <si>
    <t>Current Assets (Current Year)</t>
  </si>
  <si>
    <t>Change in Current Assets</t>
  </si>
  <si>
    <t>Change in Current Liabilities</t>
  </si>
  <si>
    <t>Current Liabilities (Current Year)</t>
  </si>
  <si>
    <t>Current Liabilities (Prior Year)</t>
  </si>
  <si>
    <t>CAPEX</t>
  </si>
  <si>
    <t>FCFF</t>
  </si>
  <si>
    <t>Change in Net Debt</t>
  </si>
  <si>
    <t>Cash (Current)</t>
  </si>
  <si>
    <t>Short Term Debt (Current Year)</t>
  </si>
  <si>
    <t>Long Term Debt (Current Year)</t>
  </si>
  <si>
    <t>Cash (Prior)</t>
  </si>
  <si>
    <t>Short Term Debt (Prior Year)</t>
  </si>
  <si>
    <t>Long Term Debt (Prior Year)</t>
  </si>
  <si>
    <t>Current Year Net Debt</t>
  </si>
  <si>
    <t>Prior Year Net Debt</t>
  </si>
  <si>
    <t>FCFE</t>
  </si>
  <si>
    <t>Forecast</t>
  </si>
  <si>
    <t>Revenue Growth forecast</t>
  </si>
  <si>
    <t>CoGS as a % of Revenue</t>
  </si>
  <si>
    <t>S&amp;GA as a % of Revenue</t>
  </si>
  <si>
    <t>Interest Income as a % of revenue</t>
  </si>
  <si>
    <t>2022 (F)</t>
  </si>
  <si>
    <t>2023 (F)</t>
  </si>
  <si>
    <t>2024 (F)</t>
  </si>
  <si>
    <t>2025 (F)</t>
  </si>
  <si>
    <t>2026 (F)</t>
  </si>
  <si>
    <t>Interest Expense as a % of revenue</t>
  </si>
  <si>
    <t>Net Minority Interest</t>
  </si>
  <si>
    <t>Effective Tax Rate</t>
  </si>
  <si>
    <t>Minority Interest as a % of Revenue</t>
  </si>
  <si>
    <t>D&amp;A as a % of Revenue</t>
  </si>
  <si>
    <t>Change in NWC as a % of Revenue</t>
  </si>
  <si>
    <t>Capex as a % of Revenue</t>
  </si>
  <si>
    <t>Change in net Debt as a % of Revenue</t>
  </si>
  <si>
    <t>High rate of Growth, due to pandemic.</t>
  </si>
  <si>
    <t>9/29/2023</t>
  </si>
  <si>
    <t>9/29/2024</t>
  </si>
  <si>
    <t>9/29/2025</t>
  </si>
  <si>
    <t>9/29/2026</t>
  </si>
  <si>
    <t>9/29/2022</t>
  </si>
  <si>
    <t>Period</t>
  </si>
  <si>
    <t>Other Expense or Income</t>
  </si>
  <si>
    <t>r</t>
  </si>
  <si>
    <t xml:space="preserve">Terminal Value </t>
  </si>
  <si>
    <t>g</t>
  </si>
  <si>
    <t>Company</t>
  </si>
  <si>
    <t>Apple Inc</t>
  </si>
  <si>
    <t>discount rate</t>
  </si>
  <si>
    <t>CAPM</t>
  </si>
  <si>
    <t>Risk - Free Rate</t>
  </si>
  <si>
    <t>Beta</t>
  </si>
  <si>
    <t>Market Return</t>
  </si>
  <si>
    <t>Yaahhoo</t>
  </si>
  <si>
    <t xml:space="preserve">  </t>
  </si>
  <si>
    <t>average, based on S&amp;P 500</t>
  </si>
  <si>
    <t>Comments</t>
  </si>
  <si>
    <t>Apple's risk free rate, googled..</t>
  </si>
  <si>
    <t>Total</t>
  </si>
  <si>
    <t>Equity Value</t>
  </si>
  <si>
    <t>Share Outstanding</t>
  </si>
  <si>
    <t>Price Per Share</t>
  </si>
  <si>
    <t>Current Price</t>
  </si>
  <si>
    <t>Buy / Sell</t>
  </si>
  <si>
    <t>Upside</t>
  </si>
  <si>
    <t>for the year 2022 up to 2026, we take an average of Tax Rate</t>
  </si>
  <si>
    <t>Could see the stability of Cost of goods sold, taken an average for the further years.</t>
  </si>
  <si>
    <t>intrinsic value</t>
  </si>
  <si>
    <t>value for now</t>
  </si>
  <si>
    <t>growth for the period of 5 years</t>
  </si>
  <si>
    <t>Available Stocks</t>
  </si>
  <si>
    <t>Projected equity value for 2026.</t>
  </si>
  <si>
    <t>Buy at this point.</t>
  </si>
  <si>
    <t>ROE</t>
  </si>
  <si>
    <t>ROA</t>
  </si>
  <si>
    <t>Net Profit Margin</t>
  </si>
  <si>
    <t>Prognosed</t>
  </si>
  <si>
    <t>n/a</t>
  </si>
  <si>
    <t>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</si>
</sst>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%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AEA9F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4" fillId="13" borderId="13" applyNumberFormat="0" applyAlignment="0" applyProtection="0"/>
  </cellStyleXfs>
  <cellXfs count="91">
    <xf numFmtId="0" fontId="0" fillId="0" borderId="0" xfId="0"/>
    <xf numFmtId="10" fontId="0" fillId="0" borderId="0" xfId="1" applyNumberFormat="1" applyFont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5" fillId="0" borderId="1" xfId="0" applyFont="1" applyBorder="1"/>
    <xf numFmtId="1" fontId="0" fillId="0" borderId="1" xfId="0" applyNumberFormat="1" applyBorder="1"/>
    <xf numFmtId="0" fontId="1" fillId="0" borderId="1" xfId="0" applyFont="1" applyFill="1" applyBorder="1"/>
    <xf numFmtId="0" fontId="1" fillId="3" borderId="0" xfId="0" applyFont="1" applyFill="1" applyBorder="1"/>
    <xf numFmtId="0" fontId="1" fillId="3" borderId="0" xfId="0" applyFont="1" applyFill="1"/>
    <xf numFmtId="10" fontId="0" fillId="0" borderId="0" xfId="0" applyNumberFormat="1"/>
    <xf numFmtId="0" fontId="1" fillId="3" borderId="3" xfId="0" applyFont="1" applyFill="1" applyBorder="1"/>
    <xf numFmtId="10" fontId="0" fillId="0" borderId="1" xfId="1" applyNumberFormat="1" applyFont="1" applyBorder="1"/>
    <xf numFmtId="10" fontId="0" fillId="0" borderId="1" xfId="0" applyNumberFormat="1" applyBorder="1"/>
    <xf numFmtId="10" fontId="1" fillId="0" borderId="1" xfId="0" applyNumberFormat="1" applyFont="1" applyBorder="1"/>
    <xf numFmtId="9" fontId="1" fillId="0" borderId="1" xfId="0" applyNumberFormat="1" applyFont="1" applyBorder="1"/>
    <xf numFmtId="0" fontId="1" fillId="0" borderId="2" xfId="0" applyFont="1" applyFill="1" applyBorder="1"/>
    <xf numFmtId="0" fontId="1" fillId="5" borderId="1" xfId="0" applyFont="1" applyFill="1" applyBorder="1"/>
    <xf numFmtId="0" fontId="1" fillId="8" borderId="1" xfId="0" applyFont="1" applyFill="1" applyBorder="1"/>
    <xf numFmtId="9" fontId="1" fillId="8" borderId="1" xfId="0" applyNumberFormat="1" applyFont="1" applyFill="1" applyBorder="1"/>
    <xf numFmtId="165" fontId="0" fillId="0" borderId="1" xfId="1" applyNumberFormat="1" applyFont="1" applyBorder="1"/>
    <xf numFmtId="164" fontId="1" fillId="0" borderId="1" xfId="0" applyNumberFormat="1" applyFont="1" applyBorder="1"/>
    <xf numFmtId="1" fontId="1" fillId="0" borderId="1" xfId="0" applyNumberFormat="1" applyFont="1" applyBorder="1"/>
    <xf numFmtId="9" fontId="0" fillId="0" borderId="6" xfId="1" applyFont="1" applyBorder="1"/>
    <xf numFmtId="0" fontId="7" fillId="6" borderId="0" xfId="2"/>
    <xf numFmtId="10" fontId="8" fillId="7" borderId="1" xfId="3" applyNumberFormat="1" applyBorder="1"/>
    <xf numFmtId="10" fontId="0" fillId="11" borderId="1" xfId="1" applyNumberFormat="1" applyFont="1" applyFill="1" applyBorder="1"/>
    <xf numFmtId="0" fontId="9" fillId="9" borderId="1" xfId="0" applyFont="1" applyFill="1" applyBorder="1"/>
    <xf numFmtId="1" fontId="9" fillId="9" borderId="1" xfId="0" applyNumberFormat="1" applyFont="1" applyFill="1" applyBorder="1"/>
    <xf numFmtId="0" fontId="8" fillId="7" borderId="0" xfId="3" applyAlignment="1"/>
    <xf numFmtId="0" fontId="8" fillId="7" borderId="0" xfId="3"/>
    <xf numFmtId="0" fontId="7" fillId="6" borderId="0" xfId="2" applyAlignment="1"/>
    <xf numFmtId="0" fontId="1" fillId="8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0" fillId="0" borderId="0" xfId="0" applyNumberFormat="1"/>
    <xf numFmtId="4" fontId="1" fillId="0" borderId="1" xfId="0" applyNumberFormat="1" applyFont="1" applyBorder="1"/>
    <xf numFmtId="4" fontId="1" fillId="12" borderId="1" xfId="0" applyNumberFormat="1" applyFont="1" applyFill="1" applyBorder="1"/>
    <xf numFmtId="4" fontId="6" fillId="0" borderId="1" xfId="0" applyNumberFormat="1" applyFont="1" applyBorder="1"/>
    <xf numFmtId="4" fontId="0" fillId="0" borderId="1" xfId="0" applyNumberFormat="1" applyBorder="1"/>
    <xf numFmtId="4" fontId="1" fillId="0" borderId="0" xfId="0" applyNumberFormat="1" applyFont="1"/>
    <xf numFmtId="4" fontId="0" fillId="0" borderId="1" xfId="0" applyNumberFormat="1" applyFont="1" applyBorder="1"/>
    <xf numFmtId="4" fontId="0" fillId="0" borderId="0" xfId="0" applyNumberFormat="1" applyFont="1"/>
    <xf numFmtId="4" fontId="2" fillId="5" borderId="1" xfId="0" applyNumberFormat="1" applyFont="1" applyFill="1" applyBorder="1"/>
    <xf numFmtId="4" fontId="2" fillId="5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/>
    <xf numFmtId="4" fontId="0" fillId="12" borderId="1" xfId="0" applyNumberFormat="1" applyFill="1" applyBorder="1"/>
    <xf numFmtId="4" fontId="5" fillId="12" borderId="6" xfId="0" applyNumberFormat="1" applyFont="1" applyFill="1" applyBorder="1"/>
    <xf numFmtId="4" fontId="0" fillId="0" borderId="6" xfId="0" applyNumberFormat="1" applyBorder="1"/>
    <xf numFmtId="4" fontId="0" fillId="0" borderId="6" xfId="1" applyNumberFormat="1" applyFont="1" applyBorder="1"/>
    <xf numFmtId="4" fontId="0" fillId="12" borderId="7" xfId="0" applyNumberFormat="1" applyFill="1" applyBorder="1"/>
    <xf numFmtId="4" fontId="0" fillId="0" borderId="7" xfId="0" applyNumberFormat="1" applyBorder="1"/>
    <xf numFmtId="4" fontId="5" fillId="12" borderId="1" xfId="0" applyNumberFormat="1" applyFont="1" applyFill="1" applyBorder="1"/>
    <xf numFmtId="4" fontId="0" fillId="0" borderId="1" xfId="0" applyNumberFormat="1" applyFill="1" applyBorder="1"/>
    <xf numFmtId="4" fontId="1" fillId="12" borderId="6" xfId="0" applyNumberFormat="1" applyFont="1" applyFill="1" applyBorder="1"/>
    <xf numFmtId="4" fontId="1" fillId="11" borderId="1" xfId="0" applyNumberFormat="1" applyFont="1" applyFill="1" applyBorder="1"/>
    <xf numFmtId="4" fontId="5" fillId="12" borderId="14" xfId="0" applyNumberFormat="1" applyFont="1" applyFill="1" applyBorder="1"/>
    <xf numFmtId="4" fontId="4" fillId="10" borderId="1" xfId="0" applyNumberFormat="1" applyFont="1" applyFill="1" applyBorder="1"/>
    <xf numFmtId="4" fontId="4" fillId="10" borderId="1" xfId="0" applyNumberFormat="1" applyFont="1" applyFill="1" applyBorder="1" applyAlignment="1">
      <alignment horizontal="right"/>
    </xf>
    <xf numFmtId="4" fontId="0" fillId="0" borderId="14" xfId="0" applyNumberFormat="1" applyBorder="1"/>
    <xf numFmtId="0" fontId="1" fillId="0" borderId="14" xfId="0" applyFont="1" applyBorder="1"/>
    <xf numFmtId="0" fontId="1" fillId="0" borderId="2" xfId="0" applyFont="1" applyBorder="1"/>
    <xf numFmtId="0" fontId="1" fillId="0" borderId="7" xfId="0" applyFont="1" applyBorder="1"/>
    <xf numFmtId="4" fontId="4" fillId="13" borderId="13" xfId="4" applyNumberFormat="1"/>
    <xf numFmtId="0" fontId="0" fillId="0" borderId="1" xfId="0" applyFill="1" applyBorder="1"/>
    <xf numFmtId="10" fontId="0" fillId="0" borderId="1" xfId="1" applyNumberFormat="1" applyFont="1" applyFill="1" applyBorder="1"/>
    <xf numFmtId="10" fontId="10" fillId="0" borderId="1" xfId="3" applyNumberFormat="1" applyFont="1" applyFill="1" applyBorder="1"/>
    <xf numFmtId="9" fontId="0" fillId="0" borderId="1" xfId="1" applyFont="1" applyBorder="1"/>
    <xf numFmtId="0" fontId="0" fillId="0" borderId="0" xfId="0" applyFill="1"/>
    <xf numFmtId="9" fontId="1" fillId="11" borderId="1" xfId="1" applyFont="1" applyFill="1" applyBorder="1"/>
    <xf numFmtId="0" fontId="5" fillId="14" borderId="1" xfId="0" applyFont="1" applyFill="1" applyBorder="1"/>
    <xf numFmtId="4" fontId="1" fillId="12" borderId="14" xfId="0" applyNumberFormat="1" applyFont="1" applyFill="1" applyBorder="1"/>
    <xf numFmtId="1" fontId="0" fillId="0" borderId="14" xfId="0" applyNumberFormat="1" applyBorder="1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1" fillId="14" borderId="6" xfId="0" applyNumberFormat="1" applyFont="1" applyFill="1" applyBorder="1"/>
    <xf numFmtId="4" fontId="0" fillId="14" borderId="1" xfId="0" applyNumberFormat="1" applyFill="1" applyBorder="1"/>
    <xf numFmtId="0" fontId="0" fillId="14" borderId="1" xfId="0" applyFill="1" applyBorder="1"/>
    <xf numFmtId="1" fontId="0" fillId="14" borderId="1" xfId="0" applyNumberFormat="1" applyFill="1" applyBorder="1"/>
    <xf numFmtId="4" fontId="4" fillId="4" borderId="0" xfId="0" applyNumberFormat="1" applyFont="1" applyFill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1" fillId="15" borderId="8" xfId="0" applyFont="1" applyFill="1" applyBorder="1"/>
    <xf numFmtId="0" fontId="0" fillId="15" borderId="9" xfId="0" applyFill="1" applyBorder="1"/>
    <xf numFmtId="0" fontId="1" fillId="15" borderId="10" xfId="0" applyFont="1" applyFill="1" applyBorder="1"/>
    <xf numFmtId="0" fontId="0" fillId="15" borderId="3" xfId="0" applyFill="1" applyBorder="1"/>
    <xf numFmtId="0" fontId="1" fillId="15" borderId="11" xfId="0" applyFont="1" applyFill="1" applyBorder="1"/>
    <xf numFmtId="0" fontId="0" fillId="15" borderId="12" xfId="0" applyFill="1" applyBorder="1"/>
    <xf numFmtId="4" fontId="5" fillId="16" borderId="1" xfId="0" applyNumberFormat="1" applyFont="1" applyFill="1" applyBorder="1"/>
    <xf numFmtId="4" fontId="0" fillId="16" borderId="1" xfId="0" applyNumberFormat="1" applyFill="1" applyBorder="1"/>
  </cellXfs>
  <cellStyles count="5">
    <cellStyle name="Bad" xfId="3" builtinId="27"/>
    <cellStyle name="Check Cell" xfId="4" builtinId="23"/>
    <cellStyle name="Good" xfId="2" builtinId="26"/>
    <cellStyle name="Normal" xfId="0" builtinId="0"/>
    <cellStyle name="Percent" xfId="1" builtinId="5"/>
  </cellStyles>
  <dxfs count="1">
    <dxf>
      <fill>
        <patternFill patternType="solid">
          <fgColor rgb="FF00FF99"/>
          <bgColor rgb="FF000000"/>
        </patternFill>
      </fill>
    </dxf>
  </dxfs>
  <tableStyles count="0" defaultTableStyle="TableStyleMedium2" defaultPivotStyle="PivotStyleLight16"/>
  <colors>
    <mruColors>
      <color rgb="FF00FF99"/>
      <color rgb="FF99FF99"/>
      <color rgb="FFAEA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ROE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2418747573009261E-2"/>
          <c:y val="0.16570734041131072"/>
          <c:w val="0.82692525371820724"/>
          <c:h val="0.628450162174332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'Profitability Ratio'!$A$21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'Profitability Ratio'!$B$20:$I$20</c:f>
              <c:strCache>
                <c:ptCount val="8"/>
                <c:pt idx="0">
                  <c:v>9/29/2019</c:v>
                </c:pt>
                <c:pt idx="1">
                  <c:v>9/29/2020</c:v>
                </c:pt>
                <c:pt idx="2">
                  <c:v>9/29/2021</c:v>
                </c:pt>
                <c:pt idx="3">
                  <c:v>9/29/2022</c:v>
                </c:pt>
                <c:pt idx="4">
                  <c:v>9/29/2023</c:v>
                </c:pt>
                <c:pt idx="5">
                  <c:v>9/29/2024</c:v>
                </c:pt>
                <c:pt idx="6">
                  <c:v>9/29/2025</c:v>
                </c:pt>
                <c:pt idx="7">
                  <c:v>9/29/2026</c:v>
                </c:pt>
              </c:strCache>
            </c:strRef>
          </c:cat>
          <c:val>
            <c:numRef>
              <c:f>'Profitability Ratio'!$B$21:$I$21</c:f>
              <c:numCache>
                <c:formatCode>General</c:formatCode>
                <c:ptCount val="8"/>
                <c:pt idx="0">
                  <c:v>55256</c:v>
                </c:pt>
                <c:pt idx="1">
                  <c:v>57411</c:v>
                </c:pt>
                <c:pt idx="2">
                  <c:v>94680</c:v>
                </c:pt>
                <c:pt idx="3">
                  <c:v>111866.27398752765</c:v>
                </c:pt>
                <c:pt idx="4">
                  <c:v>117305.03861768459</c:v>
                </c:pt>
                <c:pt idx="5">
                  <c:v>124211.37159054243</c:v>
                </c:pt>
                <c:pt idx="6">
                  <c:v>131734.79535062646</c:v>
                </c:pt>
                <c:pt idx="7">
                  <c:v>139122.00598769146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F-476C-B139-B84FB45B9933}"/>
            </c:ext>
          </c:extLst>
        </c:ser>
        <c:ser>
          <c:idx val="1"/>
          <c:order val="1"/>
          <c:tx>
            <c:strRef>
              <c:f>'Profitability Ratio'!$A$22</c:f>
              <c:strCache>
                <c:ptCount val="1"/>
                <c:pt idx="0">
                  <c:v>Stockholders' Equity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'Profitability Ratio'!$B$20:$I$20</c:f>
              <c:strCache>
                <c:ptCount val="8"/>
                <c:pt idx="0">
                  <c:v>9/29/2019</c:v>
                </c:pt>
                <c:pt idx="1">
                  <c:v>9/29/2020</c:v>
                </c:pt>
                <c:pt idx="2">
                  <c:v>9/29/2021</c:v>
                </c:pt>
                <c:pt idx="3">
                  <c:v>9/29/2022</c:v>
                </c:pt>
                <c:pt idx="4">
                  <c:v>9/29/2023</c:v>
                </c:pt>
                <c:pt idx="5">
                  <c:v>9/29/2024</c:v>
                </c:pt>
                <c:pt idx="6">
                  <c:v>9/29/2025</c:v>
                </c:pt>
                <c:pt idx="7">
                  <c:v>9/29/2026</c:v>
                </c:pt>
              </c:strCache>
            </c:strRef>
          </c:cat>
          <c:val>
            <c:numRef>
              <c:f>'Profitability Ratio'!$B$22:$I$22</c:f>
              <c:numCache>
                <c:formatCode>General</c:formatCode>
                <c:ptCount val="8"/>
                <c:pt idx="0">
                  <c:v>90488</c:v>
                </c:pt>
                <c:pt idx="1">
                  <c:v>65339</c:v>
                </c:pt>
                <c:pt idx="2">
                  <c:v>63090</c:v>
                </c:pt>
                <c:pt idx="3">
                  <c:v>74205.006930000003</c:v>
                </c:pt>
                <c:pt idx="4">
                  <c:v>82702.667503595891</c:v>
                </c:pt>
                <c:pt idx="5">
                  <c:v>88997.994553969605</c:v>
                </c:pt>
                <c:pt idx="6">
                  <c:v>106047.01997789316</c:v>
                </c:pt>
                <c:pt idx="7">
                  <c:v>124208.76305714171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AF-476C-B139-B84FB45B9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7002543"/>
        <c:axId val="1587680639"/>
      </c:barChart>
      <c:lineChart>
        <c:grouping val="standard"/>
        <c:varyColors val="0"/>
        <c:ser>
          <c:idx val="2"/>
          <c:order val="2"/>
          <c:tx>
            <c:strRef>
              <c:f>'Profitability Ratio'!$A$23</c:f>
              <c:strCache>
                <c:ptCount val="1"/>
                <c:pt idx="0">
                  <c:v>ROE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'Profitability Ratio'!$B$20:$I$20</c:f>
              <c:strCache>
                <c:ptCount val="8"/>
                <c:pt idx="0">
                  <c:v>9/29/2019</c:v>
                </c:pt>
                <c:pt idx="1">
                  <c:v>9/29/2020</c:v>
                </c:pt>
                <c:pt idx="2">
                  <c:v>9/29/2021</c:v>
                </c:pt>
                <c:pt idx="3">
                  <c:v>9/29/2022</c:v>
                </c:pt>
                <c:pt idx="4">
                  <c:v>9/29/2023</c:v>
                </c:pt>
                <c:pt idx="5">
                  <c:v>9/29/2024</c:v>
                </c:pt>
                <c:pt idx="6">
                  <c:v>9/29/2025</c:v>
                </c:pt>
                <c:pt idx="7">
                  <c:v>9/29/2026</c:v>
                </c:pt>
              </c:strCache>
            </c:strRef>
          </c:cat>
          <c:val>
            <c:numRef>
              <c:f>'Profitability Ratio'!$B$23:$I$23</c:f>
              <c:numCache>
                <c:formatCode>0%</c:formatCode>
                <c:ptCount val="8"/>
                <c:pt idx="0">
                  <c:v>0.61064450534877557</c:v>
                </c:pt>
                <c:pt idx="1">
                  <c:v>0.87866358530127486</c:v>
                </c:pt>
                <c:pt idx="2">
                  <c:v>1.5007132667617689</c:v>
                </c:pt>
                <c:pt idx="3">
                  <c:v>1.5075299985222661</c:v>
                </c:pt>
                <c:pt idx="4">
                  <c:v>1.4183948614787329</c:v>
                </c:pt>
                <c:pt idx="5">
                  <c:v>1.3956648373151705</c:v>
                </c:pt>
                <c:pt idx="6">
                  <c:v>1.2422300539712312</c:v>
                </c:pt>
                <c:pt idx="7">
                  <c:v>1.1200659483557451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AF-476C-B139-B84FB45B9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669823"/>
        <c:axId val="1587669407"/>
      </c:lineChart>
      <c:catAx>
        <c:axId val="1577002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7680639"/>
        <c:crosses val="autoZero"/>
        <c:auto val="1"/>
        <c:lblAlgn val="ctr"/>
        <c:lblOffset val="100"/>
        <c:noMultiLvlLbl val="0"/>
      </c:catAx>
      <c:valAx>
        <c:axId val="1587680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77002543"/>
        <c:crosses val="autoZero"/>
        <c:crossBetween val="between"/>
      </c:valAx>
      <c:valAx>
        <c:axId val="1587669407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7669823"/>
        <c:crosses val="max"/>
        <c:crossBetween val="between"/>
      </c:valAx>
      <c:catAx>
        <c:axId val="158766982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8766940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'Profitability Ratio'!$A$26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'Profitability Ratio'!$B$25:$I$25</c:f>
              <c:strCache>
                <c:ptCount val="8"/>
                <c:pt idx="0">
                  <c:v>9/29/2019</c:v>
                </c:pt>
                <c:pt idx="1">
                  <c:v>9/29/2020</c:v>
                </c:pt>
                <c:pt idx="2">
                  <c:v>9/29/2021</c:v>
                </c:pt>
                <c:pt idx="3">
                  <c:v>9/29/2022</c:v>
                </c:pt>
                <c:pt idx="4">
                  <c:v>9/29/2023</c:v>
                </c:pt>
                <c:pt idx="5">
                  <c:v>9/29/2024</c:v>
                </c:pt>
                <c:pt idx="6">
                  <c:v>9/29/2025</c:v>
                </c:pt>
                <c:pt idx="7">
                  <c:v>9/29/2026</c:v>
                </c:pt>
              </c:strCache>
            </c:strRef>
          </c:cat>
          <c:val>
            <c:numRef>
              <c:f>'Profitability Ratio'!$B$26:$I$26</c:f>
              <c:numCache>
                <c:formatCode>General</c:formatCode>
                <c:ptCount val="8"/>
                <c:pt idx="0">
                  <c:v>55256</c:v>
                </c:pt>
                <c:pt idx="1">
                  <c:v>57411</c:v>
                </c:pt>
                <c:pt idx="2">
                  <c:v>94680</c:v>
                </c:pt>
                <c:pt idx="3">
                  <c:v>111866.27398752765</c:v>
                </c:pt>
                <c:pt idx="4">
                  <c:v>117305.03861768459</c:v>
                </c:pt>
                <c:pt idx="5">
                  <c:v>124211.37159054243</c:v>
                </c:pt>
                <c:pt idx="6">
                  <c:v>131734.79535062646</c:v>
                </c:pt>
                <c:pt idx="7">
                  <c:v>139122.00598769146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1E-46C3-81AC-B4FA015B8DA7}"/>
            </c:ext>
          </c:extLst>
        </c:ser>
        <c:ser>
          <c:idx val="1"/>
          <c:order val="1"/>
          <c:tx>
            <c:strRef>
              <c:f>'Profitability Ratio'!$A$27</c:f>
              <c:strCache>
                <c:ptCount val="1"/>
                <c:pt idx="0">
                  <c:v>Total Assets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'Profitability Ratio'!$B$25:$I$25</c:f>
              <c:strCache>
                <c:ptCount val="8"/>
                <c:pt idx="0">
                  <c:v>9/29/2019</c:v>
                </c:pt>
                <c:pt idx="1">
                  <c:v>9/29/2020</c:v>
                </c:pt>
                <c:pt idx="2">
                  <c:v>9/29/2021</c:v>
                </c:pt>
                <c:pt idx="3">
                  <c:v>9/29/2022</c:v>
                </c:pt>
                <c:pt idx="4">
                  <c:v>9/29/2023</c:v>
                </c:pt>
                <c:pt idx="5">
                  <c:v>9/29/2024</c:v>
                </c:pt>
                <c:pt idx="6">
                  <c:v>9/29/2025</c:v>
                </c:pt>
                <c:pt idx="7">
                  <c:v>9/29/2026</c:v>
                </c:pt>
              </c:strCache>
            </c:strRef>
          </c:cat>
          <c:val>
            <c:numRef>
              <c:f>'Profitability Ratio'!$B$27:$I$27</c:f>
              <c:numCache>
                <c:formatCode>General</c:formatCode>
                <c:ptCount val="8"/>
                <c:pt idx="0">
                  <c:v>338516</c:v>
                </c:pt>
                <c:pt idx="1">
                  <c:v>323888</c:v>
                </c:pt>
                <c:pt idx="2">
                  <c:v>351002</c:v>
                </c:pt>
                <c:pt idx="3">
                  <c:v>405933.81300000002</c:v>
                </c:pt>
                <c:pt idx="4">
                  <c:v>452419.72952950804</c:v>
                </c:pt>
                <c:pt idx="5">
                  <c:v>486857.91934129415</c:v>
                </c:pt>
                <c:pt idx="6">
                  <c:v>580123.53826099623</c:v>
                </c:pt>
                <c:pt idx="7">
                  <c:v>679476.2089755265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1E-46C3-81AC-B4FA015B8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6484831"/>
        <c:axId val="1735808543"/>
      </c:barChart>
      <c:lineChart>
        <c:grouping val="standard"/>
        <c:varyColors val="0"/>
        <c:ser>
          <c:idx val="2"/>
          <c:order val="2"/>
          <c:tx>
            <c:strRef>
              <c:f>'Profitability Ratio'!$A$28</c:f>
              <c:strCache>
                <c:ptCount val="1"/>
                <c:pt idx="0">
                  <c:v>ROA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'Profitability Ratio'!$B$25:$I$25</c:f>
              <c:strCache>
                <c:ptCount val="8"/>
                <c:pt idx="0">
                  <c:v>9/29/2019</c:v>
                </c:pt>
                <c:pt idx="1">
                  <c:v>9/29/2020</c:v>
                </c:pt>
                <c:pt idx="2">
                  <c:v>9/29/2021</c:v>
                </c:pt>
                <c:pt idx="3">
                  <c:v>9/29/2022</c:v>
                </c:pt>
                <c:pt idx="4">
                  <c:v>9/29/2023</c:v>
                </c:pt>
                <c:pt idx="5">
                  <c:v>9/29/2024</c:v>
                </c:pt>
                <c:pt idx="6">
                  <c:v>9/29/2025</c:v>
                </c:pt>
                <c:pt idx="7">
                  <c:v>9/29/2026</c:v>
                </c:pt>
              </c:strCache>
            </c:strRef>
          </c:cat>
          <c:val>
            <c:numRef>
              <c:f>'Profitability Ratio'!$B$28:$I$28</c:f>
              <c:numCache>
                <c:formatCode>0%</c:formatCode>
                <c:ptCount val="8"/>
                <c:pt idx="0">
                  <c:v>0.16323009842961633</c:v>
                </c:pt>
                <c:pt idx="1">
                  <c:v>0.1772557180259843</c:v>
                </c:pt>
                <c:pt idx="2">
                  <c:v>0.26974205275183616</c:v>
                </c:pt>
                <c:pt idx="3">
                  <c:v>0.27557761981145346</c:v>
                </c:pt>
                <c:pt idx="4">
                  <c:v>0.25928364958724381</c:v>
                </c:pt>
                <c:pt idx="5">
                  <c:v>0.25512858404069327</c:v>
                </c:pt>
                <c:pt idx="6">
                  <c:v>0.22708059001625838</c:v>
                </c:pt>
                <c:pt idx="7">
                  <c:v>0.20474889944631217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1E-46C3-81AC-B4FA015B8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807711"/>
        <c:axId val="1735807295"/>
      </c:lineChart>
      <c:catAx>
        <c:axId val="1586484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35808543"/>
        <c:crosses val="autoZero"/>
        <c:auto val="1"/>
        <c:lblAlgn val="ctr"/>
        <c:lblOffset val="100"/>
        <c:noMultiLvlLbl val="0"/>
      </c:catAx>
      <c:valAx>
        <c:axId val="1735808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6484831"/>
        <c:crosses val="autoZero"/>
        <c:crossBetween val="between"/>
      </c:valAx>
      <c:valAx>
        <c:axId val="1735807295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35807711"/>
        <c:crosses val="max"/>
        <c:crossBetween val="between"/>
      </c:valAx>
      <c:catAx>
        <c:axId val="173580771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3580729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Profit Margin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'Profitability Ratio'!$A$31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'Profitability Ratio'!$B$30:$I$30</c:f>
              <c:strCache>
                <c:ptCount val="8"/>
                <c:pt idx="0">
                  <c:v>9/29/2019</c:v>
                </c:pt>
                <c:pt idx="1">
                  <c:v>9/29/2020</c:v>
                </c:pt>
                <c:pt idx="2">
                  <c:v>9/29/2021</c:v>
                </c:pt>
                <c:pt idx="3">
                  <c:v>9/29/2022</c:v>
                </c:pt>
                <c:pt idx="4">
                  <c:v>9/29/2023</c:v>
                </c:pt>
                <c:pt idx="5">
                  <c:v>9/29/2024</c:v>
                </c:pt>
                <c:pt idx="6">
                  <c:v>9/29/2025</c:v>
                </c:pt>
                <c:pt idx="7">
                  <c:v>9/29/2026</c:v>
                </c:pt>
              </c:strCache>
            </c:strRef>
          </c:cat>
          <c:val>
            <c:numRef>
              <c:f>'Profitability Ratio'!$B$31:$I$31</c:f>
              <c:numCache>
                <c:formatCode>General</c:formatCode>
                <c:ptCount val="8"/>
                <c:pt idx="0">
                  <c:v>55256</c:v>
                </c:pt>
                <c:pt idx="1">
                  <c:v>57411</c:v>
                </c:pt>
                <c:pt idx="2">
                  <c:v>94680</c:v>
                </c:pt>
                <c:pt idx="3">
                  <c:v>111866.27398752765</c:v>
                </c:pt>
                <c:pt idx="4">
                  <c:v>117305.03861768459</c:v>
                </c:pt>
                <c:pt idx="5">
                  <c:v>124211.37159054243</c:v>
                </c:pt>
                <c:pt idx="6">
                  <c:v>131734.79535062646</c:v>
                </c:pt>
                <c:pt idx="7">
                  <c:v>139122.00598769146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5C-4313-AAED-E6E3991E9CAD}"/>
            </c:ext>
          </c:extLst>
        </c:ser>
        <c:ser>
          <c:idx val="1"/>
          <c:order val="1"/>
          <c:tx>
            <c:strRef>
              <c:f>'Profitability Ratio'!$A$32</c:f>
              <c:strCache>
                <c:ptCount val="1"/>
                <c:pt idx="0">
                  <c:v>Total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'Profitability Ratio'!$B$30:$I$30</c:f>
              <c:strCache>
                <c:ptCount val="8"/>
                <c:pt idx="0">
                  <c:v>9/29/2019</c:v>
                </c:pt>
                <c:pt idx="1">
                  <c:v>9/29/2020</c:v>
                </c:pt>
                <c:pt idx="2">
                  <c:v>9/29/2021</c:v>
                </c:pt>
                <c:pt idx="3">
                  <c:v>9/29/2022</c:v>
                </c:pt>
                <c:pt idx="4">
                  <c:v>9/29/2023</c:v>
                </c:pt>
                <c:pt idx="5">
                  <c:v>9/29/2024</c:v>
                </c:pt>
                <c:pt idx="6">
                  <c:v>9/29/2025</c:v>
                </c:pt>
                <c:pt idx="7">
                  <c:v>9/29/2026</c:v>
                </c:pt>
              </c:strCache>
            </c:strRef>
          </c:cat>
          <c:val>
            <c:numRef>
              <c:f>'Profitability Ratio'!$B$32:$I$32</c:f>
              <c:numCache>
                <c:formatCode>General</c:formatCode>
                <c:ptCount val="8"/>
                <c:pt idx="0">
                  <c:v>260174</c:v>
                </c:pt>
                <c:pt idx="1">
                  <c:v>274515</c:v>
                </c:pt>
                <c:pt idx="2">
                  <c:v>365817</c:v>
                </c:pt>
                <c:pt idx="3">
                  <c:v>392521.641</c:v>
                </c:pt>
                <c:pt idx="4">
                  <c:v>412147.72305000003</c:v>
                </c:pt>
                <c:pt idx="5">
                  <c:v>436222.81373236439</c:v>
                </c:pt>
                <c:pt idx="6">
                  <c:v>462601.75136658066</c:v>
                </c:pt>
                <c:pt idx="7">
                  <c:v>488643.91527616244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5C-4313-AAED-E6E3991E9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069999"/>
        <c:axId val="1593071663"/>
      </c:barChart>
      <c:lineChart>
        <c:grouping val="standard"/>
        <c:varyColors val="0"/>
        <c:ser>
          <c:idx val="2"/>
          <c:order val="2"/>
          <c:tx>
            <c:strRef>
              <c:f>'Profitability Ratio'!$A$33</c:f>
              <c:strCache>
                <c:ptCount val="1"/>
                <c:pt idx="0">
                  <c:v>Net Profit Margin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'Profitability Ratio'!$B$30:$I$30</c:f>
              <c:strCache>
                <c:ptCount val="8"/>
                <c:pt idx="0">
                  <c:v>9/29/2019</c:v>
                </c:pt>
                <c:pt idx="1">
                  <c:v>9/29/2020</c:v>
                </c:pt>
                <c:pt idx="2">
                  <c:v>9/29/2021</c:v>
                </c:pt>
                <c:pt idx="3">
                  <c:v>9/29/2022</c:v>
                </c:pt>
                <c:pt idx="4">
                  <c:v>9/29/2023</c:v>
                </c:pt>
                <c:pt idx="5">
                  <c:v>9/29/2024</c:v>
                </c:pt>
                <c:pt idx="6">
                  <c:v>9/29/2025</c:v>
                </c:pt>
                <c:pt idx="7">
                  <c:v>9/29/2026</c:v>
                </c:pt>
              </c:strCache>
            </c:strRef>
          </c:cat>
          <c:val>
            <c:numRef>
              <c:f>'Profitability Ratio'!$B$33:$I$33</c:f>
              <c:numCache>
                <c:formatCode>0.00%</c:formatCode>
                <c:ptCount val="8"/>
                <c:pt idx="0">
                  <c:v>0.21238094505984456</c:v>
                </c:pt>
                <c:pt idx="1">
                  <c:v>0.20913611278072236</c:v>
                </c:pt>
                <c:pt idx="2">
                  <c:v>0.25881793355694238</c:v>
                </c:pt>
                <c:pt idx="3">
                  <c:v>0.28499390174394906</c:v>
                </c:pt>
                <c:pt idx="4">
                  <c:v>0.28461891709505732</c:v>
                </c:pt>
                <c:pt idx="5">
                  <c:v>0.28474295172180009</c:v>
                </c:pt>
                <c:pt idx="6">
                  <c:v>0.28476933985110559</c:v>
                </c:pt>
                <c:pt idx="7">
                  <c:v>0.28471040288932103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5C-4313-AAED-E6E3991E9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070831"/>
        <c:axId val="1593072079"/>
      </c:lineChart>
      <c:catAx>
        <c:axId val="1593069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93071663"/>
        <c:crosses val="autoZero"/>
        <c:auto val="1"/>
        <c:lblAlgn val="ctr"/>
        <c:lblOffset val="100"/>
        <c:noMultiLvlLbl val="0"/>
      </c:catAx>
      <c:valAx>
        <c:axId val="1593071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93069999"/>
        <c:crosses val="autoZero"/>
        <c:crossBetween val="between"/>
      </c:valAx>
      <c:valAx>
        <c:axId val="1593072079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93070831"/>
        <c:crosses val="max"/>
        <c:crossBetween val="between"/>
      </c:valAx>
      <c:catAx>
        <c:axId val="159307083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9307207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153521</xdr:colOff>
      <xdr:row>4</xdr:row>
      <xdr:rowOff>33618</xdr:rowOff>
    </xdr:from>
    <xdr:to>
      <xdr:col>25</xdr:col>
      <xdr:colOff>298973</xdr:colOff>
      <xdr:row>16</xdr:row>
      <xdr:rowOff>98941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BF0A78-B6F8-4487-9C2C-647D92DC2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89346" y="805143"/>
          <a:ext cx="3193452" cy="23513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153521</xdr:colOff>
      <xdr:row>4</xdr:row>
      <xdr:rowOff>33618</xdr:rowOff>
    </xdr:from>
    <xdr:to>
      <xdr:col>25</xdr:col>
      <xdr:colOff>298973</xdr:colOff>
      <xdr:row>22</xdr:row>
      <xdr:rowOff>70366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BCD080-C3A1-4A01-8B02-BFB0EC8CE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06080" y="795618"/>
          <a:ext cx="3163421" cy="2358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91466</xdr:colOff>
      <xdr:row>13</xdr:row>
      <xdr:rowOff>120898</xdr:rowOff>
    </xdr:from>
    <xdr:to>
      <xdr:col>21</xdr:col>
      <xdr:colOff>138734</xdr:colOff>
      <xdr:row>28</xdr:row>
      <xdr:rowOff>106018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15AA43-47BD-4DFD-80FE-6336E92B98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223632</xdr:colOff>
      <xdr:row>30</xdr:row>
      <xdr:rowOff>156542</xdr:rowOff>
    </xdr:from>
    <xdr:to>
      <xdr:col>21</xdr:col>
      <xdr:colOff>289891</xdr:colOff>
      <xdr:row>44</xdr:row>
      <xdr:rowOff>66261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20A2F5F-A496-4123-908E-05E4CBA49F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240610</xdr:colOff>
      <xdr:row>45</xdr:row>
      <xdr:rowOff>175591</xdr:rowOff>
    </xdr:from>
    <xdr:to>
      <xdr:col>21</xdr:col>
      <xdr:colOff>276225</xdr:colOff>
      <xdr:row>60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DE9459B-3DB9-42CF-8BD8-453B20D4A9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463E7-0AAE-4E41-B198-0D824B9CD1A3}">
  <dimension ref="A1:XFD74"/>
  <sheetViews>
    <sheetView workbookViewId="0">
      <selection activeCell="J32" sqref="J32"/>
    </sheetView>
  </sheetViews>
  <sheetFormatPr defaultRowHeight="15" x14ac:dyDescent="0.25"/>
  <cols>
    <col min="1" max="1" width="56.28515625" bestFit="1" customWidth="1"/>
    <col min="2" max="3" width="17.140625" customWidth="1"/>
    <col min="4" max="4" width="14.140625" customWidth="1"/>
    <col min="5" max="9" width="14" customWidth="1"/>
    <col min="13" max="13" width="9.5703125" customWidth="1"/>
    <col min="14" max="14" width="14.7109375" bestFit="1" customWidth="1"/>
    <col min="15" max="15" width="13.85546875" customWidth="1"/>
    <col min="16" max="16" width="29.140625" bestFit="1" customWidth="1"/>
  </cols>
  <sheetData>
    <row r="1" spans="1:16" x14ac:dyDescent="0.25">
      <c r="A1" s="35"/>
      <c r="B1" s="35"/>
      <c r="C1" s="35"/>
      <c r="D1" s="35"/>
      <c r="E1" s="79" t="s">
        <v>174</v>
      </c>
      <c r="F1" s="79"/>
      <c r="G1" s="79"/>
      <c r="H1" s="79"/>
      <c r="I1" s="79"/>
    </row>
    <row r="2" spans="1:16" x14ac:dyDescent="0.25">
      <c r="A2" s="45" t="s">
        <v>198</v>
      </c>
      <c r="B2" s="45" t="s">
        <v>0</v>
      </c>
      <c r="C2" s="45" t="s">
        <v>1</v>
      </c>
      <c r="D2" s="45" t="s">
        <v>2</v>
      </c>
      <c r="E2" s="45" t="s">
        <v>197</v>
      </c>
      <c r="F2" s="45" t="s">
        <v>193</v>
      </c>
      <c r="G2" s="45" t="s">
        <v>194</v>
      </c>
      <c r="H2" s="45" t="s">
        <v>195</v>
      </c>
      <c r="I2" s="45" t="s">
        <v>196</v>
      </c>
    </row>
    <row r="3" spans="1:16" x14ac:dyDescent="0.25">
      <c r="A3" s="46" t="s">
        <v>3</v>
      </c>
      <c r="B3" s="39">
        <v>365817</v>
      </c>
      <c r="C3" s="39">
        <v>274515</v>
      </c>
      <c r="D3" s="39">
        <v>260174</v>
      </c>
      <c r="E3" s="39">
        <f>B3*(1+E4)</f>
        <v>392521.641</v>
      </c>
      <c r="F3" s="39">
        <f>E3*(1+F4)</f>
        <v>412147.72305000003</v>
      </c>
      <c r="G3" s="39">
        <f t="shared" ref="G3:I3" si="0">F3*(1+G4)</f>
        <v>436222.81373236439</v>
      </c>
      <c r="H3" s="39">
        <f t="shared" si="0"/>
        <v>462601.75136658066</v>
      </c>
      <c r="I3" s="39">
        <f t="shared" si="0"/>
        <v>488643.91527616244</v>
      </c>
    </row>
    <row r="4" spans="1:16" ht="15.75" thickBot="1" x14ac:dyDescent="0.3">
      <c r="A4" s="47" t="s">
        <v>150</v>
      </c>
      <c r="B4" s="48"/>
      <c r="C4" s="23">
        <f>-C3/B3+1</f>
        <v>0.24958380829759141</v>
      </c>
      <c r="D4" s="23">
        <f>-D3/C3+1</f>
        <v>5.2241225433947158E-2</v>
      </c>
      <c r="E4" s="23">
        <v>7.2999999999999995E-2</v>
      </c>
      <c r="F4" s="23">
        <v>0.05</v>
      </c>
      <c r="G4" s="23">
        <f>AVERAGE(D4:F4)</f>
        <v>5.8413741811315721E-2</v>
      </c>
      <c r="H4" s="23">
        <f t="shared" ref="H4:I4" si="1">AVERAGE(E4:G4)</f>
        <v>6.0471247270438573E-2</v>
      </c>
      <c r="I4" s="23">
        <f t="shared" si="1"/>
        <v>5.6294996360584763E-2</v>
      </c>
      <c r="N4" s="2" t="s">
        <v>205</v>
      </c>
    </row>
    <row r="5" spans="1:16" x14ac:dyDescent="0.25">
      <c r="A5" s="50" t="s">
        <v>4</v>
      </c>
      <c r="B5" s="51">
        <f>SUM(B6:B7)</f>
        <v>365817</v>
      </c>
      <c r="C5" s="51">
        <f>SUM(C6:C7)</f>
        <v>274515</v>
      </c>
      <c r="D5" s="51">
        <f>SUM(D6:D7)</f>
        <v>260174</v>
      </c>
      <c r="E5" s="51">
        <f>E3*E57</f>
        <v>238351.73321334794</v>
      </c>
      <c r="F5" s="51">
        <f>F3*F57</f>
        <v>250269.31987401535</v>
      </c>
      <c r="G5" s="51">
        <f>G3*G57</f>
        <v>264888.48730842967</v>
      </c>
      <c r="H5" s="51">
        <f>H3*H57</f>
        <v>280906.62452355016</v>
      </c>
      <c r="I5" s="51">
        <f>I3*I57</f>
        <v>296720.26192876755</v>
      </c>
      <c r="N5" s="18" t="s">
        <v>203</v>
      </c>
      <c r="O5" s="19" t="s">
        <v>204</v>
      </c>
    </row>
    <row r="6" spans="1:16" x14ac:dyDescent="0.25">
      <c r="A6" s="46" t="s">
        <v>5</v>
      </c>
      <c r="B6" s="39">
        <v>212981</v>
      </c>
      <c r="C6" s="39">
        <v>169559</v>
      </c>
      <c r="D6" s="39">
        <v>161782</v>
      </c>
      <c r="E6" s="39">
        <f>E5-E7</f>
        <v>84181.825426695868</v>
      </c>
      <c r="F6" s="39">
        <f t="shared" ref="F6:I6" si="2">F5-F7</f>
        <v>88390.916698030662</v>
      </c>
      <c r="G6" s="39">
        <f t="shared" si="2"/>
        <v>93554.160884494951</v>
      </c>
      <c r="H6" s="39">
        <f t="shared" si="2"/>
        <v>99211.497680519649</v>
      </c>
      <c r="I6" s="39">
        <f t="shared" si="2"/>
        <v>104796.60858137265</v>
      </c>
      <c r="M6" s="2" t="s">
        <v>93</v>
      </c>
      <c r="N6" s="4" t="s">
        <v>200</v>
      </c>
      <c r="O6" s="21">
        <f>O15</f>
        <v>9.6059499999999992E-2</v>
      </c>
    </row>
    <row r="7" spans="1:16" x14ac:dyDescent="0.25">
      <c r="A7" s="52" t="s">
        <v>6</v>
      </c>
      <c r="B7" s="39">
        <f>B3-B6</f>
        <v>152836</v>
      </c>
      <c r="C7" s="39">
        <f t="shared" ref="C7:D7" si="3">C3-C6</f>
        <v>104956</v>
      </c>
      <c r="D7" s="39">
        <f t="shared" si="3"/>
        <v>98392</v>
      </c>
      <c r="E7" s="39">
        <f>E3-E5</f>
        <v>154169.90778665207</v>
      </c>
      <c r="F7" s="39">
        <f t="shared" ref="F7:I7" si="4">F3-F5</f>
        <v>161878.40317598468</v>
      </c>
      <c r="G7" s="39">
        <f t="shared" si="4"/>
        <v>171334.32642393472</v>
      </c>
      <c r="H7" s="39">
        <f t="shared" si="4"/>
        <v>181695.12684303051</v>
      </c>
      <c r="I7" s="39">
        <f t="shared" si="4"/>
        <v>191923.65334739489</v>
      </c>
      <c r="N7" s="4" t="s">
        <v>202</v>
      </c>
      <c r="O7" s="15">
        <v>2.4E-2</v>
      </c>
    </row>
    <row r="8" spans="1:16" ht="15.75" thickBot="1" x14ac:dyDescent="0.3">
      <c r="A8" s="47" t="s">
        <v>151</v>
      </c>
      <c r="B8" s="49">
        <f>B7/B3</f>
        <v>0.41779359625167778</v>
      </c>
      <c r="C8" s="49">
        <f t="shared" ref="C8:D8" si="5">C7/C3</f>
        <v>0.38233247727810865</v>
      </c>
      <c r="D8" s="49">
        <f t="shared" si="5"/>
        <v>0.37817768109034722</v>
      </c>
      <c r="E8" s="49">
        <f>E7/E3</f>
        <v>0.3927679182067112</v>
      </c>
      <c r="F8" s="49">
        <f t="shared" ref="F8:I8" si="6">F7/F3</f>
        <v>0.39276791820671125</v>
      </c>
      <c r="G8" s="49">
        <f t="shared" si="6"/>
        <v>0.3927679182067112</v>
      </c>
      <c r="H8" s="49">
        <f t="shared" si="6"/>
        <v>0.3927679182067112</v>
      </c>
      <c r="I8" s="49">
        <f t="shared" si="6"/>
        <v>0.3927679182067112</v>
      </c>
    </row>
    <row r="9" spans="1:16" x14ac:dyDescent="0.25">
      <c r="A9" s="51" t="s">
        <v>7</v>
      </c>
      <c r="B9" s="51">
        <f>SUM(B10:B11)</f>
        <v>43887</v>
      </c>
      <c r="C9" s="51">
        <f t="shared" ref="C9:D9" si="7">SUM(C10:C11)</f>
        <v>38668</v>
      </c>
      <c r="D9" s="51">
        <f t="shared" si="7"/>
        <v>34462</v>
      </c>
      <c r="E9" s="51"/>
      <c r="F9" s="51"/>
      <c r="G9" s="51"/>
      <c r="H9" s="51"/>
      <c r="I9" s="51"/>
    </row>
    <row r="10" spans="1:16" x14ac:dyDescent="0.25">
      <c r="A10" s="46" t="s">
        <v>8</v>
      </c>
      <c r="B10" s="39">
        <v>21973</v>
      </c>
      <c r="C10" s="39">
        <v>19916</v>
      </c>
      <c r="D10" s="39">
        <v>18245</v>
      </c>
      <c r="E10" s="39">
        <f>E3*E58</f>
        <v>26526.804552225662</v>
      </c>
      <c r="F10" s="39">
        <f>F3*F58</f>
        <v>27861.186078179999</v>
      </c>
      <c r="G10" s="39">
        <f>G3*G58</f>
        <v>29488.662208307829</v>
      </c>
      <c r="H10" s="39">
        <f>H3*H58</f>
        <v>31271.878392380851</v>
      </c>
      <c r="I10" s="39">
        <f>I3*I58</f>
        <v>33032.328672668576</v>
      </c>
    </row>
    <row r="11" spans="1:16" x14ac:dyDescent="0.25">
      <c r="A11" s="39" t="s">
        <v>9</v>
      </c>
      <c r="B11" s="39">
        <v>21914</v>
      </c>
      <c r="C11" s="39">
        <v>18752</v>
      </c>
      <c r="D11" s="39">
        <v>16217</v>
      </c>
      <c r="E11" s="39"/>
      <c r="F11" s="39"/>
      <c r="G11" s="39"/>
      <c r="H11" s="39"/>
      <c r="I11" s="39"/>
      <c r="N11" s="80" t="s">
        <v>206</v>
      </c>
      <c r="O11" s="81"/>
      <c r="P11" s="32" t="s">
        <v>213</v>
      </c>
    </row>
    <row r="12" spans="1:16" x14ac:dyDescent="0.25">
      <c r="A12" s="46" t="s">
        <v>10</v>
      </c>
      <c r="B12" s="39">
        <f>B7-B11-B10</f>
        <v>108949</v>
      </c>
      <c r="C12" s="39">
        <f t="shared" ref="C12:D12" si="8">C7-C11-C10</f>
        <v>66288</v>
      </c>
      <c r="D12" s="39">
        <f t="shared" si="8"/>
        <v>63930</v>
      </c>
      <c r="E12" s="39">
        <f>E7-E10</f>
        <v>127643.10323442641</v>
      </c>
      <c r="F12" s="39">
        <f t="shared" ref="F12:I12" si="9">F7-F10</f>
        <v>134017.21709780468</v>
      </c>
      <c r="G12" s="39">
        <f t="shared" si="9"/>
        <v>141845.66421562689</v>
      </c>
      <c r="H12" s="39">
        <f t="shared" si="9"/>
        <v>150423.24845064967</v>
      </c>
      <c r="I12" s="39">
        <f t="shared" si="9"/>
        <v>158891.32467472632</v>
      </c>
      <c r="N12" s="3" t="s">
        <v>207</v>
      </c>
      <c r="O12" s="20">
        <v>3.7449999999999997E-2</v>
      </c>
      <c r="P12" s="33" t="s">
        <v>214</v>
      </c>
    </row>
    <row r="13" spans="1:16" ht="15.75" thickBot="1" x14ac:dyDescent="0.3">
      <c r="A13" s="47" t="s">
        <v>152</v>
      </c>
      <c r="B13" s="49">
        <f>B12/B3</f>
        <v>0.29782377527561593</v>
      </c>
      <c r="C13" s="49">
        <f t="shared" ref="C13:D13" si="10">C12/C3</f>
        <v>0.24147314354406862</v>
      </c>
      <c r="D13" s="49">
        <f t="shared" si="10"/>
        <v>0.24572017188496928</v>
      </c>
      <c r="E13" s="49">
        <f>E12/E3</f>
        <v>0.32518742892554658</v>
      </c>
      <c r="F13" s="49">
        <f t="shared" ref="F13:I13" si="11">F12/F3</f>
        <v>0.3251679182067112</v>
      </c>
      <c r="G13" s="49">
        <f t="shared" si="11"/>
        <v>0.32516791820671126</v>
      </c>
      <c r="H13" s="49">
        <f t="shared" si="11"/>
        <v>0.32516791820671126</v>
      </c>
      <c r="I13" s="49">
        <f t="shared" si="11"/>
        <v>0.3251679182067112</v>
      </c>
      <c r="N13" s="3" t="s">
        <v>208</v>
      </c>
      <c r="O13" s="3">
        <v>1.23</v>
      </c>
      <c r="P13" s="33" t="s">
        <v>210</v>
      </c>
    </row>
    <row r="14" spans="1:16" x14ac:dyDescent="0.25">
      <c r="A14" s="51" t="s">
        <v>11</v>
      </c>
      <c r="B14" s="51">
        <v>0.19800000000000001</v>
      </c>
      <c r="C14" s="51">
        <v>0.89</v>
      </c>
      <c r="D14" s="51">
        <v>1385</v>
      </c>
      <c r="E14" s="51"/>
      <c r="F14" s="51"/>
      <c r="G14" s="51"/>
      <c r="H14" s="51"/>
      <c r="I14" s="51"/>
      <c r="N14" s="3" t="s">
        <v>209</v>
      </c>
      <c r="O14" s="13">
        <v>8.5099999999999995E-2</v>
      </c>
      <c r="P14" s="33" t="s">
        <v>212</v>
      </c>
    </row>
    <row r="15" spans="1:16" x14ac:dyDescent="0.25">
      <c r="A15" s="46" t="s">
        <v>30</v>
      </c>
      <c r="B15" s="39">
        <v>2843</v>
      </c>
      <c r="C15" s="39">
        <v>3763</v>
      </c>
      <c r="D15" s="39">
        <v>4961</v>
      </c>
      <c r="E15" s="39">
        <f>E3*E59</f>
        <v>5305.2525887330576</v>
      </c>
      <c r="F15" s="39">
        <f>F3*F59</f>
        <v>5563.9942611750002</v>
      </c>
      <c r="G15" s="39">
        <f>G3*G59</f>
        <v>5889.0079853869192</v>
      </c>
      <c r="H15" s="39">
        <f>H3*H59</f>
        <v>6245.1236434488392</v>
      </c>
      <c r="I15" s="39">
        <f>I3*I59</f>
        <v>6596.6928562281928</v>
      </c>
      <c r="N15" s="4" t="s">
        <v>200</v>
      </c>
      <c r="O15" s="21">
        <f>O12+(O14-O12)*O13</f>
        <v>9.6059499999999992E-2</v>
      </c>
      <c r="P15" s="33"/>
    </row>
    <row r="16" spans="1:16" x14ac:dyDescent="0.25">
      <c r="A16" s="46" t="s">
        <v>153</v>
      </c>
      <c r="B16" s="39">
        <v>2645</v>
      </c>
      <c r="C16" s="39">
        <v>2873</v>
      </c>
      <c r="D16" s="39">
        <v>3576</v>
      </c>
      <c r="E16" s="39">
        <f>E3*E60</f>
        <v>4113.7274709212761</v>
      </c>
      <c r="F16" s="39">
        <f>F3*F60</f>
        <v>4327.5510920250008</v>
      </c>
      <c r="G16" s="39">
        <f>G3*G60</f>
        <v>4580.3395441898265</v>
      </c>
      <c r="H16" s="39">
        <f>H3*H60</f>
        <v>4857.3183893490968</v>
      </c>
      <c r="I16" s="39">
        <f>I3*I60</f>
        <v>5130.761110399706</v>
      </c>
    </row>
    <row r="17" spans="1:9" x14ac:dyDescent="0.25">
      <c r="A17" s="46" t="s">
        <v>12</v>
      </c>
      <c r="B17" s="39">
        <v>60</v>
      </c>
      <c r="C17" s="39">
        <v>-87</v>
      </c>
      <c r="D17" s="39">
        <v>422</v>
      </c>
      <c r="E17" s="39">
        <f>E3*E61</f>
        <v>192.21592403360958</v>
      </c>
      <c r="F17" s="39">
        <f>F3*F61</f>
        <v>46.268934527002955</v>
      </c>
      <c r="G17" s="39">
        <f>G3*G61</f>
        <v>111.37852027226334</v>
      </c>
      <c r="H17" s="39">
        <f>H3*H61</f>
        <v>132.19352780703059</v>
      </c>
      <c r="I17" s="39">
        <f>I3*I61</f>
        <v>106.41830573290885</v>
      </c>
    </row>
    <row r="18" spans="1:9" x14ac:dyDescent="0.25">
      <c r="A18" s="39" t="s">
        <v>13</v>
      </c>
      <c r="B18" s="39">
        <v>60</v>
      </c>
      <c r="C18" s="39">
        <v>-87</v>
      </c>
      <c r="D18" s="39">
        <v>422</v>
      </c>
      <c r="E18" s="39"/>
      <c r="F18" s="39"/>
      <c r="G18" s="39"/>
      <c r="H18" s="39"/>
      <c r="I18" s="39"/>
    </row>
    <row r="19" spans="1:9" ht="15.75" thickBot="1" x14ac:dyDescent="0.3">
      <c r="A19" s="47" t="s">
        <v>14</v>
      </c>
      <c r="B19" s="48">
        <f t="shared" ref="B19:I19" si="12">B12+B15-B16+B17</f>
        <v>109207</v>
      </c>
      <c r="C19" s="48">
        <f t="shared" si="12"/>
        <v>67091</v>
      </c>
      <c r="D19" s="48">
        <f t="shared" si="12"/>
        <v>65737</v>
      </c>
      <c r="E19" s="48">
        <f t="shared" si="12"/>
        <v>129026.8442762718</v>
      </c>
      <c r="F19" s="48">
        <f t="shared" si="12"/>
        <v>135299.92920148166</v>
      </c>
      <c r="G19" s="48">
        <f t="shared" si="12"/>
        <v>143265.71117709624</v>
      </c>
      <c r="H19" s="48">
        <f t="shared" si="12"/>
        <v>151943.24723255646</v>
      </c>
      <c r="I19" s="48">
        <f t="shared" si="12"/>
        <v>160463.67472628772</v>
      </c>
    </row>
    <row r="20" spans="1:9" x14ac:dyDescent="0.25">
      <c r="A20" s="51" t="s">
        <v>15</v>
      </c>
      <c r="B20" s="51">
        <v>14527</v>
      </c>
      <c r="C20" s="51">
        <v>9680</v>
      </c>
      <c r="D20" s="51">
        <v>10481</v>
      </c>
      <c r="E20" s="51">
        <f>E19*E62</f>
        <v>17160.570288744151</v>
      </c>
      <c r="F20" s="51">
        <f>F19*F62</f>
        <v>17994.890583797063</v>
      </c>
      <c r="G20" s="51">
        <f>G19*G62</f>
        <v>19054.3395865538</v>
      </c>
      <c r="H20" s="51">
        <f>H19*H62</f>
        <v>20208.45188193001</v>
      </c>
      <c r="I20" s="51">
        <f>I19*I62</f>
        <v>21341.668738596269</v>
      </c>
    </row>
    <row r="21" spans="1:9" x14ac:dyDescent="0.25">
      <c r="A21" s="39" t="s">
        <v>16</v>
      </c>
      <c r="B21" s="39">
        <v>94680</v>
      </c>
      <c r="C21" s="39">
        <v>57411</v>
      </c>
      <c r="D21" s="39">
        <v>55256</v>
      </c>
      <c r="E21" s="39"/>
      <c r="F21" s="39"/>
      <c r="G21" s="39"/>
      <c r="H21" s="39"/>
      <c r="I21" s="39"/>
    </row>
    <row r="22" spans="1:9" x14ac:dyDescent="0.25">
      <c r="A22" s="56" t="s">
        <v>17</v>
      </c>
      <c r="B22" s="59">
        <f>B19-B20</f>
        <v>94680</v>
      </c>
      <c r="C22" s="59">
        <f t="shared" ref="C22:D22" si="13">C19-C20</f>
        <v>57411</v>
      </c>
      <c r="D22" s="59">
        <f t="shared" si="13"/>
        <v>55256</v>
      </c>
      <c r="E22" s="59">
        <f>E19-E20-E42</f>
        <v>22850.87156983724</v>
      </c>
      <c r="F22" s="59">
        <f t="shared" ref="F22:I22" si="14">F19-F20-F42</f>
        <v>23829.93502994458</v>
      </c>
      <c r="G22" s="59">
        <f t="shared" si="14"/>
        <v>25276.037436042185</v>
      </c>
      <c r="H22" s="59">
        <f t="shared" si="14"/>
        <v>26816.71814068596</v>
      </c>
      <c r="I22" s="59">
        <f t="shared" si="14"/>
        <v>28297.566003057815</v>
      </c>
    </row>
    <row r="23" spans="1:9" x14ac:dyDescent="0.25">
      <c r="A23" s="89"/>
      <c r="B23" s="90"/>
      <c r="C23" s="90"/>
      <c r="D23" s="90"/>
      <c r="E23" s="90"/>
      <c r="F23" s="90"/>
      <c r="G23" s="90"/>
      <c r="H23" s="90"/>
      <c r="I23" s="90"/>
    </row>
    <row r="24" spans="1:9" x14ac:dyDescent="0.25">
      <c r="A24" s="51" t="s">
        <v>18</v>
      </c>
      <c r="B24" s="51">
        <v>94680</v>
      </c>
      <c r="C24" s="51">
        <v>57411</v>
      </c>
      <c r="D24" s="51">
        <v>55256</v>
      </c>
      <c r="E24" s="51"/>
      <c r="F24" s="51"/>
      <c r="G24" s="51"/>
      <c r="H24" s="51"/>
      <c r="I24" s="51"/>
    </row>
    <row r="25" spans="1:9" x14ac:dyDescent="0.25">
      <c r="A25" s="39" t="s">
        <v>19</v>
      </c>
      <c r="B25" s="39">
        <v>94680</v>
      </c>
      <c r="C25" s="39">
        <v>57411</v>
      </c>
      <c r="D25" s="39">
        <v>55256</v>
      </c>
      <c r="E25" s="39"/>
      <c r="F25" s="39"/>
      <c r="G25" s="39"/>
      <c r="H25" s="39"/>
      <c r="I25" s="39"/>
    </row>
    <row r="26" spans="1:9" x14ac:dyDescent="0.25">
      <c r="A26" s="53" t="s">
        <v>20</v>
      </c>
      <c r="B26" s="53">
        <v>94680</v>
      </c>
      <c r="C26" s="53">
        <v>57411</v>
      </c>
      <c r="D26" s="53">
        <v>55256</v>
      </c>
      <c r="E26" s="53"/>
      <c r="F26" s="53"/>
      <c r="G26" s="53"/>
      <c r="H26" s="39"/>
      <c r="I26" s="39"/>
    </row>
    <row r="27" spans="1:9" x14ac:dyDescent="0.25">
      <c r="A27" s="53" t="s">
        <v>21</v>
      </c>
      <c r="B27" s="53">
        <v>5.67</v>
      </c>
      <c r="C27" s="53">
        <v>3.31</v>
      </c>
      <c r="D27" s="53">
        <v>2.99</v>
      </c>
      <c r="E27" s="53"/>
      <c r="F27" s="53"/>
      <c r="G27" s="53"/>
      <c r="H27" s="39"/>
      <c r="I27" s="39"/>
    </row>
    <row r="28" spans="1:9" x14ac:dyDescent="0.25">
      <c r="A28" s="53" t="s">
        <v>23</v>
      </c>
      <c r="B28" s="53">
        <v>5.61</v>
      </c>
      <c r="C28" s="53">
        <v>3.28</v>
      </c>
      <c r="D28" s="53">
        <v>2.97</v>
      </c>
      <c r="E28" s="53"/>
      <c r="F28" s="53"/>
      <c r="G28" s="53"/>
      <c r="H28" s="39"/>
      <c r="I28" s="39"/>
    </row>
    <row r="29" spans="1:9" x14ac:dyDescent="0.25">
      <c r="A29" s="39" t="s">
        <v>24</v>
      </c>
      <c r="B29" s="39">
        <v>16701.272000000001</v>
      </c>
      <c r="C29" s="39">
        <v>17352.118999999999</v>
      </c>
      <c r="D29" s="39">
        <v>18471.335999999999</v>
      </c>
      <c r="E29" s="39"/>
      <c r="F29" s="39"/>
      <c r="G29" s="39"/>
      <c r="H29" s="39"/>
      <c r="I29" s="39"/>
    </row>
    <row r="30" spans="1:9" x14ac:dyDescent="0.25">
      <c r="A30" s="39" t="s">
        <v>25</v>
      </c>
      <c r="B30" s="39">
        <v>16864.919000000002</v>
      </c>
      <c r="C30" s="39">
        <v>17528.214</v>
      </c>
      <c r="D30" s="39">
        <v>18595.651999999998</v>
      </c>
      <c r="E30" s="39"/>
      <c r="F30" s="39"/>
      <c r="G30" s="39"/>
      <c r="H30" s="39"/>
      <c r="I30" s="39"/>
    </row>
    <row r="31" spans="1:9" x14ac:dyDescent="0.25">
      <c r="A31" s="39" t="s">
        <v>26</v>
      </c>
      <c r="B31" s="39">
        <v>108949</v>
      </c>
      <c r="C31" s="39">
        <v>66288</v>
      </c>
      <c r="D31" s="39">
        <v>63930</v>
      </c>
      <c r="E31" s="39"/>
      <c r="F31" s="39"/>
      <c r="G31" s="39"/>
      <c r="H31" s="39"/>
      <c r="I31" s="39"/>
    </row>
    <row r="32" spans="1:9" x14ac:dyDescent="0.25">
      <c r="A32" s="39" t="s">
        <v>27</v>
      </c>
      <c r="B32" s="39">
        <v>256868</v>
      </c>
      <c r="C32" s="39">
        <v>208227</v>
      </c>
      <c r="D32" s="39">
        <v>196244</v>
      </c>
      <c r="E32" s="39"/>
      <c r="F32" s="39"/>
      <c r="G32" s="39"/>
      <c r="H32" s="39"/>
      <c r="I32" s="39"/>
    </row>
    <row r="33" spans="1:12" x14ac:dyDescent="0.25">
      <c r="A33" s="39" t="s">
        <v>28</v>
      </c>
      <c r="B33" s="39">
        <v>94680</v>
      </c>
      <c r="C33" s="39">
        <v>57411</v>
      </c>
      <c r="D33" s="39">
        <v>55256</v>
      </c>
      <c r="E33" s="39"/>
      <c r="F33" s="39"/>
      <c r="G33" s="39"/>
      <c r="H33" s="39"/>
      <c r="I33" s="39"/>
    </row>
    <row r="34" spans="1:12" x14ac:dyDescent="0.25">
      <c r="A34" s="39" t="s">
        <v>29</v>
      </c>
      <c r="B34" s="39">
        <v>94680</v>
      </c>
      <c r="C34" s="39">
        <v>57411</v>
      </c>
      <c r="D34" s="39">
        <v>55256</v>
      </c>
      <c r="E34" s="39"/>
      <c r="F34" s="39"/>
      <c r="G34" s="39"/>
      <c r="H34" s="39"/>
      <c r="I34" s="39"/>
    </row>
    <row r="35" spans="1:12" x14ac:dyDescent="0.25">
      <c r="A35" s="39" t="s">
        <v>30</v>
      </c>
      <c r="B35" s="39">
        <v>2843</v>
      </c>
      <c r="C35" s="39">
        <v>3763</v>
      </c>
      <c r="D35" s="39">
        <v>4961</v>
      </c>
      <c r="E35" s="39"/>
      <c r="F35" s="39"/>
      <c r="G35" s="39"/>
      <c r="H35" s="39"/>
      <c r="I35" s="39"/>
    </row>
    <row r="36" spans="1:12" x14ac:dyDescent="0.25">
      <c r="A36" s="39" t="s">
        <v>31</v>
      </c>
      <c r="B36" s="39">
        <v>2645</v>
      </c>
      <c r="C36" s="39">
        <v>2873</v>
      </c>
      <c r="D36" s="39">
        <v>3576</v>
      </c>
      <c r="E36" s="39"/>
      <c r="F36" s="39"/>
      <c r="G36" s="39"/>
      <c r="H36" s="39"/>
      <c r="I36" s="39"/>
    </row>
    <row r="37" spans="1:12" x14ac:dyDescent="0.25">
      <c r="A37" s="39" t="s">
        <v>32</v>
      </c>
      <c r="B37" s="39">
        <v>198</v>
      </c>
      <c r="C37" s="39">
        <v>890</v>
      </c>
      <c r="D37" s="39">
        <v>1385</v>
      </c>
      <c r="E37" s="39"/>
      <c r="F37" s="39"/>
      <c r="G37" s="39"/>
      <c r="H37" s="39"/>
      <c r="I37" s="39"/>
    </row>
    <row r="38" spans="1:12" x14ac:dyDescent="0.25">
      <c r="A38" s="39" t="s">
        <v>33</v>
      </c>
      <c r="B38" s="39">
        <v>111852</v>
      </c>
      <c r="C38" s="39">
        <v>69964</v>
      </c>
      <c r="D38" s="39">
        <v>69313</v>
      </c>
      <c r="E38" s="39"/>
      <c r="F38" s="39"/>
      <c r="G38" s="39"/>
      <c r="H38" s="39"/>
      <c r="I38" s="39"/>
      <c r="L38" t="s">
        <v>211</v>
      </c>
    </row>
    <row r="39" spans="1:12" x14ac:dyDescent="0.25">
      <c r="A39" s="39" t="s">
        <v>34</v>
      </c>
      <c r="B39" s="39"/>
      <c r="C39" s="39"/>
      <c r="D39" s="39"/>
      <c r="E39" s="39"/>
      <c r="F39" s="39"/>
      <c r="G39" s="39"/>
      <c r="H39" s="39"/>
      <c r="I39" s="39"/>
    </row>
    <row r="40" spans="1:12" x14ac:dyDescent="0.25">
      <c r="A40" s="39" t="s">
        <v>35</v>
      </c>
      <c r="B40" s="39">
        <v>212981</v>
      </c>
      <c r="C40" s="39">
        <v>169559</v>
      </c>
      <c r="D40" s="39">
        <v>161782</v>
      </c>
      <c r="E40" s="39"/>
      <c r="F40" s="39"/>
      <c r="G40" s="39"/>
      <c r="H40" s="39"/>
      <c r="I40" s="39"/>
    </row>
    <row r="41" spans="1:12" x14ac:dyDescent="0.25">
      <c r="A41" s="39" t="s">
        <v>36</v>
      </c>
      <c r="B41" s="39">
        <v>11284</v>
      </c>
      <c r="C41" s="39">
        <v>11056</v>
      </c>
      <c r="D41" s="39">
        <v>12547</v>
      </c>
      <c r="E41" s="39"/>
      <c r="F41" s="39"/>
      <c r="G41" s="39"/>
      <c r="H41" s="39"/>
      <c r="I41" s="39"/>
    </row>
    <row r="42" spans="1:12" ht="15.75" thickBot="1" x14ac:dyDescent="0.3">
      <c r="A42" s="54" t="s">
        <v>185</v>
      </c>
      <c r="B42" s="48">
        <v>94680</v>
      </c>
      <c r="C42" s="48">
        <v>57411</v>
      </c>
      <c r="D42" s="48">
        <v>55256</v>
      </c>
      <c r="E42" s="48">
        <f>E63*E3</f>
        <v>89015.402417690406</v>
      </c>
      <c r="F42" s="48">
        <f>F63*F3</f>
        <v>93475.103587740014</v>
      </c>
      <c r="G42" s="48">
        <f>G63*G3</f>
        <v>98935.334154500248</v>
      </c>
      <c r="H42" s="48">
        <f>H63*H3</f>
        <v>104918.0772099405</v>
      </c>
      <c r="I42" s="48">
        <f>I63*I3</f>
        <v>110824.43998463365</v>
      </c>
    </row>
    <row r="43" spans="1:12" x14ac:dyDescent="0.25">
      <c r="A43" s="51" t="s">
        <v>37</v>
      </c>
      <c r="B43" s="51">
        <v>123136</v>
      </c>
      <c r="C43" s="51">
        <v>81020</v>
      </c>
      <c r="D43" s="51">
        <v>81860</v>
      </c>
      <c r="E43" s="51"/>
      <c r="F43" s="51"/>
      <c r="G43" s="51"/>
      <c r="H43" s="51"/>
      <c r="I43" s="51"/>
    </row>
    <row r="44" spans="1:12" x14ac:dyDescent="0.25">
      <c r="A44" s="16"/>
      <c r="B44" s="3"/>
      <c r="C44" s="3"/>
      <c r="D44" s="3"/>
      <c r="E44" s="6"/>
      <c r="F44" s="6"/>
      <c r="G44" s="6"/>
      <c r="H44" s="6"/>
      <c r="I44" s="6"/>
    </row>
    <row r="45" spans="1:12" x14ac:dyDescent="0.25">
      <c r="A45" s="5" t="s">
        <v>16</v>
      </c>
      <c r="B45" s="6">
        <v>94680</v>
      </c>
      <c r="C45" s="6">
        <v>57411</v>
      </c>
      <c r="D45" s="6">
        <v>55256</v>
      </c>
      <c r="E45" s="6"/>
      <c r="F45" s="6"/>
      <c r="G45" s="6"/>
      <c r="H45" s="6"/>
      <c r="I45" s="6"/>
    </row>
    <row r="46" spans="1:12" x14ac:dyDescent="0.25">
      <c r="A46" s="4" t="s">
        <v>99</v>
      </c>
      <c r="B46" s="3">
        <v>11284</v>
      </c>
      <c r="C46" s="3">
        <v>11056</v>
      </c>
      <c r="D46" s="3">
        <v>12547</v>
      </c>
      <c r="E46" s="6">
        <f>E3*E64</f>
        <v>15615.310145720436</v>
      </c>
      <c r="F46" s="6">
        <f>F3*F64</f>
        <v>16403.479377390002</v>
      </c>
      <c r="G46" s="6">
        <f>G3*G64</f>
        <v>17361.667986548102</v>
      </c>
      <c r="H46" s="6">
        <f>H3*H64</f>
        <v>18411.549704389912</v>
      </c>
      <c r="I46" s="6">
        <f>I3*I64</f>
        <v>19448.027827991267</v>
      </c>
    </row>
    <row r="47" spans="1:12" x14ac:dyDescent="0.25">
      <c r="A47" s="4" t="s">
        <v>154</v>
      </c>
      <c r="B47" s="3">
        <f>'Balance Sheet'!H11</f>
        <v>-28966</v>
      </c>
      <c r="C47" s="3">
        <f>'Balance Sheet'!H19</f>
        <v>-18780</v>
      </c>
      <c r="D47" s="3">
        <f>'Balance Sheet'!M11</f>
        <v>57101</v>
      </c>
      <c r="E47" s="6">
        <f>E3*E65</f>
        <v>23625.269426322393</v>
      </c>
      <c r="F47" s="6">
        <f>F3*F65</f>
        <v>24811.29292761</v>
      </c>
      <c r="G47" s="6">
        <f>G3*G65</f>
        <v>26260.613386688336</v>
      </c>
      <c r="H47" s="6">
        <f>H3*H65</f>
        <v>27848.625432268153</v>
      </c>
      <c r="I47" s="6">
        <f>I3*I65</f>
        <v>29416.363699624977</v>
      </c>
    </row>
    <row r="48" spans="1:12" x14ac:dyDescent="0.25">
      <c r="A48" s="4" t="s">
        <v>95</v>
      </c>
      <c r="B48" s="6">
        <f>B45+B46-B47</f>
        <v>134930</v>
      </c>
      <c r="C48" s="6">
        <f t="shared" ref="C48:D48" si="15">C45+C46-C47</f>
        <v>87247</v>
      </c>
      <c r="D48" s="6">
        <f t="shared" si="15"/>
        <v>10702</v>
      </c>
      <c r="E48" s="6">
        <f>E22+E46-E47</f>
        <v>14840.912289235279</v>
      </c>
      <c r="F48" s="6">
        <f t="shared" ref="F48:I48" si="16">F22+F46-F47</f>
        <v>15422.121479724581</v>
      </c>
      <c r="G48" s="6">
        <f t="shared" si="16"/>
        <v>16377.092035901947</v>
      </c>
      <c r="H48" s="6">
        <f t="shared" si="16"/>
        <v>17379.642412807716</v>
      </c>
      <c r="I48" s="6">
        <f t="shared" si="16"/>
        <v>18329.230131424105</v>
      </c>
    </row>
    <row r="49" spans="1:18" x14ac:dyDescent="0.25">
      <c r="A49" s="4" t="s">
        <v>162</v>
      </c>
      <c r="B49" s="3">
        <v>-11085</v>
      </c>
      <c r="C49" s="3">
        <v>-7309</v>
      </c>
      <c r="D49" s="3">
        <v>-10495</v>
      </c>
      <c r="E49" s="6">
        <f>E3*E66</f>
        <v>-12726.279607138995</v>
      </c>
      <c r="F49" s="6">
        <f>F3*F66</f>
        <v>13353.58622682</v>
      </c>
      <c r="G49" s="6">
        <f>G3*G66</f>
        <v>14133.619164928605</v>
      </c>
      <c r="H49" s="6">
        <f>H3*H66</f>
        <v>14988.296744277213</v>
      </c>
      <c r="I49" s="6">
        <f>I3*I66</f>
        <v>15832.062854947662</v>
      </c>
    </row>
    <row r="50" spans="1:18" x14ac:dyDescent="0.25">
      <c r="A50" s="4" t="s">
        <v>163</v>
      </c>
      <c r="B50" s="6">
        <f>B48-B49</f>
        <v>146015</v>
      </c>
      <c r="C50" s="6">
        <f t="shared" ref="C50:D50" si="17">C48-C49</f>
        <v>94556</v>
      </c>
      <c r="D50" s="6">
        <f t="shared" si="17"/>
        <v>21197</v>
      </c>
      <c r="E50" s="6">
        <f>E48-E49</f>
        <v>27567.191896374272</v>
      </c>
      <c r="F50" s="6">
        <f t="shared" ref="F50:I50" si="18">F48-F49</f>
        <v>2068.5352529045813</v>
      </c>
      <c r="G50" s="6">
        <f t="shared" si="18"/>
        <v>2243.4728709733427</v>
      </c>
      <c r="H50" s="6">
        <f t="shared" si="18"/>
        <v>2391.3456685305027</v>
      </c>
      <c r="I50" s="6">
        <f t="shared" si="18"/>
        <v>2497.1672764764426</v>
      </c>
    </row>
    <row r="51" spans="1:18" x14ac:dyDescent="0.25">
      <c r="A51" s="7" t="s">
        <v>164</v>
      </c>
      <c r="B51" s="39">
        <f>'Balance Sheet'!H27</f>
        <v>15359</v>
      </c>
      <c r="C51" s="3">
        <f>'Balance Sheet'!H34</f>
        <v>15217</v>
      </c>
      <c r="D51" s="3">
        <f>'Balance Sheet'!M27</f>
        <v>-15217</v>
      </c>
      <c r="E51" s="6">
        <f>E3*E67</f>
        <v>5493.4023333333334</v>
      </c>
      <c r="F51" s="6">
        <f>F3*F67</f>
        <v>5770.0681227000005</v>
      </c>
      <c r="G51" s="6">
        <f>G3*G67</f>
        <v>6107.119392253102</v>
      </c>
      <c r="H51" s="6">
        <f>H3*H67</f>
        <v>6476.4245191321297</v>
      </c>
      <c r="I51" s="6">
        <f>I3*I67</f>
        <v>6841.0148138662744</v>
      </c>
    </row>
    <row r="52" spans="1:18" x14ac:dyDescent="0.25">
      <c r="A52" s="7" t="s">
        <v>173</v>
      </c>
      <c r="B52" s="6">
        <f>B51+B50</f>
        <v>161374</v>
      </c>
      <c r="C52" s="6">
        <f t="shared" ref="C52:D52" si="19">C51+C50</f>
        <v>109773</v>
      </c>
      <c r="D52" s="6">
        <f t="shared" si="19"/>
        <v>5980</v>
      </c>
      <c r="E52" s="6">
        <f>E50+E51</f>
        <v>33060.594229707604</v>
      </c>
      <c r="F52" s="6">
        <f t="shared" ref="F52:H52" si="20">F50+F51</f>
        <v>7838.6033756045817</v>
      </c>
      <c r="G52" s="6">
        <f t="shared" si="20"/>
        <v>8350.5922632264446</v>
      </c>
      <c r="H52" s="6">
        <f t="shared" si="20"/>
        <v>8867.7701876626325</v>
      </c>
      <c r="I52" s="6">
        <f>I50+I51</f>
        <v>9338.1820903427179</v>
      </c>
    </row>
    <row r="53" spans="1:18" x14ac:dyDescent="0.25">
      <c r="A53" s="17" t="s">
        <v>201</v>
      </c>
      <c r="B53" s="3"/>
      <c r="C53" s="3"/>
      <c r="D53" s="3"/>
      <c r="E53" s="3"/>
      <c r="F53" s="3"/>
      <c r="G53" s="3"/>
      <c r="H53" s="3"/>
      <c r="I53" s="22">
        <f>(I52*(1+O7))/(O6-O7)</f>
        <v>132700.03900264285</v>
      </c>
    </row>
    <row r="54" spans="1:18" x14ac:dyDescent="0.25">
      <c r="A54" s="27" t="s">
        <v>215</v>
      </c>
      <c r="B54" s="28">
        <f>B52</f>
        <v>161374</v>
      </c>
      <c r="C54" s="28">
        <f t="shared" ref="C54:H54" si="21">C52</f>
        <v>109773</v>
      </c>
      <c r="D54" s="28">
        <f t="shared" si="21"/>
        <v>5980</v>
      </c>
      <c r="E54" s="28">
        <f t="shared" si="21"/>
        <v>33060.594229707604</v>
      </c>
      <c r="F54" s="28">
        <f t="shared" si="21"/>
        <v>7838.6033756045817</v>
      </c>
      <c r="G54" s="28">
        <f t="shared" si="21"/>
        <v>8350.5922632264446</v>
      </c>
      <c r="H54" s="28">
        <f t="shared" si="21"/>
        <v>8867.7701876626325</v>
      </c>
      <c r="I54" s="28">
        <f>I53+I52</f>
        <v>142038.22109298556</v>
      </c>
    </row>
    <row r="55" spans="1:18" x14ac:dyDescent="0.25">
      <c r="A55" s="8" t="s">
        <v>174</v>
      </c>
      <c r="B55" s="9">
        <v>2019</v>
      </c>
      <c r="C55" s="9">
        <v>2020</v>
      </c>
      <c r="D55" s="11">
        <v>2021</v>
      </c>
      <c r="E55" s="9" t="s">
        <v>179</v>
      </c>
      <c r="F55" s="9" t="s">
        <v>180</v>
      </c>
      <c r="G55" s="9" t="s">
        <v>181</v>
      </c>
      <c r="H55" s="9" t="s">
        <v>182</v>
      </c>
      <c r="I55" s="9" t="s">
        <v>183</v>
      </c>
    </row>
    <row r="56" spans="1:18" x14ac:dyDescent="0.25">
      <c r="A56" s="7" t="s">
        <v>175</v>
      </c>
      <c r="B56" s="64" t="s">
        <v>22</v>
      </c>
      <c r="C56" s="65">
        <f>C3/D3-1</f>
        <v>5.5120803769784787E-2</v>
      </c>
      <c r="D56" s="66">
        <f>B3/C3-1</f>
        <v>0.33259384733074704</v>
      </c>
      <c r="E56" s="12">
        <v>7.2999999999999995E-2</v>
      </c>
      <c r="F56" s="12">
        <v>0.05</v>
      </c>
      <c r="G56" s="13">
        <f>AVERAGE(D56:F56)</f>
        <v>0.15186461577691568</v>
      </c>
      <c r="H56" s="13">
        <f t="shared" ref="H56:I56" si="22">AVERAGE(E56:G56)</f>
        <v>9.1621538592305221E-2</v>
      </c>
      <c r="I56" s="13">
        <f t="shared" si="22"/>
        <v>9.782871812307363E-2</v>
      </c>
      <c r="M56" s="29" t="s">
        <v>192</v>
      </c>
      <c r="N56" s="29"/>
      <c r="O56" s="30"/>
    </row>
    <row r="57" spans="1:18" x14ac:dyDescent="0.25">
      <c r="A57" s="4" t="s">
        <v>176</v>
      </c>
      <c r="B57" s="65">
        <f>D6/D3</f>
        <v>0.62182231890965278</v>
      </c>
      <c r="C57" s="65">
        <f>C6/C3</f>
        <v>0.61766752272189129</v>
      </c>
      <c r="D57" s="65">
        <f>B6/B3</f>
        <v>0.58220640374832222</v>
      </c>
      <c r="E57" s="13">
        <f>AVERAGE(B57:D57)</f>
        <v>0.6072320817932888</v>
      </c>
      <c r="F57" s="13">
        <v>0.6072320817932888</v>
      </c>
      <c r="G57" s="13">
        <v>0.6072320817932888</v>
      </c>
      <c r="H57" s="13">
        <f>AVERAGE(E57:G57)</f>
        <v>0.6072320817932888</v>
      </c>
      <c r="I57" s="13">
        <f>AVERAGE(F57:H57)</f>
        <v>0.6072320817932888</v>
      </c>
      <c r="M57" s="31" t="s">
        <v>223</v>
      </c>
      <c r="N57" s="31"/>
      <c r="O57" s="31"/>
      <c r="P57" s="31"/>
      <c r="Q57" s="24"/>
      <c r="R57" s="24"/>
    </row>
    <row r="58" spans="1:18" x14ac:dyDescent="0.25">
      <c r="A58" s="4" t="s">
        <v>177</v>
      </c>
      <c r="B58" s="12">
        <f>D10/D3</f>
        <v>7.0126146348213125E-2</v>
      </c>
      <c r="C58" s="12">
        <f>C10/C3</f>
        <v>7.2549769593646979E-2</v>
      </c>
      <c r="D58" s="12">
        <f>B10/B3</f>
        <v>6.006555190163388E-2</v>
      </c>
      <c r="E58" s="13">
        <f>AVERAGE(B58:D58)</f>
        <v>6.7580489281164655E-2</v>
      </c>
      <c r="F58" s="12">
        <v>6.7599999999999993E-2</v>
      </c>
      <c r="G58" s="12">
        <v>6.7599999999999993E-2</v>
      </c>
      <c r="H58" s="12">
        <v>6.7599999999999993E-2</v>
      </c>
      <c r="I58" s="12">
        <v>6.7599999999999993E-2</v>
      </c>
    </row>
    <row r="59" spans="1:18" x14ac:dyDescent="0.25">
      <c r="A59" s="14" t="s">
        <v>178</v>
      </c>
      <c r="B59" s="12">
        <f>D15/D3</f>
        <v>1.9068008332884915E-2</v>
      </c>
      <c r="C59" s="12">
        <f>C15/C3</f>
        <v>1.3707811959273628E-2</v>
      </c>
      <c r="D59" s="12">
        <f>B15/B3</f>
        <v>7.771645385534297E-3</v>
      </c>
      <c r="E59" s="13">
        <f>AVERAGE(B59:D59)</f>
        <v>1.3515821892564282E-2</v>
      </c>
      <c r="F59" s="12">
        <v>1.35E-2</v>
      </c>
      <c r="G59" s="12">
        <v>1.35E-2</v>
      </c>
      <c r="H59" s="12">
        <v>1.35E-2</v>
      </c>
      <c r="I59" s="12">
        <v>1.35E-2</v>
      </c>
    </row>
    <row r="60" spans="1:18" x14ac:dyDescent="0.25">
      <c r="A60" s="4" t="s">
        <v>184</v>
      </c>
      <c r="B60" s="12">
        <f>D16/D3</f>
        <v>1.374464781261771E-2</v>
      </c>
      <c r="C60" s="12">
        <f>C16/C3</f>
        <v>1.0465730470101816E-2</v>
      </c>
      <c r="D60" s="12">
        <f>B16/B3</f>
        <v>7.2303911518600827E-3</v>
      </c>
      <c r="E60" s="12">
        <f>AVERAGE(B60:D60)</f>
        <v>1.0480256478193202E-2</v>
      </c>
      <c r="F60" s="12">
        <v>1.0500000000000001E-2</v>
      </c>
      <c r="G60" s="12">
        <v>1.0500000000000001E-2</v>
      </c>
      <c r="H60" s="12">
        <v>1.0500000000000001E-2</v>
      </c>
      <c r="I60" s="12">
        <v>1.0500000000000001E-2</v>
      </c>
    </row>
    <row r="61" spans="1:18" x14ac:dyDescent="0.25">
      <c r="A61" s="4" t="s">
        <v>199</v>
      </c>
      <c r="B61" s="12">
        <f>D17/D3</f>
        <v>1.6219914365001884E-3</v>
      </c>
      <c r="C61" s="12">
        <f>C17/C3</f>
        <v>-3.1692257253701983E-4</v>
      </c>
      <c r="D61" s="12">
        <f>B17/B3</f>
        <v>1.6401643444673156E-4</v>
      </c>
      <c r="E61" s="12">
        <f>AVERAGE(B61:D61)</f>
        <v>4.8969509946996672E-4</v>
      </c>
      <c r="F61" s="12">
        <f t="shared" ref="F61:I61" si="23">AVERAGE(C61:E61)</f>
        <v>1.1226298712655948E-4</v>
      </c>
      <c r="G61" s="12">
        <f t="shared" si="23"/>
        <v>2.5532484034775256E-4</v>
      </c>
      <c r="H61" s="12">
        <f t="shared" si="23"/>
        <v>2.8576097564809289E-4</v>
      </c>
      <c r="I61" s="12">
        <f t="shared" si="23"/>
        <v>2.1778293437413497E-4</v>
      </c>
    </row>
    <row r="62" spans="1:18" x14ac:dyDescent="0.25">
      <c r="A62" s="4" t="s">
        <v>186</v>
      </c>
      <c r="B62" s="12">
        <f>D20/D19</f>
        <v>0.15943836804235059</v>
      </c>
      <c r="C62" s="12">
        <f>C20/C19</f>
        <v>0.14428164731484103</v>
      </c>
      <c r="D62" s="12">
        <f>B20/B19</f>
        <v>0.13302260844085087</v>
      </c>
      <c r="E62" s="12">
        <v>0.13300000000000001</v>
      </c>
      <c r="F62" s="12">
        <v>0.13300000000000001</v>
      </c>
      <c r="G62" s="12">
        <v>0.13300000000000001</v>
      </c>
      <c r="H62" s="12">
        <v>0.13300000000000001</v>
      </c>
      <c r="I62" s="12">
        <v>0.13300000000000001</v>
      </c>
      <c r="M62" s="24" t="s">
        <v>222</v>
      </c>
      <c r="N62" s="24"/>
      <c r="O62" s="24"/>
      <c r="P62" s="24"/>
    </row>
    <row r="63" spans="1:18" x14ac:dyDescent="0.25">
      <c r="A63" s="4" t="s">
        <v>187</v>
      </c>
      <c r="B63" s="12">
        <f>D42/D3</f>
        <v>0.21238094505984456</v>
      </c>
      <c r="C63" s="12">
        <f>C42/C3</f>
        <v>0.20913611278072236</v>
      </c>
      <c r="D63" s="12">
        <f>B42/B3</f>
        <v>0.25881793355694238</v>
      </c>
      <c r="E63" s="12">
        <f>AVERAGE(B63:D63)</f>
        <v>0.22677833046583643</v>
      </c>
      <c r="F63" s="12">
        <v>0.2268</v>
      </c>
      <c r="G63" s="12">
        <v>0.2268</v>
      </c>
      <c r="H63" s="12">
        <v>0.2268</v>
      </c>
      <c r="I63" s="12">
        <v>0.2268</v>
      </c>
    </row>
    <row r="64" spans="1:18" x14ac:dyDescent="0.25">
      <c r="A64" s="4" t="s">
        <v>188</v>
      </c>
      <c r="B64" s="12">
        <f>D46/D3</f>
        <v>4.8225418373857493E-2</v>
      </c>
      <c r="C64" s="12">
        <f>C46/C3</f>
        <v>4.0274666229532081E-2</v>
      </c>
      <c r="D64" s="12">
        <f>B46/B3</f>
        <v>3.084602410494865E-2</v>
      </c>
      <c r="E64" s="12">
        <f>AVERAGE(B64:D64)</f>
        <v>3.978203623611274E-2</v>
      </c>
      <c r="F64" s="12">
        <v>3.9800000000000002E-2</v>
      </c>
      <c r="G64" s="12">
        <v>3.9800000000000002E-2</v>
      </c>
      <c r="H64" s="12">
        <v>3.9800000000000002E-2</v>
      </c>
      <c r="I64" s="12">
        <v>3.9800000000000002E-2</v>
      </c>
    </row>
    <row r="65" spans="1:9 16384:16384" x14ac:dyDescent="0.25">
      <c r="A65" s="4" t="s">
        <v>189</v>
      </c>
      <c r="B65" s="12">
        <f>D47/D3</f>
        <v>0.21947235311752905</v>
      </c>
      <c r="C65" s="12">
        <f>C46/C3</f>
        <v>4.0274666229532081E-2</v>
      </c>
      <c r="D65" s="12">
        <f>B47/B3</f>
        <v>-7.9181667336400446E-2</v>
      </c>
      <c r="E65" s="12">
        <f>AVERAGE(B65:D65)</f>
        <v>6.0188450670220224E-2</v>
      </c>
      <c r="F65" s="12">
        <v>6.0199999999999997E-2</v>
      </c>
      <c r="G65" s="12">
        <v>6.0199999999999997E-2</v>
      </c>
      <c r="H65" s="12">
        <v>6.0199999999999997E-2</v>
      </c>
      <c r="I65" s="12">
        <v>6.0199999999999997E-2</v>
      </c>
    </row>
    <row r="66" spans="1:9 16384:16384" x14ac:dyDescent="0.25">
      <c r="A66" s="4" t="s">
        <v>190</v>
      </c>
      <c r="B66" s="12">
        <f>D49/D3</f>
        <v>-4.033838892433525E-2</v>
      </c>
      <c r="C66" s="12">
        <f>C49/C3</f>
        <v>-2.6625138881299748E-2</v>
      </c>
      <c r="D66" s="12">
        <f>B49/B3</f>
        <v>-3.0302036264033657E-2</v>
      </c>
      <c r="E66" s="12">
        <f>AVERAGE(B66:D66)</f>
        <v>-3.2421854689889555E-2</v>
      </c>
      <c r="F66" s="12">
        <v>3.2399999999999998E-2</v>
      </c>
      <c r="G66" s="12">
        <v>3.2399999999999998E-2</v>
      </c>
      <c r="H66" s="12">
        <v>3.2399999999999998E-2</v>
      </c>
      <c r="I66" s="12">
        <v>3.2399999999999998E-2</v>
      </c>
      <c r="XFD66" s="1" t="s">
        <v>93</v>
      </c>
    </row>
    <row r="67" spans="1:9 16384:16384" x14ac:dyDescent="0.25">
      <c r="A67" s="4" t="s">
        <v>191</v>
      </c>
      <c r="B67" s="12">
        <f>D51/C3</f>
        <v>-5.5432307888457828E-2</v>
      </c>
      <c r="C67" s="12">
        <f>C51/C3</f>
        <v>5.5432307888457828E-2</v>
      </c>
      <c r="D67" s="12">
        <f>B51/B3</f>
        <v>4.1985473611122502E-2</v>
      </c>
      <c r="E67" s="12">
        <f>AVERAGE(B67:D67)</f>
        <v>1.3995157870374168E-2</v>
      </c>
      <c r="F67" s="12">
        <v>1.4E-2</v>
      </c>
      <c r="G67" s="12">
        <v>1.4E-2</v>
      </c>
      <c r="H67" s="12">
        <v>1.4E-2</v>
      </c>
      <c r="I67" s="12">
        <v>1.4E-2</v>
      </c>
    </row>
    <row r="68" spans="1:9 16384:16384" x14ac:dyDescent="0.25">
      <c r="B68" s="10"/>
      <c r="C68" s="10"/>
      <c r="D68" s="10"/>
      <c r="E68" s="10"/>
      <c r="F68" s="10"/>
      <c r="G68" s="10"/>
      <c r="H68" s="10"/>
      <c r="I68" s="10"/>
    </row>
    <row r="69" spans="1:9 16384:16384" x14ac:dyDescent="0.25">
      <c r="A69" s="57" t="s">
        <v>216</v>
      </c>
      <c r="B69" s="57">
        <f>NPV(O6,B54:I54)</f>
        <v>348684.54127186938</v>
      </c>
      <c r="D69" s="60" t="s">
        <v>228</v>
      </c>
    </row>
    <row r="70" spans="1:9 16384:16384" x14ac:dyDescent="0.25">
      <c r="A70" s="55" t="s">
        <v>217</v>
      </c>
      <c r="B70" s="55">
        <v>1607</v>
      </c>
      <c r="D70" s="61" t="s">
        <v>227</v>
      </c>
    </row>
    <row r="71" spans="1:9 16384:16384" x14ac:dyDescent="0.25">
      <c r="A71" s="57" t="s">
        <v>218</v>
      </c>
      <c r="B71" s="57">
        <f>B69/B70</f>
        <v>216.97855710757273</v>
      </c>
      <c r="D71" s="61" t="s">
        <v>224</v>
      </c>
    </row>
    <row r="72" spans="1:9 16384:16384" x14ac:dyDescent="0.25">
      <c r="A72" s="55" t="s">
        <v>219</v>
      </c>
      <c r="B72" s="55">
        <v>145.44999999999999</v>
      </c>
      <c r="D72" s="61" t="s">
        <v>225</v>
      </c>
    </row>
    <row r="73" spans="1:9 16384:16384" x14ac:dyDescent="0.25">
      <c r="A73" s="57" t="s">
        <v>220</v>
      </c>
      <c r="B73" s="58" t="str">
        <f>IF(B71&gt;B72,"Buy","Sell")</f>
        <v>Buy</v>
      </c>
      <c r="D73" s="61" t="s">
        <v>229</v>
      </c>
    </row>
    <row r="74" spans="1:9 16384:16384" x14ac:dyDescent="0.25">
      <c r="A74" s="55" t="s">
        <v>221</v>
      </c>
      <c r="B74" s="69">
        <f>B71/B72-1</f>
        <v>0.49177419805825195</v>
      </c>
      <c r="D74" s="62" t="s">
        <v>226</v>
      </c>
    </row>
  </sheetData>
  <mergeCells count="2">
    <mergeCell ref="E1:I1"/>
    <mergeCell ref="N11:O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40D20-E8D4-4599-AE45-E39007E5D282}">
  <dimension ref="A2:D56"/>
  <sheetViews>
    <sheetView showGridLines="0" topLeftCell="A31" workbookViewId="0">
      <selection activeCell="G42" sqref="G42"/>
    </sheetView>
  </sheetViews>
  <sheetFormatPr defaultRowHeight="15" x14ac:dyDescent="0.25"/>
  <cols>
    <col min="1" max="1" width="43.85546875" style="35" bestFit="1" customWidth="1"/>
    <col min="2" max="2" width="14.85546875" style="35" customWidth="1"/>
    <col min="3" max="4" width="13" style="35" customWidth="1"/>
    <col min="5" max="5" width="9.140625" style="35"/>
    <col min="6" max="8" width="11" style="35" bestFit="1" customWidth="1"/>
    <col min="9" max="9" width="10" style="35" bestFit="1" customWidth="1"/>
    <col min="10" max="16384" width="9.140625" style="35"/>
  </cols>
  <sheetData>
    <row r="2" spans="1:4" x14ac:dyDescent="0.25">
      <c r="A2" s="43" t="s">
        <v>149</v>
      </c>
      <c r="B2" s="44" t="s">
        <v>0</v>
      </c>
      <c r="C2" s="44" t="s">
        <v>1</v>
      </c>
      <c r="D2" s="44" t="s">
        <v>2</v>
      </c>
    </row>
    <row r="3" spans="1:4" x14ac:dyDescent="0.25">
      <c r="A3" s="39" t="s">
        <v>95</v>
      </c>
      <c r="B3" s="39">
        <v>104038</v>
      </c>
      <c r="C3" s="39">
        <v>80674</v>
      </c>
      <c r="D3" s="39">
        <v>69391</v>
      </c>
    </row>
    <row r="4" spans="1:4" x14ac:dyDescent="0.25">
      <c r="A4" s="39" t="s">
        <v>96</v>
      </c>
      <c r="B4" s="39">
        <v>104038</v>
      </c>
      <c r="C4" s="39">
        <v>80674</v>
      </c>
      <c r="D4" s="39">
        <v>69391</v>
      </c>
    </row>
    <row r="5" spans="1:4" x14ac:dyDescent="0.25">
      <c r="A5" s="39" t="s">
        <v>97</v>
      </c>
      <c r="B5" s="39">
        <v>94680</v>
      </c>
      <c r="C5" s="39">
        <v>57411</v>
      </c>
      <c r="D5" s="39">
        <v>55256</v>
      </c>
    </row>
    <row r="6" spans="1:4" x14ac:dyDescent="0.25">
      <c r="A6" s="39" t="s">
        <v>98</v>
      </c>
      <c r="B6" s="39">
        <v>11284</v>
      </c>
      <c r="C6" s="39">
        <v>11056</v>
      </c>
      <c r="D6" s="39">
        <v>12547</v>
      </c>
    </row>
    <row r="7" spans="1:4" x14ac:dyDescent="0.25">
      <c r="A7" s="39" t="s">
        <v>99</v>
      </c>
      <c r="B7" s="39">
        <v>11284</v>
      </c>
      <c r="C7" s="39">
        <v>11056</v>
      </c>
      <c r="D7" s="39">
        <v>12547</v>
      </c>
    </row>
    <row r="8" spans="1:4" x14ac:dyDescent="0.25">
      <c r="A8" s="39" t="s">
        <v>100</v>
      </c>
      <c r="B8" s="39">
        <v>-4774</v>
      </c>
      <c r="C8" s="39">
        <v>-215</v>
      </c>
      <c r="D8" s="39">
        <v>-340</v>
      </c>
    </row>
    <row r="9" spans="1:4" x14ac:dyDescent="0.25">
      <c r="A9" s="39" t="s">
        <v>101</v>
      </c>
      <c r="B9" s="39">
        <v>-4774</v>
      </c>
      <c r="C9" s="39">
        <v>-215</v>
      </c>
      <c r="D9" s="39">
        <v>-340</v>
      </c>
    </row>
    <row r="10" spans="1:4" x14ac:dyDescent="0.25">
      <c r="A10" s="39" t="s">
        <v>102</v>
      </c>
      <c r="B10" s="39">
        <v>7906</v>
      </c>
      <c r="C10" s="39">
        <v>6829</v>
      </c>
      <c r="D10" s="39">
        <v>6068</v>
      </c>
    </row>
    <row r="11" spans="1:4" x14ac:dyDescent="0.25">
      <c r="A11" s="39" t="s">
        <v>103</v>
      </c>
      <c r="B11" s="39">
        <v>-147</v>
      </c>
      <c r="C11" s="39">
        <v>-97</v>
      </c>
      <c r="D11" s="39">
        <v>-652</v>
      </c>
    </row>
    <row r="12" spans="1:4" x14ac:dyDescent="0.25">
      <c r="A12" s="39" t="s">
        <v>104</v>
      </c>
      <c r="B12" s="39">
        <v>-4911</v>
      </c>
      <c r="C12" s="39">
        <v>5690</v>
      </c>
      <c r="D12" s="39">
        <v>-3488</v>
      </c>
    </row>
    <row r="13" spans="1:4" x14ac:dyDescent="0.25">
      <c r="A13" s="39" t="s">
        <v>105</v>
      </c>
      <c r="B13" s="39">
        <v>-14028</v>
      </c>
      <c r="C13" s="39">
        <v>8470</v>
      </c>
      <c r="D13" s="39">
        <v>3176</v>
      </c>
    </row>
    <row r="14" spans="1:4" x14ac:dyDescent="0.25">
      <c r="A14" s="39" t="s">
        <v>106</v>
      </c>
      <c r="B14" s="39">
        <v>-10125</v>
      </c>
      <c r="C14" s="39">
        <v>6917</v>
      </c>
      <c r="D14" s="39">
        <v>245</v>
      </c>
    </row>
    <row r="15" spans="1:4" x14ac:dyDescent="0.25">
      <c r="A15" s="39" t="s">
        <v>107</v>
      </c>
      <c r="B15" s="39">
        <v>-2642</v>
      </c>
      <c r="C15" s="39">
        <v>-127</v>
      </c>
      <c r="D15" s="39">
        <v>-289</v>
      </c>
    </row>
    <row r="16" spans="1:4" x14ac:dyDescent="0.25">
      <c r="A16" s="39" t="s">
        <v>108</v>
      </c>
      <c r="B16" s="39">
        <v>12326</v>
      </c>
      <c r="C16" s="39">
        <v>-4062</v>
      </c>
      <c r="D16" s="39">
        <v>-1923</v>
      </c>
    </row>
    <row r="17" spans="1:4" x14ac:dyDescent="0.25">
      <c r="A17" s="39" t="s">
        <v>109</v>
      </c>
      <c r="B17" s="39">
        <v>12326</v>
      </c>
      <c r="C17" s="39">
        <v>-4062</v>
      </c>
      <c r="D17" s="39">
        <v>-1923</v>
      </c>
    </row>
    <row r="18" spans="1:4" x14ac:dyDescent="0.25">
      <c r="A18" s="39" t="s">
        <v>110</v>
      </c>
      <c r="B18" s="39">
        <v>12326</v>
      </c>
      <c r="C18" s="39">
        <v>-4062</v>
      </c>
      <c r="D18" s="39">
        <v>-1923</v>
      </c>
    </row>
    <row r="19" spans="1:4" x14ac:dyDescent="0.25">
      <c r="A19" s="39" t="s">
        <v>111</v>
      </c>
      <c r="B19" s="39">
        <v>-8042</v>
      </c>
      <c r="C19" s="39">
        <v>-9588</v>
      </c>
      <c r="D19" s="39">
        <v>873</v>
      </c>
    </row>
    <row r="20" spans="1:4" x14ac:dyDescent="0.25">
      <c r="A20" s="39" t="s">
        <v>112</v>
      </c>
      <c r="B20" s="39">
        <v>5799</v>
      </c>
      <c r="C20" s="39">
        <v>8916</v>
      </c>
      <c r="D20" s="39">
        <v>-4700</v>
      </c>
    </row>
    <row r="21" spans="1:4" x14ac:dyDescent="0.25">
      <c r="A21" s="39" t="s">
        <v>113</v>
      </c>
      <c r="B21" s="39">
        <v>1676</v>
      </c>
      <c r="C21" s="39">
        <v>2081</v>
      </c>
      <c r="D21" s="39">
        <v>-625</v>
      </c>
    </row>
    <row r="22" spans="1:4" x14ac:dyDescent="0.25">
      <c r="A22" s="39" t="s">
        <v>114</v>
      </c>
      <c r="B22" s="39">
        <v>-14545</v>
      </c>
      <c r="C22" s="39">
        <v>-4289</v>
      </c>
      <c r="D22" s="39">
        <v>45896</v>
      </c>
    </row>
    <row r="23" spans="1:4" x14ac:dyDescent="0.25">
      <c r="A23" s="39" t="s">
        <v>115</v>
      </c>
      <c r="B23" s="39">
        <v>-14545</v>
      </c>
      <c r="C23" s="39">
        <v>-4289</v>
      </c>
      <c r="D23" s="39">
        <v>45896</v>
      </c>
    </row>
    <row r="24" spans="1:4" x14ac:dyDescent="0.25">
      <c r="A24" s="39" t="s">
        <v>116</v>
      </c>
      <c r="B24" s="39">
        <v>-11085</v>
      </c>
      <c r="C24" s="39">
        <v>-7309</v>
      </c>
      <c r="D24" s="39">
        <v>-10495</v>
      </c>
    </row>
    <row r="25" spans="1:4" x14ac:dyDescent="0.25">
      <c r="A25" s="39" t="s">
        <v>117</v>
      </c>
      <c r="B25" s="39">
        <v>-11085</v>
      </c>
      <c r="C25" s="39">
        <v>-7309</v>
      </c>
      <c r="D25" s="39">
        <v>-10495</v>
      </c>
    </row>
    <row r="26" spans="1:4" x14ac:dyDescent="0.25">
      <c r="A26" s="39" t="s">
        <v>118</v>
      </c>
      <c r="B26" s="39">
        <v>-33</v>
      </c>
      <c r="C26" s="39">
        <v>-1524</v>
      </c>
      <c r="D26" s="39">
        <v>-624</v>
      </c>
    </row>
    <row r="27" spans="1:4" x14ac:dyDescent="0.25">
      <c r="A27" s="39" t="s">
        <v>119</v>
      </c>
      <c r="B27" s="39">
        <v>-33</v>
      </c>
      <c r="C27" s="39">
        <v>-1524</v>
      </c>
      <c r="D27" s="39">
        <v>-624</v>
      </c>
    </row>
    <row r="28" spans="1:4" x14ac:dyDescent="0.25">
      <c r="A28" s="39" t="s">
        <v>120</v>
      </c>
      <c r="B28" s="39">
        <v>-2819</v>
      </c>
      <c r="C28" s="39">
        <v>5335</v>
      </c>
      <c r="D28" s="39">
        <v>58093</v>
      </c>
    </row>
    <row r="29" spans="1:4" x14ac:dyDescent="0.25">
      <c r="A29" s="39" t="s">
        <v>121</v>
      </c>
      <c r="B29" s="39">
        <v>-109689</v>
      </c>
      <c r="C29" s="39">
        <v>-115148</v>
      </c>
      <c r="D29" s="39">
        <v>-40631</v>
      </c>
    </row>
    <row r="30" spans="1:4" x14ac:dyDescent="0.25">
      <c r="A30" s="39" t="s">
        <v>122</v>
      </c>
      <c r="B30" s="39">
        <v>106870</v>
      </c>
      <c r="C30" s="39">
        <v>120483</v>
      </c>
      <c r="D30" s="39">
        <v>98724</v>
      </c>
    </row>
    <row r="31" spans="1:4" x14ac:dyDescent="0.25">
      <c r="A31" s="39" t="s">
        <v>123</v>
      </c>
      <c r="B31" s="39">
        <v>-0.60799999999999998</v>
      </c>
      <c r="C31" s="39">
        <v>-0.79100000000000004</v>
      </c>
      <c r="D31" s="39">
        <v>-1078</v>
      </c>
    </row>
    <row r="32" spans="1:4" x14ac:dyDescent="0.25">
      <c r="A32" s="39" t="s">
        <v>124</v>
      </c>
      <c r="B32" s="39">
        <v>-93353</v>
      </c>
      <c r="C32" s="39">
        <v>-86820</v>
      </c>
      <c r="D32" s="39">
        <v>-90976</v>
      </c>
    </row>
    <row r="33" spans="1:4" x14ac:dyDescent="0.25">
      <c r="A33" s="39" t="s">
        <v>125</v>
      </c>
      <c r="B33" s="39">
        <v>-93353</v>
      </c>
      <c r="C33" s="39">
        <v>-86820</v>
      </c>
      <c r="D33" s="39">
        <v>-90976</v>
      </c>
    </row>
    <row r="34" spans="1:4" x14ac:dyDescent="0.25">
      <c r="A34" s="39" t="s">
        <v>126</v>
      </c>
      <c r="B34" s="39">
        <v>12665</v>
      </c>
      <c r="C34" s="39">
        <v>2499</v>
      </c>
      <c r="D34" s="39">
        <v>-7819</v>
      </c>
    </row>
    <row r="35" spans="1:4" x14ac:dyDescent="0.25">
      <c r="A35" s="39" t="s">
        <v>127</v>
      </c>
      <c r="B35" s="39">
        <v>11643</v>
      </c>
      <c r="C35" s="39">
        <v>3462</v>
      </c>
      <c r="D35" s="39">
        <v>-1842</v>
      </c>
    </row>
    <row r="36" spans="1:4" x14ac:dyDescent="0.25">
      <c r="A36" s="39" t="s">
        <v>128</v>
      </c>
      <c r="B36" s="39">
        <v>20393</v>
      </c>
      <c r="C36" s="39">
        <v>16091</v>
      </c>
      <c r="D36" s="39">
        <v>6963</v>
      </c>
    </row>
    <row r="37" spans="1:4" x14ac:dyDescent="0.25">
      <c r="A37" s="39" t="s">
        <v>129</v>
      </c>
      <c r="B37" s="39">
        <v>-8750</v>
      </c>
      <c r="C37" s="39">
        <v>-12629</v>
      </c>
      <c r="D37" s="39">
        <v>-8805</v>
      </c>
    </row>
    <row r="38" spans="1:4" x14ac:dyDescent="0.25">
      <c r="A38" s="39" t="s">
        <v>130</v>
      </c>
      <c r="B38" s="39">
        <v>1022</v>
      </c>
      <c r="C38" s="39">
        <v>-963</v>
      </c>
      <c r="D38" s="39">
        <v>-5977</v>
      </c>
    </row>
    <row r="39" spans="1:4" x14ac:dyDescent="0.25">
      <c r="A39" s="39" t="s">
        <v>131</v>
      </c>
      <c r="B39" s="39" t="s">
        <v>93</v>
      </c>
      <c r="C39" s="39">
        <v>-963</v>
      </c>
      <c r="D39" s="39" t="s">
        <v>93</v>
      </c>
    </row>
    <row r="40" spans="1:4" x14ac:dyDescent="0.25">
      <c r="A40" s="39" t="s">
        <v>132</v>
      </c>
      <c r="B40" s="39">
        <v>-84866</v>
      </c>
      <c r="C40" s="39">
        <v>-71478</v>
      </c>
      <c r="D40" s="39">
        <v>-66116</v>
      </c>
    </row>
    <row r="41" spans="1:4" x14ac:dyDescent="0.25">
      <c r="A41" s="39" t="s">
        <v>133</v>
      </c>
      <c r="B41" s="39">
        <v>1105</v>
      </c>
      <c r="C41" s="39">
        <v>880</v>
      </c>
      <c r="D41" s="39">
        <v>781</v>
      </c>
    </row>
    <row r="42" spans="1:4" x14ac:dyDescent="0.25">
      <c r="A42" s="39" t="s">
        <v>134</v>
      </c>
      <c r="B42" s="39">
        <v>-85971</v>
      </c>
      <c r="C42" s="39">
        <v>-72358</v>
      </c>
      <c r="D42" s="39">
        <v>-66897</v>
      </c>
    </row>
    <row r="43" spans="1:4" x14ac:dyDescent="0.25">
      <c r="A43" s="39" t="s">
        <v>135</v>
      </c>
      <c r="B43" s="39">
        <v>-14467</v>
      </c>
      <c r="C43" s="39">
        <v>-14081</v>
      </c>
      <c r="D43" s="39">
        <v>-14119</v>
      </c>
    </row>
    <row r="44" spans="1:4" x14ac:dyDescent="0.25">
      <c r="A44" s="39" t="s">
        <v>136</v>
      </c>
      <c r="B44" s="39">
        <v>-14467</v>
      </c>
      <c r="C44" s="39">
        <v>-14081</v>
      </c>
      <c r="D44" s="39">
        <v>-14119</v>
      </c>
    </row>
    <row r="45" spans="1:4" x14ac:dyDescent="0.25">
      <c r="A45" s="39" t="s">
        <v>137</v>
      </c>
      <c r="B45" s="39">
        <v>-6685</v>
      </c>
      <c r="C45" s="39">
        <v>-3760</v>
      </c>
      <c r="D45" s="39">
        <v>-2922</v>
      </c>
    </row>
    <row r="46" spans="1:4" x14ac:dyDescent="0.25">
      <c r="A46" s="39" t="s">
        <v>138</v>
      </c>
      <c r="B46" s="39">
        <v>35929</v>
      </c>
      <c r="C46" s="39">
        <v>39789</v>
      </c>
      <c r="D46" s="39">
        <v>50224</v>
      </c>
    </row>
    <row r="47" spans="1:4" x14ac:dyDescent="0.25">
      <c r="A47" s="39" t="s">
        <v>139</v>
      </c>
      <c r="B47" s="39">
        <v>-3860</v>
      </c>
      <c r="C47" s="39">
        <v>-10435</v>
      </c>
      <c r="D47" s="39">
        <v>24311</v>
      </c>
    </row>
    <row r="48" spans="1:4" x14ac:dyDescent="0.25">
      <c r="A48" s="39" t="s">
        <v>140</v>
      </c>
      <c r="B48" s="39">
        <v>39789</v>
      </c>
      <c r="C48" s="39">
        <v>50224</v>
      </c>
      <c r="D48" s="39">
        <v>25913</v>
      </c>
    </row>
    <row r="49" spans="1:4" x14ac:dyDescent="0.25">
      <c r="A49" s="39" t="s">
        <v>141</v>
      </c>
      <c r="B49" s="39">
        <v>25385</v>
      </c>
      <c r="C49" s="39">
        <v>9501</v>
      </c>
      <c r="D49" s="39">
        <v>15263</v>
      </c>
    </row>
    <row r="50" spans="1:4" x14ac:dyDescent="0.25">
      <c r="A50" s="39" t="s">
        <v>142</v>
      </c>
      <c r="B50" s="39">
        <v>2687</v>
      </c>
      <c r="C50" s="39">
        <v>3002</v>
      </c>
      <c r="D50" s="39">
        <v>3423</v>
      </c>
    </row>
    <row r="51" spans="1:4" x14ac:dyDescent="0.25">
      <c r="A51" s="39" t="s">
        <v>143</v>
      </c>
      <c r="B51" s="39">
        <v>-11085</v>
      </c>
      <c r="C51" s="39">
        <v>-7309</v>
      </c>
      <c r="D51" s="39">
        <v>-10495</v>
      </c>
    </row>
    <row r="52" spans="1:4" x14ac:dyDescent="0.25">
      <c r="A52" s="39" t="s">
        <v>144</v>
      </c>
      <c r="B52" s="39">
        <v>1105</v>
      </c>
      <c r="C52" s="39">
        <v>880</v>
      </c>
      <c r="D52" s="39">
        <v>781</v>
      </c>
    </row>
    <row r="53" spans="1:4" x14ac:dyDescent="0.25">
      <c r="A53" s="39" t="s">
        <v>145</v>
      </c>
      <c r="B53" s="39">
        <v>20393</v>
      </c>
      <c r="C53" s="39">
        <v>16091</v>
      </c>
      <c r="D53" s="39">
        <v>6963</v>
      </c>
    </row>
    <row r="54" spans="1:4" x14ac:dyDescent="0.25">
      <c r="A54" s="39" t="s">
        <v>146</v>
      </c>
      <c r="B54" s="39">
        <v>-8750</v>
      </c>
      <c r="C54" s="39">
        <v>-12629</v>
      </c>
      <c r="D54" s="39">
        <v>-8805</v>
      </c>
    </row>
    <row r="55" spans="1:4" x14ac:dyDescent="0.25">
      <c r="A55" s="39" t="s">
        <v>147</v>
      </c>
      <c r="B55" s="39">
        <v>-85971</v>
      </c>
      <c r="C55" s="39">
        <v>-72358</v>
      </c>
      <c r="D55" s="39">
        <v>-66897</v>
      </c>
    </row>
    <row r="56" spans="1:4" x14ac:dyDescent="0.25">
      <c r="A56" s="39" t="s">
        <v>148</v>
      </c>
      <c r="B56" s="39">
        <v>92953</v>
      </c>
      <c r="C56" s="39">
        <v>73365</v>
      </c>
      <c r="D56" s="39">
        <v>58896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EE5E6-CAAC-4B16-8A09-36E8F19FC205}">
  <dimension ref="A2:O59"/>
  <sheetViews>
    <sheetView topLeftCell="A11" workbookViewId="0">
      <selection activeCell="F17" sqref="A17:F20"/>
    </sheetView>
  </sheetViews>
  <sheetFormatPr defaultRowHeight="15" x14ac:dyDescent="0.25"/>
  <cols>
    <col min="1" max="1" width="46" style="35" bestFit="1" customWidth="1"/>
    <col min="2" max="4" width="10.5703125" style="35" bestFit="1" customWidth="1"/>
    <col min="5" max="6" width="50.7109375" style="35" customWidth="1"/>
    <col min="7" max="7" width="29" style="35" bestFit="1" customWidth="1"/>
    <col min="8" max="8" width="10" style="35" bestFit="1" customWidth="1"/>
    <col min="9" max="9" width="30.28515625" style="35" bestFit="1" customWidth="1"/>
    <col min="10" max="10" width="10" style="35" bestFit="1" customWidth="1"/>
    <col min="11" max="11" width="9.140625" style="35"/>
    <col min="12" max="12" width="29" style="35" bestFit="1" customWidth="1"/>
    <col min="13" max="13" width="10" style="35" bestFit="1" customWidth="1"/>
    <col min="14" max="14" width="30.28515625" style="35" bestFit="1" customWidth="1"/>
    <col min="15" max="15" width="10" style="35" bestFit="1" customWidth="1"/>
    <col min="16" max="16" width="9.5703125" style="35" customWidth="1"/>
    <col min="17" max="16384" width="9.140625" style="35"/>
  </cols>
  <sheetData>
    <row r="2" spans="1:15" ht="15.75" thickBot="1" x14ac:dyDescent="0.3">
      <c r="A2" s="34" t="s">
        <v>198</v>
      </c>
      <c r="B2" s="34" t="s">
        <v>0</v>
      </c>
      <c r="C2" s="34" t="s">
        <v>1</v>
      </c>
      <c r="D2" s="34" t="s">
        <v>2</v>
      </c>
    </row>
    <row r="3" spans="1:15" ht="16.5" thickTop="1" thickBot="1" x14ac:dyDescent="0.3">
      <c r="A3" s="63" t="s">
        <v>38</v>
      </c>
      <c r="B3" s="63">
        <v>351002</v>
      </c>
      <c r="C3" s="63">
        <v>323888</v>
      </c>
      <c r="D3" s="63">
        <v>338516</v>
      </c>
      <c r="E3" s="35" t="s">
        <v>93</v>
      </c>
    </row>
    <row r="4" spans="1:15" ht="15.75" thickTop="1" x14ac:dyDescent="0.25">
      <c r="A4" s="37" t="s">
        <v>155</v>
      </c>
      <c r="B4" s="37">
        <f>SUM(B5,B10,B13,B14)</f>
        <v>134836</v>
      </c>
      <c r="C4" s="37">
        <f t="shared" ref="C4:D4" si="0">SUM(C5,C10,C13,C14)</f>
        <v>143713</v>
      </c>
      <c r="D4" s="37">
        <f t="shared" si="0"/>
        <v>162819</v>
      </c>
    </row>
    <row r="5" spans="1:15" x14ac:dyDescent="0.25">
      <c r="A5" s="37" t="s">
        <v>94</v>
      </c>
      <c r="B5" s="37">
        <f>SUM(B6,B9)</f>
        <v>62639</v>
      </c>
      <c r="C5" s="37">
        <f t="shared" ref="C5:D5" si="1">SUM(C6,C9)</f>
        <v>90943</v>
      </c>
      <c r="D5" s="37">
        <f t="shared" si="1"/>
        <v>100557</v>
      </c>
    </row>
    <row r="6" spans="1:15" x14ac:dyDescent="0.25">
      <c r="A6" s="37" t="s">
        <v>39</v>
      </c>
      <c r="B6" s="37">
        <f>SUM(B7:B8)</f>
        <v>34940</v>
      </c>
      <c r="C6" s="37">
        <f t="shared" ref="C6:D6" si="2">SUM(C7:C8)</f>
        <v>38016</v>
      </c>
      <c r="D6" s="37">
        <f t="shared" si="2"/>
        <v>48844</v>
      </c>
      <c r="G6" s="35">
        <v>2021</v>
      </c>
      <c r="L6" s="35">
        <v>2019</v>
      </c>
    </row>
    <row r="7" spans="1:15" x14ac:dyDescent="0.25">
      <c r="A7" s="38" t="s">
        <v>40</v>
      </c>
      <c r="B7" s="38">
        <v>17305</v>
      </c>
      <c r="C7" s="38">
        <v>17773</v>
      </c>
      <c r="D7" s="38">
        <v>12204</v>
      </c>
      <c r="G7" s="82" t="s">
        <v>154</v>
      </c>
      <c r="H7" s="82"/>
      <c r="I7" s="82"/>
      <c r="J7" s="82"/>
      <c r="L7" s="82" t="s">
        <v>154</v>
      </c>
      <c r="M7" s="82"/>
      <c r="N7" s="82"/>
      <c r="O7" s="82"/>
    </row>
    <row r="8" spans="1:15" x14ac:dyDescent="0.25">
      <c r="A8" s="38" t="s">
        <v>41</v>
      </c>
      <c r="B8" s="38">
        <v>17635</v>
      </c>
      <c r="C8" s="38">
        <v>20243</v>
      </c>
      <c r="D8" s="38">
        <v>36640</v>
      </c>
      <c r="G8" s="39" t="s">
        <v>157</v>
      </c>
      <c r="H8" s="39">
        <f>B4</f>
        <v>134836</v>
      </c>
      <c r="I8" s="39" t="s">
        <v>160</v>
      </c>
      <c r="J8" s="39">
        <f>B28</f>
        <v>125481</v>
      </c>
      <c r="L8" s="39" t="s">
        <v>157</v>
      </c>
      <c r="M8" s="39">
        <f>D4</f>
        <v>162819</v>
      </c>
      <c r="N8" s="39" t="s">
        <v>160</v>
      </c>
      <c r="O8" s="39">
        <f>D28</f>
        <v>105718</v>
      </c>
    </row>
    <row r="9" spans="1:15" x14ac:dyDescent="0.25">
      <c r="A9" s="38" t="s">
        <v>42</v>
      </c>
      <c r="B9" s="38">
        <v>27699</v>
      </c>
      <c r="C9" s="38">
        <v>52927</v>
      </c>
      <c r="D9" s="38">
        <v>51713</v>
      </c>
      <c r="G9" s="39" t="s">
        <v>156</v>
      </c>
      <c r="H9" s="39">
        <f>C4</f>
        <v>143713</v>
      </c>
      <c r="I9" s="39" t="s">
        <v>161</v>
      </c>
      <c r="J9" s="39">
        <f>C28</f>
        <v>105392</v>
      </c>
      <c r="L9" s="39" t="s">
        <v>156</v>
      </c>
      <c r="M9" s="39">
        <f>H4</f>
        <v>0</v>
      </c>
      <c r="N9" s="39" t="s">
        <v>161</v>
      </c>
      <c r="O9" s="39">
        <f>H28</f>
        <v>0</v>
      </c>
    </row>
    <row r="10" spans="1:15" x14ac:dyDescent="0.25">
      <c r="A10" s="37" t="s">
        <v>43</v>
      </c>
      <c r="B10" s="37">
        <f>SUM(B11:B12)</f>
        <v>51506</v>
      </c>
      <c r="C10" s="37">
        <f t="shared" ref="C10:D10" si="3">SUM(C11:C12)</f>
        <v>37445</v>
      </c>
      <c r="D10" s="37">
        <f t="shared" si="3"/>
        <v>45804</v>
      </c>
      <c r="G10" s="36" t="s">
        <v>158</v>
      </c>
      <c r="H10" s="36">
        <f>H8-H9</f>
        <v>-8877</v>
      </c>
      <c r="I10" s="36" t="s">
        <v>159</v>
      </c>
      <c r="J10" s="39">
        <f>J8-J9</f>
        <v>20089</v>
      </c>
      <c r="L10" s="36" t="s">
        <v>158</v>
      </c>
      <c r="M10" s="36">
        <f>M8-M9</f>
        <v>162819</v>
      </c>
      <c r="N10" s="36" t="s">
        <v>159</v>
      </c>
      <c r="O10" s="39">
        <f>O8-O9</f>
        <v>105718</v>
      </c>
    </row>
    <row r="11" spans="1:15" x14ac:dyDescent="0.25">
      <c r="A11" s="38" t="s">
        <v>44</v>
      </c>
      <c r="B11" s="38">
        <v>26278</v>
      </c>
      <c r="C11" s="38">
        <v>16120</v>
      </c>
      <c r="D11" s="38">
        <v>22926</v>
      </c>
      <c r="G11" s="36" t="s">
        <v>154</v>
      </c>
      <c r="H11" s="36">
        <f>H10-J10</f>
        <v>-28966</v>
      </c>
      <c r="I11" s="36" t="s">
        <v>93</v>
      </c>
      <c r="J11" s="39"/>
      <c r="L11" s="36" t="s">
        <v>154</v>
      </c>
      <c r="M11" s="36">
        <f>M10-O10</f>
        <v>57101</v>
      </c>
      <c r="N11" s="36" t="s">
        <v>93</v>
      </c>
      <c r="O11" s="39"/>
    </row>
    <row r="12" spans="1:15" x14ac:dyDescent="0.25">
      <c r="A12" s="38" t="s">
        <v>45</v>
      </c>
      <c r="B12" s="38">
        <v>25228</v>
      </c>
      <c r="C12" s="38">
        <v>21325</v>
      </c>
      <c r="D12" s="38">
        <v>22878</v>
      </c>
    </row>
    <row r="13" spans="1:15" x14ac:dyDescent="0.25">
      <c r="A13" s="37" t="s">
        <v>46</v>
      </c>
      <c r="B13" s="37">
        <v>6580</v>
      </c>
      <c r="C13" s="37">
        <v>4061</v>
      </c>
      <c r="D13" s="37">
        <v>4106</v>
      </c>
      <c r="G13" s="40" t="s">
        <v>93</v>
      </c>
    </row>
    <row r="14" spans="1:15" x14ac:dyDescent="0.25">
      <c r="A14" s="37" t="s">
        <v>47</v>
      </c>
      <c r="B14" s="37">
        <v>14111</v>
      </c>
      <c r="C14" s="37">
        <v>11264</v>
      </c>
      <c r="D14" s="37">
        <v>12352</v>
      </c>
      <c r="G14" s="40">
        <v>2020</v>
      </c>
    </row>
    <row r="15" spans="1:15" x14ac:dyDescent="0.25">
      <c r="A15" s="39" t="s">
        <v>48</v>
      </c>
      <c r="B15" s="39">
        <v>216166</v>
      </c>
      <c r="C15" s="39">
        <v>180175</v>
      </c>
      <c r="D15" s="39">
        <v>175697</v>
      </c>
      <c r="G15" s="82" t="s">
        <v>154</v>
      </c>
      <c r="H15" s="82"/>
      <c r="I15" s="82"/>
      <c r="J15" s="82"/>
    </row>
    <row r="16" spans="1:15" x14ac:dyDescent="0.25">
      <c r="A16" s="39" t="s">
        <v>49</v>
      </c>
      <c r="B16" s="39">
        <v>39440</v>
      </c>
      <c r="C16" s="39">
        <v>36766</v>
      </c>
      <c r="D16" s="39">
        <v>37378</v>
      </c>
      <c r="G16" s="39" t="s">
        <v>157</v>
      </c>
      <c r="H16" s="39">
        <f>C4</f>
        <v>143713</v>
      </c>
      <c r="I16" s="39" t="s">
        <v>160</v>
      </c>
      <c r="J16" s="39">
        <f>C28</f>
        <v>105392</v>
      </c>
    </row>
    <row r="17" spans="1:15" x14ac:dyDescent="0.25">
      <c r="A17" s="39" t="s">
        <v>50</v>
      </c>
      <c r="B17" s="39">
        <v>109723</v>
      </c>
      <c r="C17" s="39">
        <v>103526</v>
      </c>
      <c r="D17" s="39">
        <v>95957</v>
      </c>
      <c r="G17" s="39" t="s">
        <v>156</v>
      </c>
      <c r="H17" s="39">
        <f>D4</f>
        <v>162819</v>
      </c>
      <c r="I17" s="39" t="s">
        <v>161</v>
      </c>
      <c r="J17" s="39">
        <f>D28</f>
        <v>105718</v>
      </c>
    </row>
    <row r="18" spans="1:15" x14ac:dyDescent="0.25">
      <c r="A18" s="39" t="s">
        <v>51</v>
      </c>
      <c r="B18" s="39">
        <v>0</v>
      </c>
      <c r="C18" s="39">
        <v>0</v>
      </c>
      <c r="D18" s="39">
        <v>0</v>
      </c>
      <c r="G18" s="36" t="s">
        <v>158</v>
      </c>
      <c r="H18" s="36">
        <f>H16-H17</f>
        <v>-19106</v>
      </c>
      <c r="I18" s="36" t="s">
        <v>159</v>
      </c>
      <c r="J18" s="39">
        <f>J16-J17</f>
        <v>-326</v>
      </c>
    </row>
    <row r="19" spans="1:15" x14ac:dyDescent="0.25">
      <c r="A19" s="39" t="s">
        <v>52</v>
      </c>
      <c r="B19" s="39">
        <v>20041</v>
      </c>
      <c r="C19" s="39">
        <v>17952</v>
      </c>
      <c r="D19" s="39">
        <v>17085</v>
      </c>
      <c r="G19" s="36" t="s">
        <v>154</v>
      </c>
      <c r="H19" s="36">
        <f>H18-J18</f>
        <v>-18780</v>
      </c>
      <c r="I19" s="36" t="s">
        <v>93</v>
      </c>
      <c r="J19" s="39"/>
    </row>
    <row r="20" spans="1:15" x14ac:dyDescent="0.25">
      <c r="A20" s="39" t="s">
        <v>53</v>
      </c>
      <c r="B20" s="39">
        <v>78659</v>
      </c>
      <c r="C20" s="39">
        <v>75291</v>
      </c>
      <c r="D20" s="39">
        <v>69797</v>
      </c>
    </row>
    <row r="21" spans="1:15" x14ac:dyDescent="0.25">
      <c r="A21" s="39" t="s">
        <v>54</v>
      </c>
      <c r="B21" s="39">
        <v>11023</v>
      </c>
      <c r="C21" s="39">
        <v>10283</v>
      </c>
      <c r="D21" s="39">
        <v>9075</v>
      </c>
      <c r="G21" s="35">
        <v>2021</v>
      </c>
      <c r="L21" s="35">
        <v>2019</v>
      </c>
    </row>
    <row r="22" spans="1:15" x14ac:dyDescent="0.25">
      <c r="A22" s="39" t="s">
        <v>55</v>
      </c>
      <c r="B22" s="39">
        <v>-70283</v>
      </c>
      <c r="C22" s="39">
        <v>-66760</v>
      </c>
      <c r="D22" s="39">
        <v>-58579</v>
      </c>
      <c r="G22" s="82" t="s">
        <v>164</v>
      </c>
      <c r="H22" s="82"/>
      <c r="I22" s="82"/>
      <c r="J22" s="82"/>
      <c r="L22" s="82" t="s">
        <v>164</v>
      </c>
      <c r="M22" s="82"/>
      <c r="N22" s="82"/>
      <c r="O22" s="82"/>
    </row>
    <row r="23" spans="1:15" x14ac:dyDescent="0.25">
      <c r="A23" s="39" t="s">
        <v>56</v>
      </c>
      <c r="B23" s="39">
        <v>127877</v>
      </c>
      <c r="C23" s="39">
        <v>100887</v>
      </c>
      <c r="D23" s="39">
        <v>105341</v>
      </c>
      <c r="G23" s="39" t="s">
        <v>165</v>
      </c>
      <c r="H23" s="39">
        <f>B6</f>
        <v>34940</v>
      </c>
      <c r="I23" s="39" t="s">
        <v>168</v>
      </c>
      <c r="J23" s="39">
        <f>C6</f>
        <v>38016</v>
      </c>
      <c r="L23" s="39" t="s">
        <v>165</v>
      </c>
      <c r="M23" s="39">
        <f>D6</f>
        <v>48844</v>
      </c>
      <c r="N23" s="39" t="s">
        <v>168</v>
      </c>
      <c r="O23" s="39">
        <f>H5</f>
        <v>0</v>
      </c>
    </row>
    <row r="24" spans="1:15" x14ac:dyDescent="0.25">
      <c r="A24" s="39" t="s">
        <v>57</v>
      </c>
      <c r="B24" s="39">
        <v>127877</v>
      </c>
      <c r="C24" s="39">
        <v>100887</v>
      </c>
      <c r="D24" s="39">
        <v>105341</v>
      </c>
      <c r="G24" s="39" t="s">
        <v>166</v>
      </c>
      <c r="H24" s="39">
        <f>B33</f>
        <v>15613</v>
      </c>
      <c r="I24" s="39" t="s">
        <v>169</v>
      </c>
      <c r="J24" s="39">
        <f>C33</f>
        <v>13769</v>
      </c>
      <c r="L24" s="39" t="s">
        <v>166</v>
      </c>
      <c r="M24" s="39" t="s">
        <v>93</v>
      </c>
      <c r="N24" s="39" t="s">
        <v>169</v>
      </c>
      <c r="O24" s="39">
        <f>H33</f>
        <v>74420</v>
      </c>
    </row>
    <row r="25" spans="1:15" x14ac:dyDescent="0.25">
      <c r="A25" s="39" t="s">
        <v>58</v>
      </c>
      <c r="B25" s="39">
        <v>127877</v>
      </c>
      <c r="C25" s="39">
        <v>100887</v>
      </c>
      <c r="D25" s="39">
        <v>105341</v>
      </c>
      <c r="G25" s="41" t="s">
        <v>167</v>
      </c>
      <c r="H25" s="41">
        <f>B41</f>
        <v>109106</v>
      </c>
      <c r="I25" s="41" t="s">
        <v>170</v>
      </c>
      <c r="J25" s="39">
        <f>C41</f>
        <v>98667</v>
      </c>
      <c r="L25" s="41" t="s">
        <v>167</v>
      </c>
      <c r="M25" s="41">
        <f>D56</f>
        <v>108047</v>
      </c>
      <c r="N25" s="41" t="s">
        <v>170</v>
      </c>
      <c r="O25" s="39">
        <f>H41</f>
        <v>0</v>
      </c>
    </row>
    <row r="26" spans="1:15" ht="15.75" thickBot="1" x14ac:dyDescent="0.3">
      <c r="A26" s="39" t="s">
        <v>59</v>
      </c>
      <c r="B26" s="39">
        <v>48849</v>
      </c>
      <c r="C26" s="39">
        <v>42522</v>
      </c>
      <c r="D26" s="39">
        <v>32978</v>
      </c>
      <c r="G26" s="41" t="s">
        <v>171</v>
      </c>
      <c r="H26" s="41">
        <f>SUM(H24:H25)-H23</f>
        <v>89779</v>
      </c>
      <c r="I26" s="41" t="s">
        <v>172</v>
      </c>
      <c r="J26" s="41">
        <f>SUM(J24:J25)-J23</f>
        <v>74420</v>
      </c>
      <c r="L26" s="41" t="s">
        <v>171</v>
      </c>
      <c r="M26" s="41">
        <f>SUM(M24:M25)-M23</f>
        <v>59203</v>
      </c>
      <c r="N26" s="41" t="s">
        <v>172</v>
      </c>
      <c r="O26" s="41">
        <f>SUM(O24:O25)-O23</f>
        <v>74420</v>
      </c>
    </row>
    <row r="27" spans="1:15" ht="16.5" thickTop="1" thickBot="1" x14ac:dyDescent="0.3">
      <c r="A27" s="63" t="s">
        <v>60</v>
      </c>
      <c r="B27" s="63">
        <v>287912</v>
      </c>
      <c r="C27" s="63">
        <v>258549</v>
      </c>
      <c r="D27" s="63">
        <v>248028</v>
      </c>
      <c r="G27" s="36" t="s">
        <v>164</v>
      </c>
      <c r="H27" s="36">
        <f>H26-J26</f>
        <v>15359</v>
      </c>
      <c r="I27" s="42"/>
      <c r="L27" s="36" t="s">
        <v>164</v>
      </c>
      <c r="M27" s="36">
        <f>M26-O26</f>
        <v>-15217</v>
      </c>
      <c r="N27" s="42"/>
    </row>
    <row r="28" spans="1:15" ht="15.75" thickTop="1" x14ac:dyDescent="0.25">
      <c r="A28" s="37" t="s">
        <v>61</v>
      </c>
      <c r="B28" s="37">
        <v>125481</v>
      </c>
      <c r="C28" s="37">
        <v>105392</v>
      </c>
      <c r="D28" s="37">
        <v>105718</v>
      </c>
      <c r="G28" s="40">
        <v>2020</v>
      </c>
    </row>
    <row r="29" spans="1:15" x14ac:dyDescent="0.25">
      <c r="A29" s="39" t="s">
        <v>62</v>
      </c>
      <c r="B29" s="39">
        <v>54763</v>
      </c>
      <c r="C29" s="39">
        <v>42296</v>
      </c>
      <c r="D29" s="39">
        <v>46236</v>
      </c>
      <c r="G29" s="82" t="s">
        <v>164</v>
      </c>
      <c r="H29" s="82"/>
      <c r="I29" s="82"/>
      <c r="J29" s="82"/>
    </row>
    <row r="30" spans="1:15" x14ac:dyDescent="0.25">
      <c r="A30" s="39" t="s">
        <v>63</v>
      </c>
      <c r="B30" s="39">
        <v>54763</v>
      </c>
      <c r="C30" s="39">
        <v>42296</v>
      </c>
      <c r="D30" s="39">
        <v>46236</v>
      </c>
      <c r="G30" s="39" t="s">
        <v>165</v>
      </c>
      <c r="H30" s="39">
        <f>C6</f>
        <v>38016</v>
      </c>
      <c r="I30" s="39" t="s">
        <v>168</v>
      </c>
      <c r="J30" s="39">
        <f>D6</f>
        <v>48844</v>
      </c>
    </row>
    <row r="31" spans="1:15" x14ac:dyDescent="0.25">
      <c r="A31" s="39" t="s">
        <v>64</v>
      </c>
      <c r="B31" s="39">
        <v>54763</v>
      </c>
      <c r="C31" s="39">
        <v>42296</v>
      </c>
      <c r="D31" s="39">
        <v>46236</v>
      </c>
      <c r="G31" s="39" t="s">
        <v>166</v>
      </c>
      <c r="H31" s="39">
        <f>C56</f>
        <v>112436</v>
      </c>
      <c r="I31" s="39" t="s">
        <v>169</v>
      </c>
      <c r="J31" s="39">
        <f>D56</f>
        <v>108047</v>
      </c>
    </row>
    <row r="32" spans="1:15" x14ac:dyDescent="0.25">
      <c r="A32" s="39" t="s">
        <v>65</v>
      </c>
      <c r="B32" s="39">
        <v>15613</v>
      </c>
      <c r="C32" s="39">
        <v>13769</v>
      </c>
      <c r="D32" s="39">
        <v>16240</v>
      </c>
      <c r="G32" s="41" t="s">
        <v>167</v>
      </c>
      <c r="H32" s="41" t="s">
        <v>93</v>
      </c>
      <c r="I32" s="41" t="s">
        <v>170</v>
      </c>
      <c r="J32" s="39" t="s">
        <v>93</v>
      </c>
    </row>
    <row r="33" spans="1:10" x14ac:dyDescent="0.25">
      <c r="A33" s="39" t="s">
        <v>66</v>
      </c>
      <c r="B33" s="39">
        <v>15613</v>
      </c>
      <c r="C33" s="39">
        <v>13769</v>
      </c>
      <c r="D33" s="39">
        <v>16240</v>
      </c>
      <c r="G33" s="41" t="s">
        <v>171</v>
      </c>
      <c r="H33" s="41">
        <f>SUM(H31:H32)-H30</f>
        <v>74420</v>
      </c>
      <c r="I33" s="41" t="s">
        <v>172</v>
      </c>
      <c r="J33" s="41">
        <f>SUM(J31:J32)-J30</f>
        <v>59203</v>
      </c>
    </row>
    <row r="34" spans="1:10" x14ac:dyDescent="0.25">
      <c r="A34" s="39" t="s">
        <v>67</v>
      </c>
      <c r="B34" s="39">
        <v>6000</v>
      </c>
      <c r="C34" s="39">
        <v>4996</v>
      </c>
      <c r="D34" s="39">
        <v>5980</v>
      </c>
      <c r="G34" s="36" t="s">
        <v>164</v>
      </c>
      <c r="H34" s="36">
        <f>H33-J33</f>
        <v>15217</v>
      </c>
      <c r="I34" s="42"/>
    </row>
    <row r="35" spans="1:10" x14ac:dyDescent="0.25">
      <c r="A35" s="39" t="s">
        <v>68</v>
      </c>
      <c r="B35" s="39">
        <v>9613</v>
      </c>
      <c r="C35" s="39">
        <v>8773</v>
      </c>
      <c r="D35" s="39">
        <v>10260</v>
      </c>
    </row>
    <row r="36" spans="1:10" x14ac:dyDescent="0.25">
      <c r="A36" s="39" t="s">
        <v>69</v>
      </c>
      <c r="B36" s="39">
        <v>7612</v>
      </c>
      <c r="C36" s="39">
        <v>6643</v>
      </c>
      <c r="D36" s="39">
        <v>5522</v>
      </c>
    </row>
    <row r="37" spans="1:10" x14ac:dyDescent="0.25">
      <c r="A37" s="39" t="s">
        <v>70</v>
      </c>
      <c r="B37" s="39">
        <v>7612</v>
      </c>
      <c r="C37" s="39">
        <v>6643</v>
      </c>
      <c r="D37" s="39">
        <v>5522</v>
      </c>
    </row>
    <row r="38" spans="1:10" x14ac:dyDescent="0.25">
      <c r="A38" s="39" t="s">
        <v>71</v>
      </c>
      <c r="B38" s="39">
        <v>47493</v>
      </c>
      <c r="C38" s="39">
        <v>42684</v>
      </c>
      <c r="D38" s="39">
        <v>37720</v>
      </c>
    </row>
    <row r="39" spans="1:10" x14ac:dyDescent="0.25">
      <c r="A39" s="39" t="s">
        <v>72</v>
      </c>
      <c r="B39" s="39">
        <v>162431</v>
      </c>
      <c r="C39" s="39">
        <v>153157</v>
      </c>
      <c r="D39" s="39">
        <v>142310</v>
      </c>
    </row>
    <row r="40" spans="1:10" x14ac:dyDescent="0.25">
      <c r="A40" s="39" t="s">
        <v>73</v>
      </c>
      <c r="B40" s="39">
        <v>109106</v>
      </c>
      <c r="C40" s="39">
        <v>98667</v>
      </c>
      <c r="D40" s="39">
        <v>91807</v>
      </c>
    </row>
    <row r="41" spans="1:10" x14ac:dyDescent="0.25">
      <c r="A41" s="39" t="s">
        <v>74</v>
      </c>
      <c r="B41" s="39">
        <v>109106</v>
      </c>
      <c r="C41" s="39">
        <v>98667</v>
      </c>
      <c r="D41" s="39">
        <v>91807</v>
      </c>
    </row>
    <row r="42" spans="1:10" x14ac:dyDescent="0.25">
      <c r="A42" s="39" t="s">
        <v>75</v>
      </c>
      <c r="B42" s="39">
        <v>24689</v>
      </c>
      <c r="C42" s="39">
        <v>28170</v>
      </c>
      <c r="D42" s="39">
        <v>29545</v>
      </c>
    </row>
    <row r="43" spans="1:10" x14ac:dyDescent="0.25">
      <c r="A43" s="39" t="s">
        <v>76</v>
      </c>
      <c r="B43" s="39">
        <v>28636</v>
      </c>
      <c r="C43" s="39">
        <v>26320</v>
      </c>
      <c r="D43" s="39">
        <v>20958</v>
      </c>
    </row>
    <row r="44" spans="1:10" ht="15.75" thickBot="1" x14ac:dyDescent="0.3">
      <c r="A44" s="39" t="s">
        <v>77</v>
      </c>
      <c r="B44" s="39">
        <v>63090</v>
      </c>
      <c r="C44" s="39">
        <v>65339</v>
      </c>
      <c r="D44" s="39">
        <v>90488</v>
      </c>
    </row>
    <row r="45" spans="1:10" ht="16.5" thickTop="1" thickBot="1" x14ac:dyDescent="0.3">
      <c r="A45" s="63" t="s">
        <v>78</v>
      </c>
      <c r="B45" s="63">
        <v>63090</v>
      </c>
      <c r="C45" s="63">
        <v>65339</v>
      </c>
      <c r="D45" s="63">
        <v>90488</v>
      </c>
    </row>
    <row r="46" spans="1:10" ht="15.75" thickTop="1" x14ac:dyDescent="0.25">
      <c r="A46" s="39" t="s">
        <v>79</v>
      </c>
      <c r="B46" s="39">
        <v>57365</v>
      </c>
      <c r="C46" s="39">
        <v>50779</v>
      </c>
      <c r="D46" s="39">
        <v>45174</v>
      </c>
    </row>
    <row r="47" spans="1:10" x14ac:dyDescent="0.25">
      <c r="A47" s="39" t="s">
        <v>80</v>
      </c>
      <c r="B47" s="39">
        <v>57365</v>
      </c>
      <c r="C47" s="39">
        <v>50779</v>
      </c>
      <c r="D47" s="39">
        <v>45174</v>
      </c>
    </row>
    <row r="48" spans="1:10" x14ac:dyDescent="0.25">
      <c r="A48" s="39" t="s">
        <v>81</v>
      </c>
      <c r="B48" s="39">
        <v>5562</v>
      </c>
      <c r="C48" s="39">
        <v>14966</v>
      </c>
      <c r="D48" s="39">
        <v>45898</v>
      </c>
    </row>
    <row r="49" spans="1:4" x14ac:dyDescent="0.25">
      <c r="A49" s="39" t="s">
        <v>82</v>
      </c>
      <c r="B49" s="39">
        <v>0.16300000000000001</v>
      </c>
      <c r="C49" s="39">
        <v>-0.40600000000000003</v>
      </c>
      <c r="D49" s="39">
        <v>-0.58399999999999996</v>
      </c>
    </row>
    <row r="50" spans="1:4" x14ac:dyDescent="0.25">
      <c r="A50" s="39" t="s">
        <v>83</v>
      </c>
      <c r="B50" s="39">
        <v>172196</v>
      </c>
      <c r="C50" s="39">
        <v>164006</v>
      </c>
      <c r="D50" s="39">
        <v>182295</v>
      </c>
    </row>
    <row r="51" spans="1:4" x14ac:dyDescent="0.25">
      <c r="A51" s="39" t="s">
        <v>84</v>
      </c>
      <c r="B51" s="39">
        <v>63090</v>
      </c>
      <c r="C51" s="39">
        <v>65339</v>
      </c>
      <c r="D51" s="39">
        <v>90488</v>
      </c>
    </row>
    <row r="52" spans="1:4" x14ac:dyDescent="0.25">
      <c r="A52" s="39" t="s">
        <v>85</v>
      </c>
      <c r="B52" s="39">
        <v>63090</v>
      </c>
      <c r="C52" s="39">
        <v>65339</v>
      </c>
      <c r="D52" s="39">
        <v>90488</v>
      </c>
    </row>
    <row r="53" spans="1:4" x14ac:dyDescent="0.25">
      <c r="A53" s="39" t="s">
        <v>86</v>
      </c>
      <c r="B53" s="39">
        <v>9355</v>
      </c>
      <c r="C53" s="39">
        <v>38321</v>
      </c>
      <c r="D53" s="39">
        <v>57101</v>
      </c>
    </row>
    <row r="54" spans="1:4" x14ac:dyDescent="0.25">
      <c r="A54" s="39" t="s">
        <v>87</v>
      </c>
      <c r="B54" s="39">
        <v>187809</v>
      </c>
      <c r="C54" s="39">
        <v>177775</v>
      </c>
      <c r="D54" s="39">
        <v>198535</v>
      </c>
    </row>
    <row r="55" spans="1:4" x14ac:dyDescent="0.25">
      <c r="A55" s="39" t="s">
        <v>88</v>
      </c>
      <c r="B55" s="39">
        <v>63090</v>
      </c>
      <c r="C55" s="39">
        <v>65339</v>
      </c>
      <c r="D55" s="39">
        <v>90488</v>
      </c>
    </row>
    <row r="56" spans="1:4" x14ac:dyDescent="0.25">
      <c r="A56" s="37" t="s">
        <v>89</v>
      </c>
      <c r="B56" s="37">
        <v>124719</v>
      </c>
      <c r="C56" s="37">
        <v>112436</v>
      </c>
      <c r="D56" s="37">
        <v>108047</v>
      </c>
    </row>
    <row r="57" spans="1:4" x14ac:dyDescent="0.25">
      <c r="A57" s="39" t="s">
        <v>90</v>
      </c>
      <c r="B57" s="39">
        <v>89779</v>
      </c>
      <c r="C57" s="39">
        <v>74420</v>
      </c>
      <c r="D57" s="39">
        <v>59203</v>
      </c>
    </row>
    <row r="58" spans="1:4" x14ac:dyDescent="0.25">
      <c r="A58" s="39" t="s">
        <v>91</v>
      </c>
      <c r="B58" s="39">
        <v>16426.786</v>
      </c>
      <c r="C58" s="39">
        <v>16976.762999999999</v>
      </c>
      <c r="D58" s="39">
        <v>17772.944</v>
      </c>
    </row>
    <row r="59" spans="1:4" x14ac:dyDescent="0.25">
      <c r="A59" s="39" t="s">
        <v>92</v>
      </c>
      <c r="B59" s="39">
        <v>16426.786</v>
      </c>
      <c r="C59" s="39">
        <v>16976.762999999999</v>
      </c>
      <c r="D59" s="39">
        <v>17772.944</v>
      </c>
    </row>
  </sheetData>
  <mergeCells count="6">
    <mergeCell ref="G7:J7"/>
    <mergeCell ref="G15:J15"/>
    <mergeCell ref="G22:J22"/>
    <mergeCell ref="G29:J29"/>
    <mergeCell ref="L7:O7"/>
    <mergeCell ref="L22:O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C643B-6B28-4A39-99B0-AC4D96A1BD47}">
  <sheetPr filterMode="1">
    <tabColor theme="9" tint="-0.249977111117893"/>
  </sheetPr>
  <dimension ref="A1:XFD75"/>
  <sheetViews>
    <sheetView showGridLines="0" topLeftCell="A22" zoomScaleNormal="100" workbookViewId="0">
      <selection activeCell="D70" sqref="D70:E70"/>
    </sheetView>
  </sheetViews>
  <sheetFormatPr defaultRowHeight="15" x14ac:dyDescent="0.25"/>
  <cols>
    <col min="1" max="1" width="56.28515625" bestFit="1" customWidth="1"/>
    <col min="2" max="4" width="17.140625" customWidth="1"/>
    <col min="5" max="9" width="12" bestFit="1" customWidth="1"/>
    <col min="13" max="13" width="9.5703125" customWidth="1"/>
    <col min="14" max="14" width="14.7109375" bestFit="1" customWidth="1"/>
    <col min="15" max="15" width="13.85546875" customWidth="1"/>
    <col min="16" max="16" width="29.140625" bestFit="1" customWidth="1"/>
  </cols>
  <sheetData>
    <row r="1" spans="1:16" x14ac:dyDescent="0.25">
      <c r="A1" s="35"/>
      <c r="B1" s="35"/>
      <c r="C1" s="35"/>
      <c r="D1" s="35"/>
      <c r="E1" s="79" t="s">
        <v>174</v>
      </c>
      <c r="F1" s="79"/>
      <c r="G1" s="79"/>
      <c r="H1" s="79"/>
      <c r="I1" s="79"/>
    </row>
    <row r="2" spans="1:16" x14ac:dyDescent="0.25">
      <c r="A2" s="45" t="s">
        <v>198</v>
      </c>
      <c r="B2" s="45" t="s">
        <v>0</v>
      </c>
      <c r="C2" s="45" t="s">
        <v>1</v>
      </c>
      <c r="D2" s="45" t="s">
        <v>2</v>
      </c>
      <c r="E2" s="45" t="s">
        <v>197</v>
      </c>
      <c r="F2" s="45" t="s">
        <v>193</v>
      </c>
      <c r="G2" s="45" t="s">
        <v>194</v>
      </c>
      <c r="H2" s="45" t="s">
        <v>195</v>
      </c>
      <c r="I2" s="45" t="s">
        <v>196</v>
      </c>
    </row>
    <row r="3" spans="1:16" x14ac:dyDescent="0.25">
      <c r="A3" s="46" t="s">
        <v>3</v>
      </c>
      <c r="B3" s="39">
        <v>365817</v>
      </c>
      <c r="C3" s="39">
        <v>274515</v>
      </c>
      <c r="D3" s="39">
        <v>260174</v>
      </c>
      <c r="E3" s="39">
        <f>B3*(1+E4)</f>
        <v>392521.641</v>
      </c>
      <c r="F3" s="39">
        <f>E3*(1+F4)</f>
        <v>412147.72305000003</v>
      </c>
      <c r="G3" s="39">
        <f t="shared" ref="G3:I3" si="0">F3*(1+G4)</f>
        <v>436222.81373236439</v>
      </c>
      <c r="H3" s="39">
        <f t="shared" si="0"/>
        <v>462601.75136658066</v>
      </c>
      <c r="I3" s="39">
        <f t="shared" si="0"/>
        <v>488643.91527616244</v>
      </c>
    </row>
    <row r="4" spans="1:16" ht="15.75" thickBot="1" x14ac:dyDescent="0.3">
      <c r="A4" s="47" t="s">
        <v>150</v>
      </c>
      <c r="B4" s="48"/>
      <c r="C4" s="23">
        <f>-C3/B3+1</f>
        <v>0.24958380829759141</v>
      </c>
      <c r="D4" s="23">
        <f>-D3/C3+1</f>
        <v>5.2241225433947158E-2</v>
      </c>
      <c r="E4" s="23">
        <v>7.2999999999999995E-2</v>
      </c>
      <c r="F4" s="23">
        <v>0.05</v>
      </c>
      <c r="G4" s="23">
        <f>AVERAGE(D4:F4)</f>
        <v>5.8413741811315721E-2</v>
      </c>
      <c r="H4" s="23">
        <f t="shared" ref="H4" si="1">AVERAGE(E4:G4)</f>
        <v>6.0471247270438573E-2</v>
      </c>
      <c r="I4" s="23">
        <f t="shared" ref="I4" si="2">AVERAGE(F4:H4)</f>
        <v>5.6294996360584763E-2</v>
      </c>
      <c r="N4" s="2" t="s">
        <v>205</v>
      </c>
    </row>
    <row r="5" spans="1:16" x14ac:dyDescent="0.25">
      <c r="A5" s="50" t="s">
        <v>4</v>
      </c>
      <c r="B5" s="51">
        <f>SUM(B6:B7)</f>
        <v>365817</v>
      </c>
      <c r="C5" s="51">
        <f>SUM(C6:C7)</f>
        <v>274515</v>
      </c>
      <c r="D5" s="51">
        <f>SUM(D6:D7)</f>
        <v>260174</v>
      </c>
      <c r="E5" s="51">
        <f>E3*E57</f>
        <v>238351.73321334794</v>
      </c>
      <c r="F5" s="51">
        <f>F3*F57</f>
        <v>250269.31987401535</v>
      </c>
      <c r="G5" s="51">
        <f>G3*G57</f>
        <v>264888.48730842967</v>
      </c>
      <c r="H5" s="51">
        <f>H3*H57</f>
        <v>280906.62452355016</v>
      </c>
      <c r="I5" s="51">
        <f>I3*I57</f>
        <v>296720.26192876755</v>
      </c>
      <c r="N5" s="18" t="s">
        <v>203</v>
      </c>
      <c r="O5" s="19" t="s">
        <v>204</v>
      </c>
    </row>
    <row r="6" spans="1:16" x14ac:dyDescent="0.25">
      <c r="A6" s="46" t="s">
        <v>5</v>
      </c>
      <c r="B6" s="39">
        <v>212981</v>
      </c>
      <c r="C6" s="39">
        <v>169559</v>
      </c>
      <c r="D6" s="39">
        <v>161782</v>
      </c>
      <c r="E6" s="39">
        <f>E5-E7</f>
        <v>84181.825426695868</v>
      </c>
      <c r="F6" s="39">
        <f t="shared" ref="F6:I6" si="3">F5-F7</f>
        <v>88390.916698030662</v>
      </c>
      <c r="G6" s="39">
        <f t="shared" si="3"/>
        <v>93554.160884494951</v>
      </c>
      <c r="H6" s="39">
        <f t="shared" si="3"/>
        <v>99211.497680519649</v>
      </c>
      <c r="I6" s="39">
        <f t="shared" si="3"/>
        <v>104796.60858137265</v>
      </c>
      <c r="M6" s="2" t="s">
        <v>93</v>
      </c>
      <c r="N6" s="4" t="s">
        <v>200</v>
      </c>
      <c r="O6" s="21">
        <f>O15</f>
        <v>9.6059499999999992E-2</v>
      </c>
    </row>
    <row r="7" spans="1:16" x14ac:dyDescent="0.25">
      <c r="A7" s="52" t="s">
        <v>6</v>
      </c>
      <c r="B7" s="39">
        <f>B3-B6</f>
        <v>152836</v>
      </c>
      <c r="C7" s="39">
        <f t="shared" ref="C7:D7" si="4">C3-C6</f>
        <v>104956</v>
      </c>
      <c r="D7" s="39">
        <f t="shared" si="4"/>
        <v>98392</v>
      </c>
      <c r="E7" s="39">
        <f>E3-E5</f>
        <v>154169.90778665207</v>
      </c>
      <c r="F7" s="39">
        <f t="shared" ref="F7:I7" si="5">F3-F5</f>
        <v>161878.40317598468</v>
      </c>
      <c r="G7" s="39">
        <f t="shared" si="5"/>
        <v>171334.32642393472</v>
      </c>
      <c r="H7" s="39">
        <f t="shared" si="5"/>
        <v>181695.12684303051</v>
      </c>
      <c r="I7" s="39">
        <f t="shared" si="5"/>
        <v>191923.65334739489</v>
      </c>
      <c r="N7" s="4" t="s">
        <v>202</v>
      </c>
      <c r="O7" s="15">
        <v>2.4E-2</v>
      </c>
    </row>
    <row r="8" spans="1:16" ht="15.75" thickBot="1" x14ac:dyDescent="0.3">
      <c r="A8" s="47" t="s">
        <v>151</v>
      </c>
      <c r="B8" s="49">
        <f>B7/B3</f>
        <v>0.41779359625167778</v>
      </c>
      <c r="C8" s="49">
        <f t="shared" ref="C8:D8" si="6">C7/C3</f>
        <v>0.38233247727810865</v>
      </c>
      <c r="D8" s="49">
        <f t="shared" si="6"/>
        <v>0.37817768109034722</v>
      </c>
      <c r="E8" s="49">
        <f>E7/E3</f>
        <v>0.3927679182067112</v>
      </c>
      <c r="F8" s="49">
        <f t="shared" ref="F8:I8" si="7">F7/F3</f>
        <v>0.39276791820671125</v>
      </c>
      <c r="G8" s="49">
        <f t="shared" si="7"/>
        <v>0.3927679182067112</v>
      </c>
      <c r="H8" s="49">
        <f t="shared" si="7"/>
        <v>0.3927679182067112</v>
      </c>
      <c r="I8" s="49">
        <f t="shared" si="7"/>
        <v>0.3927679182067112</v>
      </c>
    </row>
    <row r="9" spans="1:16" hidden="1" x14ac:dyDescent="0.25">
      <c r="A9" s="51" t="s">
        <v>7</v>
      </c>
      <c r="B9" s="51">
        <f>SUM(B10:B11)</f>
        <v>43887</v>
      </c>
      <c r="C9" s="51">
        <f t="shared" ref="C9:D9" si="8">SUM(C10:C11)</f>
        <v>38668</v>
      </c>
      <c r="D9" s="51">
        <f t="shared" si="8"/>
        <v>34462</v>
      </c>
      <c r="E9" s="51"/>
      <c r="F9" s="51"/>
      <c r="G9" s="51"/>
      <c r="H9" s="51"/>
      <c r="I9" s="51"/>
    </row>
    <row r="10" spans="1:16" x14ac:dyDescent="0.25">
      <c r="A10" s="46" t="s">
        <v>8</v>
      </c>
      <c r="B10" s="39">
        <v>21973</v>
      </c>
      <c r="C10" s="39">
        <v>19916</v>
      </c>
      <c r="D10" s="39">
        <v>18245</v>
      </c>
      <c r="E10" s="39">
        <f>E3*E58</f>
        <v>26526.804552225662</v>
      </c>
      <c r="F10" s="39">
        <f>F3*F58</f>
        <v>27861.186078179999</v>
      </c>
      <c r="G10" s="39">
        <f>G3*G58</f>
        <v>29488.662208307829</v>
      </c>
      <c r="H10" s="39">
        <f>H3*H58</f>
        <v>31271.878392380851</v>
      </c>
      <c r="I10" s="39">
        <f>I3*I58</f>
        <v>33032.328672668576</v>
      </c>
    </row>
    <row r="11" spans="1:16" hidden="1" x14ac:dyDescent="0.25">
      <c r="A11" s="39" t="s">
        <v>9</v>
      </c>
      <c r="B11" s="39">
        <v>21914</v>
      </c>
      <c r="C11" s="39">
        <v>18752</v>
      </c>
      <c r="D11" s="39">
        <v>16217</v>
      </c>
      <c r="E11" s="39"/>
      <c r="F11" s="39"/>
      <c r="G11" s="39"/>
      <c r="H11" s="39"/>
      <c r="I11" s="39"/>
      <c r="N11" s="80" t="s">
        <v>206</v>
      </c>
      <c r="O11" s="81"/>
      <c r="P11" s="32" t="s">
        <v>213</v>
      </c>
    </row>
    <row r="12" spans="1:16" x14ac:dyDescent="0.25">
      <c r="A12" s="46" t="s">
        <v>10</v>
      </c>
      <c r="B12" s="39">
        <f>B7-B11-B10</f>
        <v>108949</v>
      </c>
      <c r="C12" s="39">
        <f t="shared" ref="C12:D12" si="9">C7-C11-C10</f>
        <v>66288</v>
      </c>
      <c r="D12" s="39">
        <f t="shared" si="9"/>
        <v>63930</v>
      </c>
      <c r="E12" s="39">
        <f>E7-E10</f>
        <v>127643.10323442641</v>
      </c>
      <c r="F12" s="39">
        <f t="shared" ref="F12:I12" si="10">F7-F10</f>
        <v>134017.21709780468</v>
      </c>
      <c r="G12" s="39">
        <f t="shared" si="10"/>
        <v>141845.66421562689</v>
      </c>
      <c r="H12" s="39">
        <f t="shared" si="10"/>
        <v>150423.24845064967</v>
      </c>
      <c r="I12" s="39">
        <f t="shared" si="10"/>
        <v>158891.32467472632</v>
      </c>
      <c r="N12" s="3" t="s">
        <v>207</v>
      </c>
      <c r="O12" s="20">
        <v>3.7449999999999997E-2</v>
      </c>
      <c r="P12" s="33" t="s">
        <v>214</v>
      </c>
    </row>
    <row r="13" spans="1:16" ht="15.75" thickBot="1" x14ac:dyDescent="0.3">
      <c r="A13" s="47" t="s">
        <v>152</v>
      </c>
      <c r="B13" s="49">
        <f>B12/B3</f>
        <v>0.29782377527561593</v>
      </c>
      <c r="C13" s="49">
        <f t="shared" ref="C13:D13" si="11">C12/C3</f>
        <v>0.24147314354406862</v>
      </c>
      <c r="D13" s="49">
        <f t="shared" si="11"/>
        <v>0.24572017188496928</v>
      </c>
      <c r="E13" s="49">
        <f>E12/E3</f>
        <v>0.32518742892554658</v>
      </c>
      <c r="F13" s="49">
        <f t="shared" ref="F13:I13" si="12">F12/F3</f>
        <v>0.3251679182067112</v>
      </c>
      <c r="G13" s="49">
        <f t="shared" si="12"/>
        <v>0.32516791820671126</v>
      </c>
      <c r="H13" s="49">
        <f t="shared" si="12"/>
        <v>0.32516791820671126</v>
      </c>
      <c r="I13" s="49">
        <f t="shared" si="12"/>
        <v>0.3251679182067112</v>
      </c>
      <c r="N13" s="3" t="s">
        <v>208</v>
      </c>
      <c r="O13" s="3">
        <v>1.23</v>
      </c>
      <c r="P13" s="33" t="s">
        <v>210</v>
      </c>
    </row>
    <row r="14" spans="1:16" hidden="1" x14ac:dyDescent="0.25">
      <c r="A14" s="51" t="s">
        <v>11</v>
      </c>
      <c r="B14" s="51">
        <v>0.19800000000000001</v>
      </c>
      <c r="C14" s="51">
        <v>0.89</v>
      </c>
      <c r="D14" s="51">
        <v>1385</v>
      </c>
      <c r="E14" s="51"/>
      <c r="F14" s="51"/>
      <c r="G14" s="51"/>
      <c r="H14" s="51"/>
      <c r="I14" s="51"/>
      <c r="N14" s="3" t="s">
        <v>209</v>
      </c>
      <c r="O14" s="13">
        <v>8.5099999999999995E-2</v>
      </c>
      <c r="P14" s="33" t="s">
        <v>212</v>
      </c>
    </row>
    <row r="15" spans="1:16" x14ac:dyDescent="0.25">
      <c r="A15" s="46" t="s">
        <v>30</v>
      </c>
      <c r="B15" s="39">
        <v>2843</v>
      </c>
      <c r="C15" s="39">
        <v>3763</v>
      </c>
      <c r="D15" s="39">
        <v>4961</v>
      </c>
      <c r="E15" s="39">
        <f>E3*E59</f>
        <v>5305.2525887330576</v>
      </c>
      <c r="F15" s="39">
        <f>F3*F59</f>
        <v>5563.9942611750002</v>
      </c>
      <c r="G15" s="39">
        <f>G3*G59</f>
        <v>5889.0079853869192</v>
      </c>
      <c r="H15" s="39">
        <f>H3*H59</f>
        <v>6245.1236434488392</v>
      </c>
      <c r="I15" s="39">
        <f>I3*I59</f>
        <v>6596.6928562281928</v>
      </c>
      <c r="N15" s="4" t="s">
        <v>200</v>
      </c>
      <c r="O15" s="21">
        <f>O12+(O14-O12)*O13</f>
        <v>9.6059499999999992E-2</v>
      </c>
      <c r="P15" s="33"/>
    </row>
    <row r="16" spans="1:16" x14ac:dyDescent="0.25">
      <c r="A16" s="46" t="s">
        <v>153</v>
      </c>
      <c r="B16" s="39">
        <v>2645</v>
      </c>
      <c r="C16" s="39">
        <v>2873</v>
      </c>
      <c r="D16" s="39">
        <v>3576</v>
      </c>
      <c r="E16" s="39">
        <f>E3*E60</f>
        <v>4113.7274709212761</v>
      </c>
      <c r="F16" s="39">
        <f>F3*F60</f>
        <v>4327.5510920250008</v>
      </c>
      <c r="G16" s="39">
        <f>G3*G60</f>
        <v>4580.3395441898265</v>
      </c>
      <c r="H16" s="39">
        <f>H3*H60</f>
        <v>4857.3183893490968</v>
      </c>
      <c r="I16" s="39">
        <f>I3*I60</f>
        <v>5130.761110399706</v>
      </c>
    </row>
    <row r="17" spans="1:9" x14ac:dyDescent="0.25">
      <c r="A17" s="46" t="s">
        <v>12</v>
      </c>
      <c r="B17" s="39">
        <v>60</v>
      </c>
      <c r="C17" s="39">
        <v>-87</v>
      </c>
      <c r="D17" s="39">
        <v>422</v>
      </c>
      <c r="E17" s="39">
        <f>E3*E62</f>
        <v>192.21592403360958</v>
      </c>
      <c r="F17" s="39">
        <f>F3*F62</f>
        <v>46.268934527002955</v>
      </c>
      <c r="G17" s="39">
        <f>G3*G62</f>
        <v>111.37852027226334</v>
      </c>
      <c r="H17" s="39">
        <f>H3*H62</f>
        <v>132.19352780703059</v>
      </c>
      <c r="I17" s="39">
        <f>I3*I62</f>
        <v>106.41830573290885</v>
      </c>
    </row>
    <row r="18" spans="1:9" hidden="1" x14ac:dyDescent="0.25">
      <c r="A18" s="39" t="s">
        <v>13</v>
      </c>
      <c r="B18" s="39">
        <v>60</v>
      </c>
      <c r="C18" s="39">
        <v>-87</v>
      </c>
      <c r="D18" s="39">
        <v>422</v>
      </c>
      <c r="E18" s="39"/>
      <c r="F18" s="39"/>
      <c r="G18" s="39"/>
      <c r="H18" s="39"/>
      <c r="I18" s="39"/>
    </row>
    <row r="19" spans="1:9" ht="15.75" thickBot="1" x14ac:dyDescent="0.3">
      <c r="A19" s="47" t="s">
        <v>14</v>
      </c>
      <c r="B19" s="48">
        <f t="shared" ref="B19:I19" si="13">B12+B15-B16+B17</f>
        <v>109207</v>
      </c>
      <c r="C19" s="48">
        <f t="shared" si="13"/>
        <v>67091</v>
      </c>
      <c r="D19" s="48">
        <f t="shared" si="13"/>
        <v>65737</v>
      </c>
      <c r="E19" s="48">
        <f t="shared" si="13"/>
        <v>129026.8442762718</v>
      </c>
      <c r="F19" s="48">
        <f t="shared" si="13"/>
        <v>135299.92920148166</v>
      </c>
      <c r="G19" s="48">
        <f t="shared" si="13"/>
        <v>143265.71117709624</v>
      </c>
      <c r="H19" s="48">
        <f t="shared" si="13"/>
        <v>151943.24723255646</v>
      </c>
      <c r="I19" s="48">
        <f t="shared" si="13"/>
        <v>160463.67472628772</v>
      </c>
    </row>
    <row r="20" spans="1:9" hidden="1" x14ac:dyDescent="0.25">
      <c r="A20" s="51" t="s">
        <v>15</v>
      </c>
      <c r="B20" s="51">
        <v>14527</v>
      </c>
      <c r="C20" s="51">
        <v>9680</v>
      </c>
      <c r="D20" s="51">
        <v>10481</v>
      </c>
      <c r="E20" s="51">
        <f>E19*E63</f>
        <v>17160.570288744151</v>
      </c>
      <c r="F20" s="51">
        <f>F19*F63</f>
        <v>17994.890583797063</v>
      </c>
      <c r="G20" s="51">
        <f>G19*G63</f>
        <v>19054.3395865538</v>
      </c>
      <c r="H20" s="51">
        <f>H19*H63</f>
        <v>20208.45188193001</v>
      </c>
      <c r="I20" s="51">
        <f>I19*I63</f>
        <v>21341.668738596269</v>
      </c>
    </row>
    <row r="21" spans="1:9" hidden="1" x14ac:dyDescent="0.25">
      <c r="A21" s="39" t="s">
        <v>16</v>
      </c>
      <c r="B21" s="39">
        <v>94680</v>
      </c>
      <c r="C21" s="39">
        <v>57411</v>
      </c>
      <c r="D21" s="39">
        <v>55256</v>
      </c>
      <c r="E21" s="39"/>
      <c r="F21" s="39"/>
      <c r="G21" s="39"/>
      <c r="H21" s="39"/>
      <c r="I21" s="39"/>
    </row>
    <row r="22" spans="1:9" x14ac:dyDescent="0.25">
      <c r="A22" s="56" t="s">
        <v>17</v>
      </c>
      <c r="B22" s="59">
        <f>B19-B20</f>
        <v>94680</v>
      </c>
      <c r="C22" s="59">
        <f t="shared" ref="C22:D22" si="14">C19-C20</f>
        <v>57411</v>
      </c>
      <c r="D22" s="59">
        <f t="shared" si="14"/>
        <v>55256</v>
      </c>
      <c r="E22" s="59">
        <f>E19-E20-E42</f>
        <v>22850.87156983724</v>
      </c>
      <c r="F22" s="59">
        <f t="shared" ref="F22:I22" si="15">F19-F20-F42</f>
        <v>23829.93502994458</v>
      </c>
      <c r="G22" s="59">
        <f t="shared" si="15"/>
        <v>25276.037436042185</v>
      </c>
      <c r="H22" s="59">
        <f t="shared" si="15"/>
        <v>26816.71814068596</v>
      </c>
      <c r="I22" s="59">
        <f t="shared" si="15"/>
        <v>28297.566003057815</v>
      </c>
    </row>
    <row r="23" spans="1:9" x14ac:dyDescent="0.25">
      <c r="A23" s="52" t="s">
        <v>150</v>
      </c>
      <c r="B23" s="12">
        <f>B22/C22-1</f>
        <v>0.64916131055024295</v>
      </c>
      <c r="C23" s="12">
        <f>C22/D22-1</f>
        <v>3.9000289561314627E-2</v>
      </c>
      <c r="D23" s="12">
        <f t="shared" ref="D23" si="16">D22/E22-1</f>
        <v>1.4181134549343395</v>
      </c>
      <c r="E23" s="12">
        <f>E22/B22-1</f>
        <v>-0.75865154657966583</v>
      </c>
      <c r="F23" s="12">
        <f>F22/E22-1</f>
        <v>4.2845781926309057E-2</v>
      </c>
      <c r="G23" s="12">
        <f t="shared" ref="G23:I23" si="17">G22/F22-1</f>
        <v>6.0684278168632755E-2</v>
      </c>
      <c r="H23" s="12">
        <f t="shared" si="17"/>
        <v>6.0954202514625688E-2</v>
      </c>
      <c r="I23" s="12">
        <f t="shared" si="17"/>
        <v>5.522106972982388E-2</v>
      </c>
    </row>
    <row r="24" spans="1:9" hidden="1" x14ac:dyDescent="0.25">
      <c r="A24" s="51" t="s">
        <v>18</v>
      </c>
      <c r="B24" s="51">
        <v>94680</v>
      </c>
      <c r="C24" s="51">
        <v>57411</v>
      </c>
      <c r="D24" s="51">
        <v>55256</v>
      </c>
      <c r="E24" s="51"/>
      <c r="F24" s="51"/>
      <c r="G24" s="51"/>
      <c r="H24" s="51"/>
      <c r="I24" s="51"/>
    </row>
    <row r="25" spans="1:9" hidden="1" x14ac:dyDescent="0.25">
      <c r="A25" s="39" t="s">
        <v>19</v>
      </c>
      <c r="B25" s="39">
        <v>94680</v>
      </c>
      <c r="C25" s="39">
        <v>57411</v>
      </c>
      <c r="D25" s="39">
        <v>55256</v>
      </c>
      <c r="E25" s="39"/>
      <c r="F25" s="39"/>
      <c r="G25" s="39"/>
      <c r="H25" s="39"/>
      <c r="I25" s="39"/>
    </row>
    <row r="26" spans="1:9" hidden="1" x14ac:dyDescent="0.25">
      <c r="A26" s="53" t="s">
        <v>20</v>
      </c>
      <c r="B26" s="53">
        <v>94680</v>
      </c>
      <c r="C26" s="53">
        <v>57411</v>
      </c>
      <c r="D26" s="53">
        <v>55256</v>
      </c>
      <c r="E26" s="53"/>
      <c r="F26" s="53"/>
      <c r="G26" s="53"/>
      <c r="H26" s="39"/>
      <c r="I26" s="39"/>
    </row>
    <row r="27" spans="1:9" hidden="1" x14ac:dyDescent="0.25">
      <c r="A27" s="53" t="s">
        <v>21</v>
      </c>
      <c r="B27" s="53">
        <v>5.67</v>
      </c>
      <c r="C27" s="53">
        <v>3.31</v>
      </c>
      <c r="D27" s="53">
        <v>2.99</v>
      </c>
      <c r="E27" s="53"/>
      <c r="F27" s="53"/>
      <c r="G27" s="53"/>
      <c r="H27" s="39"/>
      <c r="I27" s="39"/>
    </row>
    <row r="28" spans="1:9" hidden="1" x14ac:dyDescent="0.25">
      <c r="A28" s="53" t="s">
        <v>23</v>
      </c>
      <c r="B28" s="53">
        <v>5.61</v>
      </c>
      <c r="C28" s="53">
        <v>3.28</v>
      </c>
      <c r="D28" s="53">
        <v>2.97</v>
      </c>
      <c r="E28" s="53"/>
      <c r="F28" s="53"/>
      <c r="G28" s="53"/>
      <c r="H28" s="39"/>
      <c r="I28" s="39"/>
    </row>
    <row r="29" spans="1:9" hidden="1" x14ac:dyDescent="0.25">
      <c r="A29" s="39" t="s">
        <v>24</v>
      </c>
      <c r="B29" s="39">
        <v>16701.272000000001</v>
      </c>
      <c r="C29" s="39">
        <v>17352.118999999999</v>
      </c>
      <c r="D29" s="39">
        <v>18471.335999999999</v>
      </c>
      <c r="E29" s="39"/>
      <c r="F29" s="39"/>
      <c r="G29" s="39"/>
      <c r="H29" s="39"/>
      <c r="I29" s="39"/>
    </row>
    <row r="30" spans="1:9" hidden="1" x14ac:dyDescent="0.25">
      <c r="A30" s="39" t="s">
        <v>25</v>
      </c>
      <c r="B30" s="39">
        <v>16864.919000000002</v>
      </c>
      <c r="C30" s="39">
        <v>17528.214</v>
      </c>
      <c r="D30" s="39">
        <v>18595.651999999998</v>
      </c>
      <c r="E30" s="39"/>
      <c r="F30" s="39"/>
      <c r="G30" s="39"/>
      <c r="H30" s="39"/>
      <c r="I30" s="39"/>
    </row>
    <row r="31" spans="1:9" hidden="1" x14ac:dyDescent="0.25">
      <c r="A31" s="39" t="s">
        <v>26</v>
      </c>
      <c r="B31" s="39">
        <v>108949</v>
      </c>
      <c r="C31" s="39">
        <v>66288</v>
      </c>
      <c r="D31" s="39">
        <v>63930</v>
      </c>
      <c r="E31" s="39"/>
      <c r="F31" s="39"/>
      <c r="G31" s="39"/>
      <c r="H31" s="39"/>
      <c r="I31" s="39"/>
    </row>
    <row r="32" spans="1:9" hidden="1" x14ac:dyDescent="0.25">
      <c r="A32" s="39" t="s">
        <v>27</v>
      </c>
      <c r="B32" s="39">
        <v>256868</v>
      </c>
      <c r="C32" s="39">
        <v>208227</v>
      </c>
      <c r="D32" s="39">
        <v>196244</v>
      </c>
      <c r="E32" s="39"/>
      <c r="F32" s="39"/>
      <c r="G32" s="39"/>
      <c r="H32" s="39"/>
      <c r="I32" s="39"/>
    </row>
    <row r="33" spans="1:12" hidden="1" x14ac:dyDescent="0.25">
      <c r="A33" s="39" t="s">
        <v>28</v>
      </c>
      <c r="B33" s="39">
        <v>94680</v>
      </c>
      <c r="C33" s="39">
        <v>57411</v>
      </c>
      <c r="D33" s="39">
        <v>55256</v>
      </c>
      <c r="E33" s="39"/>
      <c r="F33" s="39"/>
      <c r="G33" s="39"/>
      <c r="H33" s="39"/>
      <c r="I33" s="39"/>
    </row>
    <row r="34" spans="1:12" hidden="1" x14ac:dyDescent="0.25">
      <c r="A34" s="39" t="s">
        <v>29</v>
      </c>
      <c r="B34" s="39">
        <v>94680</v>
      </c>
      <c r="C34" s="39">
        <v>57411</v>
      </c>
      <c r="D34" s="39">
        <v>55256</v>
      </c>
      <c r="E34" s="39"/>
      <c r="F34" s="39"/>
      <c r="G34" s="39"/>
      <c r="H34" s="39"/>
      <c r="I34" s="39"/>
    </row>
    <row r="35" spans="1:12" hidden="1" x14ac:dyDescent="0.25">
      <c r="A35" s="39" t="s">
        <v>30</v>
      </c>
      <c r="B35" s="39">
        <v>2843</v>
      </c>
      <c r="C35" s="39">
        <v>3763</v>
      </c>
      <c r="D35" s="39">
        <v>4961</v>
      </c>
      <c r="E35" s="39"/>
      <c r="F35" s="39"/>
      <c r="G35" s="39"/>
      <c r="H35" s="39"/>
      <c r="I35" s="39"/>
    </row>
    <row r="36" spans="1:12" hidden="1" x14ac:dyDescent="0.25">
      <c r="A36" s="39" t="s">
        <v>31</v>
      </c>
      <c r="B36" s="39">
        <v>2645</v>
      </c>
      <c r="C36" s="39">
        <v>2873</v>
      </c>
      <c r="D36" s="39">
        <v>3576</v>
      </c>
      <c r="E36" s="39"/>
      <c r="F36" s="39"/>
      <c r="G36" s="39"/>
      <c r="H36" s="39"/>
      <c r="I36" s="39"/>
    </row>
    <row r="37" spans="1:12" hidden="1" x14ac:dyDescent="0.25">
      <c r="A37" s="39" t="s">
        <v>32</v>
      </c>
      <c r="B37" s="39">
        <v>198</v>
      </c>
      <c r="C37" s="39">
        <v>890</v>
      </c>
      <c r="D37" s="39">
        <v>1385</v>
      </c>
      <c r="E37" s="39"/>
      <c r="F37" s="39"/>
      <c r="G37" s="39"/>
      <c r="H37" s="39"/>
      <c r="I37" s="39"/>
    </row>
    <row r="38" spans="1:12" hidden="1" x14ac:dyDescent="0.25">
      <c r="A38" s="39" t="s">
        <v>33</v>
      </c>
      <c r="B38" s="39">
        <v>111852</v>
      </c>
      <c r="C38" s="39">
        <v>69964</v>
      </c>
      <c r="D38" s="39">
        <v>69313</v>
      </c>
      <c r="E38" s="39"/>
      <c r="F38" s="39"/>
      <c r="G38" s="39"/>
      <c r="H38" s="39"/>
      <c r="I38" s="39"/>
      <c r="L38" t="s">
        <v>211</v>
      </c>
    </row>
    <row r="39" spans="1:12" hidden="1" x14ac:dyDescent="0.25">
      <c r="A39" s="39" t="s">
        <v>34</v>
      </c>
      <c r="B39" s="39" t="s">
        <v>22</v>
      </c>
      <c r="C39" s="39" t="s">
        <v>22</v>
      </c>
      <c r="D39" s="39" t="s">
        <v>22</v>
      </c>
      <c r="E39" s="39"/>
      <c r="F39" s="39"/>
      <c r="G39" s="39"/>
      <c r="H39" s="39"/>
      <c r="I39" s="39"/>
    </row>
    <row r="40" spans="1:12" hidden="1" x14ac:dyDescent="0.25">
      <c r="A40" s="39" t="s">
        <v>35</v>
      </c>
      <c r="B40" s="39">
        <v>212981</v>
      </c>
      <c r="C40" s="39">
        <v>169559</v>
      </c>
      <c r="D40" s="39">
        <v>161782</v>
      </c>
      <c r="E40" s="39"/>
      <c r="F40" s="39"/>
      <c r="G40" s="39"/>
      <c r="H40" s="39"/>
      <c r="I40" s="39"/>
    </row>
    <row r="41" spans="1:12" hidden="1" x14ac:dyDescent="0.25">
      <c r="A41" s="39" t="s">
        <v>36</v>
      </c>
      <c r="B41" s="39">
        <v>11284</v>
      </c>
      <c r="C41" s="39">
        <v>11056</v>
      </c>
      <c r="D41" s="39">
        <v>12547</v>
      </c>
      <c r="E41" s="39"/>
      <c r="F41" s="39"/>
      <c r="G41" s="39"/>
      <c r="H41" s="39"/>
      <c r="I41" s="39"/>
    </row>
    <row r="42" spans="1:12" ht="15.75" thickBot="1" x14ac:dyDescent="0.3">
      <c r="A42" s="54" t="s">
        <v>185</v>
      </c>
      <c r="B42" s="48">
        <v>94680</v>
      </c>
      <c r="C42" s="48">
        <v>57411</v>
      </c>
      <c r="D42" s="48">
        <v>55256</v>
      </c>
      <c r="E42" s="48">
        <f>E64*E3</f>
        <v>89015.402417690406</v>
      </c>
      <c r="F42" s="48">
        <f>F64*F3</f>
        <v>93475.103587740014</v>
      </c>
      <c r="G42" s="48">
        <f>G64*G3</f>
        <v>98935.334154500248</v>
      </c>
      <c r="H42" s="48">
        <f>H64*H3</f>
        <v>104918.0772099405</v>
      </c>
      <c r="I42" s="48">
        <f>I64*I3</f>
        <v>110824.43998463365</v>
      </c>
    </row>
    <row r="43" spans="1:12" hidden="1" x14ac:dyDescent="0.25">
      <c r="A43" s="51" t="s">
        <v>37</v>
      </c>
      <c r="B43" s="51">
        <v>123136</v>
      </c>
      <c r="C43" s="51">
        <v>81020</v>
      </c>
      <c r="D43" s="51">
        <v>81860</v>
      </c>
      <c r="E43" s="51">
        <f>E61*E3</f>
        <v>123824.84421063263</v>
      </c>
      <c r="F43" s="51">
        <f t="shared" ref="F43:I43" si="18">F61*F3</f>
        <v>130129.33455467876</v>
      </c>
      <c r="G43" s="51">
        <f t="shared" si="18"/>
        <v>140725.48994423472</v>
      </c>
      <c r="H43" s="51">
        <f t="shared" si="18"/>
        <v>147075.6891682322</v>
      </c>
      <c r="I43" s="51">
        <f t="shared" si="18"/>
        <v>155757.89645422835</v>
      </c>
    </row>
    <row r="45" spans="1:12" x14ac:dyDescent="0.25">
      <c r="A45" s="70" t="s">
        <v>16</v>
      </c>
      <c r="B45" s="6">
        <v>94680</v>
      </c>
      <c r="C45" s="6">
        <v>57411</v>
      </c>
      <c r="D45" s="6">
        <v>55256</v>
      </c>
      <c r="E45" s="73" t="s">
        <v>234</v>
      </c>
      <c r="F45" s="73" t="s">
        <v>234</v>
      </c>
      <c r="G45" s="73" t="s">
        <v>234</v>
      </c>
      <c r="H45" s="73" t="s">
        <v>234</v>
      </c>
      <c r="I45" s="73" t="s">
        <v>234</v>
      </c>
    </row>
    <row r="46" spans="1:12" ht="15.75" thickBot="1" x14ac:dyDescent="0.3">
      <c r="A46" s="54" t="s">
        <v>99</v>
      </c>
      <c r="B46" s="3">
        <v>11284</v>
      </c>
      <c r="C46" s="3">
        <v>11056</v>
      </c>
      <c r="D46" s="3">
        <v>12547</v>
      </c>
      <c r="E46" s="6">
        <f>E3*E65</f>
        <v>15615.310145720436</v>
      </c>
      <c r="F46" s="6">
        <f>F3*F65</f>
        <v>16403.479377390002</v>
      </c>
      <c r="G46" s="6">
        <f>G3*G65</f>
        <v>17361.667986548102</v>
      </c>
      <c r="H46" s="6">
        <f>H3*H65</f>
        <v>18411.549704389912</v>
      </c>
      <c r="I46" s="6">
        <f>I3*I65</f>
        <v>19448.027827991267</v>
      </c>
    </row>
    <row r="47" spans="1:12" ht="15.75" thickBot="1" x14ac:dyDescent="0.3">
      <c r="A47" s="75" t="s">
        <v>154</v>
      </c>
      <c r="B47" s="76">
        <f>'Balance Sheet'!H11</f>
        <v>-28966</v>
      </c>
      <c r="C47" s="77">
        <f>'Balance Sheet'!H19</f>
        <v>-18780</v>
      </c>
      <c r="D47" s="76">
        <f>'Balance Sheet'!M11</f>
        <v>57101</v>
      </c>
      <c r="E47" s="78">
        <f>E3*E66</f>
        <v>23625.269426322393</v>
      </c>
      <c r="F47" s="78">
        <f>F3*F66</f>
        <v>24811.29292761</v>
      </c>
      <c r="G47" s="78">
        <f>G3*G66</f>
        <v>26260.613386688336</v>
      </c>
      <c r="H47" s="78">
        <f>H3*H66</f>
        <v>27848.625432268153</v>
      </c>
      <c r="I47" s="78">
        <f>I3*I66</f>
        <v>29416.363699624977</v>
      </c>
      <c r="J47" t="s">
        <v>235</v>
      </c>
    </row>
    <row r="48" spans="1:12" ht="15.75" thickBot="1" x14ac:dyDescent="0.3">
      <c r="A48" s="54" t="s">
        <v>95</v>
      </c>
      <c r="B48" s="6">
        <f>B45+B46-B47</f>
        <v>134930</v>
      </c>
      <c r="C48" s="6">
        <f t="shared" ref="C48:D48" si="19">C45+C46-C47</f>
        <v>87247</v>
      </c>
      <c r="D48" s="6">
        <f t="shared" si="19"/>
        <v>10702</v>
      </c>
      <c r="E48" s="6">
        <f>E22+E46-E47</f>
        <v>14840.912289235279</v>
      </c>
      <c r="F48" s="6">
        <f t="shared" ref="F48:I48" si="20">F22+F46-F47</f>
        <v>15422.121479724581</v>
      </c>
      <c r="G48" s="6">
        <f t="shared" si="20"/>
        <v>16377.092035901947</v>
      </c>
      <c r="H48" s="6">
        <f t="shared" si="20"/>
        <v>17379.642412807716</v>
      </c>
      <c r="I48" s="6">
        <f t="shared" si="20"/>
        <v>18329.230131424105</v>
      </c>
    </row>
    <row r="49" spans="1:18" ht="15.75" thickBot="1" x14ac:dyDescent="0.3">
      <c r="A49" s="54" t="s">
        <v>162</v>
      </c>
      <c r="B49" s="3">
        <v>-11085</v>
      </c>
      <c r="C49" s="3">
        <v>-7309</v>
      </c>
      <c r="D49" s="3">
        <v>-10495</v>
      </c>
      <c r="E49" s="6">
        <f>E3*E67</f>
        <v>-12726.279607138995</v>
      </c>
      <c r="F49" s="6">
        <f>F3*F67</f>
        <v>13353.58622682</v>
      </c>
      <c r="G49" s="6">
        <f>G3*G67</f>
        <v>14133.619164928605</v>
      </c>
      <c r="H49" s="6">
        <f>H3*H67</f>
        <v>14988.296744277213</v>
      </c>
      <c r="I49" s="6">
        <f>I3*I67</f>
        <v>15832.062854947662</v>
      </c>
    </row>
    <row r="50" spans="1:18" ht="15.75" thickBot="1" x14ac:dyDescent="0.3">
      <c r="A50" s="54" t="s">
        <v>163</v>
      </c>
      <c r="B50" s="6">
        <f>B48-B49</f>
        <v>146015</v>
      </c>
      <c r="C50" s="6">
        <f t="shared" ref="C50:D50" si="21">C48-C49</f>
        <v>94556</v>
      </c>
      <c r="D50" s="6">
        <f t="shared" si="21"/>
        <v>21197</v>
      </c>
      <c r="E50" s="6">
        <f>E48-E49</f>
        <v>27567.191896374272</v>
      </c>
      <c r="F50" s="6">
        <f t="shared" ref="F50:I50" si="22">F48-F49</f>
        <v>2068.5352529045813</v>
      </c>
      <c r="G50" s="6">
        <f t="shared" si="22"/>
        <v>2243.4728709733427</v>
      </c>
      <c r="H50" s="6">
        <f t="shared" si="22"/>
        <v>2391.3456685305027</v>
      </c>
      <c r="I50" s="6">
        <f t="shared" si="22"/>
        <v>2497.1672764764426</v>
      </c>
    </row>
    <row r="51" spans="1:18" ht="15.75" thickBot="1" x14ac:dyDescent="0.3">
      <c r="A51" s="75" t="s">
        <v>164</v>
      </c>
      <c r="B51" s="76">
        <f>'Balance Sheet'!H27</f>
        <v>15359</v>
      </c>
      <c r="C51" s="77">
        <f>'Balance Sheet'!H34</f>
        <v>15217</v>
      </c>
      <c r="D51" s="77">
        <f>'Balance Sheet'!M27</f>
        <v>-15217</v>
      </c>
      <c r="E51" s="78">
        <f>E3*E68</f>
        <v>5493.4023333333334</v>
      </c>
      <c r="F51" s="78">
        <f>F3*F68</f>
        <v>5770.0681227000005</v>
      </c>
      <c r="G51" s="78">
        <f>G3*G68</f>
        <v>6107.119392253102</v>
      </c>
      <c r="H51" s="78">
        <f>H3*H68</f>
        <v>6476.4245191321297</v>
      </c>
      <c r="I51" s="78">
        <f>I3*I68</f>
        <v>6841.0148138662744</v>
      </c>
      <c r="J51" t="s">
        <v>235</v>
      </c>
    </row>
    <row r="52" spans="1:18" x14ac:dyDescent="0.25">
      <c r="A52" s="71" t="s">
        <v>173</v>
      </c>
      <c r="B52" s="72">
        <f>B51+B50</f>
        <v>161374</v>
      </c>
      <c r="C52" s="72">
        <f t="shared" ref="C52:D52" si="23">C51+C50</f>
        <v>109773</v>
      </c>
      <c r="D52" s="72">
        <f t="shared" si="23"/>
        <v>5980</v>
      </c>
      <c r="E52" s="72">
        <f>E50+E51</f>
        <v>33060.594229707604</v>
      </c>
      <c r="F52" s="72">
        <f t="shared" ref="F52:I52" si="24">F50+F51</f>
        <v>7838.6033756045817</v>
      </c>
      <c r="G52" s="72">
        <f t="shared" si="24"/>
        <v>8350.5922632264446</v>
      </c>
      <c r="H52" s="72">
        <f t="shared" si="24"/>
        <v>8867.7701876626325</v>
      </c>
      <c r="I52" s="72">
        <f t="shared" si="24"/>
        <v>9338.1820903427179</v>
      </c>
    </row>
    <row r="53" spans="1:18" x14ac:dyDescent="0.25">
      <c r="A53" s="17" t="s">
        <v>201</v>
      </c>
      <c r="B53" s="3"/>
      <c r="C53" s="3"/>
      <c r="D53" s="3"/>
      <c r="E53" s="3"/>
      <c r="F53" s="3"/>
      <c r="G53" s="3"/>
      <c r="H53" s="3"/>
      <c r="I53" s="22">
        <f>(I52*(1+O7))/(O6-O7)</f>
        <v>132700.03900264285</v>
      </c>
    </row>
    <row r="54" spans="1:18" x14ac:dyDescent="0.25">
      <c r="A54" s="27" t="s">
        <v>215</v>
      </c>
      <c r="B54" s="28">
        <f>B52</f>
        <v>161374</v>
      </c>
      <c r="C54" s="28">
        <f t="shared" ref="C54:H54" si="25">C52</f>
        <v>109773</v>
      </c>
      <c r="D54" s="28">
        <f t="shared" si="25"/>
        <v>5980</v>
      </c>
      <c r="E54" s="28">
        <f t="shared" si="25"/>
        <v>33060.594229707604</v>
      </c>
      <c r="F54" s="28">
        <f t="shared" si="25"/>
        <v>7838.6033756045817</v>
      </c>
      <c r="G54" s="28">
        <f t="shared" si="25"/>
        <v>8350.5922632264446</v>
      </c>
      <c r="H54" s="28">
        <f t="shared" si="25"/>
        <v>8867.7701876626325</v>
      </c>
      <c r="I54" s="28">
        <f>I53+I52</f>
        <v>142038.22109298556</v>
      </c>
    </row>
    <row r="55" spans="1:18" x14ac:dyDescent="0.25">
      <c r="A55" s="8" t="s">
        <v>174</v>
      </c>
      <c r="B55" s="9">
        <v>2019</v>
      </c>
      <c r="C55" s="9">
        <v>2020</v>
      </c>
      <c r="D55" s="11">
        <v>2021</v>
      </c>
      <c r="E55" s="9" t="s">
        <v>179</v>
      </c>
      <c r="F55" s="9" t="s">
        <v>180</v>
      </c>
      <c r="G55" s="9" t="s">
        <v>181</v>
      </c>
      <c r="H55" s="9" t="s">
        <v>182</v>
      </c>
      <c r="I55" s="9" t="s">
        <v>183</v>
      </c>
    </row>
    <row r="56" spans="1:18" x14ac:dyDescent="0.25">
      <c r="A56" s="37" t="s">
        <v>175</v>
      </c>
      <c r="B56" s="74" t="s">
        <v>234</v>
      </c>
      <c r="C56" s="12">
        <f>C3/D3-1</f>
        <v>5.5120803769784787E-2</v>
      </c>
      <c r="D56" s="25">
        <f>B3/C3-1</f>
        <v>0.33259384733074704</v>
      </c>
      <c r="E56" s="12">
        <v>7.2999999999999995E-2</v>
      </c>
      <c r="F56" s="12">
        <v>0.05</v>
      </c>
      <c r="G56" s="13">
        <f>AVERAGE(D56:F56)</f>
        <v>0.15186461577691568</v>
      </c>
      <c r="H56" s="13">
        <f t="shared" ref="H56:I56" si="26">AVERAGE(E56:G56)</f>
        <v>9.1621538592305221E-2</v>
      </c>
      <c r="I56" s="13">
        <f t="shared" si="26"/>
        <v>9.782871812307363E-2</v>
      </c>
      <c r="M56" s="29" t="s">
        <v>192</v>
      </c>
      <c r="N56" s="29"/>
      <c r="O56" s="30"/>
    </row>
    <row r="57" spans="1:18" x14ac:dyDescent="0.25">
      <c r="A57" s="37" t="s">
        <v>176</v>
      </c>
      <c r="B57" s="26">
        <f>D6/D3</f>
        <v>0.62182231890965278</v>
      </c>
      <c r="C57" s="26">
        <f>C6/C3</f>
        <v>0.61766752272189129</v>
      </c>
      <c r="D57" s="26">
        <f>B6/B3</f>
        <v>0.58220640374832222</v>
      </c>
      <c r="E57" s="13">
        <f t="shared" ref="E57:E62" si="27">AVERAGE(B57:D57)</f>
        <v>0.6072320817932888</v>
      </c>
      <c r="F57" s="13">
        <v>0.6072320817932888</v>
      </c>
      <c r="G57" s="13">
        <v>0.6072320817932888</v>
      </c>
      <c r="H57" s="13">
        <f>AVERAGE(E57:G57)</f>
        <v>0.6072320817932888</v>
      </c>
      <c r="I57" s="13">
        <f>AVERAGE(F57:H57)</f>
        <v>0.6072320817932888</v>
      </c>
      <c r="M57" s="31" t="s">
        <v>223</v>
      </c>
      <c r="N57" s="31"/>
      <c r="O57" s="31"/>
      <c r="P57" s="31"/>
      <c r="Q57" s="24"/>
      <c r="R57" s="24"/>
    </row>
    <row r="58" spans="1:18" x14ac:dyDescent="0.25">
      <c r="A58" s="37" t="s">
        <v>177</v>
      </c>
      <c r="B58" s="12">
        <f>D10/D3</f>
        <v>7.0126146348213125E-2</v>
      </c>
      <c r="C58" s="12">
        <f>C10/C3</f>
        <v>7.2549769593646979E-2</v>
      </c>
      <c r="D58" s="12">
        <f>B10/B3</f>
        <v>6.006555190163388E-2</v>
      </c>
      <c r="E58" s="13">
        <f t="shared" si="27"/>
        <v>6.7580489281164655E-2</v>
      </c>
      <c r="F58" s="12">
        <v>6.7599999999999993E-2</v>
      </c>
      <c r="G58" s="12">
        <v>6.7599999999999993E-2</v>
      </c>
      <c r="H58" s="12">
        <v>6.7599999999999993E-2</v>
      </c>
      <c r="I58" s="12">
        <v>6.7599999999999993E-2</v>
      </c>
    </row>
    <row r="59" spans="1:18" x14ac:dyDescent="0.25">
      <c r="A59" s="37" t="s">
        <v>178</v>
      </c>
      <c r="B59" s="12">
        <f>D15/D3</f>
        <v>1.9068008332884915E-2</v>
      </c>
      <c r="C59" s="12">
        <f>C15/C3</f>
        <v>1.3707811959273628E-2</v>
      </c>
      <c r="D59" s="12">
        <f>B15/B3</f>
        <v>7.771645385534297E-3</v>
      </c>
      <c r="E59" s="13">
        <f t="shared" si="27"/>
        <v>1.3515821892564282E-2</v>
      </c>
      <c r="F59" s="12">
        <v>1.35E-2</v>
      </c>
      <c r="G59" s="12">
        <v>1.35E-2</v>
      </c>
      <c r="H59" s="12">
        <v>1.35E-2</v>
      </c>
      <c r="I59" s="12">
        <v>1.35E-2</v>
      </c>
    </row>
    <row r="60" spans="1:18" x14ac:dyDescent="0.25">
      <c r="A60" s="37" t="s">
        <v>184</v>
      </c>
      <c r="B60" s="12">
        <f>D16/D3</f>
        <v>1.374464781261771E-2</v>
      </c>
      <c r="C60" s="12">
        <f>C16/C3</f>
        <v>1.0465730470101816E-2</v>
      </c>
      <c r="D60" s="12">
        <f>B16/B3</f>
        <v>7.2303911518600827E-3</v>
      </c>
      <c r="E60" s="12">
        <f t="shared" si="27"/>
        <v>1.0480256478193202E-2</v>
      </c>
      <c r="F60" s="12">
        <v>1.0500000000000001E-2</v>
      </c>
      <c r="G60" s="12">
        <v>1.0500000000000001E-2</v>
      </c>
      <c r="H60" s="12">
        <v>1.0500000000000001E-2</v>
      </c>
      <c r="I60" s="12">
        <v>1.0500000000000001E-2</v>
      </c>
    </row>
    <row r="61" spans="1:18" x14ac:dyDescent="0.25">
      <c r="A61" s="37" t="str">
        <f>A43</f>
        <v>Normalized EBITDA</v>
      </c>
      <c r="B61" s="12">
        <f>D43/D3</f>
        <v>0.3146355900282119</v>
      </c>
      <c r="C61" s="12">
        <f>C43/C3</f>
        <v>0.2951386991603373</v>
      </c>
      <c r="D61" s="12">
        <f>B43/B3</f>
        <v>0.33660546120054563</v>
      </c>
      <c r="E61" s="12">
        <f t="shared" si="27"/>
        <v>0.31545991679636493</v>
      </c>
      <c r="F61" s="12">
        <f t="shared" ref="F61:I61" si="28">AVERAGE(C61:E61)</f>
        <v>0.3157346923857493</v>
      </c>
      <c r="G61" s="12">
        <f t="shared" si="28"/>
        <v>0.32260002346088662</v>
      </c>
      <c r="H61" s="12">
        <f t="shared" si="28"/>
        <v>0.31793154421433362</v>
      </c>
      <c r="I61" s="12">
        <f t="shared" si="28"/>
        <v>0.31875542002032314</v>
      </c>
    </row>
    <row r="62" spans="1:18" x14ac:dyDescent="0.25">
      <c r="A62" s="37" t="s">
        <v>199</v>
      </c>
      <c r="B62" s="12">
        <f>D17/D3</f>
        <v>1.6219914365001884E-3</v>
      </c>
      <c r="C62" s="12">
        <f>C17/C3</f>
        <v>-3.1692257253701983E-4</v>
      </c>
      <c r="D62" s="12">
        <f>B17/B3</f>
        <v>1.6401643444673156E-4</v>
      </c>
      <c r="E62" s="12">
        <f t="shared" si="27"/>
        <v>4.8969509946996672E-4</v>
      </c>
      <c r="F62" s="12">
        <f t="shared" ref="F62:I62" si="29">AVERAGE(C62:E62)</f>
        <v>1.1226298712655948E-4</v>
      </c>
      <c r="G62" s="12">
        <f t="shared" si="29"/>
        <v>2.5532484034775256E-4</v>
      </c>
      <c r="H62" s="12">
        <f t="shared" si="29"/>
        <v>2.8576097564809289E-4</v>
      </c>
      <c r="I62" s="12">
        <f t="shared" si="29"/>
        <v>2.1778293437413497E-4</v>
      </c>
    </row>
    <row r="63" spans="1:18" x14ac:dyDescent="0.25">
      <c r="A63" s="37" t="s">
        <v>186</v>
      </c>
      <c r="B63" s="12">
        <f>D20/D19</f>
        <v>0.15943836804235059</v>
      </c>
      <c r="C63" s="12">
        <f>C20/C19</f>
        <v>0.14428164731484103</v>
      </c>
      <c r="D63" s="12">
        <f>B20/B19</f>
        <v>0.13302260844085087</v>
      </c>
      <c r="E63" s="12">
        <v>0.13300000000000001</v>
      </c>
      <c r="F63" s="12">
        <v>0.13300000000000001</v>
      </c>
      <c r="G63" s="12">
        <v>0.13300000000000001</v>
      </c>
      <c r="H63" s="12">
        <v>0.13300000000000001</v>
      </c>
      <c r="I63" s="12">
        <v>0.13300000000000001</v>
      </c>
      <c r="M63" s="24" t="s">
        <v>222</v>
      </c>
      <c r="N63" s="24"/>
      <c r="O63" s="24"/>
      <c r="P63" s="24"/>
    </row>
    <row r="64" spans="1:18" x14ac:dyDescent="0.25">
      <c r="A64" s="37" t="s">
        <v>187</v>
      </c>
      <c r="B64" s="12">
        <f>D42/D3</f>
        <v>0.21238094505984456</v>
      </c>
      <c r="C64" s="12">
        <f>C42/C3</f>
        <v>0.20913611278072236</v>
      </c>
      <c r="D64" s="12">
        <f>B42/B3</f>
        <v>0.25881793355694238</v>
      </c>
      <c r="E64" s="12">
        <f>AVERAGE(B64:D64)</f>
        <v>0.22677833046583643</v>
      </c>
      <c r="F64" s="12">
        <v>0.2268</v>
      </c>
      <c r="G64" s="12">
        <v>0.2268</v>
      </c>
      <c r="H64" s="12">
        <v>0.2268</v>
      </c>
      <c r="I64" s="12">
        <v>0.2268</v>
      </c>
    </row>
    <row r="65" spans="1:9 16384:16384" x14ac:dyDescent="0.25">
      <c r="A65" s="37" t="s">
        <v>188</v>
      </c>
      <c r="B65" s="12">
        <f>D46/D3</f>
        <v>4.8225418373857493E-2</v>
      </c>
      <c r="C65" s="12">
        <f>C46/C3</f>
        <v>4.0274666229532081E-2</v>
      </c>
      <c r="D65" s="12">
        <f>B46/B3</f>
        <v>3.084602410494865E-2</v>
      </c>
      <c r="E65" s="12">
        <f>AVERAGE(B65:D65)</f>
        <v>3.978203623611274E-2</v>
      </c>
      <c r="F65" s="12">
        <v>3.9800000000000002E-2</v>
      </c>
      <c r="G65" s="12">
        <v>3.9800000000000002E-2</v>
      </c>
      <c r="H65" s="12">
        <v>3.9800000000000002E-2</v>
      </c>
      <c r="I65" s="12">
        <v>3.9800000000000002E-2</v>
      </c>
    </row>
    <row r="66" spans="1:9 16384:16384" x14ac:dyDescent="0.25">
      <c r="A66" s="37" t="s">
        <v>189</v>
      </c>
      <c r="B66" s="12">
        <f>D47/D3</f>
        <v>0.21947235311752905</v>
      </c>
      <c r="C66" s="12">
        <f>C46/C3</f>
        <v>4.0274666229532081E-2</v>
      </c>
      <c r="D66" s="12">
        <f>B47/B3</f>
        <v>-7.9181667336400446E-2</v>
      </c>
      <c r="E66" s="12">
        <f>AVERAGE(B66:D66)</f>
        <v>6.0188450670220224E-2</v>
      </c>
      <c r="F66" s="12">
        <v>6.0199999999999997E-2</v>
      </c>
      <c r="G66" s="12">
        <v>6.0199999999999997E-2</v>
      </c>
      <c r="H66" s="12">
        <v>6.0199999999999997E-2</v>
      </c>
      <c r="I66" s="12">
        <v>6.0199999999999997E-2</v>
      </c>
    </row>
    <row r="67" spans="1:9 16384:16384" x14ac:dyDescent="0.25">
      <c r="A67" s="37" t="s">
        <v>190</v>
      </c>
      <c r="B67" s="12">
        <f>D49/D3</f>
        <v>-4.033838892433525E-2</v>
      </c>
      <c r="C67" s="12">
        <f>C49/C3</f>
        <v>-2.6625138881299748E-2</v>
      </c>
      <c r="D67" s="12">
        <f>B49/B3</f>
        <v>-3.0302036264033657E-2</v>
      </c>
      <c r="E67" s="12">
        <f>AVERAGE(B67:D67)</f>
        <v>-3.2421854689889555E-2</v>
      </c>
      <c r="F67" s="12">
        <v>3.2399999999999998E-2</v>
      </c>
      <c r="G67" s="12">
        <v>3.2399999999999998E-2</v>
      </c>
      <c r="H67" s="12">
        <v>3.2399999999999998E-2</v>
      </c>
      <c r="I67" s="12">
        <v>3.2399999999999998E-2</v>
      </c>
      <c r="XFD67" s="1" t="s">
        <v>93</v>
      </c>
    </row>
    <row r="68" spans="1:9 16384:16384" x14ac:dyDescent="0.25">
      <c r="A68" s="37" t="s">
        <v>191</v>
      </c>
      <c r="B68" s="12">
        <f>D51/C3</f>
        <v>-5.5432307888457828E-2</v>
      </c>
      <c r="C68" s="12">
        <f>C51/C3</f>
        <v>5.5432307888457828E-2</v>
      </c>
      <c r="D68" s="12">
        <f>B51/B3</f>
        <v>4.1985473611122502E-2</v>
      </c>
      <c r="E68" s="12">
        <f>AVERAGE(B68:D68)</f>
        <v>1.3995157870374168E-2</v>
      </c>
      <c r="F68" s="12">
        <v>1.4E-2</v>
      </c>
      <c r="G68" s="12">
        <v>1.4E-2</v>
      </c>
      <c r="H68" s="12">
        <v>1.4E-2</v>
      </c>
      <c r="I68" s="12">
        <v>1.4E-2</v>
      </c>
    </row>
    <row r="69" spans="1:9 16384:16384" x14ac:dyDescent="0.25">
      <c r="B69" s="10"/>
      <c r="C69" s="10"/>
      <c r="D69" s="10"/>
      <c r="E69" s="10"/>
      <c r="H69" s="10"/>
      <c r="I69" s="10"/>
    </row>
    <row r="70" spans="1:9 16384:16384" x14ac:dyDescent="0.25">
      <c r="A70" s="57" t="s">
        <v>216</v>
      </c>
      <c r="B70" s="57">
        <f>NPV(O6,B54:I54)</f>
        <v>348684.54127186938</v>
      </c>
      <c r="D70" s="83" t="s">
        <v>228</v>
      </c>
      <c r="E70" s="84"/>
    </row>
    <row r="71" spans="1:9 16384:16384" x14ac:dyDescent="0.25">
      <c r="A71" s="55" t="s">
        <v>217</v>
      </c>
      <c r="B71" s="55">
        <v>1607</v>
      </c>
      <c r="D71" s="85" t="s">
        <v>227</v>
      </c>
      <c r="E71" s="86"/>
    </row>
    <row r="72" spans="1:9 16384:16384" x14ac:dyDescent="0.25">
      <c r="A72" s="57" t="s">
        <v>218</v>
      </c>
      <c r="B72" s="57">
        <f>B70/B71</f>
        <v>216.97855710757273</v>
      </c>
      <c r="D72" s="85" t="s">
        <v>224</v>
      </c>
      <c r="E72" s="86"/>
    </row>
    <row r="73" spans="1:9 16384:16384" x14ac:dyDescent="0.25">
      <c r="A73" s="55" t="s">
        <v>219</v>
      </c>
      <c r="B73" s="55">
        <v>145.44999999999999</v>
      </c>
      <c r="D73" s="85" t="s">
        <v>225</v>
      </c>
      <c r="E73" s="86"/>
    </row>
    <row r="74" spans="1:9 16384:16384" x14ac:dyDescent="0.25">
      <c r="A74" s="57" t="s">
        <v>220</v>
      </c>
      <c r="B74" s="58" t="str">
        <f>IF(B72&gt;B73,"Buy","Sell")</f>
        <v>Buy</v>
      </c>
      <c r="D74" s="85" t="s">
        <v>229</v>
      </c>
      <c r="E74" s="86"/>
    </row>
    <row r="75" spans="1:9 16384:16384" x14ac:dyDescent="0.25">
      <c r="A75" s="55" t="s">
        <v>221</v>
      </c>
      <c r="B75" s="69">
        <f>B72/B73-1</f>
        <v>0.49177419805825195</v>
      </c>
      <c r="D75" s="87" t="s">
        <v>226</v>
      </c>
      <c r="E75" s="88"/>
    </row>
  </sheetData>
  <autoFilter ref="A2:I43" xr:uid="{321C643B-6B28-4A39-99B0-AC4D96A1BD47}">
    <filterColumn colId="0">
      <colorFilter dxfId="0"/>
    </filterColumn>
  </autoFilter>
  <mergeCells count="2">
    <mergeCell ref="E1:I1"/>
    <mergeCell ref="N11:O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D5F4A-A991-49F0-9B00-545FAE87DCE1}">
  <sheetPr>
    <tabColor rgb="FF92D050"/>
  </sheetPr>
  <dimension ref="A4:T34"/>
  <sheetViews>
    <sheetView tabSelected="1" zoomScaleNormal="100" workbookViewId="0">
      <selection activeCell="L25" sqref="L25"/>
    </sheetView>
  </sheetViews>
  <sheetFormatPr defaultRowHeight="15" x14ac:dyDescent="0.25"/>
  <cols>
    <col min="1" max="1" width="19.28515625" bestFit="1" customWidth="1"/>
    <col min="2" max="4" width="10.140625" bestFit="1" customWidth="1"/>
    <col min="5" max="9" width="12.7109375" bestFit="1" customWidth="1"/>
    <col min="11" max="11" width="16" customWidth="1"/>
    <col min="12" max="12" width="16.5703125" customWidth="1"/>
    <col min="13" max="15" width="9.7109375" bestFit="1" customWidth="1"/>
  </cols>
  <sheetData>
    <row r="4" spans="1:20" x14ac:dyDescent="0.25">
      <c r="E4" s="68"/>
    </row>
    <row r="6" spans="1:20" x14ac:dyDescent="0.25">
      <c r="F6" t="s">
        <v>233</v>
      </c>
      <c r="L6" t="s">
        <v>233</v>
      </c>
    </row>
    <row r="7" spans="1:20" x14ac:dyDescent="0.25">
      <c r="A7" s="45" t="s">
        <v>198</v>
      </c>
      <c r="B7" s="45" t="s">
        <v>0</v>
      </c>
      <c r="C7" s="45" t="s">
        <v>1</v>
      </c>
      <c r="D7" s="45" t="s">
        <v>2</v>
      </c>
      <c r="F7" s="45" t="s">
        <v>197</v>
      </c>
      <c r="G7" s="45" t="s">
        <v>193</v>
      </c>
      <c r="H7" s="45" t="s">
        <v>194</v>
      </c>
      <c r="I7" s="45" t="s">
        <v>195</v>
      </c>
      <c r="J7" s="45" t="s">
        <v>196</v>
      </c>
      <c r="L7" s="45" t="s">
        <v>198</v>
      </c>
      <c r="M7" s="45" t="s">
        <v>0</v>
      </c>
      <c r="N7" s="45" t="s">
        <v>1</v>
      </c>
      <c r="O7" s="45" t="s">
        <v>2</v>
      </c>
      <c r="P7" s="45" t="s">
        <v>197</v>
      </c>
      <c r="Q7" s="45" t="s">
        <v>193</v>
      </c>
      <c r="R7" s="45" t="s">
        <v>194</v>
      </c>
      <c r="S7" s="45" t="s">
        <v>195</v>
      </c>
      <c r="T7" s="45" t="s">
        <v>196</v>
      </c>
    </row>
    <row r="8" spans="1:20" x14ac:dyDescent="0.25">
      <c r="A8" s="4" t="s">
        <v>17</v>
      </c>
      <c r="B8" s="3">
        <v>94680</v>
      </c>
      <c r="C8" s="3">
        <v>57411</v>
      </c>
      <c r="D8" s="3">
        <v>55256</v>
      </c>
      <c r="F8">
        <v>111866.27398752765</v>
      </c>
      <c r="G8">
        <v>117305.03861768459</v>
      </c>
      <c r="H8">
        <v>124211.37159054243</v>
      </c>
      <c r="I8">
        <v>131734.79535062646</v>
      </c>
      <c r="J8">
        <v>139122.00598769146</v>
      </c>
      <c r="L8" s="3" t="s">
        <v>17</v>
      </c>
      <c r="M8" s="3">
        <v>94680</v>
      </c>
      <c r="N8" s="3">
        <v>57411</v>
      </c>
      <c r="O8" s="3">
        <v>55256</v>
      </c>
      <c r="P8" s="3">
        <v>111866.27398752765</v>
      </c>
      <c r="Q8" s="3">
        <v>117305.03861768459</v>
      </c>
      <c r="R8" s="3">
        <v>124211.37159054243</v>
      </c>
      <c r="S8" s="3">
        <v>131734.79535062646</v>
      </c>
      <c r="T8" s="3">
        <v>139122.00598769146</v>
      </c>
    </row>
    <row r="9" spans="1:20" x14ac:dyDescent="0.25">
      <c r="A9" s="4" t="s">
        <v>78</v>
      </c>
      <c r="B9" s="3">
        <v>63090</v>
      </c>
      <c r="C9" s="3">
        <v>65339</v>
      </c>
      <c r="D9" s="3">
        <v>90488</v>
      </c>
      <c r="F9" s="3">
        <v>74205.006930000003</v>
      </c>
      <c r="G9" s="3">
        <v>82702.667503595891</v>
      </c>
      <c r="H9" s="3">
        <v>88997.994553969605</v>
      </c>
      <c r="I9" s="3">
        <v>106047.01997789316</v>
      </c>
      <c r="J9" s="3">
        <v>124208.76305714171</v>
      </c>
      <c r="L9" s="3" t="s">
        <v>3</v>
      </c>
      <c r="M9" s="3">
        <v>365817</v>
      </c>
      <c r="N9" s="3">
        <v>274515</v>
      </c>
      <c r="O9" s="3">
        <v>260174</v>
      </c>
      <c r="P9" s="3">
        <v>392521.641</v>
      </c>
      <c r="Q9" s="3">
        <v>412147.72305000003</v>
      </c>
      <c r="R9" s="3">
        <v>436222.81373236439</v>
      </c>
      <c r="S9" s="3">
        <v>462601.75136658066</v>
      </c>
      <c r="T9" s="3">
        <v>488643.91527616244</v>
      </c>
    </row>
    <row r="10" spans="1:20" x14ac:dyDescent="0.25">
      <c r="A10" s="4" t="s">
        <v>230</v>
      </c>
      <c r="B10" s="67">
        <f>B8/B9</f>
        <v>1.5007132667617689</v>
      </c>
      <c r="C10" s="67">
        <f t="shared" ref="C10:D10" si="0">C8/C9</f>
        <v>0.87866358530127486</v>
      </c>
      <c r="D10" s="67">
        <f t="shared" si="0"/>
        <v>0.61064450534877557</v>
      </c>
      <c r="F10" s="67">
        <f>F8/F9</f>
        <v>1.5075299985222661</v>
      </c>
      <c r="G10" s="67">
        <f t="shared" ref="G10:J10" si="1">G8/G9</f>
        <v>1.4183948614787329</v>
      </c>
      <c r="H10" s="67">
        <f t="shared" si="1"/>
        <v>1.3956648373151705</v>
      </c>
      <c r="I10" s="67">
        <f t="shared" si="1"/>
        <v>1.2422300539712312</v>
      </c>
      <c r="J10" s="67">
        <f t="shared" si="1"/>
        <v>1.1200659483557451</v>
      </c>
      <c r="L10" s="3" t="s">
        <v>232</v>
      </c>
      <c r="M10" s="12">
        <f>M8/M9</f>
        <v>0.25881793355694238</v>
      </c>
      <c r="N10" s="12">
        <f t="shared" ref="N10:O10" si="2">N8/N9</f>
        <v>0.20913611278072236</v>
      </c>
      <c r="O10" s="12">
        <f t="shared" si="2"/>
        <v>0.21238094505984456</v>
      </c>
      <c r="P10" s="12">
        <f t="shared" ref="P10" si="3">P8/P9</f>
        <v>0.28499390174394906</v>
      </c>
      <c r="Q10" s="12">
        <f t="shared" ref="Q10" si="4">Q8/Q9</f>
        <v>0.28461891709505732</v>
      </c>
      <c r="R10" s="12">
        <f t="shared" ref="R10" si="5">R8/R9</f>
        <v>0.28474295172180009</v>
      </c>
      <c r="S10" s="12">
        <f t="shared" ref="S10" si="6">S8/S9</f>
        <v>0.28476933985110559</v>
      </c>
      <c r="T10" s="12">
        <f t="shared" ref="T10" si="7">T8/T9</f>
        <v>0.28471040288932103</v>
      </c>
    </row>
    <row r="13" spans="1:20" x14ac:dyDescent="0.25">
      <c r="F13" t="s">
        <v>233</v>
      </c>
    </row>
    <row r="14" spans="1:20" x14ac:dyDescent="0.25">
      <c r="A14" s="45" t="s">
        <v>198</v>
      </c>
      <c r="B14" s="45" t="s">
        <v>0</v>
      </c>
      <c r="C14" s="45" t="s">
        <v>1</v>
      </c>
      <c r="D14" s="45" t="s">
        <v>2</v>
      </c>
      <c r="F14" s="45" t="s">
        <v>197</v>
      </c>
      <c r="G14" s="45" t="s">
        <v>193</v>
      </c>
      <c r="H14" s="45" t="s">
        <v>194</v>
      </c>
      <c r="I14" s="45" t="s">
        <v>195</v>
      </c>
      <c r="J14" s="45" t="s">
        <v>196</v>
      </c>
    </row>
    <row r="15" spans="1:20" x14ac:dyDescent="0.25">
      <c r="A15" s="4" t="s">
        <v>17</v>
      </c>
      <c r="B15" s="3">
        <v>94680</v>
      </c>
      <c r="C15" s="3">
        <v>57411</v>
      </c>
      <c r="D15" s="3">
        <v>55256</v>
      </c>
      <c r="F15" s="3">
        <v>111866.27398752765</v>
      </c>
      <c r="G15" s="3">
        <v>117305.03861768459</v>
      </c>
      <c r="H15" s="3">
        <v>124211.37159054243</v>
      </c>
      <c r="I15" s="3">
        <v>131734.79535062646</v>
      </c>
      <c r="J15" s="3">
        <v>139122.00598769146</v>
      </c>
    </row>
    <row r="16" spans="1:20" x14ac:dyDescent="0.25">
      <c r="A16" s="4" t="s">
        <v>38</v>
      </c>
      <c r="B16" s="3">
        <v>351002</v>
      </c>
      <c r="C16" s="3">
        <v>323888</v>
      </c>
      <c r="D16" s="3">
        <v>338516</v>
      </c>
      <c r="F16" s="3">
        <v>405933.81300000002</v>
      </c>
      <c r="G16" s="3">
        <v>452419.72952950804</v>
      </c>
      <c r="H16" s="3">
        <v>486857.91934129415</v>
      </c>
      <c r="I16" s="3">
        <v>580123.53826099623</v>
      </c>
      <c r="J16" s="3">
        <v>679476.2089755265</v>
      </c>
    </row>
    <row r="17" spans="1:10" x14ac:dyDescent="0.25">
      <c r="A17" s="4" t="s">
        <v>231</v>
      </c>
      <c r="B17" s="67">
        <f>B15/B16</f>
        <v>0.26974205275183616</v>
      </c>
      <c r="C17" s="67">
        <f t="shared" ref="C17:D17" si="8">C15/C16</f>
        <v>0.1772557180259843</v>
      </c>
      <c r="D17" s="67">
        <f t="shared" si="8"/>
        <v>0.16323009842961633</v>
      </c>
      <c r="F17" s="67">
        <f>F15/F16</f>
        <v>0.27557761981145346</v>
      </c>
      <c r="G17" s="67">
        <f t="shared" ref="G17:J17" si="9">G15/G16</f>
        <v>0.25928364958724381</v>
      </c>
      <c r="H17" s="67">
        <f t="shared" si="9"/>
        <v>0.25512858404069327</v>
      </c>
      <c r="I17" s="67">
        <f t="shared" si="9"/>
        <v>0.22708059001625838</v>
      </c>
      <c r="J17" s="67">
        <f t="shared" si="9"/>
        <v>0.20474889944631217</v>
      </c>
    </row>
    <row r="18" spans="1:10" x14ac:dyDescent="0.25">
      <c r="A18" t="s">
        <v>93</v>
      </c>
      <c r="G18" s="10"/>
      <c r="H18" s="10"/>
      <c r="J18" s="10"/>
    </row>
    <row r="20" spans="1:10" x14ac:dyDescent="0.25">
      <c r="A20" s="45" t="s">
        <v>198</v>
      </c>
      <c r="B20" s="45" t="s">
        <v>2</v>
      </c>
      <c r="C20" s="45" t="s">
        <v>1</v>
      </c>
      <c r="D20" s="45" t="s">
        <v>0</v>
      </c>
      <c r="E20" s="45" t="s">
        <v>197</v>
      </c>
      <c r="F20" s="45" t="s">
        <v>193</v>
      </c>
      <c r="G20" s="45" t="s">
        <v>194</v>
      </c>
      <c r="H20" s="45" t="s">
        <v>195</v>
      </c>
      <c r="I20" s="45" t="s">
        <v>196</v>
      </c>
    </row>
    <row r="21" spans="1:10" x14ac:dyDescent="0.25">
      <c r="A21" s="4" t="s">
        <v>17</v>
      </c>
      <c r="B21" s="3">
        <v>55256</v>
      </c>
      <c r="C21" s="3">
        <v>57411</v>
      </c>
      <c r="D21" s="3">
        <v>94680</v>
      </c>
      <c r="E21">
        <v>111866.27398752765</v>
      </c>
      <c r="F21" s="3">
        <v>117305.03861768459</v>
      </c>
      <c r="G21" s="3">
        <v>124211.37159054243</v>
      </c>
      <c r="H21" s="3">
        <v>131734.79535062646</v>
      </c>
      <c r="I21" s="3">
        <v>139122.00598769146</v>
      </c>
    </row>
    <row r="22" spans="1:10" x14ac:dyDescent="0.25">
      <c r="A22" s="4" t="s">
        <v>78</v>
      </c>
      <c r="B22" s="3">
        <v>90488</v>
      </c>
      <c r="C22" s="3">
        <v>65339</v>
      </c>
      <c r="D22" s="3">
        <v>63090</v>
      </c>
      <c r="E22" s="3">
        <v>74205.006930000003</v>
      </c>
      <c r="F22" s="3">
        <v>82702.667503595891</v>
      </c>
      <c r="G22" s="3">
        <v>88997.994553969605</v>
      </c>
      <c r="H22" s="3">
        <v>106047.01997789316</v>
      </c>
      <c r="I22" s="3">
        <v>124208.76305714171</v>
      </c>
    </row>
    <row r="23" spans="1:10" x14ac:dyDescent="0.25">
      <c r="A23" s="4" t="s">
        <v>230</v>
      </c>
      <c r="B23" s="67">
        <f t="shared" ref="B23:C23" si="10">B21/B22</f>
        <v>0.61064450534877557</v>
      </c>
      <c r="C23" s="67">
        <f t="shared" si="10"/>
        <v>0.87866358530127486</v>
      </c>
      <c r="D23" s="67">
        <f>D21/D22</f>
        <v>1.5007132667617689</v>
      </c>
      <c r="E23" s="67">
        <f>E21/E22</f>
        <v>1.5075299985222661</v>
      </c>
      <c r="F23" s="67">
        <f t="shared" ref="F23" si="11">F21/F22</f>
        <v>1.4183948614787329</v>
      </c>
      <c r="G23" s="67">
        <f t="shared" ref="G23" si="12">G21/G22</f>
        <v>1.3956648373151705</v>
      </c>
      <c r="H23" s="67">
        <f t="shared" ref="H23" si="13">H21/H22</f>
        <v>1.2422300539712312</v>
      </c>
      <c r="I23" s="67">
        <f t="shared" ref="I23" si="14">I21/I22</f>
        <v>1.1200659483557451</v>
      </c>
    </row>
    <row r="25" spans="1:10" x14ac:dyDescent="0.25">
      <c r="A25" s="45" t="s">
        <v>198</v>
      </c>
      <c r="B25" s="45" t="s">
        <v>2</v>
      </c>
      <c r="C25" s="45" t="s">
        <v>1</v>
      </c>
      <c r="D25" s="45" t="s">
        <v>0</v>
      </c>
      <c r="E25" s="45" t="s">
        <v>197</v>
      </c>
      <c r="F25" s="45" t="s">
        <v>193</v>
      </c>
      <c r="G25" s="45" t="s">
        <v>194</v>
      </c>
      <c r="H25" s="45" t="s">
        <v>195</v>
      </c>
      <c r="I25" s="45" t="s">
        <v>196</v>
      </c>
    </row>
    <row r="26" spans="1:10" x14ac:dyDescent="0.25">
      <c r="A26" s="4" t="s">
        <v>17</v>
      </c>
      <c r="B26" s="3">
        <v>55256</v>
      </c>
      <c r="C26" s="3">
        <v>57411</v>
      </c>
      <c r="D26" s="3">
        <v>94680</v>
      </c>
      <c r="E26" s="3">
        <v>111866.27398752765</v>
      </c>
      <c r="F26" s="3">
        <v>117305.03861768459</v>
      </c>
      <c r="G26" s="3">
        <v>124211.37159054243</v>
      </c>
      <c r="H26" s="3">
        <v>131734.79535062646</v>
      </c>
      <c r="I26" s="3">
        <v>139122.00598769146</v>
      </c>
    </row>
    <row r="27" spans="1:10" x14ac:dyDescent="0.25">
      <c r="A27" s="4" t="s">
        <v>38</v>
      </c>
      <c r="B27" s="3">
        <v>338516</v>
      </c>
      <c r="C27" s="3">
        <v>323888</v>
      </c>
      <c r="D27" s="3">
        <v>351002</v>
      </c>
      <c r="E27" s="3">
        <v>405933.81300000002</v>
      </c>
      <c r="F27" s="3">
        <v>452419.72952950804</v>
      </c>
      <c r="G27" s="3">
        <v>486857.91934129415</v>
      </c>
      <c r="H27" s="3">
        <v>580123.53826099623</v>
      </c>
      <c r="I27" s="3">
        <v>679476.2089755265</v>
      </c>
    </row>
    <row r="28" spans="1:10" x14ac:dyDescent="0.25">
      <c r="A28" s="4" t="s">
        <v>231</v>
      </c>
      <c r="B28" s="67">
        <f t="shared" ref="B28:C28" si="15">B26/B27</f>
        <v>0.16323009842961633</v>
      </c>
      <c r="C28" s="67">
        <f t="shared" si="15"/>
        <v>0.1772557180259843</v>
      </c>
      <c r="D28" s="67">
        <f>D26/D27</f>
        <v>0.26974205275183616</v>
      </c>
      <c r="E28" s="67">
        <f>E26/E27</f>
        <v>0.27557761981145346</v>
      </c>
      <c r="F28" s="67">
        <f t="shared" ref="F28" si="16">F26/F27</f>
        <v>0.25928364958724381</v>
      </c>
      <c r="G28" s="67">
        <f t="shared" ref="G28" si="17">G26/G27</f>
        <v>0.25512858404069327</v>
      </c>
      <c r="H28" s="67">
        <f t="shared" ref="H28" si="18">H26/H27</f>
        <v>0.22708059001625838</v>
      </c>
      <c r="I28" s="67">
        <f t="shared" ref="I28" si="19">I26/I27</f>
        <v>0.20474889944631217</v>
      </c>
    </row>
    <row r="30" spans="1:10" x14ac:dyDescent="0.25">
      <c r="A30" s="45" t="s">
        <v>198</v>
      </c>
      <c r="B30" s="45" t="s">
        <v>2</v>
      </c>
      <c r="C30" s="45" t="s">
        <v>1</v>
      </c>
      <c r="D30" s="45" t="s">
        <v>0</v>
      </c>
      <c r="E30" s="45" t="s">
        <v>197</v>
      </c>
      <c r="F30" s="45" t="s">
        <v>193</v>
      </c>
      <c r="G30" s="45" t="s">
        <v>194</v>
      </c>
      <c r="H30" s="45" t="s">
        <v>195</v>
      </c>
      <c r="I30" s="45" t="s">
        <v>196</v>
      </c>
    </row>
    <row r="31" spans="1:10" x14ac:dyDescent="0.25">
      <c r="A31" s="3" t="s">
        <v>17</v>
      </c>
      <c r="B31" s="3">
        <v>55256</v>
      </c>
      <c r="C31" s="3">
        <v>57411</v>
      </c>
      <c r="D31" s="3">
        <v>94680</v>
      </c>
      <c r="E31" s="3">
        <v>111866.27398752765</v>
      </c>
      <c r="F31" s="3">
        <v>117305.03861768459</v>
      </c>
      <c r="G31" s="3">
        <v>124211.37159054243</v>
      </c>
      <c r="H31" s="3">
        <v>131734.79535062646</v>
      </c>
      <c r="I31" s="3">
        <v>139122.00598769146</v>
      </c>
    </row>
    <row r="32" spans="1:10" x14ac:dyDescent="0.25">
      <c r="A32" s="3" t="s">
        <v>3</v>
      </c>
      <c r="B32" s="3">
        <v>260174</v>
      </c>
      <c r="C32" s="3">
        <v>274515</v>
      </c>
      <c r="D32" s="3">
        <v>365817</v>
      </c>
      <c r="E32" s="3">
        <v>392521.641</v>
      </c>
      <c r="F32" s="3">
        <v>412147.72305000003</v>
      </c>
      <c r="G32" s="3">
        <v>436222.81373236439</v>
      </c>
      <c r="H32" s="3">
        <v>462601.75136658066</v>
      </c>
      <c r="I32" s="3">
        <v>488643.91527616244</v>
      </c>
    </row>
    <row r="33" spans="1:9" x14ac:dyDescent="0.25">
      <c r="A33" s="3" t="s">
        <v>232</v>
      </c>
      <c r="B33" s="12">
        <f>B31/B32</f>
        <v>0.21238094505984456</v>
      </c>
      <c r="C33" s="12">
        <f t="shared" ref="C33" si="20">C31/C32</f>
        <v>0.20913611278072236</v>
      </c>
      <c r="D33" s="12">
        <f>D31/D32</f>
        <v>0.25881793355694238</v>
      </c>
      <c r="E33" s="12">
        <f t="shared" ref="E33" si="21">E31/E32</f>
        <v>0.28499390174394906</v>
      </c>
      <c r="F33" s="12">
        <f>F31/F32</f>
        <v>0.28461891709505732</v>
      </c>
      <c r="G33" s="12">
        <f t="shared" ref="G33" si="22">G31/G32</f>
        <v>0.28474295172180009</v>
      </c>
      <c r="H33" s="12">
        <f t="shared" ref="H33" si="23">H31/H32</f>
        <v>0.28476933985110559</v>
      </c>
      <c r="I33" s="12">
        <f t="shared" ref="I33" si="24">I31/I32</f>
        <v>0.28471040288932103</v>
      </c>
    </row>
    <row r="34" spans="1:9" ht="16.5" customHeight="1" x14ac:dyDescent="0.25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Sheet2</vt:lpstr>
      <vt:lpstr>Cash Flow St.</vt:lpstr>
      <vt:lpstr>Balance Sheet</vt:lpstr>
      <vt:lpstr>Income Statement</vt:lpstr>
      <vt:lpstr>Profitability Ratio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2022-10-05T17:55:23Z</dcterms:created>
  <dcterms:modified xsi:type="dcterms:W3CDTF">2022-11-28T11:27:26Z</dcterms:modified>
</cp:coreProperties>
</file>