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ng01\OneDrive\Робочий стіл\FINAL\"/>
    </mc:Choice>
  </mc:AlternateContent>
  <xr:revisionPtr revIDLastSave="0" documentId="13_ncr:1_{4FABC082-BF9D-4EE8-A9CB-CC0F50B63BB5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App.1" sheetId="1" r:id="rId1"/>
    <sheet name="App.2" sheetId="2" r:id="rId2"/>
    <sheet name="App.3" sheetId="3" r:id="rId3"/>
    <sheet name="App.4" sheetId="4" r:id="rId4"/>
    <sheet name="App.5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5" l="1"/>
  <c r="K23" i="5" s="1"/>
  <c r="J17" i="5"/>
  <c r="K16" i="5"/>
  <c r="K15" i="5"/>
  <c r="K10" i="5"/>
  <c r="K9" i="5"/>
  <c r="K8" i="5"/>
  <c r="K7" i="5"/>
  <c r="K20" i="2"/>
  <c r="J20" i="2"/>
  <c r="I20" i="2"/>
  <c r="H20" i="2"/>
  <c r="G20" i="2"/>
  <c r="F20" i="2"/>
  <c r="E20" i="2"/>
  <c r="D20" i="2"/>
  <c r="C20" i="2"/>
  <c r="Q19" i="2"/>
  <c r="O19" i="2"/>
  <c r="P19" i="2" s="1"/>
  <c r="Q14" i="2"/>
  <c r="O14" i="2"/>
  <c r="P14" i="2" s="1"/>
  <c r="Q13" i="2"/>
  <c r="O13" i="2"/>
  <c r="P13" i="2" s="1"/>
  <c r="P8" i="2"/>
  <c r="O8" i="2"/>
  <c r="P7" i="2"/>
  <c r="O7" i="2"/>
  <c r="G28" i="1"/>
  <c r="I25" i="1"/>
  <c r="I24" i="1"/>
  <c r="G20" i="1"/>
  <c r="C18" i="1"/>
  <c r="G17" i="1"/>
  <c r="G16" i="1"/>
  <c r="G9" i="1"/>
  <c r="G8" i="1"/>
  <c r="G7" i="1"/>
  <c r="K21" i="5" l="1"/>
  <c r="N21" i="5"/>
  <c r="G22" i="5"/>
  <c r="H23" i="5"/>
  <c r="L23" i="5"/>
  <c r="H22" i="5"/>
  <c r="L22" i="5"/>
  <c r="D23" i="5"/>
  <c r="I23" i="5"/>
  <c r="M23" i="5"/>
  <c r="L21" i="5"/>
  <c r="O21" i="5" s="1"/>
  <c r="D22" i="5"/>
  <c r="I22" i="5"/>
  <c r="M22" i="5"/>
  <c r="F23" i="5"/>
  <c r="J23" i="5"/>
  <c r="N23" i="5"/>
  <c r="K22" i="5"/>
  <c r="M21" i="5"/>
  <c r="F22" i="5"/>
  <c r="J22" i="5"/>
  <c r="N22" i="5"/>
  <c r="G23" i="5"/>
  <c r="Q20" i="2"/>
  <c r="O20" i="2"/>
  <c r="P20" i="2" s="1"/>
  <c r="I28" i="1"/>
  <c r="G18" i="1"/>
  <c r="O22" i="5" l="1"/>
  <c r="O23" i="5"/>
</calcChain>
</file>

<file path=xl/sharedStrings.xml><?xml version="1.0" encoding="utf-8"?>
<sst xmlns="http://schemas.openxmlformats.org/spreadsheetml/2006/main" count="168" uniqueCount="103">
  <si>
    <t>Appendix 1 Current cost for warehousing before optimization</t>
  </si>
  <si>
    <r>
      <rPr>
        <b/>
        <sz val="16"/>
        <color rgb="FF4B4B55"/>
        <rFont val="Calibri"/>
        <family val="2"/>
        <charset val="204"/>
        <scheme val="minor"/>
      </rPr>
      <t xml:space="preserve">External warehouse cost = 47.328 EUR </t>
    </r>
    <r>
      <rPr>
        <sz val="16"/>
        <color rgb="FF4B4B55"/>
        <rFont val="Calibri"/>
        <family val="2"/>
        <charset val="204"/>
        <scheme val="minor"/>
      </rPr>
      <t>(thereof Warehouse cost = 35.539 EUR) (base for calculation)</t>
    </r>
  </si>
  <si>
    <t>Total cost</t>
  </si>
  <si>
    <t>Item</t>
  </si>
  <si>
    <t>Space</t>
  </si>
  <si>
    <t>Meas. unit</t>
  </si>
  <si>
    <t>Price</t>
  </si>
  <si>
    <t>cost</t>
  </si>
  <si>
    <t>Total Cost</t>
  </si>
  <si>
    <t>Comment</t>
  </si>
  <si>
    <t>Warehouse space</t>
  </si>
  <si>
    <t>m2</t>
  </si>
  <si>
    <r>
      <t>€</t>
    </r>
    <r>
      <rPr>
        <sz val="11"/>
        <color theme="1"/>
        <rFont val="Calibri"/>
        <family val="2"/>
      </rPr>
      <t>/m2/month</t>
    </r>
  </si>
  <si>
    <t>Inside used area for 2200 pallets</t>
  </si>
  <si>
    <t>Outside area</t>
  </si>
  <si>
    <r>
      <rPr>
        <sz val="11"/>
        <color theme="1"/>
        <rFont val="Calibri"/>
        <family val="2"/>
        <charset val="204"/>
      </rPr>
      <t>€</t>
    </r>
    <r>
      <rPr>
        <sz val="11"/>
        <color theme="1"/>
        <rFont val="Calibri"/>
        <family val="2"/>
      </rPr>
      <t>/m2/month</t>
    </r>
  </si>
  <si>
    <t>Empties + scrap</t>
  </si>
  <si>
    <t>Unloading / loading area</t>
  </si>
  <si>
    <t>Energy</t>
  </si>
  <si>
    <t>Gas + electricity</t>
  </si>
  <si>
    <t>Cleaning services</t>
  </si>
  <si>
    <t>Cleaning 2 x week, 1,5 hour</t>
  </si>
  <si>
    <t>Waste disposal</t>
  </si>
  <si>
    <t>Monthly 1x1100L plastic, 1x1100L general waste + transport</t>
  </si>
  <si>
    <t>Handling forklift cost</t>
  </si>
  <si>
    <t>Hourly rate 310 czk + 50 czk FTL</t>
  </si>
  <si>
    <t>Log. Operator + handler</t>
  </si>
  <si>
    <t xml:space="preserve">Hourly rate 290 czk </t>
  </si>
  <si>
    <t>Shuttle service (overall for 2 drivers)</t>
  </si>
  <si>
    <t>coef. 1,5</t>
  </si>
  <si>
    <t>Transport 16 hours / 2 shifts ( 1x 8 hours each driver), 85% of the time was used for a services from warehouse #1, and 15% for a services from warehouse #2.</t>
  </si>
  <si>
    <t>Cost for a shuttle for warehouse #1</t>
  </si>
  <si>
    <t>Cost for a shuttle for warehouse #2</t>
  </si>
  <si>
    <t>Total cost for service</t>
  </si>
  <si>
    <t>Ext. warehouse #2</t>
  </si>
  <si>
    <t>For a service parts (low running) + 806 eur (energy, waste disp., etc)</t>
  </si>
  <si>
    <r>
      <t xml:space="preserve">Cost of other logistics areas within plant = </t>
    </r>
    <r>
      <rPr>
        <b/>
        <sz val="16"/>
        <color rgb="FF4B4B55"/>
        <rFont val="Calibri"/>
        <family val="2"/>
        <charset val="204"/>
        <scheme val="minor"/>
      </rPr>
      <t>12.178 EUR</t>
    </r>
    <r>
      <rPr>
        <sz val="16"/>
        <color rgb="FF4B4B55"/>
        <rFont val="Calibri"/>
        <family val="2"/>
        <charset val="204"/>
        <scheme val="minor"/>
      </rPr>
      <t xml:space="preserve"> </t>
    </r>
  </si>
  <si>
    <t xml:space="preserve">Supplier </t>
  </si>
  <si>
    <t>Description</t>
  </si>
  <si>
    <t>Specification</t>
  </si>
  <si>
    <t>Space, m2</t>
  </si>
  <si>
    <t>Cost, €</t>
  </si>
  <si>
    <t>Cost/month</t>
  </si>
  <si>
    <t>Company ABC</t>
  </si>
  <si>
    <t>Large tent</t>
  </si>
  <si>
    <t>20x60m</t>
  </si>
  <si>
    <t>Outside area for WIP</t>
  </si>
  <si>
    <t>concrete space</t>
  </si>
  <si>
    <t>Company XYZ</t>
  </si>
  <si>
    <t>Small tent 1</t>
  </si>
  <si>
    <t xml:space="preserve">50x30x4m </t>
  </si>
  <si>
    <t>Small tent 2</t>
  </si>
  <si>
    <t>15x20x4m</t>
  </si>
  <si>
    <t>Total m2</t>
  </si>
  <si>
    <r>
      <rPr>
        <b/>
        <sz val="16"/>
        <color rgb="FF4B4B55"/>
        <rFont val="Calibri"/>
        <family val="2"/>
        <charset val="204"/>
        <scheme val="minor"/>
      </rPr>
      <t xml:space="preserve">Grand Total cost = </t>
    </r>
    <r>
      <rPr>
        <b/>
        <sz val="16"/>
        <color rgb="FFFF0000"/>
        <rFont val="Calibri"/>
        <family val="2"/>
        <charset val="204"/>
        <scheme val="minor"/>
      </rPr>
      <t>67.859 EUR</t>
    </r>
  </si>
  <si>
    <t>Supplier</t>
  </si>
  <si>
    <t>Invoice/month</t>
  </si>
  <si>
    <t>New Warehouse</t>
  </si>
  <si>
    <t>Warehouse for components</t>
  </si>
  <si>
    <t>Narrow aisle warehouse</t>
  </si>
  <si>
    <t>Outside area around warehouse</t>
  </si>
  <si>
    <t>Concrete space</t>
  </si>
  <si>
    <t>Connecting tunnel</t>
  </si>
  <si>
    <t>supply parts to production</t>
  </si>
  <si>
    <t>2 x containers</t>
  </si>
  <si>
    <t>receiving / entrance</t>
  </si>
  <si>
    <t>6x6 / 3x3</t>
  </si>
  <si>
    <t>EPS</t>
  </si>
  <si>
    <t>Narrow aisle stacker</t>
  </si>
  <si>
    <t>1+1</t>
  </si>
  <si>
    <t>lease</t>
  </si>
  <si>
    <t>For a service parts (low running)</t>
  </si>
  <si>
    <t xml:space="preserve">Shuttle service </t>
  </si>
  <si>
    <t>1 driver, 2 days/week</t>
  </si>
  <si>
    <t>125 eur/trip, 8 trips/month</t>
  </si>
  <si>
    <t>Total monthly fee</t>
  </si>
  <si>
    <t>Total, m2</t>
  </si>
  <si>
    <t>Appendix 3 New cost for warehousing after optimization</t>
  </si>
  <si>
    <t>New warehouse cost = 19 343 EUR  (included external warehouse #2 for service parts 2000m2)</t>
  </si>
  <si>
    <t>Cost of other logistics areas within plant = 11. 118 € (reduced 1 small tent from plant area)</t>
  </si>
  <si>
    <t>Grand Total cost = 30 461 EUR</t>
  </si>
  <si>
    <t>Appendix 2 Cost for warehouse №1 and №2 (inc. transport services)</t>
  </si>
  <si>
    <t>External warehouse No. 1, eur</t>
  </si>
  <si>
    <t>Year</t>
  </si>
  <si>
    <t>Average</t>
  </si>
  <si>
    <t>Total per year</t>
  </si>
  <si>
    <t>x</t>
  </si>
  <si>
    <t>Driver No. 1 - transport services, czk</t>
  </si>
  <si>
    <t>Average, czk:</t>
  </si>
  <si>
    <t>Average, eur:</t>
  </si>
  <si>
    <t>External warehouse No. 2, eur</t>
  </si>
  <si>
    <t>Appendix 4 Drawing of the new warehouse project</t>
  </si>
  <si>
    <t>Appendix 5 EoL implementetion cost</t>
  </si>
  <si>
    <t>EOL station one time costs:</t>
  </si>
  <si>
    <t>Cost</t>
  </si>
  <si>
    <t xml:space="preserve">LCD </t>
  </si>
  <si>
    <t>Printer</t>
  </si>
  <si>
    <t xml:space="preserve">USB scanner </t>
  </si>
  <si>
    <t>Total one time investment:</t>
  </si>
  <si>
    <t>Runtime costs</t>
  </si>
  <si>
    <t>PC rental, licenses, patching</t>
  </si>
  <si>
    <t>SAP user license</t>
  </si>
  <si>
    <t>Monthly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</si>
</sst>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"/>
    <numFmt numFmtId="165" formatCode="0.0"/>
    <numFmt numFmtId="166" formatCode="#,##0\ [$CZK]"/>
    <numFmt numFmtId="167" formatCode="[$€-2]\ 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color rgb="FF4B4B55"/>
      <name val="Calibri"/>
      <family val="2"/>
      <charset val="204"/>
      <scheme val="minor"/>
    </font>
    <font>
      <b/>
      <sz val="16"/>
      <color rgb="FF4B4B55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vertical="center" readingOrder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/>
    <xf numFmtId="0" fontId="9" fillId="0" borderId="0" xfId="0" applyFont="1" applyAlignment="1">
      <alignment vertical="center" readingOrder="1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/>
    <xf numFmtId="0" fontId="7" fillId="0" borderId="0" xfId="0" applyFont="1" applyAlignment="1">
      <alignment vertical="top" readingOrder="1"/>
    </xf>
    <xf numFmtId="0" fontId="4" fillId="0" borderId="0" xfId="0" applyFont="1" applyBorder="1" applyAlignment="1">
      <alignment horizontal="left" vertical="center" readingOrder="1"/>
    </xf>
    <xf numFmtId="0" fontId="0" fillId="0" borderId="0" xfId="0" applyBorder="1"/>
    <xf numFmtId="164" fontId="0" fillId="0" borderId="0" xfId="0" applyNumberFormat="1" applyBorder="1"/>
    <xf numFmtId="0" fontId="7" fillId="0" borderId="0" xfId="0" applyFont="1" applyBorder="1" applyAlignment="1">
      <alignment horizontal="left" vertical="center" indent="3" readingOrder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6" xfId="0" applyFont="1" applyBorder="1" applyAlignment="1">
      <alignment horizontal="left" vertical="center" readingOrder="1"/>
    </xf>
    <xf numFmtId="0" fontId="0" fillId="0" borderId="6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4" xfId="0" applyBorder="1"/>
    <xf numFmtId="164" fontId="0" fillId="0" borderId="4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1" xfId="0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center"/>
    </xf>
    <xf numFmtId="0" fontId="0" fillId="0" borderId="11" xfId="0" applyBorder="1"/>
    <xf numFmtId="0" fontId="2" fillId="0" borderId="1" xfId="0" applyFont="1" applyBorder="1" applyAlignment="1">
      <alignment horizontal="left"/>
    </xf>
    <xf numFmtId="0" fontId="2" fillId="0" borderId="5" xfId="0" applyFont="1" applyBorder="1"/>
    <xf numFmtId="0" fontId="0" fillId="0" borderId="12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15</xdr:col>
      <xdr:colOff>134560</xdr:colOff>
      <xdr:row>35</xdr:row>
      <xdr:rowOff>67535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626CA2-D227-0E5D-422D-9D67EE33A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8668960" cy="61635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g01\OneDrive\&#1056;&#1086;&#1073;&#1086;&#1095;&#1080;&#1081;%20&#1089;&#1090;&#1110;&#1083;\DSP-4\&#1090;&#1072;&#1073;&#1083;%20Warehouse.xlsx" TargetMode="External"/><Relationship Id="rId1" Type="http://schemas.openxmlformats.org/officeDocument/2006/relationships/externalLinkPath" Target="file:///C:\Users\eng01\OneDrive\&#1056;&#1086;&#1073;&#1086;&#1095;&#1080;&#1081;%20&#1089;&#1090;&#1110;&#1083;\DSP-4\&#1090;&#1072;&#1073;&#1083;%20Wareho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fore."/>
      <sheetName val="Sheet2"/>
      <sheetName val="Sheet1"/>
      <sheetName val="After"/>
      <sheetName val="Comparis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1"/>
  <sheetViews>
    <sheetView zoomScale="89" zoomScaleNormal="89" workbookViewId="0">
      <selection activeCell="F33" sqref="F33"/>
    </sheetView>
  </sheetViews>
  <sheetFormatPr defaultRowHeight="15" x14ac:dyDescent="0.25"/>
  <cols>
    <col min="2" max="2" width="34.28515625" customWidth="1"/>
    <col min="3" max="3" width="7.5703125" customWidth="1"/>
    <col min="4" max="4" width="15.140625" customWidth="1"/>
    <col min="6" max="6" width="13" customWidth="1"/>
    <col min="7" max="7" width="12" customWidth="1"/>
    <col min="8" max="8" width="64.28515625" customWidth="1"/>
    <col min="9" max="9" width="15.42578125" customWidth="1"/>
  </cols>
  <sheetData>
    <row r="1" spans="2:1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1" ht="21" x14ac:dyDescent="0.25">
      <c r="B4" s="19" t="s">
        <v>1</v>
      </c>
      <c r="C4" s="20"/>
      <c r="D4" s="20"/>
      <c r="E4" s="20"/>
      <c r="F4" s="20"/>
      <c r="G4" s="20"/>
      <c r="H4" s="20"/>
      <c r="I4" s="21"/>
      <c r="J4" s="20"/>
      <c r="K4" s="20"/>
    </row>
    <row r="5" spans="2:11" x14ac:dyDescent="0.25">
      <c r="B5" s="23" t="s">
        <v>2</v>
      </c>
      <c r="C5" s="23"/>
      <c r="D5" s="23"/>
      <c r="E5" s="23"/>
      <c r="F5" s="23"/>
      <c r="G5" s="23"/>
      <c r="H5" s="23"/>
      <c r="I5" s="37"/>
      <c r="J5" s="20"/>
      <c r="K5" s="20"/>
    </row>
    <row r="6" spans="2:11" x14ac:dyDescent="0.25"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34"/>
      <c r="J6" s="20"/>
      <c r="K6" s="20"/>
    </row>
    <row r="7" spans="2:11" x14ac:dyDescent="0.25">
      <c r="B7" s="8" t="s">
        <v>10</v>
      </c>
      <c r="C7" s="2">
        <v>4750</v>
      </c>
      <c r="D7" s="2" t="s">
        <v>11</v>
      </c>
      <c r="E7" s="9">
        <v>5.5</v>
      </c>
      <c r="F7" s="24" t="s">
        <v>12</v>
      </c>
      <c r="G7" s="3">
        <f>C7*E7</f>
        <v>26125</v>
      </c>
      <c r="H7" s="2" t="s">
        <v>13</v>
      </c>
      <c r="I7" s="33"/>
      <c r="J7" s="20"/>
      <c r="K7" s="20"/>
    </row>
    <row r="8" spans="2:11" x14ac:dyDescent="0.25">
      <c r="B8" s="8" t="s">
        <v>14</v>
      </c>
      <c r="C8" s="2">
        <v>40</v>
      </c>
      <c r="D8" s="2" t="s">
        <v>11</v>
      </c>
      <c r="E8" s="9">
        <v>1.1000000000000001</v>
      </c>
      <c r="F8" s="24" t="s">
        <v>15</v>
      </c>
      <c r="G8" s="3">
        <f t="shared" ref="G8:G9" si="0">C8*E8</f>
        <v>44</v>
      </c>
      <c r="H8" s="2" t="s">
        <v>16</v>
      </c>
      <c r="I8" s="33"/>
      <c r="J8" s="20"/>
      <c r="K8" s="20"/>
    </row>
    <row r="9" spans="2:11" x14ac:dyDescent="0.25">
      <c r="B9" s="8" t="s">
        <v>14</v>
      </c>
      <c r="C9" s="2">
        <v>150</v>
      </c>
      <c r="D9" s="2" t="s">
        <v>11</v>
      </c>
      <c r="E9" s="9">
        <v>1.1000000000000001</v>
      </c>
      <c r="F9" s="24" t="s">
        <v>15</v>
      </c>
      <c r="G9" s="3">
        <f t="shared" si="0"/>
        <v>165</v>
      </c>
      <c r="H9" s="2" t="s">
        <v>17</v>
      </c>
      <c r="I9" s="33"/>
      <c r="J9" s="20"/>
      <c r="K9" s="20"/>
    </row>
    <row r="10" spans="2:11" x14ac:dyDescent="0.25">
      <c r="B10" s="8" t="s">
        <v>18</v>
      </c>
      <c r="C10" s="2"/>
      <c r="D10" s="2"/>
      <c r="E10" s="9"/>
      <c r="F10" s="24"/>
      <c r="G10" s="3">
        <v>2106</v>
      </c>
      <c r="H10" s="2" t="s">
        <v>19</v>
      </c>
      <c r="I10" s="33"/>
      <c r="J10" s="20"/>
      <c r="K10" s="20"/>
    </row>
    <row r="11" spans="2:11" x14ac:dyDescent="0.25">
      <c r="B11" s="8" t="s">
        <v>20</v>
      </c>
      <c r="C11" s="2"/>
      <c r="D11" s="2"/>
      <c r="E11" s="2"/>
      <c r="F11" s="2"/>
      <c r="G11" s="3">
        <v>98</v>
      </c>
      <c r="H11" s="2" t="s">
        <v>21</v>
      </c>
      <c r="I11" s="33"/>
      <c r="J11" s="20"/>
      <c r="K11" s="20"/>
    </row>
    <row r="12" spans="2:11" x14ac:dyDescent="0.25">
      <c r="B12" s="8" t="s">
        <v>22</v>
      </c>
      <c r="C12" s="2"/>
      <c r="D12" s="2"/>
      <c r="E12" s="2"/>
      <c r="F12" s="2"/>
      <c r="G12" s="3">
        <v>32</v>
      </c>
      <c r="H12" s="2" t="s">
        <v>23</v>
      </c>
      <c r="I12" s="33"/>
      <c r="J12" s="20"/>
      <c r="K12" s="20"/>
    </row>
    <row r="13" spans="2:11" x14ac:dyDescent="0.25">
      <c r="B13" s="8" t="s">
        <v>24</v>
      </c>
      <c r="C13" s="2"/>
      <c r="D13" s="2"/>
      <c r="E13" s="2"/>
      <c r="F13" s="2"/>
      <c r="G13" s="3">
        <v>3205</v>
      </c>
      <c r="H13" s="2" t="s">
        <v>25</v>
      </c>
      <c r="I13" s="33"/>
      <c r="J13" s="20"/>
      <c r="K13" s="20"/>
    </row>
    <row r="14" spans="2:11" x14ac:dyDescent="0.25">
      <c r="B14" s="8" t="s">
        <v>26</v>
      </c>
      <c r="C14" s="2"/>
      <c r="D14" s="2"/>
      <c r="E14" s="2"/>
      <c r="F14" s="2"/>
      <c r="G14" s="3">
        <v>3764</v>
      </c>
      <c r="H14" s="2" t="s">
        <v>27</v>
      </c>
      <c r="I14" s="33"/>
      <c r="J14" s="20"/>
      <c r="K14" s="20"/>
    </row>
    <row r="15" spans="2:11" ht="30.75" customHeight="1" x14ac:dyDescent="0.25">
      <c r="B15" s="12" t="s">
        <v>28</v>
      </c>
      <c r="C15" s="2"/>
      <c r="D15" s="2"/>
      <c r="E15" s="2"/>
      <c r="F15" s="2" t="s">
        <v>29</v>
      </c>
      <c r="G15" s="3">
        <v>13336</v>
      </c>
      <c r="H15" s="11" t="s">
        <v>30</v>
      </c>
      <c r="I15" s="33"/>
      <c r="J15" s="20"/>
      <c r="K15" s="20"/>
    </row>
    <row r="16" spans="2:11" x14ac:dyDescent="0.25">
      <c r="B16" s="8" t="s">
        <v>31</v>
      </c>
      <c r="C16" s="2"/>
      <c r="D16" s="2"/>
      <c r="E16" s="2"/>
      <c r="F16" s="2"/>
      <c r="G16" s="3">
        <f>G15*0.85</f>
        <v>11335.6</v>
      </c>
      <c r="H16" s="11"/>
      <c r="I16" s="33"/>
      <c r="J16" s="20"/>
      <c r="K16" s="20"/>
    </row>
    <row r="17" spans="2:11" x14ac:dyDescent="0.25">
      <c r="B17" s="8" t="s">
        <v>32</v>
      </c>
      <c r="C17" s="2"/>
      <c r="D17" s="2"/>
      <c r="E17" s="2"/>
      <c r="F17" s="2"/>
      <c r="G17" s="3">
        <f>G15*0.15</f>
        <v>2000.3999999999999</v>
      </c>
      <c r="H17" s="11"/>
      <c r="I17" s="33"/>
      <c r="J17" s="20"/>
      <c r="K17" s="20"/>
    </row>
    <row r="18" spans="2:11" x14ac:dyDescent="0.25">
      <c r="B18" s="26" t="s">
        <v>33</v>
      </c>
      <c r="C18" s="2">
        <f>C7+C8+C9</f>
        <v>4940</v>
      </c>
      <c r="D18" s="23"/>
      <c r="E18" s="23"/>
      <c r="F18" s="23"/>
      <c r="G18" s="27">
        <f>SUM(G7:G15)</f>
        <v>48875</v>
      </c>
      <c r="H18" s="2"/>
      <c r="I18" s="33"/>
      <c r="J18" s="20"/>
      <c r="K18" s="20"/>
    </row>
    <row r="19" spans="2:11" x14ac:dyDescent="0.25">
      <c r="B19" s="25"/>
      <c r="C19" s="25"/>
      <c r="D19" s="25"/>
      <c r="E19" s="25"/>
      <c r="F19" s="25"/>
      <c r="G19" s="25"/>
      <c r="H19" s="25"/>
      <c r="I19" s="33"/>
      <c r="J19" s="20"/>
      <c r="K19" s="20"/>
    </row>
    <row r="20" spans="2:11" x14ac:dyDescent="0.25">
      <c r="B20" s="10" t="s">
        <v>34</v>
      </c>
      <c r="C20" s="2">
        <v>2000</v>
      </c>
      <c r="D20" s="2" t="s">
        <v>11</v>
      </c>
      <c r="E20" s="28">
        <v>3</v>
      </c>
      <c r="F20" s="24" t="s">
        <v>12</v>
      </c>
      <c r="G20" s="27">
        <f>(C20*E20)+806</f>
        <v>6806</v>
      </c>
      <c r="H20" s="25" t="s">
        <v>35</v>
      </c>
      <c r="I20" s="33"/>
      <c r="J20" s="20"/>
      <c r="K20" s="20"/>
    </row>
    <row r="21" spans="2:11" x14ac:dyDescent="0.25">
      <c r="I21" s="35"/>
      <c r="J21" s="20"/>
      <c r="K21" s="20"/>
    </row>
    <row r="22" spans="2:11" ht="21" x14ac:dyDescent="0.25">
      <c r="B22" s="29" t="s">
        <v>36</v>
      </c>
      <c r="C22" s="30"/>
      <c r="D22" s="30"/>
      <c r="E22" s="30"/>
      <c r="F22" s="30"/>
      <c r="G22" s="30"/>
      <c r="H22" s="30"/>
      <c r="I22" s="36"/>
      <c r="J22" s="20"/>
      <c r="K22" s="20"/>
    </row>
    <row r="23" spans="2:11" x14ac:dyDescent="0.25">
      <c r="B23" s="8" t="s">
        <v>37</v>
      </c>
      <c r="C23" s="31" t="s">
        <v>38</v>
      </c>
      <c r="D23" s="31"/>
      <c r="E23" s="31" t="s">
        <v>39</v>
      </c>
      <c r="F23" s="31"/>
      <c r="G23" s="8" t="s">
        <v>40</v>
      </c>
      <c r="H23" s="8" t="s">
        <v>41</v>
      </c>
      <c r="I23" s="8" t="s">
        <v>42</v>
      </c>
      <c r="J23" s="20"/>
      <c r="K23" s="20"/>
    </row>
    <row r="24" spans="2:11" x14ac:dyDescent="0.25">
      <c r="B24" s="8" t="s">
        <v>43</v>
      </c>
      <c r="C24" s="23" t="s">
        <v>44</v>
      </c>
      <c r="D24" s="23"/>
      <c r="E24" s="23" t="s">
        <v>45</v>
      </c>
      <c r="F24" s="23"/>
      <c r="G24" s="2">
        <v>1280</v>
      </c>
      <c r="H24" s="9">
        <v>5.3</v>
      </c>
      <c r="I24" s="3">
        <f>H24*G24</f>
        <v>6784</v>
      </c>
      <c r="J24" s="20"/>
      <c r="K24" s="20"/>
    </row>
    <row r="25" spans="2:11" x14ac:dyDescent="0.25">
      <c r="B25" s="8" t="s">
        <v>43</v>
      </c>
      <c r="C25" s="23" t="s">
        <v>46</v>
      </c>
      <c r="D25" s="23"/>
      <c r="E25" s="23" t="s">
        <v>47</v>
      </c>
      <c r="F25" s="23"/>
      <c r="G25" s="2">
        <v>2700</v>
      </c>
      <c r="H25" s="9">
        <v>1.1000000000000001</v>
      </c>
      <c r="I25" s="3">
        <f>H25*G25</f>
        <v>2970.0000000000005</v>
      </c>
      <c r="J25" s="20"/>
      <c r="K25" s="20"/>
    </row>
    <row r="26" spans="2:11" x14ac:dyDescent="0.25">
      <c r="B26" s="8" t="s">
        <v>48</v>
      </c>
      <c r="C26" s="23" t="s">
        <v>49</v>
      </c>
      <c r="D26" s="23"/>
      <c r="E26" s="23" t="s">
        <v>50</v>
      </c>
      <c r="F26" s="23"/>
      <c r="G26" s="2">
        <v>450</v>
      </c>
      <c r="H26" s="2"/>
      <c r="I26" s="3">
        <v>1390</v>
      </c>
      <c r="J26" s="20"/>
      <c r="K26" s="20"/>
    </row>
    <row r="27" spans="2:11" x14ac:dyDescent="0.25">
      <c r="B27" s="8" t="s">
        <v>48</v>
      </c>
      <c r="C27" s="23" t="s">
        <v>51</v>
      </c>
      <c r="D27" s="23"/>
      <c r="E27" s="23" t="s">
        <v>52</v>
      </c>
      <c r="F27" s="23"/>
      <c r="G27" s="2">
        <v>300</v>
      </c>
      <c r="H27" s="2"/>
      <c r="I27" s="3">
        <v>1034</v>
      </c>
      <c r="J27" s="20"/>
      <c r="K27" s="20"/>
    </row>
    <row r="28" spans="2:11" x14ac:dyDescent="0.25">
      <c r="B28" s="23" t="s">
        <v>53</v>
      </c>
      <c r="C28" s="23"/>
      <c r="D28" s="23"/>
      <c r="E28" s="23"/>
      <c r="F28" s="23"/>
      <c r="G28" s="2">
        <f>G24+G25+G26+G27</f>
        <v>4730</v>
      </c>
      <c r="H28" s="26" t="s">
        <v>33</v>
      </c>
      <c r="I28" s="27">
        <f>I24+I25+I26+I27</f>
        <v>12178</v>
      </c>
      <c r="J28" s="20"/>
      <c r="K28" s="20"/>
    </row>
    <row r="29" spans="2:11" ht="21" x14ac:dyDescent="0.25">
      <c r="B29" s="22" t="s">
        <v>54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2:1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mergeCells count="13">
    <mergeCell ref="B28:F28"/>
    <mergeCell ref="C25:D25"/>
    <mergeCell ref="E25:F25"/>
    <mergeCell ref="C26:D26"/>
    <mergeCell ref="E26:F26"/>
    <mergeCell ref="C27:D27"/>
    <mergeCell ref="E27:F27"/>
    <mergeCell ref="B5:H5"/>
    <mergeCell ref="D18:F18"/>
    <mergeCell ref="C23:D23"/>
    <mergeCell ref="E23:F23"/>
    <mergeCell ref="C24:D24"/>
    <mergeCell ref="E24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D78A-7A3B-4974-AE8C-121F1640DAEC}">
  <dimension ref="B2:Q20"/>
  <sheetViews>
    <sheetView workbookViewId="0">
      <selection activeCell="I3" sqref="I3"/>
    </sheetView>
  </sheetViews>
  <sheetFormatPr defaultRowHeight="15" x14ac:dyDescent="0.25"/>
  <cols>
    <col min="3" max="3" width="11.28515625" customWidth="1"/>
    <col min="4" max="4" width="10.85546875" customWidth="1"/>
    <col min="5" max="5" width="11.7109375" customWidth="1"/>
    <col min="6" max="6" width="11" customWidth="1"/>
    <col min="7" max="7" width="12.140625" customWidth="1"/>
    <col min="8" max="8" width="10.85546875" customWidth="1"/>
    <col min="9" max="10" width="11.42578125" customWidth="1"/>
    <col min="11" max="11" width="10.85546875" customWidth="1"/>
    <col min="12" max="12" width="11" customWidth="1"/>
    <col min="13" max="13" width="11.85546875" customWidth="1"/>
    <col min="14" max="14" width="10.85546875" customWidth="1"/>
    <col min="15" max="15" width="13.28515625" customWidth="1"/>
    <col min="16" max="16" width="13" customWidth="1"/>
    <col min="17" max="17" width="15.42578125" customWidth="1"/>
  </cols>
  <sheetData>
    <row r="2" spans="2:17" x14ac:dyDescent="0.25">
      <c r="B2" t="s">
        <v>81</v>
      </c>
    </row>
    <row r="4" spans="2:17" x14ac:dyDescent="0.25">
      <c r="B4" s="17" t="s">
        <v>82</v>
      </c>
    </row>
    <row r="6" spans="2:17" x14ac:dyDescent="0.25">
      <c r="B6" s="10" t="s">
        <v>83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26" t="s">
        <v>84</v>
      </c>
      <c r="P6" s="2" t="s">
        <v>85</v>
      </c>
    </row>
    <row r="7" spans="2:17" x14ac:dyDescent="0.25">
      <c r="B7" s="10">
        <v>2022</v>
      </c>
      <c r="C7" s="39" t="s">
        <v>86</v>
      </c>
      <c r="D7" s="39" t="s">
        <v>86</v>
      </c>
      <c r="E7" s="39" t="s">
        <v>86</v>
      </c>
      <c r="F7" s="39" t="s">
        <v>86</v>
      </c>
      <c r="G7" s="39" t="s">
        <v>86</v>
      </c>
      <c r="H7" s="39" t="s">
        <v>86</v>
      </c>
      <c r="I7" s="3">
        <v>12597</v>
      </c>
      <c r="J7" s="3">
        <v>12597</v>
      </c>
      <c r="K7" s="3">
        <v>12597</v>
      </c>
      <c r="L7" s="3">
        <v>12597</v>
      </c>
      <c r="M7" s="3">
        <v>12597</v>
      </c>
      <c r="N7" s="3">
        <v>12597</v>
      </c>
      <c r="O7" s="27">
        <f>AVERAGE(I7:N7)</f>
        <v>12597</v>
      </c>
      <c r="P7" s="3">
        <f>SUM(I7:N7)</f>
        <v>75582</v>
      </c>
    </row>
    <row r="8" spans="2:17" x14ac:dyDescent="0.25">
      <c r="B8" s="10">
        <v>2023</v>
      </c>
      <c r="C8" s="3">
        <v>44578</v>
      </c>
      <c r="D8" s="3">
        <v>43002</v>
      </c>
      <c r="E8" s="3">
        <v>41547</v>
      </c>
      <c r="F8" s="3">
        <v>33778</v>
      </c>
      <c r="G8" s="3">
        <v>32803</v>
      </c>
      <c r="H8" s="3">
        <v>27027</v>
      </c>
      <c r="I8" s="3">
        <v>25717</v>
      </c>
      <c r="J8" s="3">
        <v>25773</v>
      </c>
      <c r="K8" s="3">
        <v>25512</v>
      </c>
      <c r="L8" s="39" t="s">
        <v>86</v>
      </c>
      <c r="M8" s="39" t="s">
        <v>86</v>
      </c>
      <c r="N8" s="39" t="s">
        <v>86</v>
      </c>
      <c r="O8" s="27">
        <f>AVERAGE(C8:K8)</f>
        <v>33304.111111111109</v>
      </c>
      <c r="P8" s="3">
        <f>SUM(C8:K8)</f>
        <v>299737</v>
      </c>
    </row>
    <row r="10" spans="2:17" x14ac:dyDescent="0.25">
      <c r="B10" s="17" t="s">
        <v>87</v>
      </c>
    </row>
    <row r="11" spans="2:17" x14ac:dyDescent="0.25">
      <c r="B11" s="17"/>
    </row>
    <row r="12" spans="2:17" x14ac:dyDescent="0.25">
      <c r="B12" s="10" t="s">
        <v>83</v>
      </c>
      <c r="C12" s="40">
        <v>1</v>
      </c>
      <c r="D12" s="40">
        <v>2</v>
      </c>
      <c r="E12" s="40">
        <v>3</v>
      </c>
      <c r="F12" s="40">
        <v>4</v>
      </c>
      <c r="G12" s="40">
        <v>5</v>
      </c>
      <c r="H12" s="40">
        <v>6</v>
      </c>
      <c r="I12" s="40">
        <v>7</v>
      </c>
      <c r="J12" s="40">
        <v>8</v>
      </c>
      <c r="K12" s="40">
        <v>9</v>
      </c>
      <c r="L12" s="40">
        <v>10</v>
      </c>
      <c r="M12" s="40">
        <v>11</v>
      </c>
      <c r="N12" s="40">
        <v>12</v>
      </c>
      <c r="O12" s="4" t="s">
        <v>88</v>
      </c>
      <c r="P12" s="26" t="s">
        <v>89</v>
      </c>
      <c r="Q12" s="2" t="s">
        <v>85</v>
      </c>
    </row>
    <row r="13" spans="2:17" x14ac:dyDescent="0.25">
      <c r="B13" s="10">
        <v>2022</v>
      </c>
      <c r="C13" s="41">
        <v>91960</v>
      </c>
      <c r="D13" s="41">
        <v>95590</v>
      </c>
      <c r="E13" s="41">
        <v>115555</v>
      </c>
      <c r="F13" s="41">
        <v>78650</v>
      </c>
      <c r="G13" s="41">
        <v>125840</v>
      </c>
      <c r="H13" s="41">
        <v>107690</v>
      </c>
      <c r="I13" s="41">
        <v>99825</v>
      </c>
      <c r="J13" s="41">
        <v>262570</v>
      </c>
      <c r="K13" s="41">
        <v>320650</v>
      </c>
      <c r="L13" s="41">
        <v>323675</v>
      </c>
      <c r="M13" s="41">
        <v>333355</v>
      </c>
      <c r="N13" s="41">
        <v>213565</v>
      </c>
      <c r="O13" s="41">
        <f>AVERAGE(C13:N13)</f>
        <v>180743.75</v>
      </c>
      <c r="P13" s="27">
        <f>O13/24</f>
        <v>7530.989583333333</v>
      </c>
      <c r="Q13" s="3">
        <f>(SUM(C13:N13))/24</f>
        <v>90371.875</v>
      </c>
    </row>
    <row r="14" spans="2:17" x14ac:dyDescent="0.25">
      <c r="B14" s="10">
        <v>2023</v>
      </c>
      <c r="C14" s="41">
        <v>359975</v>
      </c>
      <c r="D14" s="41">
        <v>256520</v>
      </c>
      <c r="E14" s="41">
        <v>243790</v>
      </c>
      <c r="F14" s="41">
        <v>208337</v>
      </c>
      <c r="G14" s="41">
        <v>218356</v>
      </c>
      <c r="H14" s="41">
        <v>197496</v>
      </c>
      <c r="I14" s="41">
        <v>164487</v>
      </c>
      <c r="J14" s="41">
        <v>181475</v>
      </c>
      <c r="K14" s="41">
        <v>187792</v>
      </c>
      <c r="L14" s="41">
        <v>164487</v>
      </c>
      <c r="M14" s="41">
        <v>164487</v>
      </c>
      <c r="N14" s="42" t="s">
        <v>86</v>
      </c>
      <c r="O14" s="41">
        <f>AVERAGE(C14:M14)</f>
        <v>213382</v>
      </c>
      <c r="P14" s="27">
        <f>O14/24</f>
        <v>8890.9166666666661</v>
      </c>
      <c r="Q14" s="3">
        <f>(SUM(C14:M14))/24</f>
        <v>97800.083333333328</v>
      </c>
    </row>
    <row r="16" spans="2:17" x14ac:dyDescent="0.25">
      <c r="B16" s="17" t="s">
        <v>90</v>
      </c>
    </row>
    <row r="18" spans="2:17" x14ac:dyDescent="0.25">
      <c r="B18" s="10" t="s">
        <v>83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40">
        <v>7</v>
      </c>
      <c r="J18" s="40">
        <v>8</v>
      </c>
      <c r="K18" s="40">
        <v>9</v>
      </c>
      <c r="L18" s="40">
        <v>10</v>
      </c>
      <c r="M18" s="40">
        <v>11</v>
      </c>
      <c r="N18" s="40">
        <v>12</v>
      </c>
      <c r="O18" s="4" t="s">
        <v>88</v>
      </c>
      <c r="P18" s="26" t="s">
        <v>89</v>
      </c>
      <c r="Q18" s="2" t="s">
        <v>85</v>
      </c>
    </row>
    <row r="19" spans="2:17" x14ac:dyDescent="0.25">
      <c r="B19" s="10">
        <v>2022</v>
      </c>
      <c r="C19" s="43" t="s">
        <v>86</v>
      </c>
      <c r="D19" s="43" t="s">
        <v>86</v>
      </c>
      <c r="E19" s="43" t="s">
        <v>86</v>
      </c>
      <c r="F19" s="43" t="s">
        <v>86</v>
      </c>
      <c r="G19" s="43" t="s">
        <v>86</v>
      </c>
      <c r="H19" s="43" t="s">
        <v>86</v>
      </c>
      <c r="I19" s="43" t="s">
        <v>86</v>
      </c>
      <c r="J19" s="43" t="s">
        <v>86</v>
      </c>
      <c r="K19" s="43" t="s">
        <v>86</v>
      </c>
      <c r="L19" s="43" t="s">
        <v>86</v>
      </c>
      <c r="M19" s="41">
        <v>163350</v>
      </c>
      <c r="N19" s="41">
        <v>163350</v>
      </c>
      <c r="O19" s="41">
        <f>AVERAGE(M19:N19)</f>
        <v>163350</v>
      </c>
      <c r="P19" s="27">
        <f>O19/24</f>
        <v>6806.25</v>
      </c>
      <c r="Q19" s="3">
        <f>(SUM(M19:N19))/24</f>
        <v>13612.5</v>
      </c>
    </row>
    <row r="20" spans="2:17" x14ac:dyDescent="0.25">
      <c r="B20" s="10">
        <v>2023</v>
      </c>
      <c r="C20" s="41">
        <f>163350+3872</f>
        <v>167222</v>
      </c>
      <c r="D20" s="41">
        <f>163350+544+33880</f>
        <v>197774</v>
      </c>
      <c r="E20" s="41">
        <f>314333+163350+3932</f>
        <v>481615</v>
      </c>
      <c r="F20" s="41">
        <f>163350+11737+222313</f>
        <v>397400</v>
      </c>
      <c r="G20" s="41">
        <f>163350+20449+242423</f>
        <v>426222</v>
      </c>
      <c r="H20" s="41">
        <f>6655+235006+163350</f>
        <v>405011</v>
      </c>
      <c r="I20" s="41">
        <f>163350+253930</f>
        <v>417280</v>
      </c>
      <c r="J20" s="41">
        <f>240197+3146+163350</f>
        <v>406693</v>
      </c>
      <c r="K20" s="41">
        <f>163350+11011+229682</f>
        <v>404043</v>
      </c>
      <c r="L20" s="43" t="s">
        <v>86</v>
      </c>
      <c r="M20" s="43" t="s">
        <v>86</v>
      </c>
      <c r="N20" s="43" t="s">
        <v>86</v>
      </c>
      <c r="O20" s="41">
        <f>AVERAGE(C20:K20)</f>
        <v>367028.88888888888</v>
      </c>
      <c r="P20" s="27">
        <f>O20/24</f>
        <v>15292.87037037037</v>
      </c>
      <c r="Q20" s="3">
        <f>(SUM(C20:K20))/24</f>
        <v>137635.83333333334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5A352-D5BE-4194-AA43-BCE876A2C6BD}">
  <dimension ref="B2:I27"/>
  <sheetViews>
    <sheetView zoomScale="78" zoomScaleNormal="78" workbookViewId="0">
      <selection activeCell="L18" sqref="L18"/>
    </sheetView>
  </sheetViews>
  <sheetFormatPr defaultRowHeight="15" x14ac:dyDescent="0.25"/>
  <cols>
    <col min="2" max="2" width="17.140625" customWidth="1"/>
    <col min="3" max="3" width="19.85546875" customWidth="1"/>
    <col min="4" max="4" width="25.140625" customWidth="1"/>
    <col min="5" max="5" width="14" customWidth="1"/>
    <col min="6" max="6" width="10.28515625" customWidth="1"/>
    <col min="7" max="7" width="17.7109375" customWidth="1"/>
    <col min="8" max="8" width="20" customWidth="1"/>
    <col min="9" max="9" width="12.85546875" customWidth="1"/>
  </cols>
  <sheetData>
    <row r="2" spans="2:9" x14ac:dyDescent="0.25">
      <c r="B2" s="17" t="s">
        <v>77</v>
      </c>
    </row>
    <row r="4" spans="2:9" ht="21" x14ac:dyDescent="0.25">
      <c r="B4" s="1" t="s">
        <v>78</v>
      </c>
    </row>
    <row r="6" spans="2:9" x14ac:dyDescent="0.25">
      <c r="B6" s="2" t="s">
        <v>55</v>
      </c>
      <c r="C6" s="2" t="s">
        <v>38</v>
      </c>
      <c r="D6" s="2" t="s">
        <v>39</v>
      </c>
      <c r="E6" s="2" t="s">
        <v>11</v>
      </c>
      <c r="F6" s="2" t="s">
        <v>7</v>
      </c>
      <c r="G6" s="2" t="s">
        <v>56</v>
      </c>
    </row>
    <row r="7" spans="2:9" x14ac:dyDescent="0.25">
      <c r="B7" s="2" t="s">
        <v>57</v>
      </c>
      <c r="C7" s="2" t="s">
        <v>58</v>
      </c>
      <c r="D7" s="2" t="s">
        <v>59</v>
      </c>
      <c r="E7" s="2">
        <v>1260</v>
      </c>
      <c r="F7" s="2">
        <v>4.99</v>
      </c>
      <c r="G7" s="3">
        <v>6287.4000000000005</v>
      </c>
    </row>
    <row r="8" spans="2:9" x14ac:dyDescent="0.25">
      <c r="B8" s="2" t="s">
        <v>57</v>
      </c>
      <c r="C8" s="2" t="s">
        <v>60</v>
      </c>
      <c r="D8" s="2" t="s">
        <v>61</v>
      </c>
      <c r="E8" s="2">
        <v>450</v>
      </c>
      <c r="F8" s="2">
        <v>1.1499999999999999</v>
      </c>
      <c r="G8" s="3">
        <v>517.5</v>
      </c>
    </row>
    <row r="9" spans="2:9" x14ac:dyDescent="0.25">
      <c r="B9" s="2" t="s">
        <v>57</v>
      </c>
      <c r="C9" s="2" t="s">
        <v>62</v>
      </c>
      <c r="D9" s="2" t="s">
        <v>63</v>
      </c>
      <c r="E9" s="2">
        <v>152</v>
      </c>
      <c r="F9" s="2">
        <v>1.95</v>
      </c>
      <c r="G9" s="3">
        <v>296.39999999999998</v>
      </c>
    </row>
    <row r="10" spans="2:9" x14ac:dyDescent="0.25">
      <c r="B10" s="2"/>
      <c r="C10" s="2" t="s">
        <v>64</v>
      </c>
      <c r="D10" s="2" t="s">
        <v>65</v>
      </c>
      <c r="E10" s="2" t="s">
        <v>66</v>
      </c>
      <c r="F10" s="2"/>
      <c r="G10" s="3">
        <v>385</v>
      </c>
    </row>
    <row r="11" spans="2:9" x14ac:dyDescent="0.25">
      <c r="B11" s="2"/>
      <c r="C11" s="2" t="s">
        <v>67</v>
      </c>
      <c r="D11" s="2"/>
      <c r="E11" s="2"/>
      <c r="F11" s="2"/>
      <c r="G11" s="3">
        <v>211</v>
      </c>
    </row>
    <row r="12" spans="2:9" x14ac:dyDescent="0.25">
      <c r="B12" s="2"/>
      <c r="C12" s="2" t="s">
        <v>68</v>
      </c>
      <c r="D12" s="2" t="s">
        <v>69</v>
      </c>
      <c r="E12" s="2"/>
      <c r="F12" s="2" t="s">
        <v>70</v>
      </c>
      <c r="G12" s="3">
        <v>3840</v>
      </c>
    </row>
    <row r="13" spans="2:9" x14ac:dyDescent="0.25">
      <c r="B13" s="2" t="s">
        <v>34</v>
      </c>
      <c r="C13" s="2" t="s">
        <v>71</v>
      </c>
      <c r="D13" s="2"/>
      <c r="E13" s="2">
        <v>2000</v>
      </c>
      <c r="F13" s="2">
        <v>3</v>
      </c>
      <c r="G13" s="3">
        <v>6806</v>
      </c>
    </row>
    <row r="14" spans="2:9" x14ac:dyDescent="0.25">
      <c r="B14" s="4" t="s">
        <v>72</v>
      </c>
      <c r="C14" s="2" t="s">
        <v>73</v>
      </c>
      <c r="D14" s="2" t="s">
        <v>74</v>
      </c>
      <c r="E14" s="2">
        <v>8</v>
      </c>
      <c r="F14" s="3">
        <v>125</v>
      </c>
      <c r="G14" s="3">
        <v>1000</v>
      </c>
    </row>
    <row r="15" spans="2:9" x14ac:dyDescent="0.25">
      <c r="B15" s="2"/>
      <c r="C15" s="2"/>
      <c r="D15" s="2" t="s">
        <v>75</v>
      </c>
      <c r="E15" s="2"/>
      <c r="F15" s="2"/>
      <c r="G15" s="5">
        <v>19343.3</v>
      </c>
      <c r="H15" s="6"/>
      <c r="I15" s="6"/>
    </row>
    <row r="18" spans="2:9" ht="21" x14ac:dyDescent="0.25">
      <c r="B18" s="7" t="s">
        <v>79</v>
      </c>
    </row>
    <row r="20" spans="2:9" x14ac:dyDescent="0.25">
      <c r="B20" s="8" t="s">
        <v>37</v>
      </c>
      <c r="C20" s="15" t="s">
        <v>38</v>
      </c>
      <c r="D20" s="16"/>
      <c r="E20" s="15" t="s">
        <v>39</v>
      </c>
      <c r="F20" s="16"/>
      <c r="G20" s="8" t="s">
        <v>40</v>
      </c>
      <c r="H20" s="8" t="s">
        <v>41</v>
      </c>
      <c r="I20" s="8" t="s">
        <v>42</v>
      </c>
    </row>
    <row r="21" spans="2:9" x14ac:dyDescent="0.25">
      <c r="B21" s="8" t="s">
        <v>43</v>
      </c>
      <c r="C21" s="13" t="s">
        <v>44</v>
      </c>
      <c r="D21" s="14"/>
      <c r="E21" s="13" t="s">
        <v>45</v>
      </c>
      <c r="F21" s="14"/>
      <c r="G21" s="2">
        <v>1280</v>
      </c>
      <c r="H21" s="9">
        <v>5.3</v>
      </c>
      <c r="I21" s="3">
        <v>6784</v>
      </c>
    </row>
    <row r="22" spans="2:9" x14ac:dyDescent="0.25">
      <c r="B22" s="8" t="s">
        <v>43</v>
      </c>
      <c r="C22" s="13" t="s">
        <v>46</v>
      </c>
      <c r="D22" s="14"/>
      <c r="E22" s="13" t="s">
        <v>47</v>
      </c>
      <c r="F22" s="14"/>
      <c r="G22" s="2">
        <v>3000</v>
      </c>
      <c r="H22" s="9">
        <v>1.1000000000000001</v>
      </c>
      <c r="I22" s="3">
        <v>3300.0000000000005</v>
      </c>
    </row>
    <row r="23" spans="2:9" x14ac:dyDescent="0.25">
      <c r="B23" s="8" t="s">
        <v>48</v>
      </c>
      <c r="C23" s="13" t="s">
        <v>49</v>
      </c>
      <c r="D23" s="14"/>
      <c r="E23" s="13" t="s">
        <v>52</v>
      </c>
      <c r="F23" s="14"/>
      <c r="G23" s="2">
        <v>450</v>
      </c>
      <c r="H23" s="2"/>
      <c r="I23" s="3">
        <v>1034</v>
      </c>
    </row>
    <row r="24" spans="2:9" x14ac:dyDescent="0.25">
      <c r="E24" s="13" t="s">
        <v>76</v>
      </c>
      <c r="F24" s="14" t="s">
        <v>53</v>
      </c>
      <c r="G24" s="2">
        <v>4730</v>
      </c>
      <c r="H24" s="10" t="s">
        <v>33</v>
      </c>
      <c r="I24" s="5">
        <v>11118</v>
      </c>
    </row>
    <row r="27" spans="2:9" ht="21" x14ac:dyDescent="0.25">
      <c r="B27" s="18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46D1-0D01-4CC6-99C4-D6858B979B6E}">
  <dimension ref="B2"/>
  <sheetViews>
    <sheetView workbookViewId="0">
      <selection activeCell="R22" sqref="R22"/>
    </sheetView>
  </sheetViews>
  <sheetFormatPr defaultRowHeight="15" x14ac:dyDescent="0.25"/>
  <sheetData>
    <row r="2" spans="2:2" x14ac:dyDescent="0.25">
      <c r="B2" t="s">
        <v>91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BC9A-F311-42E6-A52C-D0B8D7DF8A50}">
  <dimension ref="B2:O23"/>
  <sheetViews>
    <sheetView tabSelected="1" workbookViewId="0">
      <selection activeCell="B7" sqref="B7"/>
    </sheetView>
  </sheetViews>
  <sheetFormatPr defaultRowHeight="15" x14ac:dyDescent="0.25"/>
  <cols>
    <col min="3" max="3" width="7.42578125" customWidth="1"/>
    <col min="4" max="4" width="7.140625" customWidth="1"/>
    <col min="5" max="5" width="7.42578125" customWidth="1"/>
    <col min="6" max="6" width="7.5703125" customWidth="1"/>
    <col min="7" max="7" width="7.140625" customWidth="1"/>
    <col min="8" max="9" width="7.28515625" customWidth="1"/>
    <col min="10" max="10" width="11.140625" customWidth="1"/>
    <col min="11" max="11" width="8.28515625" customWidth="1"/>
    <col min="12" max="12" width="8.140625" customWidth="1"/>
    <col min="13" max="13" width="7.7109375" customWidth="1"/>
    <col min="14" max="14" width="8" customWidth="1"/>
    <col min="15" max="15" width="12.85546875" customWidth="1"/>
  </cols>
  <sheetData>
    <row r="2" spans="2:11" x14ac:dyDescent="0.25">
      <c r="B2" t="s">
        <v>92</v>
      </c>
    </row>
    <row r="4" spans="2:11" x14ac:dyDescent="0.25">
      <c r="H4" t="s">
        <v>93</v>
      </c>
    </row>
    <row r="6" spans="2:11" x14ac:dyDescent="0.25">
      <c r="H6" s="44" t="s">
        <v>3</v>
      </c>
      <c r="I6" s="44"/>
      <c r="J6" s="44"/>
      <c r="K6" s="45" t="s">
        <v>94</v>
      </c>
    </row>
    <row r="7" spans="2:11" x14ac:dyDescent="0.25">
      <c r="H7" s="46" t="s">
        <v>95</v>
      </c>
      <c r="I7" s="46"/>
      <c r="J7" s="46"/>
      <c r="K7" s="47">
        <f>3000/24</f>
        <v>125</v>
      </c>
    </row>
    <row r="8" spans="2:11" x14ac:dyDescent="0.25">
      <c r="H8" s="46" t="s">
        <v>96</v>
      </c>
      <c r="I8" s="46"/>
      <c r="J8" s="46"/>
      <c r="K8" s="47">
        <f>330</f>
        <v>330</v>
      </c>
    </row>
    <row r="9" spans="2:11" x14ac:dyDescent="0.25">
      <c r="H9" s="46" t="s">
        <v>97</v>
      </c>
      <c r="I9" s="46"/>
      <c r="J9" s="46"/>
      <c r="K9" s="47">
        <f>3000/24</f>
        <v>125</v>
      </c>
    </row>
    <row r="10" spans="2:11" x14ac:dyDescent="0.25">
      <c r="H10" s="48" t="s">
        <v>98</v>
      </c>
      <c r="I10" s="48"/>
      <c r="J10" s="48"/>
      <c r="K10" s="49">
        <f>K7+K8+K9</f>
        <v>580</v>
      </c>
    </row>
    <row r="12" spans="2:11" x14ac:dyDescent="0.25">
      <c r="H12" t="s">
        <v>99</v>
      </c>
    </row>
    <row r="13" spans="2:11" x14ac:dyDescent="0.25">
      <c r="K13" s="50"/>
    </row>
    <row r="14" spans="2:11" x14ac:dyDescent="0.25">
      <c r="H14" s="51" t="s">
        <v>3</v>
      </c>
      <c r="I14" s="51"/>
      <c r="J14" s="51"/>
      <c r="K14" s="52" t="s">
        <v>94</v>
      </c>
    </row>
    <row r="15" spans="2:11" x14ac:dyDescent="0.25">
      <c r="H15" s="53" t="s">
        <v>100</v>
      </c>
      <c r="I15" s="53"/>
      <c r="J15" s="53"/>
      <c r="K15" s="47">
        <f>1500/24</f>
        <v>62.5</v>
      </c>
    </row>
    <row r="16" spans="2:11" x14ac:dyDescent="0.25">
      <c r="H16" s="46" t="s">
        <v>101</v>
      </c>
      <c r="I16" s="46"/>
      <c r="J16" s="46"/>
      <c r="K16" s="47">
        <f>2500/24</f>
        <v>104.16666666666667</v>
      </c>
    </row>
    <row r="17" spans="2:15" x14ac:dyDescent="0.25">
      <c r="H17" s="54" t="s">
        <v>102</v>
      </c>
      <c r="I17" s="54"/>
      <c r="J17" s="54">
        <f>1500+2500</f>
        <v>4000</v>
      </c>
      <c r="K17" s="49">
        <f>K15+K16</f>
        <v>166.66666666666669</v>
      </c>
    </row>
    <row r="20" spans="2:15" x14ac:dyDescent="0.25">
      <c r="B20" s="55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>
        <v>6</v>
      </c>
      <c r="I20" s="8">
        <v>7</v>
      </c>
      <c r="J20" s="8">
        <v>8</v>
      </c>
      <c r="K20" s="8">
        <v>9</v>
      </c>
      <c r="L20" s="8">
        <v>10</v>
      </c>
      <c r="M20" s="8">
        <v>11</v>
      </c>
      <c r="N20" s="8">
        <v>12</v>
      </c>
      <c r="O20" s="32" t="s">
        <v>85</v>
      </c>
    </row>
    <row r="21" spans="2:15" x14ac:dyDescent="0.25">
      <c r="B21" s="26">
        <v>2023</v>
      </c>
      <c r="C21" s="8"/>
      <c r="D21" s="4"/>
      <c r="E21" s="4"/>
      <c r="F21" s="4"/>
      <c r="G21" s="4"/>
      <c r="H21" s="4"/>
      <c r="I21" s="4"/>
      <c r="J21" s="4"/>
      <c r="K21" s="56">
        <f>K10+K17</f>
        <v>746.66666666666674</v>
      </c>
      <c r="L21" s="57">
        <f>K17</f>
        <v>166.66666666666669</v>
      </c>
      <c r="M21" s="57">
        <f>K17</f>
        <v>166.66666666666669</v>
      </c>
      <c r="N21" s="57">
        <f>K17</f>
        <v>166.66666666666669</v>
      </c>
      <c r="O21" s="27">
        <f>SUM(D21:N21)</f>
        <v>1246.666666666667</v>
      </c>
    </row>
    <row r="22" spans="2:15" x14ac:dyDescent="0.25">
      <c r="B22" s="26">
        <v>2024</v>
      </c>
      <c r="C22" s="57">
        <v>167</v>
      </c>
      <c r="D22" s="57">
        <f>K17</f>
        <v>166.66666666666669</v>
      </c>
      <c r="E22" s="57">
        <v>167</v>
      </c>
      <c r="F22" s="57">
        <f>K17</f>
        <v>166.66666666666669</v>
      </c>
      <c r="G22" s="57">
        <f>K17</f>
        <v>166.66666666666669</v>
      </c>
      <c r="H22" s="57">
        <f>K17</f>
        <v>166.66666666666669</v>
      </c>
      <c r="I22" s="57">
        <f>K17</f>
        <v>166.66666666666669</v>
      </c>
      <c r="J22" s="57">
        <f>K17</f>
        <v>166.66666666666669</v>
      </c>
      <c r="K22" s="57">
        <f>K17</f>
        <v>166.66666666666669</v>
      </c>
      <c r="L22" s="57">
        <f>K17</f>
        <v>166.66666666666669</v>
      </c>
      <c r="M22" s="57">
        <f>K17</f>
        <v>166.66666666666669</v>
      </c>
      <c r="N22" s="57">
        <f>K17</f>
        <v>166.66666666666669</v>
      </c>
      <c r="O22" s="58">
        <f>SUM(C22:N22)</f>
        <v>2000.6666666666672</v>
      </c>
    </row>
    <row r="23" spans="2:15" x14ac:dyDescent="0.25">
      <c r="B23" s="26">
        <v>2025</v>
      </c>
      <c r="C23" s="57">
        <v>167</v>
      </c>
      <c r="D23" s="57">
        <f>K17</f>
        <v>166.66666666666669</v>
      </c>
      <c r="E23" s="57">
        <v>167</v>
      </c>
      <c r="F23" s="57">
        <f>K17</f>
        <v>166.66666666666669</v>
      </c>
      <c r="G23" s="57">
        <f>K17</f>
        <v>166.66666666666669</v>
      </c>
      <c r="H23" s="57">
        <f>K17</f>
        <v>166.66666666666669</v>
      </c>
      <c r="I23" s="57">
        <f>K17</f>
        <v>166.66666666666669</v>
      </c>
      <c r="J23" s="57">
        <f>K17</f>
        <v>166.66666666666669</v>
      </c>
      <c r="K23" s="57">
        <f>K17</f>
        <v>166.66666666666669</v>
      </c>
      <c r="L23" s="57">
        <f>K17</f>
        <v>166.66666666666669</v>
      </c>
      <c r="M23" s="57">
        <f>K17</f>
        <v>166.66666666666669</v>
      </c>
      <c r="N23" s="57">
        <f>K17</f>
        <v>166.66666666666669</v>
      </c>
      <c r="O23" s="58">
        <f>SUM(C23:N23)</f>
        <v>2000.6666666666672</v>
      </c>
    </row>
  </sheetData>
  <mergeCells count="8">
    <mergeCell ref="H16:J16"/>
    <mergeCell ref="H17:J17"/>
    <mergeCell ref="H6:J6"/>
    <mergeCell ref="H7:J7"/>
    <mergeCell ref="H8:J8"/>
    <mergeCell ref="H9:J9"/>
    <mergeCell ref="H14:J14"/>
    <mergeCell ref="H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App.1</vt:lpstr>
      <vt:lpstr>App.2</vt:lpstr>
      <vt:lpstr>App.3</vt:lpstr>
      <vt:lpstr>App.4</vt:lpstr>
      <vt:lpstr>App.5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Кошелева</dc:creator>
  <cp:lastModifiedBy>Koshelieva, Olena</cp:lastModifiedBy>
  <dcterms:created xsi:type="dcterms:W3CDTF">2015-06-05T18:17:20Z</dcterms:created>
  <dcterms:modified xsi:type="dcterms:W3CDTF">2024-01-03T21:02:30Z</dcterms:modified>
</cp:coreProperties>
</file>