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e0\Desktop\"/>
    </mc:Choice>
  </mc:AlternateContent>
  <xr:revisionPtr revIDLastSave="0" documentId="13_ncr:1_{623D5B40-AA2B-4812-8DE3-D30B2B2CBBF8}" xr6:coauthVersionLast="47" xr6:coauthVersionMax="47" xr10:uidLastSave="{00000000-0000-0000-0000-000000000000}"/>
  <bookViews>
    <workbookView xWindow="-120" yWindow="-120" windowWidth="20730" windowHeight="11040" activeTab="5" xr2:uid="{00000000-000D-0000-FFFF-FFFF00000000}"/>
  </bookViews>
  <sheets>
    <sheet name="Výroba EE" sheetId="1" r:id="rId1"/>
    <sheet name="ODTOK" sheetId="2" r:id="rId2"/>
    <sheet name="Výpočet EG kWh" sheetId="4" r:id="rId3"/>
    <sheet name="počet MVE" sheetId="3" r:id="rId4"/>
    <sheet name="IRR" sheetId="8" r:id="rId5"/>
    <sheet name="ROI" sheetId="9" r:id="rId6"/>
    <sheet name="CASH FLOW" sheetId="10" r:id="rId7"/>
    <sheet name="SKUTECNE" sheetId="13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6" i="13" l="1"/>
  <c r="F55" i="13"/>
  <c r="F51" i="13"/>
  <c r="F50" i="13"/>
  <c r="D4" i="13"/>
  <c r="D5" i="13"/>
  <c r="D3" i="13"/>
  <c r="C4" i="13"/>
  <c r="C5" i="13"/>
  <c r="C3" i="13"/>
  <c r="H32" i="13"/>
  <c r="G32" i="13"/>
  <c r="I32" i="13" s="1"/>
  <c r="H31" i="13"/>
  <c r="G31" i="13"/>
  <c r="I31" i="13" s="1"/>
  <c r="H30" i="13"/>
  <c r="G30" i="13"/>
  <c r="I30" i="13" s="1"/>
  <c r="H29" i="13"/>
  <c r="G29" i="13"/>
  <c r="I29" i="13" s="1"/>
  <c r="H28" i="13"/>
  <c r="G28" i="13"/>
  <c r="I28" i="13" s="1"/>
  <c r="H27" i="13"/>
  <c r="G27" i="13"/>
  <c r="I27" i="13" s="1"/>
  <c r="H26" i="13"/>
  <c r="G26" i="13"/>
  <c r="I26" i="13" s="1"/>
  <c r="H25" i="13"/>
  <c r="G25" i="13"/>
  <c r="I25" i="13" s="1"/>
  <c r="H24" i="13"/>
  <c r="G24" i="13"/>
  <c r="I24" i="13" s="1"/>
  <c r="H23" i="13"/>
  <c r="G23" i="13"/>
  <c r="I23" i="13" s="1"/>
  <c r="H22" i="13"/>
  <c r="G22" i="13"/>
  <c r="I22" i="13" s="1"/>
  <c r="H21" i="13"/>
  <c r="G21" i="13"/>
  <c r="I21" i="13" s="1"/>
  <c r="H20" i="13"/>
  <c r="G20" i="13"/>
  <c r="I20" i="13" s="1"/>
  <c r="H19" i="13"/>
  <c r="G19" i="13"/>
  <c r="I19" i="13" s="1"/>
  <c r="H18" i="13"/>
  <c r="G18" i="13"/>
  <c r="I18" i="13" s="1"/>
  <c r="H17" i="13"/>
  <c r="G17" i="13"/>
  <c r="I17" i="13" s="1"/>
  <c r="H16" i="13"/>
  <c r="G16" i="13"/>
  <c r="I16" i="13" s="1"/>
  <c r="H15" i="13"/>
  <c r="G15" i="13"/>
  <c r="I15" i="13" s="1"/>
  <c r="H14" i="13"/>
  <c r="G14" i="13"/>
  <c r="I14" i="13" s="1"/>
  <c r="H13" i="13"/>
  <c r="G13" i="13"/>
  <c r="I13" i="13" s="1"/>
  <c r="H12" i="13"/>
  <c r="G12" i="13"/>
  <c r="F12" i="13"/>
  <c r="I12" i="13" s="1"/>
  <c r="H11" i="13"/>
  <c r="G11" i="13"/>
  <c r="F11" i="13"/>
  <c r="I11" i="13" s="1"/>
  <c r="H10" i="13"/>
  <c r="G10" i="13"/>
  <c r="F10" i="13"/>
  <c r="I10" i="13" s="1"/>
  <c r="H9" i="13"/>
  <c r="G9" i="13"/>
  <c r="F9" i="13"/>
  <c r="I9" i="13" s="1"/>
  <c r="H8" i="13"/>
  <c r="G8" i="13"/>
  <c r="F8" i="13"/>
  <c r="I8" i="13" s="1"/>
  <c r="H7" i="13"/>
  <c r="G7" i="13"/>
  <c r="F7" i="13"/>
  <c r="E7" i="13"/>
  <c r="I7" i="13" s="1"/>
  <c r="H6" i="13"/>
  <c r="G6" i="13"/>
  <c r="F6" i="13"/>
  <c r="E6" i="13"/>
  <c r="I6" i="13" s="1"/>
  <c r="H5" i="13"/>
  <c r="G5" i="13"/>
  <c r="F5" i="13"/>
  <c r="E5" i="13"/>
  <c r="I5" i="13" s="1"/>
  <c r="H4" i="13"/>
  <c r="G4" i="13"/>
  <c r="F4" i="13"/>
  <c r="E4" i="13"/>
  <c r="I4" i="13" s="1"/>
  <c r="H3" i="13"/>
  <c r="G3" i="13"/>
  <c r="F3" i="13"/>
  <c r="E3" i="13"/>
  <c r="I3" i="13" s="1"/>
  <c r="E3" i="10"/>
  <c r="Q149" i="10"/>
  <c r="Q150" i="10"/>
  <c r="Q151" i="10"/>
  <c r="Q152" i="10"/>
  <c r="Q153" i="10"/>
  <c r="Q154" i="10"/>
  <c r="Q155" i="10"/>
  <c r="Q156" i="10"/>
  <c r="Q157" i="10"/>
  <c r="Q158" i="10"/>
  <c r="Q159" i="10"/>
  <c r="Q160" i="10"/>
  <c r="Q161" i="10"/>
  <c r="Q162" i="10"/>
  <c r="Q163" i="10"/>
  <c r="Q164" i="10"/>
  <c r="Q165" i="10"/>
  <c r="Q166" i="10"/>
  <c r="Q167" i="10"/>
  <c r="Q168" i="10"/>
  <c r="Q169" i="10"/>
  <c r="Q170" i="10"/>
  <c r="Q171" i="10"/>
  <c r="Q172" i="10"/>
  <c r="Q173" i="10"/>
  <c r="Q174" i="10"/>
  <c r="Q175" i="10"/>
  <c r="Q176" i="10"/>
  <c r="Q177" i="10"/>
  <c r="Q148" i="10"/>
  <c r="B70" i="8"/>
  <c r="D70" i="8"/>
  <c r="C70" i="8"/>
  <c r="F46" i="8"/>
  <c r="G41" i="8"/>
  <c r="G40" i="8"/>
  <c r="F44" i="8"/>
  <c r="H177" i="10"/>
  <c r="G177" i="10"/>
  <c r="I177" i="10" s="1"/>
  <c r="H176" i="10"/>
  <c r="G176" i="10"/>
  <c r="I176" i="10" s="1"/>
  <c r="H175" i="10"/>
  <c r="G175" i="10"/>
  <c r="I175" i="10" s="1"/>
  <c r="H174" i="10"/>
  <c r="G174" i="10"/>
  <c r="I174" i="10" s="1"/>
  <c r="H173" i="10"/>
  <c r="G173" i="10"/>
  <c r="I173" i="10" s="1"/>
  <c r="H172" i="10"/>
  <c r="G172" i="10"/>
  <c r="I172" i="10" s="1"/>
  <c r="H171" i="10"/>
  <c r="G171" i="10"/>
  <c r="I171" i="10" s="1"/>
  <c r="H170" i="10"/>
  <c r="G170" i="10"/>
  <c r="I170" i="10" s="1"/>
  <c r="H169" i="10"/>
  <c r="G169" i="10"/>
  <c r="I169" i="10" s="1"/>
  <c r="H168" i="10"/>
  <c r="G168" i="10"/>
  <c r="I168" i="10" s="1"/>
  <c r="H167" i="10"/>
  <c r="G167" i="10"/>
  <c r="I167" i="10" s="1"/>
  <c r="H166" i="10"/>
  <c r="G166" i="10"/>
  <c r="I166" i="10" s="1"/>
  <c r="H165" i="10"/>
  <c r="G165" i="10"/>
  <c r="I165" i="10" s="1"/>
  <c r="H164" i="10"/>
  <c r="G164" i="10"/>
  <c r="I164" i="10" s="1"/>
  <c r="H163" i="10"/>
  <c r="G163" i="10"/>
  <c r="I163" i="10" s="1"/>
  <c r="H162" i="10"/>
  <c r="G162" i="10"/>
  <c r="I162" i="10" s="1"/>
  <c r="H161" i="10"/>
  <c r="G161" i="10"/>
  <c r="I161" i="10" s="1"/>
  <c r="H160" i="10"/>
  <c r="G160" i="10"/>
  <c r="I160" i="10" s="1"/>
  <c r="H159" i="10"/>
  <c r="G159" i="10"/>
  <c r="I159" i="10" s="1"/>
  <c r="H158" i="10"/>
  <c r="G158" i="10"/>
  <c r="I158" i="10" s="1"/>
  <c r="H157" i="10"/>
  <c r="G157" i="10"/>
  <c r="F157" i="10"/>
  <c r="I157" i="10" s="1"/>
  <c r="H156" i="10"/>
  <c r="G156" i="10"/>
  <c r="F156" i="10"/>
  <c r="I156" i="10" s="1"/>
  <c r="H155" i="10"/>
  <c r="G155" i="10"/>
  <c r="F155" i="10"/>
  <c r="I155" i="10" s="1"/>
  <c r="H154" i="10"/>
  <c r="G154" i="10"/>
  <c r="F154" i="10"/>
  <c r="I154" i="10" s="1"/>
  <c r="H153" i="10"/>
  <c r="G153" i="10"/>
  <c r="F153" i="10"/>
  <c r="I153" i="10" s="1"/>
  <c r="H152" i="10"/>
  <c r="G152" i="10"/>
  <c r="F152" i="10"/>
  <c r="E152" i="10"/>
  <c r="I152" i="10" s="1"/>
  <c r="H151" i="10"/>
  <c r="G151" i="10"/>
  <c r="F151" i="10"/>
  <c r="E151" i="10"/>
  <c r="I151" i="10" s="1"/>
  <c r="H150" i="10"/>
  <c r="G150" i="10"/>
  <c r="F150" i="10"/>
  <c r="E150" i="10"/>
  <c r="I150" i="10" s="1"/>
  <c r="H149" i="10"/>
  <c r="G149" i="10"/>
  <c r="F149" i="10"/>
  <c r="E149" i="10"/>
  <c r="I149" i="10" s="1"/>
  <c r="H148" i="10"/>
  <c r="G148" i="10"/>
  <c r="F148" i="10"/>
  <c r="E148" i="10"/>
  <c r="I148" i="10" s="1"/>
  <c r="S3" i="10"/>
  <c r="Q3" i="10"/>
  <c r="Q4" i="10"/>
  <c r="M4" i="10"/>
  <c r="N3" i="13" l="1"/>
  <c r="K3" i="13"/>
  <c r="N4" i="13"/>
  <c r="K4" i="13"/>
  <c r="N5" i="13"/>
  <c r="K5" i="13"/>
  <c r="N6" i="13"/>
  <c r="K6" i="13"/>
  <c r="N7" i="13"/>
  <c r="K7" i="13"/>
  <c r="N8" i="13"/>
  <c r="K8" i="13"/>
  <c r="N9" i="13"/>
  <c r="K9" i="13"/>
  <c r="N10" i="13"/>
  <c r="K10" i="13"/>
  <c r="N11" i="13"/>
  <c r="K11" i="13"/>
  <c r="N12" i="13"/>
  <c r="K12" i="13"/>
  <c r="N13" i="13"/>
  <c r="K13" i="13"/>
  <c r="N14" i="13"/>
  <c r="K14" i="13"/>
  <c r="N15" i="13"/>
  <c r="K15" i="13"/>
  <c r="N16" i="13"/>
  <c r="K16" i="13"/>
  <c r="N17" i="13"/>
  <c r="K17" i="13"/>
  <c r="N18" i="13"/>
  <c r="K18" i="13"/>
  <c r="N19" i="13"/>
  <c r="K19" i="13"/>
  <c r="N20" i="13"/>
  <c r="K20" i="13"/>
  <c r="N21" i="13"/>
  <c r="K21" i="13"/>
  <c r="N22" i="13"/>
  <c r="K22" i="13"/>
  <c r="N23" i="13"/>
  <c r="K23" i="13"/>
  <c r="N24" i="13"/>
  <c r="K24" i="13"/>
  <c r="N25" i="13"/>
  <c r="K25" i="13"/>
  <c r="N26" i="13"/>
  <c r="K26" i="13"/>
  <c r="N27" i="13"/>
  <c r="K27" i="13"/>
  <c r="N28" i="13"/>
  <c r="K28" i="13"/>
  <c r="N29" i="13"/>
  <c r="K29" i="13"/>
  <c r="N30" i="13"/>
  <c r="K30" i="13"/>
  <c r="N31" i="13"/>
  <c r="K31" i="13"/>
  <c r="N32" i="13"/>
  <c r="K32" i="13"/>
  <c r="N148" i="10"/>
  <c r="K148" i="10"/>
  <c r="N149" i="10"/>
  <c r="K149" i="10"/>
  <c r="N150" i="10"/>
  <c r="K150" i="10"/>
  <c r="N151" i="10"/>
  <c r="K151" i="10"/>
  <c r="N152" i="10"/>
  <c r="K152" i="10"/>
  <c r="N153" i="10"/>
  <c r="K153" i="10"/>
  <c r="N154" i="10"/>
  <c r="K154" i="10"/>
  <c r="N155" i="10"/>
  <c r="K155" i="10"/>
  <c r="N156" i="10"/>
  <c r="K156" i="10"/>
  <c r="N157" i="10"/>
  <c r="K157" i="10"/>
  <c r="N158" i="10"/>
  <c r="K158" i="10"/>
  <c r="N159" i="10"/>
  <c r="K159" i="10"/>
  <c r="N160" i="10"/>
  <c r="K160" i="10"/>
  <c r="N161" i="10"/>
  <c r="K161" i="10"/>
  <c r="N162" i="10"/>
  <c r="K162" i="10"/>
  <c r="N163" i="10"/>
  <c r="K163" i="10"/>
  <c r="N164" i="10"/>
  <c r="K164" i="10"/>
  <c r="N165" i="10"/>
  <c r="K165" i="10"/>
  <c r="N166" i="10"/>
  <c r="K166" i="10"/>
  <c r="N167" i="10"/>
  <c r="K167" i="10"/>
  <c r="N168" i="10"/>
  <c r="K168" i="10"/>
  <c r="N169" i="10"/>
  <c r="K169" i="10"/>
  <c r="N170" i="10"/>
  <c r="K170" i="10"/>
  <c r="N171" i="10"/>
  <c r="K171" i="10"/>
  <c r="N172" i="10"/>
  <c r="K172" i="10"/>
  <c r="N173" i="10"/>
  <c r="K173" i="10"/>
  <c r="N174" i="10"/>
  <c r="K174" i="10"/>
  <c r="N175" i="10"/>
  <c r="K175" i="10"/>
  <c r="N176" i="10"/>
  <c r="K176" i="10"/>
  <c r="N177" i="10"/>
  <c r="K177" i="10"/>
  <c r="H141" i="10"/>
  <c r="G141" i="10"/>
  <c r="I141" i="10" s="1"/>
  <c r="H140" i="10"/>
  <c r="G140" i="10"/>
  <c r="I140" i="10" s="1"/>
  <c r="N140" i="10" s="1"/>
  <c r="H139" i="10"/>
  <c r="G139" i="10"/>
  <c r="I139" i="10" s="1"/>
  <c r="H138" i="10"/>
  <c r="G138" i="10"/>
  <c r="I138" i="10" s="1"/>
  <c r="K138" i="10" s="1"/>
  <c r="H137" i="10"/>
  <c r="G137" i="10"/>
  <c r="I137" i="10" s="1"/>
  <c r="H136" i="10"/>
  <c r="G136" i="10"/>
  <c r="I136" i="10" s="1"/>
  <c r="N136" i="10" s="1"/>
  <c r="H135" i="10"/>
  <c r="G135" i="10"/>
  <c r="I135" i="10" s="1"/>
  <c r="H134" i="10"/>
  <c r="G134" i="10"/>
  <c r="I134" i="10" s="1"/>
  <c r="N134" i="10" s="1"/>
  <c r="H133" i="10"/>
  <c r="G133" i="10"/>
  <c r="I133" i="10" s="1"/>
  <c r="H132" i="10"/>
  <c r="G132" i="10"/>
  <c r="I132" i="10" s="1"/>
  <c r="N132" i="10" s="1"/>
  <c r="H131" i="10"/>
  <c r="G131" i="10"/>
  <c r="I131" i="10" s="1"/>
  <c r="H130" i="10"/>
  <c r="G130" i="10"/>
  <c r="I130" i="10" s="1"/>
  <c r="N130" i="10" s="1"/>
  <c r="H129" i="10"/>
  <c r="G129" i="10"/>
  <c r="I129" i="10" s="1"/>
  <c r="H128" i="10"/>
  <c r="G128" i="10"/>
  <c r="I128" i="10" s="1"/>
  <c r="N128" i="10" s="1"/>
  <c r="H127" i="10"/>
  <c r="G127" i="10"/>
  <c r="I127" i="10" s="1"/>
  <c r="H126" i="10"/>
  <c r="G126" i="10"/>
  <c r="I126" i="10" s="1"/>
  <c r="N126" i="10" s="1"/>
  <c r="H125" i="10"/>
  <c r="G125" i="10"/>
  <c r="I125" i="10" s="1"/>
  <c r="H124" i="10"/>
  <c r="G124" i="10"/>
  <c r="I124" i="10" s="1"/>
  <c r="N124" i="10" s="1"/>
  <c r="H123" i="10"/>
  <c r="G123" i="10"/>
  <c r="I123" i="10" s="1"/>
  <c r="H122" i="10"/>
  <c r="G122" i="10"/>
  <c r="I122" i="10" s="1"/>
  <c r="N122" i="10" s="1"/>
  <c r="H121" i="10"/>
  <c r="G121" i="10"/>
  <c r="F121" i="10"/>
  <c r="I121" i="10" s="1"/>
  <c r="H120" i="10"/>
  <c r="G120" i="10"/>
  <c r="F120" i="10"/>
  <c r="I120" i="10" s="1"/>
  <c r="H119" i="10"/>
  <c r="G119" i="10"/>
  <c r="F119" i="10"/>
  <c r="I119" i="10" s="1"/>
  <c r="N119" i="10" s="1"/>
  <c r="H118" i="10"/>
  <c r="G118" i="10"/>
  <c r="F118" i="10"/>
  <c r="I118" i="10" s="1"/>
  <c r="H117" i="10"/>
  <c r="G117" i="10"/>
  <c r="F117" i="10"/>
  <c r="I117" i="10" s="1"/>
  <c r="H116" i="10"/>
  <c r="G116" i="10"/>
  <c r="F116" i="10"/>
  <c r="E116" i="10"/>
  <c r="I116" i="10" s="1"/>
  <c r="H115" i="10"/>
  <c r="G115" i="10"/>
  <c r="F115" i="10"/>
  <c r="E115" i="10"/>
  <c r="I115" i="10" s="1"/>
  <c r="H114" i="10"/>
  <c r="G114" i="10"/>
  <c r="F114" i="10"/>
  <c r="E114" i="10"/>
  <c r="I114" i="10" s="1"/>
  <c r="H113" i="10"/>
  <c r="G113" i="10"/>
  <c r="F113" i="10"/>
  <c r="E113" i="10"/>
  <c r="I113" i="10" s="1"/>
  <c r="H112" i="10"/>
  <c r="G112" i="10"/>
  <c r="F112" i="10"/>
  <c r="E112" i="10"/>
  <c r="I112" i="10" s="1"/>
  <c r="H107" i="10"/>
  <c r="G107" i="10"/>
  <c r="I107" i="10" s="1"/>
  <c r="H106" i="10"/>
  <c r="G106" i="10"/>
  <c r="I106" i="10" s="1"/>
  <c r="H105" i="10"/>
  <c r="G105" i="10"/>
  <c r="I105" i="10" s="1"/>
  <c r="H104" i="10"/>
  <c r="G104" i="10"/>
  <c r="I104" i="10" s="1"/>
  <c r="H103" i="10"/>
  <c r="G103" i="10"/>
  <c r="I103" i="10" s="1"/>
  <c r="H102" i="10"/>
  <c r="G102" i="10"/>
  <c r="I102" i="10" s="1"/>
  <c r="H101" i="10"/>
  <c r="G101" i="10"/>
  <c r="I101" i="10" s="1"/>
  <c r="H100" i="10"/>
  <c r="G100" i="10"/>
  <c r="I100" i="10" s="1"/>
  <c r="H99" i="10"/>
  <c r="G99" i="10"/>
  <c r="I99" i="10" s="1"/>
  <c r="H98" i="10"/>
  <c r="G98" i="10"/>
  <c r="I98" i="10" s="1"/>
  <c r="H97" i="10"/>
  <c r="G97" i="10"/>
  <c r="I97" i="10" s="1"/>
  <c r="H96" i="10"/>
  <c r="G96" i="10"/>
  <c r="I96" i="10" s="1"/>
  <c r="H95" i="10"/>
  <c r="G95" i="10"/>
  <c r="I95" i="10" s="1"/>
  <c r="K95" i="10" s="1"/>
  <c r="H94" i="10"/>
  <c r="G94" i="10"/>
  <c r="I94" i="10" s="1"/>
  <c r="H93" i="10"/>
  <c r="G93" i="10"/>
  <c r="I93" i="10" s="1"/>
  <c r="K93" i="10" s="1"/>
  <c r="H92" i="10"/>
  <c r="G92" i="10"/>
  <c r="I92" i="10" s="1"/>
  <c r="H91" i="10"/>
  <c r="G91" i="10"/>
  <c r="I91" i="10" s="1"/>
  <c r="K91" i="10" s="1"/>
  <c r="H90" i="10"/>
  <c r="G90" i="10"/>
  <c r="I90" i="10" s="1"/>
  <c r="H89" i="10"/>
  <c r="G89" i="10"/>
  <c r="I89" i="10" s="1"/>
  <c r="K89" i="10" s="1"/>
  <c r="H88" i="10"/>
  <c r="G88" i="10"/>
  <c r="I88" i="10" s="1"/>
  <c r="H87" i="10"/>
  <c r="G87" i="10"/>
  <c r="F87" i="10"/>
  <c r="I87" i="10" s="1"/>
  <c r="K87" i="10" s="1"/>
  <c r="H86" i="10"/>
  <c r="G86" i="10"/>
  <c r="F86" i="10"/>
  <c r="I86" i="10" s="1"/>
  <c r="H85" i="10"/>
  <c r="G85" i="10"/>
  <c r="F85" i="10"/>
  <c r="I85" i="10" s="1"/>
  <c r="H84" i="10"/>
  <c r="G84" i="10"/>
  <c r="F84" i="10"/>
  <c r="I84" i="10" s="1"/>
  <c r="H83" i="10"/>
  <c r="G83" i="10"/>
  <c r="F83" i="10"/>
  <c r="I83" i="10" s="1"/>
  <c r="K83" i="10" s="1"/>
  <c r="H82" i="10"/>
  <c r="G82" i="10"/>
  <c r="F82" i="10"/>
  <c r="E82" i="10"/>
  <c r="I82" i="10" s="1"/>
  <c r="H81" i="10"/>
  <c r="G81" i="10"/>
  <c r="F81" i="10"/>
  <c r="E81" i="10"/>
  <c r="I81" i="10" s="1"/>
  <c r="H80" i="10"/>
  <c r="G80" i="10"/>
  <c r="F80" i="10"/>
  <c r="E80" i="10"/>
  <c r="I80" i="10" s="1"/>
  <c r="H79" i="10"/>
  <c r="G79" i="10"/>
  <c r="F79" i="10"/>
  <c r="E79" i="10"/>
  <c r="I79" i="10" s="1"/>
  <c r="H78" i="10"/>
  <c r="G78" i="10"/>
  <c r="F78" i="10"/>
  <c r="E78" i="10"/>
  <c r="I78" i="10" s="1"/>
  <c r="H72" i="10"/>
  <c r="G72" i="10"/>
  <c r="I72" i="10" s="1"/>
  <c r="H71" i="10"/>
  <c r="G71" i="10"/>
  <c r="H70" i="10"/>
  <c r="G70" i="10"/>
  <c r="I70" i="10" s="1"/>
  <c r="H69" i="10"/>
  <c r="G69" i="10"/>
  <c r="H68" i="10"/>
  <c r="G68" i="10"/>
  <c r="I68" i="10" s="1"/>
  <c r="H67" i="10"/>
  <c r="G67" i="10"/>
  <c r="H66" i="10"/>
  <c r="G66" i="10"/>
  <c r="I66" i="10" s="1"/>
  <c r="H65" i="10"/>
  <c r="G65" i="10"/>
  <c r="I65" i="10" s="1"/>
  <c r="H64" i="10"/>
  <c r="G64" i="10"/>
  <c r="I64" i="10" s="1"/>
  <c r="H63" i="10"/>
  <c r="G63" i="10"/>
  <c r="I63" i="10" s="1"/>
  <c r="H62" i="10"/>
  <c r="G62" i="10"/>
  <c r="I62" i="10" s="1"/>
  <c r="H61" i="10"/>
  <c r="G61" i="10"/>
  <c r="I61" i="10" s="1"/>
  <c r="H60" i="10"/>
  <c r="G60" i="10"/>
  <c r="I60" i="10" s="1"/>
  <c r="H59" i="10"/>
  <c r="G59" i="10"/>
  <c r="I59" i="10" s="1"/>
  <c r="H58" i="10"/>
  <c r="G58" i="10"/>
  <c r="I58" i="10" s="1"/>
  <c r="H57" i="10"/>
  <c r="G57" i="10"/>
  <c r="I57" i="10" s="1"/>
  <c r="H56" i="10"/>
  <c r="G56" i="10"/>
  <c r="H55" i="10"/>
  <c r="G55" i="10"/>
  <c r="I55" i="10" s="1"/>
  <c r="H54" i="10"/>
  <c r="G54" i="10"/>
  <c r="I54" i="10" s="1"/>
  <c r="H53" i="10"/>
  <c r="G53" i="10"/>
  <c r="I53" i="10" s="1"/>
  <c r="H52" i="10"/>
  <c r="G52" i="10"/>
  <c r="F52" i="10"/>
  <c r="I52" i="10" s="1"/>
  <c r="H51" i="10"/>
  <c r="G51" i="10"/>
  <c r="F51" i="10"/>
  <c r="H50" i="10"/>
  <c r="G50" i="10"/>
  <c r="F50" i="10"/>
  <c r="I50" i="10" s="1"/>
  <c r="H49" i="10"/>
  <c r="G49" i="10"/>
  <c r="F49" i="10"/>
  <c r="H48" i="10"/>
  <c r="G48" i="10"/>
  <c r="F48" i="10"/>
  <c r="I48" i="10" s="1"/>
  <c r="H47" i="10"/>
  <c r="G47" i="10"/>
  <c r="F47" i="10"/>
  <c r="E47" i="10"/>
  <c r="I47" i="10" s="1"/>
  <c r="H46" i="10"/>
  <c r="G46" i="10"/>
  <c r="F46" i="10"/>
  <c r="E46" i="10"/>
  <c r="I46" i="10" s="1"/>
  <c r="H45" i="10"/>
  <c r="G45" i="10"/>
  <c r="F45" i="10"/>
  <c r="E45" i="10"/>
  <c r="I45" i="10" s="1"/>
  <c r="H44" i="10"/>
  <c r="G44" i="10"/>
  <c r="F44" i="10"/>
  <c r="E44" i="10"/>
  <c r="I44" i="10" s="1"/>
  <c r="H43" i="10"/>
  <c r="G43" i="10"/>
  <c r="F43" i="10"/>
  <c r="E43" i="10"/>
  <c r="I43" i="10" s="1"/>
  <c r="I4" i="8"/>
  <c r="H4" i="10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" i="10"/>
  <c r="G4" i="10"/>
  <c r="G5" i="10"/>
  <c r="G6" i="10"/>
  <c r="G7" i="10"/>
  <c r="G8" i="10"/>
  <c r="G9" i="10"/>
  <c r="G10" i="10"/>
  <c r="G11" i="10"/>
  <c r="G12" i="10"/>
  <c r="G13" i="10"/>
  <c r="I13" i="10" s="1"/>
  <c r="G14" i="10"/>
  <c r="I14" i="10" s="1"/>
  <c r="G15" i="10"/>
  <c r="I15" i="10" s="1"/>
  <c r="G16" i="10"/>
  <c r="I16" i="10" s="1"/>
  <c r="G17" i="10"/>
  <c r="I17" i="10" s="1"/>
  <c r="G18" i="10"/>
  <c r="I18" i="10" s="1"/>
  <c r="G19" i="10"/>
  <c r="I19" i="10" s="1"/>
  <c r="G20" i="10"/>
  <c r="I20" i="10" s="1"/>
  <c r="G21" i="10"/>
  <c r="I21" i="10" s="1"/>
  <c r="G22" i="10"/>
  <c r="I22" i="10" s="1"/>
  <c r="G23" i="10"/>
  <c r="I23" i="10" s="1"/>
  <c r="G24" i="10"/>
  <c r="I24" i="10" s="1"/>
  <c r="G25" i="10"/>
  <c r="I25" i="10" s="1"/>
  <c r="G26" i="10"/>
  <c r="I26" i="10" s="1"/>
  <c r="G27" i="10"/>
  <c r="I27" i="10" s="1"/>
  <c r="G28" i="10"/>
  <c r="I28" i="10" s="1"/>
  <c r="G29" i="10"/>
  <c r="I29" i="10" s="1"/>
  <c r="G30" i="10"/>
  <c r="I30" i="10" s="1"/>
  <c r="G31" i="10"/>
  <c r="I31" i="10" s="1"/>
  <c r="G32" i="10"/>
  <c r="I32" i="10" s="1"/>
  <c r="G3" i="10"/>
  <c r="F4" i="10"/>
  <c r="F5" i="10"/>
  <c r="F6" i="10"/>
  <c r="F7" i="10"/>
  <c r="F8" i="10"/>
  <c r="F9" i="10"/>
  <c r="I9" i="10" s="1"/>
  <c r="F10" i="10"/>
  <c r="F11" i="10"/>
  <c r="I11" i="10" s="1"/>
  <c r="F12" i="10"/>
  <c r="F3" i="10"/>
  <c r="E4" i="10"/>
  <c r="E5" i="10"/>
  <c r="I5" i="10" s="1"/>
  <c r="E6" i="10"/>
  <c r="E7" i="10"/>
  <c r="I7" i="10" s="1"/>
  <c r="I3" i="10"/>
  <c r="M32" i="13" l="1"/>
  <c r="O32" i="13" s="1"/>
  <c r="Q32" i="13" s="1"/>
  <c r="L32" i="13"/>
  <c r="M31" i="13"/>
  <c r="O31" i="13" s="1"/>
  <c r="Q31" i="13" s="1"/>
  <c r="L31" i="13"/>
  <c r="M30" i="13"/>
  <c r="O30" i="13" s="1"/>
  <c r="Q30" i="13" s="1"/>
  <c r="L30" i="13"/>
  <c r="M29" i="13"/>
  <c r="O29" i="13" s="1"/>
  <c r="Q29" i="13" s="1"/>
  <c r="L29" i="13"/>
  <c r="M28" i="13"/>
  <c r="O28" i="13" s="1"/>
  <c r="Q28" i="13" s="1"/>
  <c r="L28" i="13"/>
  <c r="M27" i="13"/>
  <c r="O27" i="13" s="1"/>
  <c r="Q27" i="13" s="1"/>
  <c r="L27" i="13"/>
  <c r="M26" i="13"/>
  <c r="O26" i="13" s="1"/>
  <c r="Q26" i="13" s="1"/>
  <c r="L26" i="13"/>
  <c r="M25" i="13"/>
  <c r="O25" i="13" s="1"/>
  <c r="Q25" i="13" s="1"/>
  <c r="L25" i="13"/>
  <c r="M24" i="13"/>
  <c r="O24" i="13" s="1"/>
  <c r="Q24" i="13" s="1"/>
  <c r="L24" i="13"/>
  <c r="M23" i="13"/>
  <c r="O23" i="13" s="1"/>
  <c r="Q23" i="13" s="1"/>
  <c r="L23" i="13"/>
  <c r="M22" i="13"/>
  <c r="O22" i="13" s="1"/>
  <c r="Q22" i="13" s="1"/>
  <c r="L22" i="13"/>
  <c r="M21" i="13"/>
  <c r="O21" i="13" s="1"/>
  <c r="Q21" i="13" s="1"/>
  <c r="L21" i="13"/>
  <c r="M20" i="13"/>
  <c r="O20" i="13" s="1"/>
  <c r="Q20" i="13" s="1"/>
  <c r="L20" i="13"/>
  <c r="M19" i="13"/>
  <c r="O19" i="13" s="1"/>
  <c r="Q19" i="13" s="1"/>
  <c r="L19" i="13"/>
  <c r="M18" i="13"/>
  <c r="O18" i="13" s="1"/>
  <c r="Q18" i="13" s="1"/>
  <c r="L18" i="13"/>
  <c r="M17" i="13"/>
  <c r="O17" i="13" s="1"/>
  <c r="Q17" i="13" s="1"/>
  <c r="L17" i="13"/>
  <c r="M16" i="13"/>
  <c r="O16" i="13" s="1"/>
  <c r="Q16" i="13" s="1"/>
  <c r="L16" i="13"/>
  <c r="M15" i="13"/>
  <c r="O15" i="13" s="1"/>
  <c r="Q15" i="13" s="1"/>
  <c r="L15" i="13"/>
  <c r="M14" i="13"/>
  <c r="O14" i="13" s="1"/>
  <c r="Q14" i="13" s="1"/>
  <c r="L14" i="13"/>
  <c r="M13" i="13"/>
  <c r="O13" i="13" s="1"/>
  <c r="Q13" i="13" s="1"/>
  <c r="L13" i="13"/>
  <c r="M12" i="13"/>
  <c r="O12" i="13" s="1"/>
  <c r="Q12" i="13" s="1"/>
  <c r="L12" i="13"/>
  <c r="M11" i="13"/>
  <c r="O11" i="13" s="1"/>
  <c r="Q11" i="13" s="1"/>
  <c r="L11" i="13"/>
  <c r="M10" i="13"/>
  <c r="O10" i="13" s="1"/>
  <c r="Q10" i="13" s="1"/>
  <c r="L10" i="13"/>
  <c r="M9" i="13"/>
  <c r="O9" i="13" s="1"/>
  <c r="Q9" i="13" s="1"/>
  <c r="L9" i="13"/>
  <c r="M8" i="13"/>
  <c r="O8" i="13" s="1"/>
  <c r="Q8" i="13" s="1"/>
  <c r="L8" i="13"/>
  <c r="M7" i="13"/>
  <c r="O7" i="13" s="1"/>
  <c r="Q7" i="13" s="1"/>
  <c r="L7" i="13"/>
  <c r="M6" i="13"/>
  <c r="O6" i="13" s="1"/>
  <c r="Q6" i="13" s="1"/>
  <c r="L6" i="13"/>
  <c r="M5" i="13"/>
  <c r="O5" i="13" s="1"/>
  <c r="Q5" i="13" s="1"/>
  <c r="L5" i="13"/>
  <c r="M4" i="13"/>
  <c r="O4" i="13" s="1"/>
  <c r="Q4" i="13" s="1"/>
  <c r="L4" i="13"/>
  <c r="M3" i="13"/>
  <c r="O3" i="13" s="1"/>
  <c r="L3" i="13"/>
  <c r="M177" i="10"/>
  <c r="O177" i="10" s="1"/>
  <c r="L177" i="10"/>
  <c r="M176" i="10"/>
  <c r="O176" i="10" s="1"/>
  <c r="L176" i="10"/>
  <c r="M175" i="10"/>
  <c r="O175" i="10" s="1"/>
  <c r="L175" i="10"/>
  <c r="M174" i="10"/>
  <c r="O174" i="10" s="1"/>
  <c r="L174" i="10"/>
  <c r="M173" i="10"/>
  <c r="O173" i="10" s="1"/>
  <c r="L173" i="10"/>
  <c r="M172" i="10"/>
  <c r="O172" i="10" s="1"/>
  <c r="L172" i="10"/>
  <c r="M171" i="10"/>
  <c r="O171" i="10" s="1"/>
  <c r="L171" i="10"/>
  <c r="M170" i="10"/>
  <c r="O170" i="10" s="1"/>
  <c r="L170" i="10"/>
  <c r="M169" i="10"/>
  <c r="O169" i="10" s="1"/>
  <c r="L169" i="10"/>
  <c r="M168" i="10"/>
  <c r="O168" i="10" s="1"/>
  <c r="L168" i="10"/>
  <c r="M167" i="10"/>
  <c r="O167" i="10" s="1"/>
  <c r="L167" i="10"/>
  <c r="M166" i="10"/>
  <c r="O166" i="10" s="1"/>
  <c r="L166" i="10"/>
  <c r="M165" i="10"/>
  <c r="O165" i="10" s="1"/>
  <c r="L165" i="10"/>
  <c r="M164" i="10"/>
  <c r="O164" i="10" s="1"/>
  <c r="L164" i="10"/>
  <c r="M163" i="10"/>
  <c r="O163" i="10" s="1"/>
  <c r="L163" i="10"/>
  <c r="M162" i="10"/>
  <c r="O162" i="10" s="1"/>
  <c r="L162" i="10"/>
  <c r="M161" i="10"/>
  <c r="O161" i="10" s="1"/>
  <c r="L161" i="10"/>
  <c r="M160" i="10"/>
  <c r="O160" i="10" s="1"/>
  <c r="L160" i="10"/>
  <c r="M159" i="10"/>
  <c r="O159" i="10" s="1"/>
  <c r="L159" i="10"/>
  <c r="M158" i="10"/>
  <c r="O158" i="10" s="1"/>
  <c r="L158" i="10"/>
  <c r="M157" i="10"/>
  <c r="O157" i="10" s="1"/>
  <c r="L157" i="10"/>
  <c r="M156" i="10"/>
  <c r="O156" i="10" s="1"/>
  <c r="L156" i="10"/>
  <c r="M155" i="10"/>
  <c r="O155" i="10" s="1"/>
  <c r="L155" i="10"/>
  <c r="M154" i="10"/>
  <c r="O154" i="10" s="1"/>
  <c r="L154" i="10"/>
  <c r="M153" i="10"/>
  <c r="O153" i="10" s="1"/>
  <c r="L153" i="10"/>
  <c r="M152" i="10"/>
  <c r="O152" i="10" s="1"/>
  <c r="L152" i="10"/>
  <c r="M151" i="10"/>
  <c r="O151" i="10" s="1"/>
  <c r="L151" i="10"/>
  <c r="M150" i="10"/>
  <c r="O150" i="10" s="1"/>
  <c r="L150" i="10"/>
  <c r="M149" i="10"/>
  <c r="O149" i="10" s="1"/>
  <c r="L149" i="10"/>
  <c r="M148" i="10"/>
  <c r="O148" i="10" s="1"/>
  <c r="L148" i="10"/>
  <c r="I12" i="10"/>
  <c r="I10" i="10"/>
  <c r="I8" i="10"/>
  <c r="I6" i="10"/>
  <c r="I4" i="10"/>
  <c r="I49" i="10"/>
  <c r="I51" i="10"/>
  <c r="I56" i="10"/>
  <c r="I67" i="10"/>
  <c r="I69" i="10"/>
  <c r="I71" i="10"/>
  <c r="N120" i="10"/>
  <c r="K120" i="10"/>
  <c r="K129" i="10"/>
  <c r="N129" i="10"/>
  <c r="K137" i="10"/>
  <c r="N137" i="10"/>
  <c r="M138" i="10"/>
  <c r="L138" i="10" s="1"/>
  <c r="K118" i="10"/>
  <c r="N118" i="10"/>
  <c r="K123" i="10"/>
  <c r="N123" i="10"/>
  <c r="K131" i="10"/>
  <c r="N131" i="10"/>
  <c r="K139" i="10"/>
  <c r="N139" i="10"/>
  <c r="N112" i="10"/>
  <c r="K112" i="10"/>
  <c r="M112" i="10" s="1"/>
  <c r="N113" i="10"/>
  <c r="K113" i="10"/>
  <c r="N114" i="10"/>
  <c r="K114" i="10"/>
  <c r="N115" i="10"/>
  <c r="K115" i="10"/>
  <c r="N116" i="10"/>
  <c r="K116" i="10"/>
  <c r="K117" i="10"/>
  <c r="N117" i="10"/>
  <c r="K125" i="10"/>
  <c r="N125" i="10"/>
  <c r="K133" i="10"/>
  <c r="N133" i="10"/>
  <c r="K141" i="10"/>
  <c r="N141" i="10"/>
  <c r="K121" i="10"/>
  <c r="N121" i="10"/>
  <c r="K127" i="10"/>
  <c r="N127" i="10"/>
  <c r="K135" i="10"/>
  <c r="N135" i="10"/>
  <c r="N138" i="10"/>
  <c r="K119" i="10"/>
  <c r="K122" i="10"/>
  <c r="K124" i="10"/>
  <c r="K126" i="10"/>
  <c r="K128" i="10"/>
  <c r="K130" i="10"/>
  <c r="K132" i="10"/>
  <c r="K134" i="10"/>
  <c r="K136" i="10"/>
  <c r="K140" i="10"/>
  <c r="N78" i="10"/>
  <c r="K78" i="10"/>
  <c r="N79" i="10"/>
  <c r="K79" i="10"/>
  <c r="N80" i="10"/>
  <c r="K80" i="10"/>
  <c r="N81" i="10"/>
  <c r="K81" i="10"/>
  <c r="N82" i="10"/>
  <c r="K82" i="10"/>
  <c r="K84" i="10"/>
  <c r="N84" i="10"/>
  <c r="M87" i="10"/>
  <c r="L87" i="10"/>
  <c r="K94" i="10"/>
  <c r="N94" i="10"/>
  <c r="M95" i="10"/>
  <c r="L95" i="10"/>
  <c r="K88" i="10"/>
  <c r="N88" i="10"/>
  <c r="M89" i="10"/>
  <c r="L89" i="10"/>
  <c r="K96" i="10"/>
  <c r="N96" i="10"/>
  <c r="K98" i="10"/>
  <c r="N98" i="10"/>
  <c r="K100" i="10"/>
  <c r="N100" i="10"/>
  <c r="K102" i="10"/>
  <c r="N102" i="10"/>
  <c r="K104" i="10"/>
  <c r="N104" i="10"/>
  <c r="K106" i="10"/>
  <c r="N106" i="10"/>
  <c r="N86" i="10"/>
  <c r="K86" i="10"/>
  <c r="K90" i="10"/>
  <c r="N90" i="10"/>
  <c r="M91" i="10"/>
  <c r="L91" i="10" s="1"/>
  <c r="M83" i="10"/>
  <c r="L83" i="10"/>
  <c r="K85" i="10"/>
  <c r="N85" i="10"/>
  <c r="K92" i="10"/>
  <c r="N92" i="10"/>
  <c r="M93" i="10"/>
  <c r="L93" i="10" s="1"/>
  <c r="K97" i="10"/>
  <c r="N97" i="10"/>
  <c r="K99" i="10"/>
  <c r="N99" i="10"/>
  <c r="K101" i="10"/>
  <c r="N101" i="10"/>
  <c r="K103" i="10"/>
  <c r="N103" i="10"/>
  <c r="K105" i="10"/>
  <c r="N105" i="10"/>
  <c r="K107" i="10"/>
  <c r="N107" i="10"/>
  <c r="N83" i="10"/>
  <c r="N87" i="10"/>
  <c r="N89" i="10"/>
  <c r="N91" i="10"/>
  <c r="N93" i="10"/>
  <c r="N95" i="10"/>
  <c r="K45" i="10"/>
  <c r="N45" i="10"/>
  <c r="K44" i="10"/>
  <c r="N44" i="10"/>
  <c r="K43" i="10"/>
  <c r="N43" i="10"/>
  <c r="K50" i="10"/>
  <c r="N50" i="10"/>
  <c r="N51" i="10"/>
  <c r="K51" i="10"/>
  <c r="K56" i="10"/>
  <c r="N56" i="10"/>
  <c r="K53" i="10"/>
  <c r="N53" i="10"/>
  <c r="K55" i="10"/>
  <c r="N55" i="10"/>
  <c r="K57" i="10"/>
  <c r="N57" i="10"/>
  <c r="K59" i="10"/>
  <c r="N59" i="10"/>
  <c r="K61" i="10"/>
  <c r="N61" i="10"/>
  <c r="K63" i="10"/>
  <c r="N63" i="10"/>
  <c r="K65" i="10"/>
  <c r="N65" i="10"/>
  <c r="K46" i="10"/>
  <c r="N46" i="10"/>
  <c r="N47" i="10"/>
  <c r="K47" i="10"/>
  <c r="N48" i="10"/>
  <c r="K48" i="10"/>
  <c r="K49" i="10"/>
  <c r="N49" i="10"/>
  <c r="N52" i="10"/>
  <c r="K52" i="10"/>
  <c r="K67" i="10"/>
  <c r="N67" i="10"/>
  <c r="K69" i="10"/>
  <c r="N69" i="10"/>
  <c r="K71" i="10"/>
  <c r="N71" i="10"/>
  <c r="N54" i="10"/>
  <c r="K54" i="10"/>
  <c r="N58" i="10"/>
  <c r="K58" i="10"/>
  <c r="N60" i="10"/>
  <c r="K60" i="10"/>
  <c r="K62" i="10"/>
  <c r="N62" i="10"/>
  <c r="K64" i="10"/>
  <c r="N64" i="10"/>
  <c r="K66" i="10"/>
  <c r="N66" i="10"/>
  <c r="K68" i="10"/>
  <c r="N68" i="10"/>
  <c r="K70" i="10"/>
  <c r="N70" i="10"/>
  <c r="K72" i="10"/>
  <c r="N72" i="10"/>
  <c r="N3" i="10"/>
  <c r="K3" i="10"/>
  <c r="M3" i="10" s="1"/>
  <c r="O3" i="10" s="1"/>
  <c r="N29" i="10"/>
  <c r="K29" i="10"/>
  <c r="M29" i="10" s="1"/>
  <c r="O29" i="10" s="1"/>
  <c r="Q29" i="10" s="1"/>
  <c r="N25" i="10"/>
  <c r="K25" i="10"/>
  <c r="M25" i="10" s="1"/>
  <c r="O25" i="10" s="1"/>
  <c r="Q25" i="10" s="1"/>
  <c r="N21" i="10"/>
  <c r="K21" i="10"/>
  <c r="N17" i="10"/>
  <c r="K17" i="10"/>
  <c r="M17" i="10" s="1"/>
  <c r="O17" i="10" s="1"/>
  <c r="Q17" i="10" s="1"/>
  <c r="N13" i="10"/>
  <c r="K13" i="10"/>
  <c r="M13" i="10" s="1"/>
  <c r="O13" i="10" s="1"/>
  <c r="Q13" i="10" s="1"/>
  <c r="K7" i="10"/>
  <c r="M7" i="10" s="1"/>
  <c r="N7" i="10"/>
  <c r="N28" i="10"/>
  <c r="K28" i="10"/>
  <c r="M28" i="10" s="1"/>
  <c r="O28" i="10" s="1"/>
  <c r="Q28" i="10" s="1"/>
  <c r="N24" i="10"/>
  <c r="K24" i="10"/>
  <c r="M24" i="10" s="1"/>
  <c r="K20" i="10"/>
  <c r="M20" i="10" s="1"/>
  <c r="N20" i="10"/>
  <c r="N16" i="10"/>
  <c r="K16" i="10"/>
  <c r="M16" i="10" s="1"/>
  <c r="O16" i="10" s="1"/>
  <c r="Q16" i="10" s="1"/>
  <c r="K12" i="10"/>
  <c r="M12" i="10" s="1"/>
  <c r="N12" i="10"/>
  <c r="K8" i="10"/>
  <c r="M8" i="10" s="1"/>
  <c r="N8" i="10"/>
  <c r="K4" i="10"/>
  <c r="N4" i="10"/>
  <c r="K32" i="10"/>
  <c r="M32" i="10" s="1"/>
  <c r="N32" i="10"/>
  <c r="K31" i="10"/>
  <c r="M31" i="10" s="1"/>
  <c r="N31" i="10"/>
  <c r="K27" i="10"/>
  <c r="M27" i="10" s="1"/>
  <c r="N27" i="10"/>
  <c r="K23" i="10"/>
  <c r="M23" i="10" s="1"/>
  <c r="N23" i="10"/>
  <c r="K19" i="10"/>
  <c r="M19" i="10" s="1"/>
  <c r="N19" i="10"/>
  <c r="K15" i="10"/>
  <c r="N15" i="10"/>
  <c r="N9" i="10"/>
  <c r="K9" i="10"/>
  <c r="M9" i="10" s="1"/>
  <c r="O9" i="10" s="1"/>
  <c r="Q9" i="10" s="1"/>
  <c r="N5" i="10"/>
  <c r="K5" i="10"/>
  <c r="K11" i="10"/>
  <c r="M11" i="10" s="1"/>
  <c r="N11" i="10"/>
  <c r="N30" i="10"/>
  <c r="K30" i="10"/>
  <c r="M30" i="10" s="1"/>
  <c r="O30" i="10" s="1"/>
  <c r="Q30" i="10" s="1"/>
  <c r="K26" i="10"/>
  <c r="M26" i="10" s="1"/>
  <c r="N26" i="10"/>
  <c r="K22" i="10"/>
  <c r="M22" i="10" s="1"/>
  <c r="N22" i="10"/>
  <c r="K18" i="10"/>
  <c r="M18" i="10" s="1"/>
  <c r="N18" i="10"/>
  <c r="K14" i="10"/>
  <c r="M14" i="10" s="1"/>
  <c r="N14" i="10"/>
  <c r="N10" i="10"/>
  <c r="K10" i="10"/>
  <c r="M10" i="10" s="1"/>
  <c r="N6" i="10"/>
  <c r="K6" i="10"/>
  <c r="M6" i="10" s="1"/>
  <c r="O6" i="10" s="1"/>
  <c r="Q6" i="10" s="1"/>
  <c r="O10" i="10"/>
  <c r="Q10" i="10" s="1"/>
  <c r="O24" i="10"/>
  <c r="Q24" i="10" s="1"/>
  <c r="M15" i="10"/>
  <c r="O15" i="10" s="1"/>
  <c r="Q15" i="10" s="1"/>
  <c r="L7" i="10"/>
  <c r="L3" i="10"/>
  <c r="M5" i="10"/>
  <c r="O5" i="10" s="1"/>
  <c r="Q5" i="10" s="1"/>
  <c r="L11" i="10"/>
  <c r="L19" i="10"/>
  <c r="M21" i="10"/>
  <c r="O21" i="10" s="1"/>
  <c r="Q21" i="10" s="1"/>
  <c r="L27" i="10"/>
  <c r="L23" i="10"/>
  <c r="L9" i="10"/>
  <c r="L25" i="10"/>
  <c r="L4" i="10"/>
  <c r="L8" i="10"/>
  <c r="L10" i="10"/>
  <c r="L12" i="10"/>
  <c r="L16" i="10"/>
  <c r="L18" i="10"/>
  <c r="L20" i="10"/>
  <c r="L24" i="10"/>
  <c r="L26" i="10"/>
  <c r="L28" i="10"/>
  <c r="L32" i="10"/>
  <c r="G5" i="9"/>
  <c r="E10" i="9" s="1"/>
  <c r="D35" i="8"/>
  <c r="G5" i="8" s="1"/>
  <c r="C35" i="8"/>
  <c r="G6" i="8" s="1"/>
  <c r="E6" i="4"/>
  <c r="F6" i="4" s="1"/>
  <c r="G6" i="4" s="1"/>
  <c r="H6" i="4" s="1"/>
  <c r="I6" i="4" s="1"/>
  <c r="J6" i="4" s="1"/>
  <c r="K6" i="4" s="1"/>
  <c r="L6" i="4" s="1"/>
  <c r="M6" i="4" s="1"/>
  <c r="N7" i="4"/>
  <c r="O7" i="4"/>
  <c r="G14" i="4"/>
  <c r="I14" i="4" s="1"/>
  <c r="J14" i="4" s="1"/>
  <c r="G15" i="4"/>
  <c r="I15" i="4" s="1"/>
  <c r="J15" i="4" s="1"/>
  <c r="G16" i="4"/>
  <c r="I16" i="4" s="1"/>
  <c r="J16" i="4" s="1"/>
  <c r="G17" i="4"/>
  <c r="I17" i="4" s="1"/>
  <c r="J17" i="4" s="1"/>
  <c r="G18" i="4"/>
  <c r="I18" i="4" s="1"/>
  <c r="J18" i="4" s="1"/>
  <c r="G19" i="4"/>
  <c r="I19" i="4" s="1"/>
  <c r="J19" i="4" s="1"/>
  <c r="G20" i="4"/>
  <c r="I20" i="4" s="1"/>
  <c r="J20" i="4" s="1"/>
  <c r="G13" i="4"/>
  <c r="I13" i="4" s="1"/>
  <c r="J13" i="4" s="1"/>
  <c r="D7" i="4"/>
  <c r="E7" i="4"/>
  <c r="F7" i="4"/>
  <c r="G7" i="4"/>
  <c r="H7" i="4"/>
  <c r="I7" i="4"/>
  <c r="J7" i="4"/>
  <c r="K7" i="4"/>
  <c r="L7" i="4"/>
  <c r="M7" i="4"/>
  <c r="C7" i="4"/>
  <c r="E3" i="4"/>
  <c r="F3" i="4" s="1"/>
  <c r="G3" i="4" s="1"/>
  <c r="H3" i="4" s="1"/>
  <c r="I3" i="4" s="1"/>
  <c r="J3" i="4" s="1"/>
  <c r="K3" i="4" s="1"/>
  <c r="L3" i="4" s="1"/>
  <c r="M3" i="4" s="1"/>
  <c r="C57" i="1"/>
  <c r="D57" i="1" s="1"/>
  <c r="C58" i="1"/>
  <c r="D58" i="1" s="1"/>
  <c r="C4" i="1"/>
  <c r="D4" i="1" s="1"/>
  <c r="C5" i="1"/>
  <c r="D5" i="1" s="1"/>
  <c r="C6" i="1"/>
  <c r="D6" i="1" s="1"/>
  <c r="C7" i="1"/>
  <c r="D7" i="1" s="1"/>
  <c r="C8" i="1"/>
  <c r="D8" i="1" s="1"/>
  <c r="C9" i="1"/>
  <c r="D9" i="1" s="1"/>
  <c r="C10" i="1"/>
  <c r="D10" i="1" s="1"/>
  <c r="C11" i="1"/>
  <c r="D11" i="1" s="1"/>
  <c r="C12" i="1"/>
  <c r="D12" i="1" s="1"/>
  <c r="C13" i="1"/>
  <c r="D13" i="1" s="1"/>
  <c r="C14" i="1"/>
  <c r="D14" i="1" s="1"/>
  <c r="C15" i="1"/>
  <c r="D15" i="1" s="1"/>
  <c r="C16" i="1"/>
  <c r="D16" i="1" s="1"/>
  <c r="C17" i="1"/>
  <c r="D17" i="1" s="1"/>
  <c r="C18" i="1"/>
  <c r="D18" i="1" s="1"/>
  <c r="C19" i="1"/>
  <c r="D19" i="1" s="1"/>
  <c r="C20" i="1"/>
  <c r="D20" i="1" s="1"/>
  <c r="C21" i="1"/>
  <c r="D21" i="1" s="1"/>
  <c r="C22" i="1"/>
  <c r="D22" i="1" s="1"/>
  <c r="C23" i="1"/>
  <c r="D23" i="1" s="1"/>
  <c r="C24" i="1"/>
  <c r="D24" i="1" s="1"/>
  <c r="C25" i="1"/>
  <c r="D25" i="1" s="1"/>
  <c r="C26" i="1"/>
  <c r="D26" i="1" s="1"/>
  <c r="C27" i="1"/>
  <c r="D27" i="1" s="1"/>
  <c r="C28" i="1"/>
  <c r="D28" i="1" s="1"/>
  <c r="C29" i="1"/>
  <c r="D29" i="1" s="1"/>
  <c r="C30" i="1"/>
  <c r="D30" i="1" s="1"/>
  <c r="C31" i="1"/>
  <c r="D31" i="1" s="1"/>
  <c r="C32" i="1"/>
  <c r="D32" i="1" s="1"/>
  <c r="C33" i="1"/>
  <c r="D33" i="1" s="1"/>
  <c r="C34" i="1"/>
  <c r="D34" i="1" s="1"/>
  <c r="C35" i="1"/>
  <c r="D35" i="1" s="1"/>
  <c r="C36" i="1"/>
  <c r="D36" i="1" s="1"/>
  <c r="C37" i="1"/>
  <c r="D37" i="1" s="1"/>
  <c r="C38" i="1"/>
  <c r="D38" i="1" s="1"/>
  <c r="C39" i="1"/>
  <c r="D39" i="1" s="1"/>
  <c r="C40" i="1"/>
  <c r="D40" i="1" s="1"/>
  <c r="C41" i="1"/>
  <c r="D41" i="1" s="1"/>
  <c r="C42" i="1"/>
  <c r="D42" i="1" s="1"/>
  <c r="C43" i="1"/>
  <c r="D43" i="1" s="1"/>
  <c r="C44" i="1"/>
  <c r="D44" i="1" s="1"/>
  <c r="C45" i="1"/>
  <c r="D45" i="1" s="1"/>
  <c r="C46" i="1"/>
  <c r="D46" i="1" s="1"/>
  <c r="C47" i="1"/>
  <c r="D47" i="1" s="1"/>
  <c r="C48" i="1"/>
  <c r="D48" i="1" s="1"/>
  <c r="C49" i="1"/>
  <c r="D49" i="1" s="1"/>
  <c r="C50" i="1"/>
  <c r="D50" i="1" s="1"/>
  <c r="C51" i="1"/>
  <c r="D51" i="1" s="1"/>
  <c r="C52" i="1"/>
  <c r="D52" i="1" s="1"/>
  <c r="C53" i="1"/>
  <c r="D53" i="1" s="1"/>
  <c r="C54" i="1"/>
  <c r="D54" i="1" s="1"/>
  <c r="C55" i="1"/>
  <c r="D55" i="1" s="1"/>
  <c r="C56" i="1"/>
  <c r="D56" i="1" s="1"/>
  <c r="C3" i="1"/>
  <c r="D3" i="1" s="1"/>
  <c r="E9" i="1" s="1"/>
  <c r="Q3" i="13" l="1"/>
  <c r="P3" i="13"/>
  <c r="P4" i="13" s="1"/>
  <c r="P5" i="13" s="1"/>
  <c r="P6" i="13" s="1"/>
  <c r="P7" i="13" s="1"/>
  <c r="P8" i="13" s="1"/>
  <c r="P9" i="13" s="1"/>
  <c r="P10" i="13" s="1"/>
  <c r="P11" i="13" s="1"/>
  <c r="P12" i="13" s="1"/>
  <c r="P13" i="13" s="1"/>
  <c r="P14" i="13" s="1"/>
  <c r="P15" i="13" s="1"/>
  <c r="P16" i="13" s="1"/>
  <c r="P17" i="13" s="1"/>
  <c r="P18" i="13" s="1"/>
  <c r="P19" i="13" s="1"/>
  <c r="P20" i="13" s="1"/>
  <c r="P21" i="13" s="1"/>
  <c r="P22" i="13" s="1"/>
  <c r="P23" i="13" s="1"/>
  <c r="P24" i="13" s="1"/>
  <c r="P25" i="13" s="1"/>
  <c r="P26" i="13" s="1"/>
  <c r="P27" i="13" s="1"/>
  <c r="P28" i="13" s="1"/>
  <c r="P29" i="13" s="1"/>
  <c r="P30" i="13" s="1"/>
  <c r="P31" i="13" s="1"/>
  <c r="P32" i="13" s="1"/>
  <c r="P148" i="10"/>
  <c r="P149" i="10" s="1"/>
  <c r="P150" i="10" s="1"/>
  <c r="P151" i="10" s="1"/>
  <c r="P152" i="10" s="1"/>
  <c r="P153" i="10" s="1"/>
  <c r="P154" i="10" s="1"/>
  <c r="P155" i="10" s="1"/>
  <c r="P156" i="10" s="1"/>
  <c r="P157" i="10" s="1"/>
  <c r="P158" i="10" s="1"/>
  <c r="P159" i="10" s="1"/>
  <c r="P160" i="10" s="1"/>
  <c r="P161" i="10" s="1"/>
  <c r="P162" i="10" s="1"/>
  <c r="P163" i="10" s="1"/>
  <c r="P164" i="10" s="1"/>
  <c r="P165" i="10" s="1"/>
  <c r="P166" i="10" s="1"/>
  <c r="P167" i="10" s="1"/>
  <c r="P168" i="10" s="1"/>
  <c r="P169" i="10" s="1"/>
  <c r="P170" i="10" s="1"/>
  <c r="P171" i="10" s="1"/>
  <c r="P172" i="10" s="1"/>
  <c r="P173" i="10" s="1"/>
  <c r="P174" i="10" s="1"/>
  <c r="P175" i="10" s="1"/>
  <c r="P176" i="10" s="1"/>
  <c r="P177" i="10" s="1"/>
  <c r="P3" i="10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H9" i="1"/>
  <c r="E15" i="1"/>
  <c r="E14" i="1"/>
  <c r="E13" i="1"/>
  <c r="E12" i="1"/>
  <c r="E11" i="1"/>
  <c r="E10" i="1"/>
  <c r="I6" i="8"/>
  <c r="O31" i="10"/>
  <c r="Q31" i="10" s="1"/>
  <c r="O4" i="10"/>
  <c r="O89" i="10"/>
  <c r="Q89" i="10" s="1"/>
  <c r="M132" i="10"/>
  <c r="O132" i="10" s="1"/>
  <c r="Q132" i="10" s="1"/>
  <c r="M124" i="10"/>
  <c r="O124" i="10" s="1"/>
  <c r="Q124" i="10" s="1"/>
  <c r="M115" i="10"/>
  <c r="O115" i="10" s="1"/>
  <c r="Q115" i="10" s="1"/>
  <c r="M113" i="10"/>
  <c r="O113" i="10" s="1"/>
  <c r="Q113" i="10" s="1"/>
  <c r="M140" i="10"/>
  <c r="O140" i="10" s="1"/>
  <c r="Q140" i="10" s="1"/>
  <c r="M130" i="10"/>
  <c r="O130" i="10" s="1"/>
  <c r="Q130" i="10" s="1"/>
  <c r="M122" i="10"/>
  <c r="O122" i="10" s="1"/>
  <c r="Q122" i="10" s="1"/>
  <c r="M135" i="10"/>
  <c r="O135" i="10" s="1"/>
  <c r="Q135" i="10" s="1"/>
  <c r="M121" i="10"/>
  <c r="O121" i="10" s="1"/>
  <c r="Q121" i="10" s="1"/>
  <c r="M133" i="10"/>
  <c r="O133" i="10" s="1"/>
  <c r="Q133" i="10" s="1"/>
  <c r="M117" i="10"/>
  <c r="O117" i="10" s="1"/>
  <c r="Q117" i="10" s="1"/>
  <c r="M139" i="10"/>
  <c r="O139" i="10" s="1"/>
  <c r="Q139" i="10" s="1"/>
  <c r="M123" i="10"/>
  <c r="O123" i="10" s="1"/>
  <c r="Q123" i="10" s="1"/>
  <c r="O138" i="10"/>
  <c r="Q138" i="10" s="1"/>
  <c r="M129" i="10"/>
  <c r="O129" i="10" s="1"/>
  <c r="Q129" i="10" s="1"/>
  <c r="M136" i="10"/>
  <c r="O136" i="10" s="1"/>
  <c r="Q136" i="10" s="1"/>
  <c r="M128" i="10"/>
  <c r="O128" i="10" s="1"/>
  <c r="Q128" i="10" s="1"/>
  <c r="M119" i="10"/>
  <c r="O119" i="10" s="1"/>
  <c r="Q119" i="10" s="1"/>
  <c r="M116" i="10"/>
  <c r="O116" i="10" s="1"/>
  <c r="Q116" i="10" s="1"/>
  <c r="M114" i="10"/>
  <c r="O114" i="10" s="1"/>
  <c r="Q114" i="10" s="1"/>
  <c r="O112" i="10"/>
  <c r="P112" i="10" s="1"/>
  <c r="L112" i="10"/>
  <c r="M120" i="10"/>
  <c r="O120" i="10" s="1"/>
  <c r="Q120" i="10" s="1"/>
  <c r="M134" i="10"/>
  <c r="O134" i="10" s="1"/>
  <c r="Q134" i="10" s="1"/>
  <c r="M126" i="10"/>
  <c r="O126" i="10" s="1"/>
  <c r="Q126" i="10" s="1"/>
  <c r="M127" i="10"/>
  <c r="O127" i="10" s="1"/>
  <c r="Q127" i="10" s="1"/>
  <c r="M141" i="10"/>
  <c r="O141" i="10" s="1"/>
  <c r="Q141" i="10" s="1"/>
  <c r="M125" i="10"/>
  <c r="O125" i="10" s="1"/>
  <c r="Q125" i="10" s="1"/>
  <c r="M131" i="10"/>
  <c r="O131" i="10" s="1"/>
  <c r="Q131" i="10" s="1"/>
  <c r="M118" i="10"/>
  <c r="O118" i="10" s="1"/>
  <c r="Q118" i="10" s="1"/>
  <c r="M137" i="10"/>
  <c r="O137" i="10" s="1"/>
  <c r="Q137" i="10" s="1"/>
  <c r="G7" i="9"/>
  <c r="M82" i="10"/>
  <c r="O82" i="10" s="1"/>
  <c r="Q82" i="10" s="1"/>
  <c r="L82" i="10"/>
  <c r="M80" i="10"/>
  <c r="O80" i="10" s="1"/>
  <c r="Q80" i="10" s="1"/>
  <c r="M105" i="10"/>
  <c r="O105" i="10" s="1"/>
  <c r="Q105" i="10" s="1"/>
  <c r="M97" i="10"/>
  <c r="O97" i="10" s="1"/>
  <c r="Q97" i="10" s="1"/>
  <c r="O87" i="10"/>
  <c r="Q87" i="10" s="1"/>
  <c r="M86" i="10"/>
  <c r="O86" i="10" s="1"/>
  <c r="Q86" i="10" s="1"/>
  <c r="L86" i="10"/>
  <c r="M81" i="10"/>
  <c r="O81" i="10" s="1"/>
  <c r="Q81" i="10" s="1"/>
  <c r="L81" i="10"/>
  <c r="M79" i="10"/>
  <c r="O79" i="10" s="1"/>
  <c r="Q79" i="10" s="1"/>
  <c r="M78" i="10"/>
  <c r="O78" i="10" s="1"/>
  <c r="L78" i="10"/>
  <c r="M101" i="10"/>
  <c r="O101" i="10" s="1"/>
  <c r="Q101" i="10" s="1"/>
  <c r="M92" i="10"/>
  <c r="O92" i="10" s="1"/>
  <c r="Q92" i="10" s="1"/>
  <c r="L92" i="10"/>
  <c r="O83" i="10"/>
  <c r="Q83" i="10" s="1"/>
  <c r="M90" i="10"/>
  <c r="O90" i="10" s="1"/>
  <c r="Q90" i="10" s="1"/>
  <c r="L90" i="10"/>
  <c r="M106" i="10"/>
  <c r="O106" i="10" s="1"/>
  <c r="Q106" i="10" s="1"/>
  <c r="L106" i="10"/>
  <c r="M102" i="10"/>
  <c r="O102" i="10" s="1"/>
  <c r="Q102" i="10" s="1"/>
  <c r="L102" i="10"/>
  <c r="M98" i="10"/>
  <c r="O98" i="10" s="1"/>
  <c r="Q98" i="10" s="1"/>
  <c r="L98" i="10"/>
  <c r="O95" i="10"/>
  <c r="Q95" i="10" s="1"/>
  <c r="M107" i="10"/>
  <c r="O107" i="10" s="1"/>
  <c r="Q107" i="10" s="1"/>
  <c r="L107" i="10"/>
  <c r="M103" i="10"/>
  <c r="O103" i="10" s="1"/>
  <c r="Q103" i="10" s="1"/>
  <c r="M99" i="10"/>
  <c r="O99" i="10" s="1"/>
  <c r="Q99" i="10" s="1"/>
  <c r="L99" i="10"/>
  <c r="O93" i="10"/>
  <c r="Q93" i="10" s="1"/>
  <c r="M85" i="10"/>
  <c r="O85" i="10" s="1"/>
  <c r="Q85" i="10" s="1"/>
  <c r="L85" i="10"/>
  <c r="O91" i="10"/>
  <c r="Q91" i="10" s="1"/>
  <c r="M104" i="10"/>
  <c r="O104" i="10" s="1"/>
  <c r="Q104" i="10" s="1"/>
  <c r="M100" i="10"/>
  <c r="O100" i="10" s="1"/>
  <c r="Q100" i="10" s="1"/>
  <c r="L100" i="10"/>
  <c r="M96" i="10"/>
  <c r="O96" i="10" s="1"/>
  <c r="Q96" i="10" s="1"/>
  <c r="M88" i="10"/>
  <c r="O88" i="10" s="1"/>
  <c r="Q88" i="10" s="1"/>
  <c r="M94" i="10"/>
  <c r="O94" i="10" s="1"/>
  <c r="Q94" i="10" s="1"/>
  <c r="M84" i="10"/>
  <c r="M60" i="10"/>
  <c r="O60" i="10" s="1"/>
  <c r="Q60" i="10" s="1"/>
  <c r="M54" i="10"/>
  <c r="O54" i="10" s="1"/>
  <c r="Q54" i="10" s="1"/>
  <c r="L54" i="10"/>
  <c r="M52" i="10"/>
  <c r="O52" i="10" s="1"/>
  <c r="Q52" i="10" s="1"/>
  <c r="M48" i="10"/>
  <c r="O48" i="10" s="1"/>
  <c r="Q48" i="10" s="1"/>
  <c r="L48" i="10"/>
  <c r="M72" i="10"/>
  <c r="O72" i="10" s="1"/>
  <c r="Q72" i="10" s="1"/>
  <c r="M68" i="10"/>
  <c r="O68" i="10" s="1"/>
  <c r="Q68" i="10" s="1"/>
  <c r="L68" i="10"/>
  <c r="M64" i="10"/>
  <c r="O64" i="10" s="1"/>
  <c r="Q64" i="10" s="1"/>
  <c r="M69" i="10"/>
  <c r="O69" i="10" s="1"/>
  <c r="Q69" i="10" s="1"/>
  <c r="M46" i="10"/>
  <c r="O46" i="10" s="1"/>
  <c r="Q46" i="10" s="1"/>
  <c r="M63" i="10"/>
  <c r="O63" i="10" s="1"/>
  <c r="Q63" i="10" s="1"/>
  <c r="M59" i="10"/>
  <c r="M55" i="10"/>
  <c r="O55" i="10" s="1"/>
  <c r="Q55" i="10" s="1"/>
  <c r="M56" i="10"/>
  <c r="O56" i="10" s="1"/>
  <c r="Q56" i="10" s="1"/>
  <c r="M50" i="10"/>
  <c r="M44" i="10"/>
  <c r="O44" i="10" s="1"/>
  <c r="Q44" i="10" s="1"/>
  <c r="M58" i="10"/>
  <c r="O58" i="10" s="1"/>
  <c r="Q58" i="10" s="1"/>
  <c r="M47" i="10"/>
  <c r="O47" i="10" s="1"/>
  <c r="Q47" i="10" s="1"/>
  <c r="M51" i="10"/>
  <c r="O51" i="10" s="1"/>
  <c r="Q51" i="10" s="1"/>
  <c r="M70" i="10"/>
  <c r="O70" i="10" s="1"/>
  <c r="Q70" i="10" s="1"/>
  <c r="M66" i="10"/>
  <c r="O66" i="10" s="1"/>
  <c r="Q66" i="10" s="1"/>
  <c r="M62" i="10"/>
  <c r="O62" i="10" s="1"/>
  <c r="Q62" i="10" s="1"/>
  <c r="M71" i="10"/>
  <c r="O71" i="10" s="1"/>
  <c r="Q71" i="10" s="1"/>
  <c r="M67" i="10"/>
  <c r="M49" i="10"/>
  <c r="O49" i="10" s="1"/>
  <c r="Q49" i="10" s="1"/>
  <c r="M65" i="10"/>
  <c r="O65" i="10" s="1"/>
  <c r="Q65" i="10" s="1"/>
  <c r="M61" i="10"/>
  <c r="M57" i="10"/>
  <c r="O57" i="10" s="1"/>
  <c r="Q57" i="10" s="1"/>
  <c r="M53" i="10"/>
  <c r="M43" i="10"/>
  <c r="O43" i="10" s="1"/>
  <c r="M45" i="10"/>
  <c r="O45" i="10" s="1"/>
  <c r="Q45" i="10" s="1"/>
  <c r="P4" i="10"/>
  <c r="P5" i="10" s="1"/>
  <c r="P6" i="10" s="1"/>
  <c r="O14" i="10"/>
  <c r="Q14" i="10" s="1"/>
  <c r="O22" i="10"/>
  <c r="Q22" i="10" s="1"/>
  <c r="O23" i="10"/>
  <c r="Q23" i="10" s="1"/>
  <c r="O12" i="10"/>
  <c r="Q12" i="10" s="1"/>
  <c r="O20" i="10"/>
  <c r="Q20" i="10" s="1"/>
  <c r="L30" i="10"/>
  <c r="L22" i="10"/>
  <c r="L14" i="10"/>
  <c r="L6" i="10"/>
  <c r="L17" i="10"/>
  <c r="O18" i="10"/>
  <c r="Q18" i="10" s="1"/>
  <c r="O26" i="10"/>
  <c r="Q26" i="10" s="1"/>
  <c r="O11" i="10"/>
  <c r="Q11" i="10" s="1"/>
  <c r="O19" i="10"/>
  <c r="Q19" i="10" s="1"/>
  <c r="O27" i="10"/>
  <c r="Q27" i="10" s="1"/>
  <c r="O32" i="10"/>
  <c r="Q32" i="10" s="1"/>
  <c r="O8" i="10"/>
  <c r="Q8" i="10" s="1"/>
  <c r="O7" i="10"/>
  <c r="Q7" i="10" s="1"/>
  <c r="L13" i="10"/>
  <c r="L29" i="10"/>
  <c r="L5" i="10"/>
  <c r="L21" i="10"/>
  <c r="L31" i="10"/>
  <c r="L15" i="10"/>
  <c r="J25" i="4"/>
  <c r="Q33" i="13" l="1"/>
  <c r="S3" i="13"/>
  <c r="S4" i="13" s="1"/>
  <c r="S5" i="13" s="1"/>
  <c r="S6" i="13" s="1"/>
  <c r="S7" i="13" s="1"/>
  <c r="S8" i="13" s="1"/>
  <c r="S9" i="13" s="1"/>
  <c r="S10" i="13" s="1"/>
  <c r="S11" i="13" s="1"/>
  <c r="S12" i="13" s="1"/>
  <c r="S13" i="13" s="1"/>
  <c r="S14" i="13" s="1"/>
  <c r="S15" i="13" s="1"/>
  <c r="S16" i="13" s="1"/>
  <c r="S17" i="13" s="1"/>
  <c r="S18" i="13" s="1"/>
  <c r="S19" i="13" s="1"/>
  <c r="S20" i="13" s="1"/>
  <c r="S21" i="13" s="1"/>
  <c r="S22" i="13" s="1"/>
  <c r="S23" i="13" s="1"/>
  <c r="S24" i="13" s="1"/>
  <c r="S25" i="13" s="1"/>
  <c r="S26" i="13" s="1"/>
  <c r="S27" i="13" s="1"/>
  <c r="S28" i="13" s="1"/>
  <c r="S29" i="13" s="1"/>
  <c r="S30" i="13" s="1"/>
  <c r="S31" i="13" s="1"/>
  <c r="S32" i="13" s="1"/>
  <c r="Q178" i="10"/>
  <c r="Q179" i="10" s="1"/>
  <c r="S148" i="10"/>
  <c r="S149" i="10" s="1"/>
  <c r="S150" i="10" s="1"/>
  <c r="S151" i="10" s="1"/>
  <c r="S152" i="10" s="1"/>
  <c r="S153" i="10" s="1"/>
  <c r="S154" i="10" s="1"/>
  <c r="S155" i="10" s="1"/>
  <c r="S156" i="10" s="1"/>
  <c r="S157" i="10" s="1"/>
  <c r="S158" i="10" s="1"/>
  <c r="S159" i="10" s="1"/>
  <c r="S160" i="10" s="1"/>
  <c r="S161" i="10" s="1"/>
  <c r="S162" i="10" s="1"/>
  <c r="S163" i="10" s="1"/>
  <c r="S164" i="10" s="1"/>
  <c r="S165" i="10" s="1"/>
  <c r="S166" i="10" s="1"/>
  <c r="S167" i="10" s="1"/>
  <c r="S168" i="10" s="1"/>
  <c r="S169" i="10" s="1"/>
  <c r="S170" i="10" s="1"/>
  <c r="S171" i="10" s="1"/>
  <c r="S172" i="10" s="1"/>
  <c r="S173" i="10" s="1"/>
  <c r="S174" i="10" s="1"/>
  <c r="S175" i="10" s="1"/>
  <c r="S176" i="10" s="1"/>
  <c r="S177" i="10" s="1"/>
  <c r="Q43" i="10"/>
  <c r="P43" i="10"/>
  <c r="Q78" i="10"/>
  <c r="P78" i="10"/>
  <c r="U5" i="10"/>
  <c r="O53" i="10"/>
  <c r="Q53" i="10" s="1"/>
  <c r="L53" i="10"/>
  <c r="O61" i="10"/>
  <c r="Q61" i="10" s="1"/>
  <c r="L61" i="10"/>
  <c r="O67" i="10"/>
  <c r="Q67" i="10" s="1"/>
  <c r="L67" i="10"/>
  <c r="O50" i="10"/>
  <c r="Q50" i="10" s="1"/>
  <c r="L50" i="10"/>
  <c r="O59" i="10"/>
  <c r="Q59" i="10" s="1"/>
  <c r="L59" i="10"/>
  <c r="O84" i="10"/>
  <c r="Q84" i="10" s="1"/>
  <c r="L84" i="10"/>
  <c r="F10" i="1"/>
  <c r="G10" i="1" s="1"/>
  <c r="F9" i="1"/>
  <c r="G9" i="1" s="1"/>
  <c r="H10" i="1"/>
  <c r="F11" i="1"/>
  <c r="G11" i="1" s="1"/>
  <c r="H11" i="1"/>
  <c r="F12" i="1"/>
  <c r="G12" i="1" s="1"/>
  <c r="H12" i="1"/>
  <c r="F13" i="1"/>
  <c r="G13" i="1" s="1"/>
  <c r="H13" i="1"/>
  <c r="F14" i="1"/>
  <c r="G14" i="1" s="1"/>
  <c r="H14" i="1"/>
  <c r="F15" i="1"/>
  <c r="G15" i="1" s="1"/>
  <c r="H15" i="1"/>
  <c r="F16" i="1"/>
  <c r="G16" i="1" s="1"/>
  <c r="H16" i="1"/>
  <c r="F17" i="1"/>
  <c r="G17" i="1" s="1"/>
  <c r="H17" i="1"/>
  <c r="F18" i="1"/>
  <c r="G18" i="1" s="1"/>
  <c r="H18" i="1"/>
  <c r="F19" i="1"/>
  <c r="G19" i="1" s="1"/>
  <c r="H19" i="1"/>
  <c r="F20" i="1"/>
  <c r="G20" i="1" s="1"/>
  <c r="H20" i="1"/>
  <c r="F21" i="1"/>
  <c r="G21" i="1" s="1"/>
  <c r="H21" i="1"/>
  <c r="F22" i="1"/>
  <c r="G22" i="1" s="1"/>
  <c r="H22" i="1"/>
  <c r="F23" i="1"/>
  <c r="G23" i="1" s="1"/>
  <c r="H23" i="1"/>
  <c r="F24" i="1"/>
  <c r="G24" i="1" s="1"/>
  <c r="H24" i="1"/>
  <c r="F25" i="1"/>
  <c r="G25" i="1" s="1"/>
  <c r="H25" i="1"/>
  <c r="F26" i="1"/>
  <c r="G26" i="1" s="1"/>
  <c r="H26" i="1"/>
  <c r="F27" i="1"/>
  <c r="G27" i="1" s="1"/>
  <c r="H27" i="1"/>
  <c r="F28" i="1"/>
  <c r="G28" i="1" s="1"/>
  <c r="H28" i="1"/>
  <c r="F29" i="1"/>
  <c r="G29" i="1" s="1"/>
  <c r="H29" i="1"/>
  <c r="F30" i="1"/>
  <c r="G30" i="1" s="1"/>
  <c r="H30" i="1"/>
  <c r="F31" i="1"/>
  <c r="G31" i="1" s="1"/>
  <c r="H31" i="1"/>
  <c r="F32" i="1"/>
  <c r="G32" i="1" s="1"/>
  <c r="H32" i="1"/>
  <c r="F33" i="1"/>
  <c r="G33" i="1" s="1"/>
  <c r="H33" i="1"/>
  <c r="F34" i="1"/>
  <c r="G34" i="1" s="1"/>
  <c r="H34" i="1"/>
  <c r="F35" i="1"/>
  <c r="G35" i="1" s="1"/>
  <c r="H35" i="1"/>
  <c r="F36" i="1"/>
  <c r="G36" i="1" s="1"/>
  <c r="H36" i="1"/>
  <c r="F37" i="1"/>
  <c r="G37" i="1" s="1"/>
  <c r="H37" i="1"/>
  <c r="F38" i="1"/>
  <c r="G38" i="1" s="1"/>
  <c r="H38" i="1"/>
  <c r="F39" i="1"/>
  <c r="G39" i="1" s="1"/>
  <c r="H39" i="1"/>
  <c r="F40" i="1"/>
  <c r="G40" i="1" s="1"/>
  <c r="H40" i="1"/>
  <c r="F41" i="1"/>
  <c r="G41" i="1" s="1"/>
  <c r="H41" i="1"/>
  <c r="F42" i="1"/>
  <c r="G42" i="1" s="1"/>
  <c r="H42" i="1"/>
  <c r="F43" i="1"/>
  <c r="G43" i="1" s="1"/>
  <c r="H43" i="1"/>
  <c r="F44" i="1"/>
  <c r="G44" i="1" s="1"/>
  <c r="H44" i="1"/>
  <c r="F45" i="1"/>
  <c r="G45" i="1" s="1"/>
  <c r="H45" i="1"/>
  <c r="F46" i="1"/>
  <c r="G46" i="1" s="1"/>
  <c r="H46" i="1"/>
  <c r="F47" i="1"/>
  <c r="G47" i="1" s="1"/>
  <c r="H47" i="1"/>
  <c r="F48" i="1"/>
  <c r="G48" i="1" s="1"/>
  <c r="H48" i="1"/>
  <c r="F49" i="1"/>
  <c r="G49" i="1" s="1"/>
  <c r="H49" i="1"/>
  <c r="F50" i="1"/>
  <c r="G50" i="1" s="1"/>
  <c r="H50" i="1"/>
  <c r="F51" i="1"/>
  <c r="G51" i="1" s="1"/>
  <c r="H51" i="1"/>
  <c r="F52" i="1"/>
  <c r="G52" i="1" s="1"/>
  <c r="M16" i="1" s="1"/>
  <c r="H52" i="1"/>
  <c r="L131" i="10"/>
  <c r="L128" i="10"/>
  <c r="L116" i="10"/>
  <c r="L134" i="10"/>
  <c r="L119" i="10"/>
  <c r="L136" i="10"/>
  <c r="L137" i="10"/>
  <c r="L139" i="10"/>
  <c r="L133" i="10"/>
  <c r="L135" i="10"/>
  <c r="L141" i="10"/>
  <c r="L123" i="10"/>
  <c r="L117" i="10"/>
  <c r="L121" i="10"/>
  <c r="L118" i="10"/>
  <c r="L125" i="10"/>
  <c r="L127" i="10"/>
  <c r="Q112" i="10"/>
  <c r="P113" i="10"/>
  <c r="P114" i="10" s="1"/>
  <c r="P115" i="10" s="1"/>
  <c r="P116" i="10" s="1"/>
  <c r="P117" i="10" s="1"/>
  <c r="P118" i="10" s="1"/>
  <c r="P119" i="10" s="1"/>
  <c r="P120" i="10" s="1"/>
  <c r="P121" i="10" s="1"/>
  <c r="P122" i="10" s="1"/>
  <c r="P123" i="10" s="1"/>
  <c r="P124" i="10" s="1"/>
  <c r="P125" i="10" s="1"/>
  <c r="P126" i="10" s="1"/>
  <c r="P127" i="10" s="1"/>
  <c r="P128" i="10" s="1"/>
  <c r="P129" i="10" s="1"/>
  <c r="P130" i="10" s="1"/>
  <c r="P131" i="10" s="1"/>
  <c r="P132" i="10" s="1"/>
  <c r="P133" i="10" s="1"/>
  <c r="P134" i="10" s="1"/>
  <c r="P135" i="10" s="1"/>
  <c r="P136" i="10" s="1"/>
  <c r="P137" i="10" s="1"/>
  <c r="P138" i="10" s="1"/>
  <c r="P139" i="10" s="1"/>
  <c r="P140" i="10" s="1"/>
  <c r="P141" i="10" s="1"/>
  <c r="L129" i="10"/>
  <c r="L130" i="10"/>
  <c r="L113" i="10"/>
  <c r="L124" i="10"/>
  <c r="L126" i="10"/>
  <c r="L120" i="10"/>
  <c r="L114" i="10"/>
  <c r="L122" i="10"/>
  <c r="L140" i="10"/>
  <c r="L115" i="10"/>
  <c r="L132" i="10"/>
  <c r="Q108" i="10"/>
  <c r="Q109" i="10" s="1"/>
  <c r="P79" i="10"/>
  <c r="P80" i="10" s="1"/>
  <c r="P81" i="10" s="1"/>
  <c r="P82" i="10" s="1"/>
  <c r="P83" i="10" s="1"/>
  <c r="P84" i="10" s="1"/>
  <c r="P85" i="10" s="1"/>
  <c r="P86" i="10" s="1"/>
  <c r="P87" i="10" s="1"/>
  <c r="P88" i="10" s="1"/>
  <c r="P89" i="10" s="1"/>
  <c r="P90" i="10" s="1"/>
  <c r="P91" i="10" s="1"/>
  <c r="P92" i="10" s="1"/>
  <c r="P93" i="10" s="1"/>
  <c r="P94" i="10" s="1"/>
  <c r="P95" i="10" s="1"/>
  <c r="P96" i="10" s="1"/>
  <c r="P97" i="10" s="1"/>
  <c r="P98" i="10" s="1"/>
  <c r="P99" i="10" s="1"/>
  <c r="P100" i="10" s="1"/>
  <c r="P101" i="10" s="1"/>
  <c r="P102" i="10" s="1"/>
  <c r="P103" i="10" s="1"/>
  <c r="P104" i="10" s="1"/>
  <c r="P105" i="10" s="1"/>
  <c r="P106" i="10" s="1"/>
  <c r="P107" i="10" s="1"/>
  <c r="L97" i="10"/>
  <c r="L80" i="10"/>
  <c r="L94" i="10"/>
  <c r="L96" i="10"/>
  <c r="L104" i="10"/>
  <c r="L103" i="10"/>
  <c r="L101" i="10"/>
  <c r="L79" i="10"/>
  <c r="L105" i="10"/>
  <c r="L88" i="10"/>
  <c r="L45" i="10"/>
  <c r="L49" i="10"/>
  <c r="L71" i="10"/>
  <c r="L66" i="10"/>
  <c r="L51" i="10"/>
  <c r="L58" i="10"/>
  <c r="L55" i="10"/>
  <c r="L63" i="10"/>
  <c r="L69" i="10"/>
  <c r="L43" i="10"/>
  <c r="L57" i="10"/>
  <c r="L65" i="10"/>
  <c r="L62" i="10"/>
  <c r="L70" i="10"/>
  <c r="L47" i="10"/>
  <c r="L44" i="10"/>
  <c r="L56" i="10"/>
  <c r="L46" i="10"/>
  <c r="L64" i="10"/>
  <c r="L72" i="10"/>
  <c r="L52" i="10"/>
  <c r="L60" i="10"/>
  <c r="Q73" i="10"/>
  <c r="Q74" i="10" s="1"/>
  <c r="P44" i="10"/>
  <c r="P45" i="10" s="1"/>
  <c r="P46" i="10" s="1"/>
  <c r="P47" i="10" s="1"/>
  <c r="P48" i="10" s="1"/>
  <c r="P49" i="10" s="1"/>
  <c r="P50" i="10" s="1"/>
  <c r="P51" i="10" s="1"/>
  <c r="P52" i="10" s="1"/>
  <c r="P53" i="10" s="1"/>
  <c r="P54" i="10" s="1"/>
  <c r="P55" i="10" s="1"/>
  <c r="P56" i="10" s="1"/>
  <c r="P57" i="10" s="1"/>
  <c r="P58" i="10" s="1"/>
  <c r="P59" i="10" s="1"/>
  <c r="P60" i="10" s="1"/>
  <c r="P61" i="10" s="1"/>
  <c r="P62" i="10" s="1"/>
  <c r="P63" i="10" s="1"/>
  <c r="P64" i="10" s="1"/>
  <c r="P65" i="10" s="1"/>
  <c r="P66" i="10" s="1"/>
  <c r="P67" i="10" s="1"/>
  <c r="P68" i="10" s="1"/>
  <c r="P69" i="10" s="1"/>
  <c r="P70" i="10" s="1"/>
  <c r="P71" i="10" s="1"/>
  <c r="P72" i="10" s="1"/>
  <c r="P7" i="10"/>
  <c r="P8" i="10" s="1"/>
  <c r="P9" i="10" s="1"/>
  <c r="P10" i="10" s="1"/>
  <c r="P11" i="10" s="1"/>
  <c r="P12" i="10" s="1"/>
  <c r="P13" i="10" s="1"/>
  <c r="P14" i="10" s="1"/>
  <c r="P15" i="10" s="1"/>
  <c r="P16" i="10" s="1"/>
  <c r="P17" i="10" s="1"/>
  <c r="P18" i="10" s="1"/>
  <c r="P19" i="10" s="1"/>
  <c r="P20" i="10" s="1"/>
  <c r="P21" i="10" s="1"/>
  <c r="P22" i="10" s="1"/>
  <c r="P23" i="10" s="1"/>
  <c r="P24" i="10" s="1"/>
  <c r="P25" i="10" s="1"/>
  <c r="P26" i="10" s="1"/>
  <c r="P27" i="10" s="1"/>
  <c r="P28" i="10" s="1"/>
  <c r="P29" i="10" s="1"/>
  <c r="P30" i="10" s="1"/>
  <c r="P31" i="10" s="1"/>
  <c r="P32" i="10" s="1"/>
  <c r="P36" i="13" l="1"/>
  <c r="Q34" i="13"/>
  <c r="S4" i="10"/>
  <c r="S5" i="10" s="1"/>
  <c r="S6" i="10" s="1"/>
  <c r="S7" i="10" s="1"/>
  <c r="S8" i="10" s="1"/>
  <c r="S9" i="10" s="1"/>
  <c r="S10" i="10" s="1"/>
  <c r="S11" i="10" s="1"/>
  <c r="S12" i="10" s="1"/>
  <c r="S13" i="10" s="1"/>
  <c r="S14" i="10" s="1"/>
  <c r="S15" i="10" s="1"/>
  <c r="S16" i="10" s="1"/>
  <c r="S17" i="10" s="1"/>
  <c r="S18" i="10" s="1"/>
  <c r="S19" i="10" s="1"/>
  <c r="S20" i="10" s="1"/>
  <c r="S21" i="10" s="1"/>
  <c r="S22" i="10" s="1"/>
  <c r="S23" i="10" s="1"/>
  <c r="S24" i="10" s="1"/>
  <c r="S25" i="10" s="1"/>
  <c r="S26" i="10" s="1"/>
  <c r="S27" i="10" s="1"/>
  <c r="S28" i="10" s="1"/>
  <c r="S29" i="10" s="1"/>
  <c r="S30" i="10" s="1"/>
  <c r="S31" i="10" s="1"/>
  <c r="S32" i="10" s="1"/>
  <c r="Q33" i="10"/>
  <c r="Q142" i="10"/>
  <c r="S112" i="10"/>
  <c r="S113" i="10" s="1"/>
  <c r="S114" i="10" s="1"/>
  <c r="S115" i="10" s="1"/>
  <c r="S116" i="10" s="1"/>
  <c r="S117" i="10" s="1"/>
  <c r="S118" i="10" s="1"/>
  <c r="S119" i="10" s="1"/>
  <c r="S120" i="10" s="1"/>
  <c r="S121" i="10" s="1"/>
  <c r="S122" i="10" s="1"/>
  <c r="S123" i="10" s="1"/>
  <c r="S124" i="10" s="1"/>
  <c r="S125" i="10" s="1"/>
  <c r="S126" i="10" s="1"/>
  <c r="S127" i="10" s="1"/>
  <c r="S128" i="10" s="1"/>
  <c r="S129" i="10" s="1"/>
  <c r="S130" i="10" s="1"/>
  <c r="S131" i="10" s="1"/>
  <c r="S132" i="10" s="1"/>
  <c r="S133" i="10" s="1"/>
  <c r="S134" i="10" s="1"/>
  <c r="S135" i="10" s="1"/>
  <c r="S136" i="10" s="1"/>
  <c r="S137" i="10" s="1"/>
  <c r="S138" i="10" s="1"/>
  <c r="S139" i="10" s="1"/>
  <c r="S140" i="10" s="1"/>
  <c r="S141" i="10" s="1"/>
  <c r="K9" i="1"/>
  <c r="K8" i="1"/>
  <c r="M8" i="1"/>
  <c r="K7" i="1"/>
  <c r="M7" i="1"/>
  <c r="K6" i="1"/>
  <c r="M6" i="1"/>
  <c r="K17" i="1"/>
  <c r="M17" i="1"/>
  <c r="K16" i="1"/>
  <c r="K15" i="1"/>
  <c r="M15" i="1"/>
  <c r="K14" i="1"/>
  <c r="M14" i="1"/>
  <c r="K13" i="1"/>
  <c r="M13" i="1"/>
  <c r="K12" i="1"/>
  <c r="M12" i="1"/>
  <c r="K11" i="1"/>
  <c r="M11" i="1"/>
  <c r="K10" i="1"/>
  <c r="M9" i="1"/>
  <c r="M10" i="1"/>
  <c r="Q143" i="10" l="1"/>
  <c r="Q34" i="10"/>
  <c r="P36" i="10"/>
  <c r="M18" i="1"/>
  <c r="N6" i="1"/>
  <c r="K18" i="1"/>
  <c r="K19" i="1" s="1"/>
  <c r="J6" i="1"/>
  <c r="N7" i="1"/>
  <c r="J7" i="1"/>
  <c r="N8" i="1"/>
  <c r="J8" i="1"/>
  <c r="J9" i="1"/>
  <c r="J10" i="1" l="1"/>
  <c r="J11" i="1"/>
  <c r="J12" i="1"/>
  <c r="J13" i="1"/>
  <c r="J14" i="1"/>
  <c r="J15" i="1"/>
  <c r="J16" i="1"/>
  <c r="J17" i="1"/>
  <c r="N15" i="1"/>
  <c r="N16" i="1"/>
  <c r="N10" i="1"/>
  <c r="N9" i="1"/>
  <c r="N11" i="1"/>
  <c r="N12" i="1"/>
  <c r="N13" i="1"/>
  <c r="N14" i="1"/>
  <c r="N17" i="1"/>
  <c r="N18" i="1" l="1"/>
  <c r="B35" i="8" l="1"/>
</calcChain>
</file>

<file path=xl/sharedStrings.xml><?xml version="1.0" encoding="utf-8"?>
<sst xmlns="http://schemas.openxmlformats.org/spreadsheetml/2006/main" count="245" uniqueCount="110">
  <si>
    <t>MWh</t>
  </si>
  <si>
    <t>Datum</t>
  </si>
  <si>
    <t>dny oprav</t>
  </si>
  <si>
    <t>klouzavé průměry</t>
  </si>
  <si>
    <t>centr.kl.</t>
  </si>
  <si>
    <t>rozdíl</t>
  </si>
  <si>
    <t>Tabulka konstant</t>
  </si>
  <si>
    <t>bj</t>
  </si>
  <si>
    <t>bj normované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</si>
  <si>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</si>
  <si>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</si>
  <si>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</si>
  <si>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</si>
  <si>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</si>
  <si>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</si>
  <si>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</si>
  <si>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</si>
  <si>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</si>
  <si>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</si>
  <si>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</si>
  <si>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</si>
  <si>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standardizace</t>
  </si>
  <si>
    <t>Tt</t>
  </si>
  <si>
    <t>Set</t>
  </si>
  <si>
    <t>součet</t>
  </si>
  <si>
    <t>násobek</t>
  </si>
  <si>
    <t>sezonní index</t>
  </si>
  <si>
    <t>rok</t>
  </si>
  <si>
    <t>počet MVE</t>
  </si>
  <si>
    <t>bez MZP</t>
  </si>
  <si>
    <t>Dny</t>
  </si>
  <si>
    <t>0-10</t>
  </si>
  <si>
    <t>10-30</t>
  </si>
  <si>
    <t>30-60</t>
  </si>
  <si>
    <t>60-90</t>
  </si>
  <si>
    <t>90-120</t>
  </si>
  <si>
    <t>120-150</t>
  </si>
  <si>
    <t>150-180</t>
  </si>
  <si>
    <t>180-210</t>
  </si>
  <si>
    <t>210-240</t>
  </si>
  <si>
    <t>Počet dnů</t>
  </si>
  <si>
    <t>240-270</t>
  </si>
  <si>
    <t>270-300</t>
  </si>
  <si>
    <t>300-330</t>
  </si>
  <si>
    <t>330-355</t>
  </si>
  <si>
    <t>355-364</t>
  </si>
  <si>
    <t>Q</t>
  </si>
  <si>
    <t>H</t>
  </si>
  <si>
    <t>nt</t>
  </si>
  <si>
    <t>Pt</t>
  </si>
  <si>
    <t>ng</t>
  </si>
  <si>
    <t>PG</t>
  </si>
  <si>
    <t>odstaveno z důvodu malého průtoku</t>
  </si>
  <si>
    <t>odstaveno z důvodu malého spádu</t>
  </si>
  <si>
    <t>EG v kWh</t>
  </si>
  <si>
    <t>M</t>
  </si>
  <si>
    <t xml:space="preserve">QMd </t>
  </si>
  <si>
    <t>N</t>
  </si>
  <si>
    <t>m3/s</t>
  </si>
  <si>
    <t xml:space="preserve">IN </t>
  </si>
  <si>
    <t>Kumulovaný tok hotovosti</t>
  </si>
  <si>
    <t>6.sk.</t>
  </si>
  <si>
    <t>5.sk.</t>
  </si>
  <si>
    <t>3.sk.</t>
  </si>
  <si>
    <t>Odpisy</t>
  </si>
  <si>
    <t>Zisk před zdaněním</t>
  </si>
  <si>
    <t>Daň</t>
  </si>
  <si>
    <t>Zisk po zdanění</t>
  </si>
  <si>
    <t>roky</t>
  </si>
  <si>
    <t>(bez odpisů)</t>
  </si>
  <si>
    <t>Provozní náklady</t>
  </si>
  <si>
    <t>Tržby</t>
  </si>
  <si>
    <t>Diskontovaný CF za 30 let provozu</t>
  </si>
  <si>
    <t>Čistá současná hodnota investice</t>
  </si>
  <si>
    <t>2.sk.</t>
  </si>
  <si>
    <t>kumul.disk.CF</t>
  </si>
  <si>
    <t>Období</t>
  </si>
  <si>
    <r>
      <t>NPV</t>
    </r>
    <r>
      <rPr>
        <i/>
        <vertAlign val="subscript"/>
        <sz val="11"/>
        <color theme="1"/>
        <rFont val="Calibri"/>
        <family val="2"/>
        <charset val="238"/>
        <scheme val="minor"/>
      </rPr>
      <t>N</t>
    </r>
  </si>
  <si>
    <r>
      <t>k</t>
    </r>
    <r>
      <rPr>
        <b/>
        <vertAlign val="subscript"/>
        <sz val="11"/>
        <color theme="1"/>
        <rFont val="Calibri"/>
        <family val="2"/>
        <charset val="238"/>
        <scheme val="minor"/>
      </rPr>
      <t>N</t>
    </r>
  </si>
  <si>
    <t>Peněžní tok</t>
  </si>
  <si>
    <r>
      <t>NPV</t>
    </r>
    <r>
      <rPr>
        <i/>
        <vertAlign val="subscript"/>
        <sz val="11"/>
        <color theme="1"/>
        <rFont val="Calibri"/>
        <family val="2"/>
        <charset val="238"/>
        <scheme val="minor"/>
      </rPr>
      <t>V</t>
    </r>
  </si>
  <si>
    <r>
      <t>k</t>
    </r>
    <r>
      <rPr>
        <b/>
        <vertAlign val="subscript"/>
        <sz val="11"/>
        <color theme="1"/>
        <rFont val="Calibri"/>
        <family val="2"/>
        <charset val="238"/>
        <scheme val="minor"/>
      </rPr>
      <t>V</t>
    </r>
  </si>
  <si>
    <r>
      <t>NPV</t>
    </r>
    <r>
      <rPr>
        <b/>
        <vertAlign val="subscript"/>
        <sz val="11"/>
        <color theme="1"/>
        <rFont val="Calibri"/>
        <family val="2"/>
        <charset val="238"/>
        <scheme val="minor"/>
      </rPr>
      <t>V</t>
    </r>
  </si>
  <si>
    <r>
      <t>NPV</t>
    </r>
    <r>
      <rPr>
        <b/>
        <vertAlign val="subscript"/>
        <sz val="11"/>
        <color theme="1"/>
        <rFont val="Calibri"/>
        <family val="2"/>
        <charset val="238"/>
        <scheme val="minor"/>
      </rPr>
      <t>N</t>
    </r>
  </si>
  <si>
    <r>
      <t xml:space="preserve">Míra výnosnosti vypočítaná dle </t>
    </r>
    <r>
      <rPr>
        <b/>
        <sz val="11"/>
        <color theme="4"/>
        <rFont val="Calibri"/>
        <family val="2"/>
        <charset val="238"/>
        <scheme val="minor"/>
      </rPr>
      <t>funkce</t>
    </r>
    <r>
      <rPr>
        <sz val="11"/>
        <color theme="1"/>
        <rFont val="Calibri"/>
        <family val="2"/>
        <charset val="238"/>
        <scheme val="minor"/>
      </rPr>
      <t>.</t>
    </r>
  </si>
  <si>
    <r>
      <t xml:space="preserve">Míra výnosnosti vypočítaná dle </t>
    </r>
    <r>
      <rPr>
        <b/>
        <sz val="11"/>
        <color theme="9"/>
        <rFont val="Calibri"/>
        <family val="2"/>
        <charset val="238"/>
        <scheme val="minor"/>
      </rPr>
      <t>vzorce</t>
    </r>
    <r>
      <rPr>
        <sz val="11"/>
        <color theme="1"/>
        <rFont val="Calibri"/>
        <family val="2"/>
        <charset val="238"/>
        <scheme val="minor"/>
      </rPr>
      <t>.</t>
    </r>
  </si>
  <si>
    <t>Průměrný čistý roční zisk</t>
  </si>
  <si>
    <t>CASH FLOW z provozu</t>
  </si>
  <si>
    <t>Náklady na investici</t>
  </si>
  <si>
    <t>ROI</t>
  </si>
  <si>
    <t>Průmrný čistý roční zisk</t>
  </si>
  <si>
    <t>Odpisy 2.sk.</t>
  </si>
  <si>
    <t>Odpisy 3.sk.</t>
  </si>
  <si>
    <t>Odpisy 5.sk.</t>
  </si>
  <si>
    <t>Odpisy 6.sk.</t>
  </si>
  <si>
    <t>inflace</t>
  </si>
  <si>
    <t>ODPISY</t>
  </si>
  <si>
    <t>DISKONT CF 3 %</t>
  </si>
  <si>
    <t>DISKONT CF 11,7 %</t>
  </si>
  <si>
    <t>NPV 3 %</t>
  </si>
  <si>
    <t>NPV 5 %</t>
  </si>
  <si>
    <t>DISKONT CF 5 %</t>
  </si>
  <si>
    <t>NPV 8 %</t>
  </si>
  <si>
    <t>DISKONT CF 8 %</t>
  </si>
  <si>
    <t>Příjmy z elektřiny</t>
  </si>
  <si>
    <t>Příjmy z ubytování</t>
  </si>
  <si>
    <t>Náklady</t>
  </si>
  <si>
    <t>SKUTEČNÉ</t>
  </si>
  <si>
    <t>REÁLNÉ</t>
  </si>
  <si>
    <t>OPTIMISTICKÉ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</si>
</sst>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0.000"/>
    <numFmt numFmtId="165" formatCode="_-* #,##0\ &quot;Kč&quot;_-;\-* #,##0\ &quot;Kč&quot;_-;_-* &quot;-&quot;??\ &quot;Kč&quot;_-;_-@_-"/>
    <numFmt numFmtId="166" formatCode="#,##0.00\ &quot;Kč&quot;"/>
    <numFmt numFmtId="167" formatCode="#,##0\ &quot;Kč&quot;"/>
    <numFmt numFmtId="168" formatCode="#,##0.00_ ;\-#,##0.00\ "/>
    <numFmt numFmtId="169" formatCode="0.0%"/>
    <numFmt numFmtId="170" formatCode="#,##0.000_ ;\-#,##0.000\ 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vertAlign val="subscript"/>
      <sz val="11"/>
      <color theme="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b/>
      <sz val="11"/>
      <color theme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102">
    <xf numFmtId="0" fontId="0" fillId="0" borderId="0" xfId="0"/>
    <xf numFmtId="14" fontId="0" fillId="0" borderId="0" xfId="0" applyNumberFormat="1"/>
    <xf numFmtId="0" fontId="2" fillId="0" borderId="0" xfId="0" applyFont="1" applyAlignment="1">
      <alignment horizontal="center"/>
    </xf>
    <xf numFmtId="0" fontId="1" fillId="0" borderId="0" xfId="0" applyFont="1"/>
    <xf numFmtId="4" fontId="0" fillId="0" borderId="0" xfId="0" applyNumberFormat="1"/>
    <xf numFmtId="1" fontId="0" fillId="0" borderId="0" xfId="0" applyNumberFormat="1"/>
    <xf numFmtId="0" fontId="0" fillId="2" borderId="0" xfId="0" applyFill="1"/>
    <xf numFmtId="164" fontId="0" fillId="0" borderId="0" xfId="0" applyNumberFormat="1"/>
    <xf numFmtId="0" fontId="0" fillId="3" borderId="0" xfId="0" applyFill="1"/>
    <xf numFmtId="0" fontId="0" fillId="0" borderId="1" xfId="0" applyBorder="1"/>
    <xf numFmtId="0" fontId="0" fillId="0" borderId="1" xfId="0" applyFill="1" applyBorder="1"/>
    <xf numFmtId="0" fontId="0" fillId="0" borderId="2" xfId="0" applyBorder="1"/>
    <xf numFmtId="0" fontId="0" fillId="0" borderId="3" xfId="0" applyBorder="1"/>
    <xf numFmtId="0" fontId="1" fillId="2" borderId="4" xfId="0" applyFont="1" applyFill="1" applyBorder="1"/>
    <xf numFmtId="49" fontId="0" fillId="0" borderId="1" xfId="0" applyNumberForma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1" xfId="0" applyBorder="1"/>
    <xf numFmtId="0" fontId="0" fillId="0" borderId="13" xfId="0" applyBorder="1"/>
    <xf numFmtId="165" fontId="0" fillId="0" borderId="1" xfId="0" applyNumberFormat="1" applyBorder="1"/>
    <xf numFmtId="165" fontId="0" fillId="0" borderId="14" xfId="0" applyNumberFormat="1" applyBorder="1"/>
    <xf numFmtId="165" fontId="0" fillId="0" borderId="0" xfId="0" applyNumberFormat="1"/>
    <xf numFmtId="0" fontId="5" fillId="6" borderId="15" xfId="0" applyFont="1" applyFill="1" applyBorder="1" applyAlignment="1">
      <alignment horizontal="center"/>
    </xf>
    <xf numFmtId="0" fontId="5" fillId="6" borderId="16" xfId="0" applyFont="1" applyFill="1" applyBorder="1" applyAlignment="1">
      <alignment horizontal="center"/>
    </xf>
    <xf numFmtId="0" fontId="6" fillId="0" borderId="0" xfId="0" applyFont="1"/>
    <xf numFmtId="165" fontId="6" fillId="0" borderId="0" xfId="0" applyNumberFormat="1" applyFont="1"/>
    <xf numFmtId="0" fontId="6" fillId="0" borderId="0" xfId="0" applyFont="1" applyAlignment="1">
      <alignment horizontal="center"/>
    </xf>
    <xf numFmtId="0" fontId="5" fillId="0" borderId="0" xfId="0" applyFont="1"/>
    <xf numFmtId="0" fontId="6" fillId="0" borderId="1" xfId="0" applyFont="1" applyBorder="1"/>
    <xf numFmtId="165" fontId="6" fillId="0" borderId="1" xfId="0" applyNumberFormat="1" applyFont="1" applyBorder="1"/>
    <xf numFmtId="165" fontId="6" fillId="0" borderId="14" xfId="0" applyNumberFormat="1" applyFont="1" applyBorder="1"/>
    <xf numFmtId="165" fontId="5" fillId="7" borderId="4" xfId="0" applyNumberFormat="1" applyFont="1" applyFill="1" applyBorder="1"/>
    <xf numFmtId="166" fontId="0" fillId="0" borderId="0" xfId="0" applyNumberFormat="1"/>
    <xf numFmtId="167" fontId="1" fillId="0" borderId="1" xfId="0" applyNumberFormat="1" applyFont="1" applyBorder="1"/>
    <xf numFmtId="166" fontId="1" fillId="0" borderId="1" xfId="0" applyNumberFormat="1" applyFont="1" applyBorder="1" applyAlignment="1">
      <alignment horizontal="center"/>
    </xf>
    <xf numFmtId="9" fontId="0" fillId="0" borderId="12" xfId="1" applyFont="1" applyBorder="1"/>
    <xf numFmtId="0" fontId="1" fillId="0" borderId="12" xfId="0" applyFont="1" applyBorder="1"/>
    <xf numFmtId="0" fontId="1" fillId="0" borderId="12" xfId="0" applyFont="1" applyBorder="1" applyAlignment="1">
      <alignment horizontal="left"/>
    </xf>
    <xf numFmtId="167" fontId="1" fillId="0" borderId="12" xfId="0" applyNumberFormat="1" applyFont="1" applyBorder="1"/>
    <xf numFmtId="0" fontId="1" fillId="0" borderId="6" xfId="0" applyFont="1" applyBorder="1" applyAlignment="1">
      <alignment horizontal="left"/>
    </xf>
    <xf numFmtId="167" fontId="1" fillId="0" borderId="6" xfId="0" applyNumberFormat="1" applyFont="1" applyBorder="1"/>
    <xf numFmtId="0" fontId="1" fillId="0" borderId="6" xfId="0" applyFont="1" applyBorder="1"/>
    <xf numFmtId="9" fontId="0" fillId="0" borderId="6" xfId="1" applyFont="1" applyBorder="1"/>
    <xf numFmtId="166" fontId="6" fillId="0" borderId="1" xfId="0" applyNumberFormat="1" applyFont="1" applyBorder="1"/>
    <xf numFmtId="167" fontId="6" fillId="0" borderId="1" xfId="0" applyNumberFormat="1" applyFont="1" applyBorder="1"/>
    <xf numFmtId="0" fontId="5" fillId="6" borderId="16" xfId="0" applyFont="1" applyFill="1" applyBorder="1" applyAlignment="1">
      <alignment horizontal="center" wrapText="1"/>
    </xf>
    <xf numFmtId="168" fontId="6" fillId="0" borderId="1" xfId="0" applyNumberFormat="1" applyFont="1" applyBorder="1"/>
    <xf numFmtId="165" fontId="6" fillId="0" borderId="5" xfId="0" applyNumberFormat="1" applyFont="1" applyBorder="1"/>
    <xf numFmtId="165" fontId="6" fillId="0" borderId="2" xfId="0" applyNumberFormat="1" applyFont="1" applyBorder="1"/>
    <xf numFmtId="0" fontId="13" fillId="10" borderId="0" xfId="0" applyFont="1" applyFill="1" applyBorder="1" applyAlignment="1">
      <alignment horizontal="center"/>
    </xf>
    <xf numFmtId="165" fontId="13" fillId="10" borderId="0" xfId="0" applyNumberFormat="1" applyFont="1" applyFill="1" applyBorder="1"/>
    <xf numFmtId="0" fontId="12" fillId="10" borderId="7" xfId="0" applyFont="1" applyFill="1" applyBorder="1" applyAlignment="1">
      <alignment horizontal="center"/>
    </xf>
    <xf numFmtId="0" fontId="12" fillId="10" borderId="8" xfId="0" applyFont="1" applyFill="1" applyBorder="1" applyAlignment="1">
      <alignment horizontal="center"/>
    </xf>
    <xf numFmtId="0" fontId="12" fillId="10" borderId="3" xfId="0" applyFont="1" applyFill="1" applyBorder="1" applyAlignment="1">
      <alignment horizontal="center"/>
    </xf>
    <xf numFmtId="0" fontId="13" fillId="10" borderId="9" xfId="0" applyFont="1" applyFill="1" applyBorder="1" applyAlignment="1">
      <alignment horizontal="center"/>
    </xf>
    <xf numFmtId="0" fontId="13" fillId="10" borderId="10" xfId="0" applyFont="1" applyFill="1" applyBorder="1" applyAlignment="1">
      <alignment horizontal="center"/>
    </xf>
    <xf numFmtId="165" fontId="13" fillId="10" borderId="9" xfId="0" applyNumberFormat="1" applyFont="1" applyFill="1" applyBorder="1"/>
    <xf numFmtId="165" fontId="13" fillId="10" borderId="10" xfId="0" applyNumberFormat="1" applyFont="1" applyFill="1" applyBorder="1"/>
    <xf numFmtId="165" fontId="13" fillId="10" borderId="11" xfId="0" applyNumberFormat="1" applyFont="1" applyFill="1" applyBorder="1"/>
    <xf numFmtId="165" fontId="13" fillId="10" borderId="12" xfId="0" applyNumberFormat="1" applyFont="1" applyFill="1" applyBorder="1"/>
    <xf numFmtId="165" fontId="13" fillId="10" borderId="13" xfId="0" applyNumberFormat="1" applyFont="1" applyFill="1" applyBorder="1"/>
    <xf numFmtId="0" fontId="5" fillId="6" borderId="18" xfId="0" applyFont="1" applyFill="1" applyBorder="1" applyAlignment="1">
      <alignment horizontal="center" wrapText="1"/>
    </xf>
    <xf numFmtId="10" fontId="1" fillId="8" borderId="0" xfId="1" applyNumberFormat="1" applyFont="1" applyFill="1"/>
    <xf numFmtId="10" fontId="1" fillId="9" borderId="0" xfId="1" applyNumberFormat="1" applyFont="1" applyFill="1"/>
    <xf numFmtId="169" fontId="0" fillId="0" borderId="0" xfId="1" applyNumberFormat="1" applyFont="1"/>
    <xf numFmtId="165" fontId="6" fillId="11" borderId="1" xfId="0" applyNumberFormat="1" applyFont="1" applyFill="1" applyBorder="1"/>
    <xf numFmtId="165" fontId="6" fillId="12" borderId="5" xfId="0" applyNumberFormat="1" applyFont="1" applyFill="1" applyBorder="1"/>
    <xf numFmtId="2" fontId="0" fillId="0" borderId="0" xfId="0" applyNumberFormat="1"/>
    <xf numFmtId="0" fontId="5" fillId="6" borderId="15" xfId="0" applyFont="1" applyFill="1" applyBorder="1" applyAlignment="1">
      <alignment horizontal="center"/>
    </xf>
    <xf numFmtId="0" fontId="5" fillId="6" borderId="16" xfId="0" applyFont="1" applyFill="1" applyBorder="1" applyAlignment="1">
      <alignment horizontal="center"/>
    </xf>
    <xf numFmtId="9" fontId="0" fillId="0" borderId="0" xfId="1" applyFont="1"/>
    <xf numFmtId="8" fontId="0" fillId="0" borderId="0" xfId="0" applyNumberFormat="1"/>
    <xf numFmtId="0" fontId="6" fillId="13" borderId="1" xfId="0" applyFont="1" applyFill="1" applyBorder="1"/>
    <xf numFmtId="165" fontId="6" fillId="13" borderId="1" xfId="0" applyNumberFormat="1" applyFont="1" applyFill="1" applyBorder="1"/>
    <xf numFmtId="165" fontId="6" fillId="13" borderId="5" xfId="0" applyNumberFormat="1" applyFont="1" applyFill="1" applyBorder="1"/>
    <xf numFmtId="170" fontId="6" fillId="0" borderId="1" xfId="0" applyNumberFormat="1" applyFont="1" applyBorder="1"/>
    <xf numFmtId="0" fontId="0" fillId="13" borderId="0" xfId="0" applyFill="1"/>
    <xf numFmtId="165" fontId="0" fillId="13" borderId="0" xfId="0" applyNumberFormat="1" applyFill="1"/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5" fillId="6" borderId="19" xfId="0" applyFont="1" applyFill="1" applyBorder="1" applyAlignment="1">
      <alignment horizontal="center" wrapText="1"/>
    </xf>
    <xf numFmtId="0" fontId="5" fillId="6" borderId="20" xfId="0" applyFont="1" applyFill="1" applyBorder="1" applyAlignment="1">
      <alignment horizontal="center" wrapText="1"/>
    </xf>
    <xf numFmtId="0" fontId="5" fillId="6" borderId="15" xfId="0" applyFont="1" applyFill="1" applyBorder="1" applyAlignment="1">
      <alignment horizontal="center"/>
    </xf>
    <xf numFmtId="0" fontId="5" fillId="6" borderId="16" xfId="0" applyFont="1" applyFill="1" applyBorder="1" applyAlignment="1">
      <alignment horizontal="center"/>
    </xf>
    <xf numFmtId="0" fontId="5" fillId="6" borderId="21" xfId="0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0" fillId="0" borderId="17" xfId="0" applyBorder="1"/>
    <xf numFmtId="44" fontId="0" fillId="0" borderId="1" xfId="2" applyFont="1" applyBorder="1"/>
    <xf numFmtId="44" fontId="0" fillId="0" borderId="5" xfId="2" applyFont="1" applyBorder="1"/>
    <xf numFmtId="44" fontId="0" fillId="0" borderId="14" xfId="2" applyFont="1" applyBorder="1"/>
    <xf numFmtId="44" fontId="0" fillId="0" borderId="7" xfId="2" applyFont="1" applyBorder="1"/>
  </cellXfs>
  <cellStyles count="3">
    <cellStyle name="Měna" xfId="2" builtinId="4"/>
    <cellStyle name="Normální" xfId="0" builtinId="0"/>
    <cellStyle name="Procenta" xfId="1" builtinId="5"/>
  </cellStyles>
  <dxfs count="8"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'Výroba EE'!$A$3:$A$58</c:f>
              <c:numCache>
                <c:formatCode>m/d/yyyy</c:formatCode>
                <c:ptCount val="56"/>
                <c:pt idx="0">
                  <c:v>42674</c:v>
                </c:pt>
                <c:pt idx="1">
                  <c:v>42704</c:v>
                </c:pt>
                <c:pt idx="2">
                  <c:v>42735</c:v>
                </c:pt>
                <c:pt idx="3">
                  <c:v>42766</c:v>
                </c:pt>
                <c:pt idx="4">
                  <c:v>42794</c:v>
                </c:pt>
                <c:pt idx="5">
                  <c:v>42825</c:v>
                </c:pt>
                <c:pt idx="6">
                  <c:v>42855</c:v>
                </c:pt>
                <c:pt idx="7">
                  <c:v>42886</c:v>
                </c:pt>
                <c:pt idx="8">
                  <c:v>42916</c:v>
                </c:pt>
                <c:pt idx="9">
                  <c:v>42947</c:v>
                </c:pt>
                <c:pt idx="10">
                  <c:v>42978</c:v>
                </c:pt>
                <c:pt idx="11">
                  <c:v>43008</c:v>
                </c:pt>
                <c:pt idx="12">
                  <c:v>43039</c:v>
                </c:pt>
                <c:pt idx="13">
                  <c:v>43069</c:v>
                </c:pt>
                <c:pt idx="14">
                  <c:v>43100</c:v>
                </c:pt>
                <c:pt idx="15">
                  <c:v>43131</c:v>
                </c:pt>
                <c:pt idx="16">
                  <c:v>43159</c:v>
                </c:pt>
                <c:pt idx="17">
                  <c:v>43190</c:v>
                </c:pt>
                <c:pt idx="18">
                  <c:v>43220</c:v>
                </c:pt>
                <c:pt idx="19">
                  <c:v>43251</c:v>
                </c:pt>
                <c:pt idx="20">
                  <c:v>43281</c:v>
                </c:pt>
                <c:pt idx="21">
                  <c:v>43312</c:v>
                </c:pt>
                <c:pt idx="22">
                  <c:v>43343</c:v>
                </c:pt>
                <c:pt idx="23">
                  <c:v>43373</c:v>
                </c:pt>
                <c:pt idx="24">
                  <c:v>43404</c:v>
                </c:pt>
                <c:pt idx="25">
                  <c:v>43434</c:v>
                </c:pt>
                <c:pt idx="26">
                  <c:v>43465</c:v>
                </c:pt>
                <c:pt idx="27">
                  <c:v>43496</c:v>
                </c:pt>
                <c:pt idx="28">
                  <c:v>43524</c:v>
                </c:pt>
                <c:pt idx="29">
                  <c:v>43555</c:v>
                </c:pt>
                <c:pt idx="30">
                  <c:v>43585</c:v>
                </c:pt>
                <c:pt idx="31">
                  <c:v>43616</c:v>
                </c:pt>
                <c:pt idx="32">
                  <c:v>43646</c:v>
                </c:pt>
                <c:pt idx="33">
                  <c:v>43677</c:v>
                </c:pt>
                <c:pt idx="34">
                  <c:v>43708</c:v>
                </c:pt>
                <c:pt idx="35">
                  <c:v>43738</c:v>
                </c:pt>
                <c:pt idx="36">
                  <c:v>43769</c:v>
                </c:pt>
                <c:pt idx="37">
                  <c:v>43799</c:v>
                </c:pt>
                <c:pt idx="38">
                  <c:v>43830</c:v>
                </c:pt>
                <c:pt idx="39">
                  <c:v>43861</c:v>
                </c:pt>
                <c:pt idx="40">
                  <c:v>43890</c:v>
                </c:pt>
                <c:pt idx="41">
                  <c:v>43921</c:v>
                </c:pt>
                <c:pt idx="42">
                  <c:v>43951</c:v>
                </c:pt>
                <c:pt idx="43">
                  <c:v>43982</c:v>
                </c:pt>
                <c:pt idx="44">
                  <c:v>44012</c:v>
                </c:pt>
                <c:pt idx="45">
                  <c:v>44043</c:v>
                </c:pt>
                <c:pt idx="46">
                  <c:v>44074</c:v>
                </c:pt>
                <c:pt idx="47">
                  <c:v>44104</c:v>
                </c:pt>
                <c:pt idx="48">
                  <c:v>44135</c:v>
                </c:pt>
                <c:pt idx="49">
                  <c:v>44165</c:v>
                </c:pt>
                <c:pt idx="50">
                  <c:v>44196</c:v>
                </c:pt>
                <c:pt idx="51">
                  <c:v>44227</c:v>
                </c:pt>
                <c:pt idx="52">
                  <c:v>44255</c:v>
                </c:pt>
                <c:pt idx="53">
                  <c:v>44286</c:v>
                </c:pt>
                <c:pt idx="54">
                  <c:v>44316</c:v>
                </c:pt>
                <c:pt idx="55">
                  <c:v>44347</c:v>
                </c:pt>
              </c:numCache>
            </c:numRef>
          </c:cat>
          <c:val>
            <c:numRef>
              <c:f>'Výroba EE'!$D$3:$D$58</c:f>
              <c:numCache>
                <c:formatCode>General</c:formatCode>
                <c:ptCount val="56"/>
                <c:pt idx="0">
                  <c:v>1.1612903225806451E-2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2.0012903225806453</c:v>
                </c:pt>
                <c:pt idx="6">
                  <c:v>9.0960000000000001</c:v>
                </c:pt>
                <c:pt idx="7">
                  <c:v>7.926774193548388</c:v>
                </c:pt>
                <c:pt idx="8">
                  <c:v>1.0489999999999999</c:v>
                </c:pt>
                <c:pt idx="9">
                  <c:v>6.7741935483870974E-2</c:v>
                </c:pt>
                <c:pt idx="10">
                  <c:v>0</c:v>
                </c:pt>
                <c:pt idx="11">
                  <c:v>1.921</c:v>
                </c:pt>
                <c:pt idx="12">
                  <c:v>1.568709677419355</c:v>
                </c:pt>
                <c:pt idx="13">
                  <c:v>2.931</c:v>
                </c:pt>
                <c:pt idx="14">
                  <c:v>4.5425806451612898</c:v>
                </c:pt>
                <c:pt idx="15">
                  <c:v>8.9390322580645165</c:v>
                </c:pt>
                <c:pt idx="16">
                  <c:v>2.4460714285714285</c:v>
                </c:pt>
                <c:pt idx="17">
                  <c:v>3.8061290322580645</c:v>
                </c:pt>
                <c:pt idx="18">
                  <c:v>10.858000000000001</c:v>
                </c:pt>
                <c:pt idx="19">
                  <c:v>4.7351612903225808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2.1948387096774189</c:v>
                </c:pt>
                <c:pt idx="28">
                  <c:v>1.2342857142857142</c:v>
                </c:pt>
                <c:pt idx="29">
                  <c:v>6.8758064516129034</c:v>
                </c:pt>
                <c:pt idx="30">
                  <c:v>9.7889999999999997</c:v>
                </c:pt>
                <c:pt idx="31">
                  <c:v>13.170967741935483</c:v>
                </c:pt>
                <c:pt idx="32">
                  <c:v>5.2939999999999996</c:v>
                </c:pt>
                <c:pt idx="33">
                  <c:v>0</c:v>
                </c:pt>
                <c:pt idx="34">
                  <c:v>0</c:v>
                </c:pt>
                <c:pt idx="35">
                  <c:v>1.1459999999999999</c:v>
                </c:pt>
                <c:pt idx="36">
                  <c:v>0.16354838709677419</c:v>
                </c:pt>
                <c:pt idx="37">
                  <c:v>0.84499999999999997</c:v>
                </c:pt>
                <c:pt idx="38">
                  <c:v>2.428064516129032</c:v>
                </c:pt>
                <c:pt idx="39">
                  <c:v>2.2838709677419353</c:v>
                </c:pt>
                <c:pt idx="40">
                  <c:v>2.8913793103448273</c:v>
                </c:pt>
                <c:pt idx="41">
                  <c:v>14.096129032258066</c:v>
                </c:pt>
                <c:pt idx="42">
                  <c:v>8.7789999999999999</c:v>
                </c:pt>
                <c:pt idx="43">
                  <c:v>5.419354838709677</c:v>
                </c:pt>
                <c:pt idx="44">
                  <c:v>7.3200000000000012</c:v>
                </c:pt>
                <c:pt idx="45">
                  <c:v>2.4338709677419357</c:v>
                </c:pt>
                <c:pt idx="46">
                  <c:v>1.0403225806451613</c:v>
                </c:pt>
                <c:pt idx="47">
                  <c:v>4.24</c:v>
                </c:pt>
                <c:pt idx="48">
                  <c:v>5.5335483870967739</c:v>
                </c:pt>
                <c:pt idx="49">
                  <c:v>5.101</c:v>
                </c:pt>
                <c:pt idx="50">
                  <c:v>2.9467741935483871</c:v>
                </c:pt>
                <c:pt idx="51">
                  <c:v>2.7667741935483869</c:v>
                </c:pt>
                <c:pt idx="52">
                  <c:v>5.3646428571428562</c:v>
                </c:pt>
                <c:pt idx="53">
                  <c:v>8.7396774193548392</c:v>
                </c:pt>
                <c:pt idx="54">
                  <c:v>10.178000000000001</c:v>
                </c:pt>
                <c:pt idx="55">
                  <c:v>10.191290322580645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5B-4071-9834-86EF3A407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860800"/>
        <c:axId val="160866688"/>
      </c:lineChart>
      <c:dateAx>
        <c:axId val="16086080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0866688"/>
        <c:crosses val="autoZero"/>
        <c:auto val="1"/>
        <c:lblOffset val="100"/>
        <c:baseTimeUnit val="months"/>
      </c:dateAx>
      <c:valAx>
        <c:axId val="160866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0860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70603674540684"/>
          <c:y val="6.0185185185185182E-2"/>
          <c:w val="0.87129396325459318"/>
          <c:h val="0.8416746864975212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'Výroba EE'!$J$6:$J$17</c:f>
              <c:numCache>
                <c:formatCode>0.000</c:formatCode>
                <c:ptCount val="12"/>
                <c:pt idx="0">
                  <c:v>1.1804555904294194</c:v>
                </c:pt>
                <c:pt idx="1">
                  <c:v>0.55554454006510279</c:v>
                </c:pt>
                <c:pt idx="2">
                  <c:v>2.052060602132634</c:v>
                </c:pt>
                <c:pt idx="3">
                  <c:v>3.0343414526405046</c:v>
                </c:pt>
                <c:pt idx="4">
                  <c:v>2.4382780543571472</c:v>
                </c:pt>
                <c:pt idx="5">
                  <c:v>0.79540494347649493</c:v>
                </c:pt>
                <c:pt idx="6">
                  <c:v>0.11411788514581464</c:v>
                </c:pt>
                <c:pt idx="7">
                  <c:v>4.5854082988483445E-2</c:v>
                </c:pt>
                <c:pt idx="8">
                  <c:v>0.37487136605599969</c:v>
                </c:pt>
                <c:pt idx="9">
                  <c:v>0.36200877769530487</c:v>
                </c:pt>
                <c:pt idx="10">
                  <c:v>0.45141032825966232</c:v>
                </c:pt>
                <c:pt idx="11">
                  <c:v>0.59565237675343219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93-4082-A57F-F9B1BCADA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476736"/>
        <c:axId val="197478656"/>
      </c:lineChart>
      <c:catAx>
        <c:axId val="1974767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97478656"/>
        <c:crosses val="autoZero"/>
        <c:auto val="1"/>
        <c:lblAlgn val="ctr"/>
        <c:lblOffset val="100"/>
        <c:noMultiLvlLbl val="0"/>
      </c:catAx>
      <c:valAx>
        <c:axId val="197478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97476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ODTOK!$B$5:$M$5</c:f>
              <c:numCache>
                <c:formatCode>General</c:formatCode>
                <c:ptCount val="12"/>
                <c:pt idx="0">
                  <c:v>0.30199999999999999</c:v>
                </c:pt>
                <c:pt idx="1">
                  <c:v>0.28000000000000003</c:v>
                </c:pt>
                <c:pt idx="2">
                  <c:v>0.48599999999999999</c:v>
                </c:pt>
                <c:pt idx="3">
                  <c:v>0.91300000000000003</c:v>
                </c:pt>
                <c:pt idx="4">
                  <c:v>0.91900000000000004</c:v>
                </c:pt>
                <c:pt idx="5">
                  <c:v>0.58899999999999997</c:v>
                </c:pt>
                <c:pt idx="6">
                  <c:v>0.499</c:v>
                </c:pt>
                <c:pt idx="7">
                  <c:v>0.46300000000000002</c:v>
                </c:pt>
                <c:pt idx="8">
                  <c:v>0.34799999999999998</c:v>
                </c:pt>
                <c:pt idx="9">
                  <c:v>0.32</c:v>
                </c:pt>
                <c:pt idx="10">
                  <c:v>0.33500000000000002</c:v>
                </c:pt>
                <c:pt idx="11">
                  <c:v>0.34599999999999997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71-4B60-BE73-08D325F05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524096"/>
        <c:axId val="197534080"/>
      </c:lineChart>
      <c:catAx>
        <c:axId val="1975240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97534080"/>
        <c:crosses val="autoZero"/>
        <c:auto val="1"/>
        <c:lblAlgn val="ctr"/>
        <c:lblOffset val="100"/>
        <c:noMultiLvlLbl val="0"/>
      </c:catAx>
      <c:valAx>
        <c:axId val="197534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97524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483595800524938E-2"/>
          <c:y val="5.0749711649365627E-2"/>
          <c:w val="0.87608573928258959"/>
          <c:h val="0.84222252495254701"/>
        </c:manualLayout>
      </c:layout>
      <c:lineChart>
        <c:grouping val="standard"/>
        <c:varyColors val="0"/>
        <c:ser>
          <c:idx val="0"/>
          <c:order val="0"/>
          <c:tx>
            <c:v>Hrubý průtok</c:v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'Výpočet EG kWh'!$C$3:$O$3</c:f>
              <c:numCache>
                <c:formatCode>General</c:formatCode>
                <c:ptCount val="13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  <c:pt idx="10">
                  <c:v>330</c:v>
                </c:pt>
                <c:pt idx="11">
                  <c:v>355</c:v>
                </c:pt>
                <c:pt idx="12">
                  <c:v>364</c:v>
                </c:pt>
              </c:numCache>
            </c:numRef>
          </c:cat>
          <c:val>
            <c:numRef>
              <c:f>'Výpočet EG kWh'!$C$4:$O$4</c:f>
              <c:numCache>
                <c:formatCode>General</c:formatCode>
                <c:ptCount val="13"/>
                <c:pt idx="0">
                  <c:v>0.92800000000000005</c:v>
                </c:pt>
                <c:pt idx="1">
                  <c:v>0.68100000000000005</c:v>
                </c:pt>
                <c:pt idx="2">
                  <c:v>0.53500000000000003</c:v>
                </c:pt>
                <c:pt idx="3">
                  <c:v>0.442</c:v>
                </c:pt>
                <c:pt idx="4">
                  <c:v>0.373</c:v>
                </c:pt>
                <c:pt idx="5">
                  <c:v>0.32600000000000001</c:v>
                </c:pt>
                <c:pt idx="6">
                  <c:v>0.28399999999999997</c:v>
                </c:pt>
                <c:pt idx="7">
                  <c:v>0.25800000000000001</c:v>
                </c:pt>
                <c:pt idx="8">
                  <c:v>0.22900000000000001</c:v>
                </c:pt>
                <c:pt idx="9">
                  <c:v>0.191</c:v>
                </c:pt>
                <c:pt idx="10">
                  <c:v>0.159</c:v>
                </c:pt>
                <c:pt idx="11">
                  <c:v>0.126</c:v>
                </c:pt>
                <c:pt idx="12">
                  <c:v>9.9000000000000005E-2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C6-4343-AC1F-05872A5F3841}"/>
            </c:ext>
          </c:extLst>
        </c:ser>
        <c:ser>
          <c:idx val="1"/>
          <c:order val="1"/>
          <c:tx>
            <c:v>Využitelný průtok</c:v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'Výpočet EG kWh'!$C$3:$O$3</c:f>
              <c:numCache>
                <c:formatCode>General</c:formatCode>
                <c:ptCount val="13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  <c:pt idx="10">
                  <c:v>330</c:v>
                </c:pt>
                <c:pt idx="11">
                  <c:v>355</c:v>
                </c:pt>
                <c:pt idx="12">
                  <c:v>364</c:v>
                </c:pt>
              </c:numCache>
            </c:numRef>
          </c:cat>
          <c:val>
            <c:numRef>
              <c:f>'Výpočet EG kWh'!$C$7:$O$7</c:f>
              <c:numCache>
                <c:formatCode>General</c:formatCode>
                <c:ptCount val="13"/>
                <c:pt idx="0">
                  <c:v>0.83400000000000007</c:v>
                </c:pt>
                <c:pt idx="1">
                  <c:v>0.58700000000000008</c:v>
                </c:pt>
                <c:pt idx="2">
                  <c:v>0.44100000000000006</c:v>
                </c:pt>
                <c:pt idx="3">
                  <c:v>0.34799999999999998</c:v>
                </c:pt>
                <c:pt idx="4">
                  <c:v>0.27900000000000003</c:v>
                </c:pt>
                <c:pt idx="5">
                  <c:v>0.23200000000000001</c:v>
                </c:pt>
                <c:pt idx="6">
                  <c:v>0.18999999999999997</c:v>
                </c:pt>
                <c:pt idx="7">
                  <c:v>0.16400000000000001</c:v>
                </c:pt>
                <c:pt idx="8">
                  <c:v>0.13500000000000001</c:v>
                </c:pt>
                <c:pt idx="9">
                  <c:v>9.7000000000000003E-2</c:v>
                </c:pt>
                <c:pt idx="10">
                  <c:v>6.5000000000000002E-2</c:v>
                </c:pt>
                <c:pt idx="11">
                  <c:v>3.2000000000000001E-2</c:v>
                </c:pt>
                <c:pt idx="12">
                  <c:v>5.0000000000000044E-3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C6-4343-AC1F-05872A5F384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160984064"/>
        <c:axId val="160985856"/>
      </c:lineChart>
      <c:catAx>
        <c:axId val="16098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0985856"/>
        <c:crosses val="autoZero"/>
        <c:auto val="1"/>
        <c:lblAlgn val="ctr"/>
        <c:lblOffset val="100"/>
        <c:noMultiLvlLbl val="0"/>
      </c:catAx>
      <c:valAx>
        <c:axId val="160985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0984064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90266841644789"/>
          <c:y val="6.2283010471441934E-2"/>
          <c:w val="0.26216776027996502"/>
          <c:h val="0.155710432389722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Rok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'počet MVE'!$B$4:$L$4</c:f>
              <c:numCache>
                <c:formatCode>General</c:formatCode>
                <c:ptCount val="11"/>
                <c:pt idx="0">
                  <c:v>1930</c:v>
                </c:pt>
                <c:pt idx="1">
                  <c:v>1948</c:v>
                </c:pt>
                <c:pt idx="2">
                  <c:v>1979</c:v>
                </c:pt>
                <c:pt idx="3">
                  <c:v>1980</c:v>
                </c:pt>
                <c:pt idx="4">
                  <c:v>1990</c:v>
                </c:pt>
                <c:pt idx="5">
                  <c:v>1995</c:v>
                </c:pt>
                <c:pt idx="6">
                  <c:v>2000</c:v>
                </c:pt>
                <c:pt idx="7">
                  <c:v>2009</c:v>
                </c:pt>
                <c:pt idx="8">
                  <c:v>2011</c:v>
                </c:pt>
                <c:pt idx="9">
                  <c:v>2014</c:v>
                </c:pt>
                <c:pt idx="10">
                  <c:v>2016</c:v>
                </c:pt>
              </c:numCache>
            </c:numRef>
          </c:cat>
          <c:val>
            <c:numRef>
              <c:f>'počet MVE'!$B$5:$L$5</c:f>
              <c:numCache>
                <c:formatCode>General</c:formatCode>
                <c:ptCount val="11"/>
                <c:pt idx="0">
                  <c:v>1164</c:v>
                </c:pt>
                <c:pt idx="1">
                  <c:v>1350</c:v>
                </c:pt>
                <c:pt idx="2">
                  <c:v>104</c:v>
                </c:pt>
                <c:pt idx="3">
                  <c:v>135</c:v>
                </c:pt>
                <c:pt idx="4">
                  <c:v>900</c:v>
                </c:pt>
                <c:pt idx="5">
                  <c:v>1200</c:v>
                </c:pt>
                <c:pt idx="6">
                  <c:v>1352</c:v>
                </c:pt>
                <c:pt idx="7">
                  <c:v>1354</c:v>
                </c:pt>
                <c:pt idx="8">
                  <c:v>1406</c:v>
                </c:pt>
                <c:pt idx="9">
                  <c:v>1572</c:v>
                </c:pt>
                <c:pt idx="10">
                  <c:v>1614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91-453F-AC73-CEE56662166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61028736"/>
        <c:axId val="161031680"/>
      </c:barChart>
      <c:catAx>
        <c:axId val="161028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1031680"/>
        <c:crosses val="autoZero"/>
        <c:auto val="1"/>
        <c:lblAlgn val="ctr"/>
        <c:lblOffset val="100"/>
        <c:noMultiLvlLbl val="0"/>
      </c:catAx>
      <c:valAx>
        <c:axId val="1610316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61028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lt1"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Reálná verze</c:v>
          </c:tx>
          <c:spPr>
            <a:solidFill>
              <a:schemeClr val="accent1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1">
                  <a:lumMod val="75000"/>
                </a:schemeClr>
              </a:contourClr>
            </a:sp3d>
          </c:spPr>
          <c:invertIfNegative val="0"/>
          <c:val>
            <c:numRef>
              <c:f>'CASH FLOW'!$S$3:$S$32</c:f>
              <c:numCache>
                <c:formatCode>_-* #\ ##0\ "Kč"_-;\-* #\ ##0\ "Kč"_-;_-* "-"??\ "Kč"_-;_-@_-</c:formatCode>
                <c:ptCount val="30"/>
                <c:pt idx="0">
                  <c:v>-5685180.882791792</c:v>
                </c:pt>
                <c:pt idx="1">
                  <c:v>-5403654.7212073384</c:v>
                </c:pt>
                <c:pt idx="2">
                  <c:v>-5151895.4473117534</c:v>
                </c:pt>
                <c:pt idx="3">
                  <c:v>-4926751.0761024896</c:v>
                </c:pt>
                <c:pt idx="4">
                  <c:v>-4725403.9418825274</c:v>
                </c:pt>
                <c:pt idx="5">
                  <c:v>-4549800.0197905945</c:v>
                </c:pt>
                <c:pt idx="6">
                  <c:v>-4392676.5883619981</c:v>
                </c:pt>
                <c:pt idx="7">
                  <c:v>-4252087.2855431307</c:v>
                </c:pt>
                <c:pt idx="8">
                  <c:v>-4126290.9202082115</c:v>
                </c:pt>
                <c:pt idx="9">
                  <c:v>-4013729.8226306774</c:v>
                </c:pt>
                <c:pt idx="10">
                  <c:v>-3913672.6640187097</c:v>
                </c:pt>
                <c:pt idx="11">
                  <c:v>-3824129.6093144938</c:v>
                </c:pt>
                <c:pt idx="12">
                  <c:v>-3743995.2471493757</c:v>
                </c:pt>
                <c:pt idx="13">
                  <c:v>-3672280.4553336967</c:v>
                </c:pt>
                <c:pt idx="14">
                  <c:v>-3608100.1586441016</c:v>
                </c:pt>
                <c:pt idx="15">
                  <c:v>-3550662.3764434108</c:v>
                </c:pt>
                <c:pt idx="16">
                  <c:v>-3499258.4241095819</c:v>
                </c:pt>
                <c:pt idx="17">
                  <c:v>-3453254.1466105799</c:v>
                </c:pt>
                <c:pt idx="18">
                  <c:v>-3412082.075404339</c:v>
                </c:pt>
                <c:pt idx="19">
                  <c:v>-3375234.411328102</c:v>
                </c:pt>
                <c:pt idx="20">
                  <c:v>-3342256.746412944</c:v>
                </c:pt>
                <c:pt idx="21">
                  <c:v>-3312742.4467455773</c:v>
                </c:pt>
                <c:pt idx="22">
                  <c:v>-3286327.6267154752</c:v>
                </c:pt>
                <c:pt idx="23">
                  <c:v>-3262686.6523335255</c:v>
                </c:pt>
                <c:pt idx="24">
                  <c:v>-3241528.1178806238</c:v>
                </c:pt>
                <c:pt idx="25">
                  <c:v>-3222591.2460229057</c:v>
                </c:pt>
                <c:pt idx="26">
                  <c:v>-3205642.6667880146</c:v>
                </c:pt>
                <c:pt idx="27">
                  <c:v>-3190473.5354995504</c:v>
                </c:pt>
                <c:pt idx="28">
                  <c:v>-3176896.9539732537</c:v>
                </c:pt>
                <c:pt idx="29">
                  <c:v>-3164745.6630410259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AA-4041-A8A0-1DFB33D53B54}"/>
            </c:ext>
          </c:extLst>
        </c:ser>
        <c:ser>
          <c:idx val="1"/>
          <c:order val="1"/>
          <c:tx>
            <c:v>Optimistická varianta</c:v>
          </c:tx>
          <c:spPr>
            <a:solidFill>
              <a:schemeClr val="accent2"/>
            </a:solidFill>
            <a:ln>
              <a:solidFill>
                <a:schemeClr val="accent2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2">
                  <a:lumMod val="75000"/>
                </a:schemeClr>
              </a:contourClr>
            </a:sp3d>
          </c:spPr>
          <c:invertIfNegative val="0"/>
          <c:val>
            <c:numRef>
              <c:f>'CASH FLOW'!$S$112:$S$141</c:f>
              <c:numCache>
                <c:formatCode>_-* #\ ##0\ "Kč"_-;\-* #\ ##0\ "Kč"_-;_-* "-"??\ "Kč"_-;_-@_-</c:formatCode>
                <c:ptCount val="30"/>
                <c:pt idx="0">
                  <c:v>-5517335.3948777365</c:v>
                </c:pt>
                <c:pt idx="1">
                  <c:v>-5085544.6962171365</c:v>
                </c:pt>
                <c:pt idx="2">
                  <c:v>-4699260.3219848052</c:v>
                </c:pt>
                <c:pt idx="3">
                  <c:v>-4353681.6622019093</c:v>
                </c:pt>
                <c:pt idx="4">
                  <c:v>-4044515.1111747562</c:v>
                </c:pt>
                <c:pt idx="5">
                  <c:v>-3772385.3011623304</c:v>
                </c:pt>
                <c:pt idx="6">
                  <c:v>-3528846.5716849491</c:v>
                </c:pt>
                <c:pt idx="7">
                  <c:v>-3310893.5284463991</c:v>
                </c:pt>
                <c:pt idx="8">
                  <c:v>-3115836.8762541097</c:v>
                </c:pt>
                <c:pt idx="9">
                  <c:v>-2941270.1503351522</c:v>
                </c:pt>
                <c:pt idx="10">
                  <c:v>-2785702.1337630916</c:v>
                </c:pt>
                <c:pt idx="11">
                  <c:v>-2646462.6977159102</c:v>
                </c:pt>
                <c:pt idx="12">
                  <c:v>-2521837.39433059</c:v>
                </c:pt>
                <c:pt idx="13">
                  <c:v>-2410291.8583607464</c:v>
                </c:pt>
                <c:pt idx="14">
                  <c:v>-2310452.8829297326</c:v>
                </c:pt>
                <c:pt idx="15">
                  <c:v>-2221091.4850249966</c:v>
                </c:pt>
                <c:pt idx="16">
                  <c:v>-2141107.7513983785</c:v>
                </c:pt>
                <c:pt idx="17">
                  <c:v>-2069517.2775763785</c:v>
                </c:pt>
                <c:pt idx="18">
                  <c:v>-2005439.032401473</c:v>
                </c:pt>
                <c:pt idx="19">
                  <c:v>-1948084.4981652859</c:v>
                </c:pt>
                <c:pt idx="20">
                  <c:v>-1896747.9521758661</c:v>
                </c:pt>
                <c:pt idx="21">
                  <c:v>-1850797.7697204405</c:v>
                </c:pt>
                <c:pt idx="22">
                  <c:v>-1809668.6410170542</c:v>
                </c:pt>
                <c:pt idx="23">
                  <c:v>-1772854.6060502483</c:v>
                </c:pt>
                <c:pt idx="24">
                  <c:v>-1739902.8212975648</c:v>
                </c:pt>
                <c:pt idx="25">
                  <c:v>-1710407.9814006507</c:v>
                </c:pt>
                <c:pt idx="26">
                  <c:v>-1684007.3269292368</c:v>
                </c:pt>
                <c:pt idx="27">
                  <c:v>-1660376.176628666</c:v>
                </c:pt>
                <c:pt idx="28">
                  <c:v>-1639223.9290217014</c:v>
                </c:pt>
                <c:pt idx="29">
                  <c:v>-1620290.4840333695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AA-4041-A8A0-1DFB33D53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27014528"/>
        <c:axId val="227016064"/>
        <c:axId val="0"/>
      </c:bar3DChart>
      <c:catAx>
        <c:axId val="227014528"/>
        <c:scaling>
          <c:orientation val="minMax"/>
        </c:scaling>
        <c:delete val="0"/>
        <c:axPos val="b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27016064"/>
        <c:crosses val="autoZero"/>
        <c:auto val="1"/>
        <c:lblAlgn val="ctr"/>
        <c:lblOffset val="100"/>
        <c:noMultiLvlLbl val="0"/>
      </c:catAx>
      <c:valAx>
        <c:axId val="227016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_-* #\ ##0\ &quot;Kč&quot;_-;\-* #\ ##0\ &quot;Kč&quot;_-;_-* &quot;-&quot;??\ &quot;Kč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27014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Příjmy z elektřiny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Skutečná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numRef>
              <c:f>SKUTECNE!$E$43:$E$45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SKUTECNE!$F$43:$F$45</c:f>
              <c:numCache>
                <c:formatCode>_("Kč"* #,##0.00_);_("Kč"* \(#,##0.00\);_("Kč"* "-"??_);_(@_)</c:formatCode>
                <c:ptCount val="3"/>
                <c:pt idx="0">
                  <c:v>87532</c:v>
                </c:pt>
                <c:pt idx="1">
                  <c:v>116236</c:v>
                </c:pt>
                <c:pt idx="2">
                  <c:v>179124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97-4E46-820C-0F5F8AAE1255}"/>
            </c:ext>
          </c:extLst>
        </c:ser>
        <c:ser>
          <c:idx val="1"/>
          <c:order val="1"/>
          <c:tx>
            <c:v>Reálná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numRef>
              <c:f>SKUTECNE!$E$43:$E$45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SKUTECNE!$F$49:$F$51</c:f>
              <c:numCache>
                <c:formatCode>0</c:formatCode>
                <c:ptCount val="3"/>
                <c:pt idx="0" formatCode="General">
                  <c:v>260215</c:v>
                </c:pt>
                <c:pt idx="1">
                  <c:v>265419.3</c:v>
                </c:pt>
                <c:pt idx="2">
                  <c:v>270727.68599999999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97-4E46-820C-0F5F8AAE1255}"/>
            </c:ext>
          </c:extLst>
        </c:ser>
        <c:ser>
          <c:idx val="2"/>
          <c:order val="2"/>
          <c:tx>
            <c:v>Optimistická</c:v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numRef>
              <c:f>SKUTECNE!$E$43:$E$45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SKUTECNE!$F$54:$F$56</c:f>
              <c:numCache>
                <c:formatCode>0</c:formatCode>
                <c:ptCount val="3"/>
                <c:pt idx="0" formatCode="General">
                  <c:v>176676</c:v>
                </c:pt>
                <c:pt idx="1">
                  <c:v>180209.52</c:v>
                </c:pt>
                <c:pt idx="2">
                  <c:v>183813.71039999998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97-4E46-820C-0F5F8AAE1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2634815"/>
        <c:axId val="392635231"/>
        <c:axId val="0"/>
      </c:bar3DChart>
      <c:catAx>
        <c:axId val="392634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2635231"/>
        <c:crosses val="autoZero"/>
        <c:auto val="1"/>
        <c:lblAlgn val="ctr"/>
        <c:lblOffset val="100"/>
        <c:noMultiLvlLbl val="0"/>
      </c:catAx>
      <c:valAx>
        <c:axId val="392635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Kč&quot;* #,##0.00_);_(&quot;Kč&quot;* \(#,##0.00\);_(&quot;Kč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2634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Skutečné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numRef>
              <c:f>SKUTECNE!$E$43:$E$45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SKUTECNE!$G$43:$G$45</c:f>
              <c:numCache>
                <c:formatCode>_("Kč"* #,##0.00_);_("Kč"* \(#,##0.00\);_("Kč"* "-"??_);_(@_)</c:formatCode>
                <c:ptCount val="3"/>
                <c:pt idx="0">
                  <c:v>90712</c:v>
                </c:pt>
                <c:pt idx="1">
                  <c:v>226492</c:v>
                </c:pt>
                <c:pt idx="2">
                  <c:v>231473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2D-47BC-A484-76DED82E2F94}"/>
            </c:ext>
          </c:extLst>
        </c:ser>
        <c:ser>
          <c:idx val="1"/>
          <c:order val="1"/>
          <c:tx>
            <c:v>Reálné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numRef>
              <c:f>SKUTECNE!$E$43:$E$45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SKUTECNE!$G$49:$G$51</c:f>
              <c:numCache>
                <c:formatCode>General</c:formatCode>
                <c:ptCount val="3"/>
                <c:pt idx="0">
                  <c:v>204000</c:v>
                </c:pt>
                <c:pt idx="1">
                  <c:v>204000</c:v>
                </c:pt>
                <c:pt idx="2">
                  <c:v>204000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2D-47BC-A484-76DED82E2F94}"/>
            </c:ext>
          </c:extLst>
        </c:ser>
        <c:ser>
          <c:idx val="2"/>
          <c:order val="2"/>
          <c:tx>
            <c:v>Optimistické</c:v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numRef>
              <c:f>SKUTECNE!$E$43:$E$45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SKUTECNE!$G$54:$G$56</c:f>
              <c:numCache>
                <c:formatCode>General</c:formatCode>
                <c:ptCount val="3"/>
                <c:pt idx="0">
                  <c:v>534000</c:v>
                </c:pt>
                <c:pt idx="1">
                  <c:v>534000</c:v>
                </c:pt>
                <c:pt idx="2">
                  <c:v>534000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2D-47BC-A484-76DED82E2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22906863"/>
        <c:axId val="522907279"/>
        <c:axId val="0"/>
      </c:bar3DChart>
      <c:catAx>
        <c:axId val="5229068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2907279"/>
        <c:crosses val="autoZero"/>
        <c:auto val="1"/>
        <c:lblAlgn val="ctr"/>
        <c:lblOffset val="100"/>
        <c:noMultiLvlLbl val="0"/>
      </c:catAx>
      <c:valAx>
        <c:axId val="522907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Kč&quot;* #,##0.00_);_(&quot;Kč&quot;* \(#,##0.00\);_(&quot;Kč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2906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255290641117412"/>
          <c:y val="2.8136477855362444E-2"/>
          <c:w val="0.86486351706036746"/>
          <c:h val="0.8416746864975212"/>
        </c:manualLayout>
      </c:layout>
      <c:bar3DChart>
        <c:barDir val="col"/>
        <c:grouping val="clustered"/>
        <c:varyColors val="0"/>
        <c:ser>
          <c:idx val="0"/>
          <c:order val="0"/>
          <c:tx>
            <c:v>Skutečné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numRef>
              <c:f>SKUTECNE!$E$43:$E$45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SKUTECNE!$H$43:$H$45</c:f>
              <c:numCache>
                <c:formatCode>_("Kč"* #,##0.00_);_("Kč"* \(#,##0.00\);_("Kč"* "-"??_);_(@_)</c:formatCode>
                <c:ptCount val="3"/>
                <c:pt idx="0">
                  <c:v>60538</c:v>
                </c:pt>
                <c:pt idx="1">
                  <c:v>32549</c:v>
                </c:pt>
                <c:pt idx="2">
                  <c:v>59565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72-48BF-B963-55861DC9BA77}"/>
            </c:ext>
          </c:extLst>
        </c:ser>
        <c:ser>
          <c:idx val="1"/>
          <c:order val="1"/>
          <c:tx>
            <c:v>Reálné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SKUTECNE!$H$49:$H$51</c:f>
              <c:numCache>
                <c:formatCode>General</c:formatCode>
                <c:ptCount val="3"/>
                <c:pt idx="0">
                  <c:v>55000</c:v>
                </c:pt>
                <c:pt idx="1">
                  <c:v>55000</c:v>
                </c:pt>
                <c:pt idx="2">
                  <c:v>55000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72-48BF-B963-55861DC9BA77}"/>
            </c:ext>
          </c:extLst>
        </c:ser>
        <c:ser>
          <c:idx val="2"/>
          <c:order val="2"/>
          <c:tx>
            <c:v>Optimistické</c:v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SKUTECNE!$H$54:$H$56</c:f>
              <c:numCache>
                <c:formatCode>General</c:formatCode>
                <c:ptCount val="3"/>
                <c:pt idx="0">
                  <c:v>70000</c:v>
                </c:pt>
                <c:pt idx="1">
                  <c:v>70000</c:v>
                </c:pt>
                <c:pt idx="2">
                  <c:v>70000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72-48BF-B963-55861DC9B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2646047"/>
        <c:axId val="392643551"/>
        <c:axId val="0"/>
      </c:bar3DChart>
      <c:catAx>
        <c:axId val="392646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2643551"/>
        <c:crosses val="autoZero"/>
        <c:auto val="1"/>
        <c:lblAlgn val="ctr"/>
        <c:lblOffset val="100"/>
        <c:noMultiLvlLbl val="0"/>
      </c:catAx>
      <c:valAx>
        <c:axId val="3926435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Kč&quot;* #,##0.00_);_(&quot;Kč&quot;* \(#,##0.00\);_(&quot;Kč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26460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2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>
            <a:lumMod val="75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>
            <a:lumMod val="75000"/>
          </a:schemeClr>
        </a:solidFill>
      </a:ln>
      <a:scene3d>
        <a:camera prst="orthographicFront"/>
        <a:lightRig rig="threePt" dir="t"/>
      </a:scene3d>
      <a:sp3d prstMaterial="translucentPowder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  <a:ln>
        <a:solidFill>
          <a:schemeClr val="phClr">
            <a:lumMod val="7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lt1"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40</xdr:row>
      <xdr:rowOff>100012</xdr:rowOff>
    </xdr:from>
    <xdr:to>
      <xdr:col>20</xdr:col>
      <xdr:colOff>161925</xdr:colOff>
      <xdr:row>54</xdr:row>
      <xdr:rowOff>176212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ECAEF0AD-8DED-4CDD-9C09-1C4220868C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76200</xdr:colOff>
      <xdr:row>5</xdr:row>
      <xdr:rowOff>161925</xdr:rowOff>
    </xdr:from>
    <xdr:to>
      <xdr:col>8</xdr:col>
      <xdr:colOff>533400</xdr:colOff>
      <xdr:row>20</xdr:row>
      <xdr:rowOff>47625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23D0BDCB-01BA-4927-8824-4A373411E3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4</xdr:row>
      <xdr:rowOff>14287</xdr:rowOff>
    </xdr:from>
    <xdr:to>
      <xdr:col>11</xdr:col>
      <xdr:colOff>381000</xdr:colOff>
      <xdr:row>18</xdr:row>
      <xdr:rowOff>90487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CA3B8E1F-3542-49D1-86E5-58367D3175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476250</xdr:colOff>
      <xdr:row>8</xdr:row>
      <xdr:rowOff>52387</xdr:rowOff>
    </xdr:from>
    <xdr:to>
      <xdr:col>18</xdr:col>
      <xdr:colOff>171450</xdr:colOff>
      <xdr:row>22</xdr:row>
      <xdr:rowOff>138112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5907E2D9-3920-447E-AF30-10CCED849A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6</xdr:row>
      <xdr:rowOff>152400</xdr:rowOff>
    </xdr:from>
    <xdr:to>
      <xdr:col>11</xdr:col>
      <xdr:colOff>390525</xdr:colOff>
      <xdr:row>21</xdr:row>
      <xdr:rowOff>28575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C013E99-D37A-4175-9912-2571CFF718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666750</xdr:colOff>
      <xdr:row>42</xdr:row>
      <xdr:rowOff>142875</xdr:rowOff>
    </xdr:from>
    <xdr:to>
      <xdr:col>14</xdr:col>
      <xdr:colOff>714375</xdr:colOff>
      <xdr:row>61</xdr:row>
      <xdr:rowOff>76200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238125</xdr:colOff>
      <xdr:row>25</xdr:row>
      <xdr:rowOff>61912</xdr:rowOff>
    </xdr:from>
    <xdr:to>
      <xdr:col>13</xdr:col>
      <xdr:colOff>457200</xdr:colOff>
      <xdr:row>39</xdr:row>
      <xdr:rowOff>109537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085C4F17-99CA-0CEA-A654-27703E84A9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561975</xdr:colOff>
      <xdr:row>44</xdr:row>
      <xdr:rowOff>147637</xdr:rowOff>
    </xdr:from>
    <xdr:to>
      <xdr:col>19</xdr:col>
      <xdr:colOff>533400</xdr:colOff>
      <xdr:row>59</xdr:row>
      <xdr:rowOff>33337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27CDDA19-38B3-FA08-3CB8-FE9C203741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542924</xdr:colOff>
      <xdr:row>51</xdr:row>
      <xdr:rowOff>4761</xdr:rowOff>
    </xdr:from>
    <xdr:to>
      <xdr:col>14</xdr:col>
      <xdr:colOff>247649</xdr:colOff>
      <xdr:row>65</xdr:row>
      <xdr:rowOff>104774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1082BC61-B717-9117-F031-4D33C310B9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CC79D05-EAD8-42DD-9C8E-7FD732907285}" name="Tabulka1" displayName="Tabulka1" ref="E42:H45" totalsRowShown="0" headerRowDxfId="0" headerRowBorderDxfId="6" tableBorderDxfId="7" totalsRowBorderDxfId="5">
  <autoFilter ref="E42:H45" xr:uid="{3CC79D05-EAD8-42DD-9C8E-7FD732907285}"/>
  <tableColumns count="4">
    <tableColumn id="1" xr3:uid="{16B065B7-A1DD-4D51-B296-3F20B5E67C26}" name="SKUTEČNÉ" dataDxfId="4"/>
    <tableColumn id="2" xr3:uid="{A2877FD9-0701-46FF-8CDD-BA3993B6C4F2}" name="Příjmy z elektřiny" dataDxfId="3" dataCellStyle="Měna"/>
    <tableColumn id="3" xr3:uid="{70AEF70B-AA3B-4926-9ECA-2E4CF631286E}" name="Příjmy z ubytování" dataDxfId="2" dataCellStyle="Měna"/>
    <tableColumn id="4" xr3:uid="{3D804417-DEA6-4215-BD31-E77BED26DEF9}" name="Náklady" dataDxfId="1" dataCellStyle="Měna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8"/>
  <sheetViews>
    <sheetView topLeftCell="A10" workbookViewId="0">
      <selection activeCell="P12" sqref="P12"/>
    </sheetView>
  </sheetViews>
  <sheetFormatPr defaultRowHeight="15" x14ac:dyDescent="0.25"/>
  <cols>
    <col min="1" max="1" width="10.140625" bestFit="1" customWidth="1"/>
    <col min="5" max="5" width="16" bestFit="1" customWidth="1"/>
  </cols>
  <sheetData>
    <row r="1" spans="1:15" x14ac:dyDescent="0.25">
      <c r="A1" t="s">
        <v>1</v>
      </c>
      <c r="B1" t="s">
        <v>0</v>
      </c>
      <c r="E1" t="s">
        <v>22</v>
      </c>
    </row>
    <row r="2" spans="1:15" x14ac:dyDescent="0.25">
      <c r="A2" s="1">
        <v>42643</v>
      </c>
      <c r="D2" t="s">
        <v>2</v>
      </c>
      <c r="E2" t="s">
        <v>3</v>
      </c>
      <c r="F2" t="s">
        <v>4</v>
      </c>
      <c r="G2" t="s">
        <v>5</v>
      </c>
      <c r="H2" t="s">
        <v>23</v>
      </c>
    </row>
    <row r="3" spans="1:15" x14ac:dyDescent="0.25">
      <c r="A3" s="1">
        <v>42674</v>
      </c>
      <c r="B3">
        <v>1.2E-2</v>
      </c>
      <c r="C3">
        <f>A3-A2</f>
        <v>31</v>
      </c>
      <c r="D3">
        <f>30*B3/C3</f>
        <v>1.1612903225806451E-2</v>
      </c>
    </row>
    <row r="4" spans="1:15" x14ac:dyDescent="0.25">
      <c r="A4" s="1">
        <v>42704</v>
      </c>
      <c r="B4">
        <v>0</v>
      </c>
      <c r="C4">
        <f t="shared" ref="C4:C58" si="0">A4-A3</f>
        <v>30</v>
      </c>
      <c r="D4">
        <f t="shared" ref="D4:D58" si="1">30*B4/C4</f>
        <v>0</v>
      </c>
      <c r="J4" t="s">
        <v>26</v>
      </c>
    </row>
    <row r="5" spans="1:15" x14ac:dyDescent="0.25">
      <c r="A5" s="1">
        <v>42735</v>
      </c>
      <c r="B5">
        <v>0</v>
      </c>
      <c r="C5">
        <f t="shared" si="0"/>
        <v>31</v>
      </c>
      <c r="D5">
        <f t="shared" si="1"/>
        <v>0</v>
      </c>
      <c r="J5" t="s">
        <v>25</v>
      </c>
      <c r="K5" t="s">
        <v>21</v>
      </c>
      <c r="L5" s="2" t="s">
        <v>6</v>
      </c>
      <c r="M5" s="2" t="s">
        <v>7</v>
      </c>
      <c r="N5" s="2" t="s">
        <v>8</v>
      </c>
    </row>
    <row r="6" spans="1:15" x14ac:dyDescent="0.25">
      <c r="A6" s="1">
        <v>42766</v>
      </c>
      <c r="B6">
        <v>0</v>
      </c>
      <c r="C6">
        <f t="shared" si="0"/>
        <v>31</v>
      </c>
      <c r="D6">
        <f t="shared" si="1"/>
        <v>0</v>
      </c>
      <c r="J6" s="7">
        <f>K6*$K$19</f>
        <v>1.1804555904294194</v>
      </c>
      <c r="K6">
        <f>(H18+H30+H42)/3</f>
        <v>1.2841258307900933</v>
      </c>
      <c r="L6" s="3" t="s">
        <v>9</v>
      </c>
      <c r="M6" s="4">
        <f>AVERAGE(G18,G30,G42)</f>
        <v>1.0958406540777228</v>
      </c>
      <c r="N6" s="5">
        <f>M6-$M$18/12</f>
        <v>0.85200136479999078</v>
      </c>
      <c r="O6" s="4"/>
    </row>
    <row r="7" spans="1:15" x14ac:dyDescent="0.25">
      <c r="A7" s="1">
        <v>42794</v>
      </c>
      <c r="B7">
        <v>0</v>
      </c>
      <c r="C7">
        <f t="shared" si="0"/>
        <v>28</v>
      </c>
      <c r="D7">
        <f>30*B7/C7</f>
        <v>0</v>
      </c>
      <c r="J7" s="7">
        <f>K7*$K$19</f>
        <v>0.55554454006510279</v>
      </c>
      <c r="K7">
        <f>(H19+H31+H43)/3</f>
        <v>0.60433369949350479</v>
      </c>
      <c r="L7" s="3" t="s">
        <v>10</v>
      </c>
      <c r="M7" s="4">
        <f t="shared" ref="M7" si="2">AVERAGE(G19,G31,G43)</f>
        <v>-1.4964711738792662</v>
      </c>
      <c r="N7" s="5">
        <f t="shared" ref="N7:N17" si="3">M7-$M$18/12</f>
        <v>-1.7403104631569981</v>
      </c>
    </row>
    <row r="8" spans="1:15" x14ac:dyDescent="0.25">
      <c r="A8" s="1">
        <v>42825</v>
      </c>
      <c r="B8">
        <v>2.0680000000000001</v>
      </c>
      <c r="C8">
        <f t="shared" si="0"/>
        <v>31</v>
      </c>
      <c r="D8">
        <f t="shared" si="1"/>
        <v>2.0012903225806453</v>
      </c>
      <c r="J8" s="7">
        <f t="shared" ref="J8:J17" si="4">K8*$K$19</f>
        <v>2.052060602132634</v>
      </c>
      <c r="K8">
        <f t="shared" ref="K8" si="5">(H20+H32+H44)/3</f>
        <v>2.2322771368185097</v>
      </c>
      <c r="L8" s="3" t="s">
        <v>11</v>
      </c>
      <c r="M8" s="4">
        <f>AVERAGE(G20,G32,G44)</f>
        <v>4.9148715680562178</v>
      </c>
      <c r="N8" s="5">
        <f t="shared" si="3"/>
        <v>4.6710322787784859</v>
      </c>
    </row>
    <row r="9" spans="1:15" x14ac:dyDescent="0.25">
      <c r="A9" s="1">
        <v>42855</v>
      </c>
      <c r="B9">
        <v>9.0960000000000001</v>
      </c>
      <c r="C9">
        <f t="shared" si="0"/>
        <v>30</v>
      </c>
      <c r="D9">
        <f t="shared" si="1"/>
        <v>9.0960000000000001</v>
      </c>
      <c r="E9">
        <f>AVERAGE(D3:D14)</f>
        <v>1.8394516129032257</v>
      </c>
      <c r="F9">
        <f>AVERAGE(E9:E10)</f>
        <v>1.9043306451612902</v>
      </c>
      <c r="G9">
        <f>B9-F9</f>
        <v>7.1916693548387096</v>
      </c>
      <c r="H9">
        <f>D9/E9</f>
        <v>4.9449520368973925</v>
      </c>
      <c r="J9" s="7">
        <f>K9*$K$19</f>
        <v>3.0343414526405046</v>
      </c>
      <c r="K9">
        <f>(H9+H21+H33+H45)/4</f>
        <v>3.300824080434376</v>
      </c>
      <c r="L9" s="3" t="s">
        <v>12</v>
      </c>
      <c r="M9" s="4">
        <f>AVERAGE(G9,G21,G33,G45)</f>
        <v>6.3741143615260345</v>
      </c>
      <c r="N9" s="5">
        <f t="shared" si="3"/>
        <v>6.1302750722483026</v>
      </c>
    </row>
    <row r="10" spans="1:15" x14ac:dyDescent="0.25">
      <c r="A10" s="1">
        <v>42886</v>
      </c>
      <c r="B10">
        <v>8.1910000000000007</v>
      </c>
      <c r="C10">
        <f t="shared" si="0"/>
        <v>31</v>
      </c>
      <c r="D10">
        <f t="shared" si="1"/>
        <v>7.926774193548388</v>
      </c>
      <c r="E10">
        <f t="shared" ref="E10:E52" si="6">AVERAGE(D4:D15)</f>
        <v>1.9692096774193548</v>
      </c>
      <c r="F10">
        <f t="shared" ref="F10:F51" si="7">AVERAGE(E10:E11)</f>
        <v>2.0913346774193551</v>
      </c>
      <c r="G10">
        <f t="shared" ref="G10:G52" si="8">B10-F10</f>
        <v>6.0996653225806456</v>
      </c>
      <c r="H10">
        <f t="shared" ref="H10:H52" si="9">D10/E10</f>
        <v>4.025358134506229</v>
      </c>
      <c r="J10" s="7">
        <f t="shared" si="4"/>
        <v>2.4382780543571472</v>
      </c>
      <c r="K10">
        <f>(H10+H22+H34+H46)/4</f>
        <v>2.6524130663057188</v>
      </c>
      <c r="L10" s="3" t="s">
        <v>13</v>
      </c>
      <c r="M10" s="4">
        <f>AVERAGE(G10,G22,G34,G46)</f>
        <v>4.7064587835690448</v>
      </c>
      <c r="N10" s="5">
        <f t="shared" si="3"/>
        <v>4.4626194942913129</v>
      </c>
    </row>
    <row r="11" spans="1:15" x14ac:dyDescent="0.25">
      <c r="A11" s="1">
        <v>42916</v>
      </c>
      <c r="B11">
        <v>1.0489999999999999</v>
      </c>
      <c r="C11">
        <f t="shared" si="0"/>
        <v>30</v>
      </c>
      <c r="D11">
        <f>30*B11/C11</f>
        <v>1.0489999999999999</v>
      </c>
      <c r="E11">
        <f t="shared" si="6"/>
        <v>2.2134596774193551</v>
      </c>
      <c r="F11">
        <f t="shared" si="7"/>
        <v>2.4027338709677419</v>
      </c>
      <c r="G11">
        <f t="shared" si="8"/>
        <v>-1.353733870967742</v>
      </c>
      <c r="H11">
        <f t="shared" si="9"/>
        <v>0.47391873034841814</v>
      </c>
      <c r="J11" s="7">
        <f t="shared" si="4"/>
        <v>0.79540494347649493</v>
      </c>
      <c r="K11">
        <f t="shared" ref="K11:K16" si="10">(H11+H23+H35+H47)/4</f>
        <v>0.86525917801341623</v>
      </c>
      <c r="L11" s="3" t="s">
        <v>14</v>
      </c>
      <c r="M11" s="4">
        <f t="shared" ref="M11:M16" si="11">AVERAGE(G11,G23,G35,G47)</f>
        <v>-3.5122197613750794E-2</v>
      </c>
      <c r="N11" s="5">
        <f t="shared" si="3"/>
        <v>-0.27896148689148281</v>
      </c>
    </row>
    <row r="12" spans="1:15" x14ac:dyDescent="0.25">
      <c r="A12" s="1">
        <v>42947</v>
      </c>
      <c r="B12">
        <v>7.0000000000000007E-2</v>
      </c>
      <c r="C12">
        <f t="shared" si="0"/>
        <v>31</v>
      </c>
      <c r="D12">
        <f t="shared" si="1"/>
        <v>6.7741935483870974E-2</v>
      </c>
      <c r="E12">
        <f t="shared" si="6"/>
        <v>2.5920080645161292</v>
      </c>
      <c r="F12">
        <f t="shared" si="7"/>
        <v>2.9644677419354837</v>
      </c>
      <c r="G12">
        <f t="shared" si="8"/>
        <v>-2.8944677419354838</v>
      </c>
      <c r="H12">
        <f t="shared" si="9"/>
        <v>2.6134924659857069E-2</v>
      </c>
      <c r="J12" s="7">
        <f t="shared" si="4"/>
        <v>0.11411788514581464</v>
      </c>
      <c r="K12">
        <f t="shared" si="10"/>
        <v>0.12413997210820069</v>
      </c>
      <c r="L12" s="3" t="s">
        <v>15</v>
      </c>
      <c r="M12" s="4">
        <f t="shared" si="11"/>
        <v>-2.8641383266460085</v>
      </c>
      <c r="N12" s="5">
        <f t="shared" si="3"/>
        <v>-3.1079776159237404</v>
      </c>
    </row>
    <row r="13" spans="1:15" x14ac:dyDescent="0.25">
      <c r="A13" s="1">
        <v>42978</v>
      </c>
      <c r="B13">
        <v>0</v>
      </c>
      <c r="C13">
        <f t="shared" si="0"/>
        <v>31</v>
      </c>
      <c r="D13">
        <f t="shared" si="1"/>
        <v>0</v>
      </c>
      <c r="E13">
        <f t="shared" si="6"/>
        <v>3.3369274193548386</v>
      </c>
      <c r="F13">
        <f t="shared" si="7"/>
        <v>3.4388470622119813</v>
      </c>
      <c r="G13">
        <f t="shared" si="8"/>
        <v>-3.4388470622119813</v>
      </c>
      <c r="H13">
        <f t="shared" si="9"/>
        <v>0</v>
      </c>
      <c r="J13" s="7">
        <f t="shared" si="4"/>
        <v>4.5854082988483445E-2</v>
      </c>
      <c r="K13">
        <f t="shared" si="10"/>
        <v>4.988109073318403E-2</v>
      </c>
      <c r="L13" s="3" t="s">
        <v>16</v>
      </c>
      <c r="M13" s="4">
        <f t="shared" si="11"/>
        <v>-3.3263405875907095</v>
      </c>
      <c r="N13" s="5">
        <f t="shared" si="3"/>
        <v>-3.5701798768684414</v>
      </c>
    </row>
    <row r="14" spans="1:15" x14ac:dyDescent="0.25">
      <c r="A14" s="1">
        <v>43008</v>
      </c>
      <c r="B14">
        <v>1.921</v>
      </c>
      <c r="C14">
        <f t="shared" si="0"/>
        <v>30</v>
      </c>
      <c r="D14">
        <f t="shared" si="1"/>
        <v>1.921</v>
      </c>
      <c r="E14">
        <f t="shared" si="6"/>
        <v>3.5407667050691245</v>
      </c>
      <c r="F14">
        <f t="shared" si="7"/>
        <v>3.6159683179723503</v>
      </c>
      <c r="G14">
        <f t="shared" si="8"/>
        <v>-1.6949683179723503</v>
      </c>
      <c r="H14">
        <f t="shared" si="9"/>
        <v>0.54253786256231118</v>
      </c>
      <c r="J14" s="7">
        <f t="shared" si="4"/>
        <v>0.37487136605599969</v>
      </c>
      <c r="K14">
        <f t="shared" si="10"/>
        <v>0.40779340474889314</v>
      </c>
      <c r="L14" s="3" t="s">
        <v>17</v>
      </c>
      <c r="M14" s="4">
        <f>AVERAGE(G14,G26,G38,G50)</f>
        <v>-1.894413816277345</v>
      </c>
      <c r="N14" s="5">
        <f t="shared" si="3"/>
        <v>-2.1382531055550769</v>
      </c>
    </row>
    <row r="15" spans="1:15" x14ac:dyDescent="0.25">
      <c r="A15" s="1">
        <v>43039</v>
      </c>
      <c r="B15">
        <v>1.621</v>
      </c>
      <c r="C15">
        <f t="shared" si="0"/>
        <v>31</v>
      </c>
      <c r="D15">
        <f t="shared" si="1"/>
        <v>1.568709677419355</v>
      </c>
      <c r="E15">
        <f t="shared" si="6"/>
        <v>3.6911699308755761</v>
      </c>
      <c r="F15">
        <f t="shared" si="7"/>
        <v>3.7645865975422428</v>
      </c>
      <c r="G15">
        <f t="shared" si="8"/>
        <v>-2.1435865975422428</v>
      </c>
      <c r="H15">
        <f t="shared" si="9"/>
        <v>0.42498982891509524</v>
      </c>
      <c r="J15" s="7">
        <f t="shared" si="4"/>
        <v>0.36200877769530487</v>
      </c>
      <c r="K15">
        <f t="shared" si="10"/>
        <v>0.3938011952166568</v>
      </c>
      <c r="L15" s="3" t="s">
        <v>18</v>
      </c>
      <c r="M15" s="4">
        <f t="shared" si="11"/>
        <v>-1.925626181868743</v>
      </c>
      <c r="N15" s="5">
        <f t="shared" si="3"/>
        <v>-2.1694654711464749</v>
      </c>
    </row>
    <row r="16" spans="1:15" x14ac:dyDescent="0.25">
      <c r="A16" s="1">
        <v>43069</v>
      </c>
      <c r="B16">
        <v>2.931</v>
      </c>
      <c r="C16">
        <f t="shared" si="0"/>
        <v>30</v>
      </c>
      <c r="D16">
        <f t="shared" si="1"/>
        <v>2.931</v>
      </c>
      <c r="E16">
        <f t="shared" si="6"/>
        <v>3.838003264208909</v>
      </c>
      <c r="F16">
        <f t="shared" si="7"/>
        <v>3.7050193932411672</v>
      </c>
      <c r="G16">
        <f t="shared" si="8"/>
        <v>-0.7740193932411672</v>
      </c>
      <c r="H16">
        <f t="shared" si="9"/>
        <v>0.76367834997246653</v>
      </c>
      <c r="J16" s="7">
        <f t="shared" si="4"/>
        <v>0.45141032825966232</v>
      </c>
      <c r="K16">
        <f t="shared" si="10"/>
        <v>0.49105418916504895</v>
      </c>
      <c r="L16" s="3" t="s">
        <v>19</v>
      </c>
      <c r="M16" s="4">
        <f t="shared" si="11"/>
        <v>-1.6182357248794956</v>
      </c>
      <c r="N16" s="5">
        <f t="shared" si="3"/>
        <v>-1.8620750141572275</v>
      </c>
    </row>
    <row r="17" spans="1:14" x14ac:dyDescent="0.25">
      <c r="A17" s="1">
        <v>43100</v>
      </c>
      <c r="B17">
        <v>4.694</v>
      </c>
      <c r="C17">
        <f t="shared" si="0"/>
        <v>31</v>
      </c>
      <c r="D17">
        <f t="shared" si="1"/>
        <v>4.5425806451612898</v>
      </c>
      <c r="E17">
        <f t="shared" si="6"/>
        <v>3.5720355222734255</v>
      </c>
      <c r="F17">
        <f t="shared" si="7"/>
        <v>3.5283271889400925</v>
      </c>
      <c r="G17">
        <f t="shared" si="8"/>
        <v>1.1656728110599075</v>
      </c>
      <c r="H17">
        <f t="shared" si="9"/>
        <v>1.2717064589184599</v>
      </c>
      <c r="J17" s="7">
        <f t="shared" si="4"/>
        <v>0.59565237675343219</v>
      </c>
      <c r="K17">
        <f>(H17+H29+H41)/3</f>
        <v>0.64796389577209468</v>
      </c>
      <c r="L17" s="3" t="s">
        <v>20</v>
      </c>
      <c r="M17" s="4">
        <f>AVERAGE(G17,G29,G41)</f>
        <v>-1.0048658871409148</v>
      </c>
      <c r="N17" s="5">
        <f t="shared" si="3"/>
        <v>-1.2487051764186468</v>
      </c>
    </row>
    <row r="18" spans="1:14" x14ac:dyDescent="0.25">
      <c r="A18" s="1">
        <v>43131</v>
      </c>
      <c r="B18">
        <v>9.2370000000000001</v>
      </c>
      <c r="C18">
        <f t="shared" si="0"/>
        <v>31</v>
      </c>
      <c r="D18">
        <f t="shared" si="1"/>
        <v>8.9390322580645165</v>
      </c>
      <c r="E18">
        <f t="shared" si="6"/>
        <v>3.4846188556067594</v>
      </c>
      <c r="F18">
        <f t="shared" si="7"/>
        <v>3.4817962749615976</v>
      </c>
      <c r="G18">
        <f t="shared" si="8"/>
        <v>5.7552037250384025</v>
      </c>
      <c r="H18">
        <f t="shared" si="9"/>
        <v>2.5652826402180526</v>
      </c>
      <c r="J18" t="s">
        <v>24</v>
      </c>
      <c r="K18" s="6">
        <f>SUM(K6:K17)</f>
        <v>13.053866739599698</v>
      </c>
      <c r="M18" s="4">
        <f>SUM(M6:M17)</f>
        <v>2.9260714713327838</v>
      </c>
      <c r="N18" s="4">
        <f>SUM(N6:N17)</f>
        <v>3.1086244689504383E-15</v>
      </c>
    </row>
    <row r="19" spans="1:14" x14ac:dyDescent="0.25">
      <c r="A19" s="1">
        <v>43159</v>
      </c>
      <c r="B19">
        <v>2.2829999999999999</v>
      </c>
      <c r="C19">
        <f t="shared" si="0"/>
        <v>28</v>
      </c>
      <c r="D19">
        <f t="shared" si="1"/>
        <v>2.4460714285714285</v>
      </c>
      <c r="E19">
        <f t="shared" si="6"/>
        <v>3.4789736943164358</v>
      </c>
      <c r="F19">
        <f t="shared" si="7"/>
        <v>3.4789736943164358</v>
      </c>
      <c r="G19">
        <f t="shared" si="8"/>
        <v>-1.1959736943164359</v>
      </c>
      <c r="H19">
        <f t="shared" si="9"/>
        <v>0.70310144413208719</v>
      </c>
      <c r="K19">
        <f>12/K18</f>
        <v>0.91926784908852111</v>
      </c>
    </row>
    <row r="20" spans="1:14" x14ac:dyDescent="0.25">
      <c r="A20" s="1">
        <v>43190</v>
      </c>
      <c r="B20">
        <v>3.9329999999999998</v>
      </c>
      <c r="C20">
        <f t="shared" si="0"/>
        <v>31</v>
      </c>
      <c r="D20">
        <f t="shared" si="1"/>
        <v>3.8061290322580645</v>
      </c>
      <c r="E20">
        <f t="shared" si="6"/>
        <v>3.4789736943164358</v>
      </c>
      <c r="F20">
        <f t="shared" si="7"/>
        <v>3.3989320276497694</v>
      </c>
      <c r="G20">
        <f t="shared" si="8"/>
        <v>0.5340679723502304</v>
      </c>
      <c r="H20">
        <f t="shared" si="9"/>
        <v>1.0940378878046992</v>
      </c>
    </row>
    <row r="21" spans="1:14" x14ac:dyDescent="0.25">
      <c r="A21" s="1">
        <v>43220</v>
      </c>
      <c r="B21">
        <v>10.858000000000001</v>
      </c>
      <c r="C21">
        <f t="shared" si="0"/>
        <v>30</v>
      </c>
      <c r="D21">
        <f t="shared" si="1"/>
        <v>10.858000000000001</v>
      </c>
      <c r="E21">
        <f t="shared" si="6"/>
        <v>3.3188903609831031</v>
      </c>
      <c r="F21">
        <f t="shared" si="7"/>
        <v>3.2535274577572961</v>
      </c>
      <c r="G21">
        <f t="shared" si="8"/>
        <v>7.6044725422427044</v>
      </c>
      <c r="H21">
        <f t="shared" si="9"/>
        <v>3.2715753818344591</v>
      </c>
    </row>
    <row r="22" spans="1:14" x14ac:dyDescent="0.25">
      <c r="A22" s="1">
        <v>43251</v>
      </c>
      <c r="B22">
        <v>4.8929999999999998</v>
      </c>
      <c r="C22">
        <f t="shared" si="0"/>
        <v>31</v>
      </c>
      <c r="D22">
        <f t="shared" si="1"/>
        <v>4.7351612903225808</v>
      </c>
      <c r="E22">
        <f t="shared" si="6"/>
        <v>3.1881645545314896</v>
      </c>
      <c r="F22">
        <f t="shared" si="7"/>
        <v>3.06603955453149</v>
      </c>
      <c r="G22">
        <f t="shared" si="8"/>
        <v>1.8269604454685098</v>
      </c>
      <c r="H22">
        <f t="shared" si="9"/>
        <v>1.4852311445443653</v>
      </c>
    </row>
    <row r="23" spans="1:14" x14ac:dyDescent="0.25">
      <c r="A23" s="1">
        <v>43281</v>
      </c>
      <c r="B23">
        <v>0</v>
      </c>
      <c r="C23">
        <f t="shared" si="0"/>
        <v>30</v>
      </c>
      <c r="D23">
        <f t="shared" si="1"/>
        <v>0</v>
      </c>
      <c r="E23">
        <f t="shared" si="6"/>
        <v>2.94391455453149</v>
      </c>
      <c r="F23">
        <f t="shared" si="7"/>
        <v>2.7546403609831032</v>
      </c>
      <c r="G23">
        <f t="shared" si="8"/>
        <v>-2.7546403609831032</v>
      </c>
      <c r="H23">
        <f t="shared" si="9"/>
        <v>0</v>
      </c>
    </row>
    <row r="24" spans="1:14" x14ac:dyDescent="0.25">
      <c r="A24" s="1">
        <v>43312</v>
      </c>
      <c r="B24">
        <v>0</v>
      </c>
      <c r="C24">
        <f t="shared" si="0"/>
        <v>31</v>
      </c>
      <c r="D24">
        <f t="shared" si="1"/>
        <v>0</v>
      </c>
      <c r="E24">
        <f t="shared" si="6"/>
        <v>2.5653661674347159</v>
      </c>
      <c r="F24">
        <f t="shared" si="7"/>
        <v>2.2843581029185867</v>
      </c>
      <c r="G24">
        <f t="shared" si="8"/>
        <v>-2.2843581029185867</v>
      </c>
      <c r="H24">
        <f t="shared" si="9"/>
        <v>0</v>
      </c>
    </row>
    <row r="25" spans="1:14" x14ac:dyDescent="0.25">
      <c r="A25" s="1">
        <v>43343</v>
      </c>
      <c r="B25">
        <v>0</v>
      </c>
      <c r="C25">
        <f t="shared" si="0"/>
        <v>31</v>
      </c>
      <c r="D25">
        <f t="shared" si="1"/>
        <v>0</v>
      </c>
      <c r="E25">
        <f t="shared" si="6"/>
        <v>2.0033500384024578</v>
      </c>
      <c r="F25">
        <f t="shared" si="7"/>
        <v>1.9528589669738865</v>
      </c>
      <c r="G25">
        <f t="shared" si="8"/>
        <v>-1.9528589669738865</v>
      </c>
      <c r="H25">
        <f t="shared" si="9"/>
        <v>0</v>
      </c>
    </row>
    <row r="26" spans="1:14" x14ac:dyDescent="0.25">
      <c r="A26" s="1">
        <v>43373</v>
      </c>
      <c r="B26">
        <v>0</v>
      </c>
      <c r="C26">
        <f t="shared" si="0"/>
        <v>30</v>
      </c>
      <c r="D26">
        <f t="shared" si="1"/>
        <v>0</v>
      </c>
      <c r="E26">
        <f t="shared" si="6"/>
        <v>1.9023678955453152</v>
      </c>
      <c r="F26">
        <f t="shared" si="7"/>
        <v>2.0302711213517668</v>
      </c>
      <c r="G26">
        <f t="shared" si="8"/>
        <v>-2.0302711213517668</v>
      </c>
      <c r="H26">
        <f t="shared" si="9"/>
        <v>0</v>
      </c>
    </row>
    <row r="27" spans="1:14" x14ac:dyDescent="0.25">
      <c r="A27" s="1">
        <v>43404</v>
      </c>
      <c r="B27">
        <v>0</v>
      </c>
      <c r="C27">
        <f t="shared" si="0"/>
        <v>31</v>
      </c>
      <c r="D27">
        <f t="shared" si="1"/>
        <v>0</v>
      </c>
      <c r="E27">
        <f t="shared" si="6"/>
        <v>2.158174347158218</v>
      </c>
      <c r="F27">
        <f t="shared" si="7"/>
        <v>2.1136326804915511</v>
      </c>
      <c r="G27">
        <f t="shared" si="8"/>
        <v>-2.1136326804915511</v>
      </c>
      <c r="H27">
        <f t="shared" si="9"/>
        <v>0</v>
      </c>
    </row>
    <row r="28" spans="1:14" x14ac:dyDescent="0.25">
      <c r="A28" s="1">
        <v>43434</v>
      </c>
      <c r="B28">
        <v>0</v>
      </c>
      <c r="C28">
        <f t="shared" si="0"/>
        <v>30</v>
      </c>
      <c r="D28">
        <f t="shared" si="1"/>
        <v>0</v>
      </c>
      <c r="E28">
        <f t="shared" si="6"/>
        <v>2.0690910138248846</v>
      </c>
      <c r="F28">
        <f t="shared" si="7"/>
        <v>2.4205829493087556</v>
      </c>
      <c r="G28">
        <f t="shared" si="8"/>
        <v>-2.4205829493087556</v>
      </c>
      <c r="H28">
        <f t="shared" si="9"/>
        <v>0</v>
      </c>
    </row>
    <row r="29" spans="1:14" x14ac:dyDescent="0.25">
      <c r="A29" s="1">
        <v>43465</v>
      </c>
      <c r="B29">
        <v>0</v>
      </c>
      <c r="C29">
        <f t="shared" si="0"/>
        <v>31</v>
      </c>
      <c r="D29">
        <f t="shared" si="1"/>
        <v>0</v>
      </c>
      <c r="E29">
        <f t="shared" si="6"/>
        <v>2.7720748847926266</v>
      </c>
      <c r="F29">
        <f t="shared" si="7"/>
        <v>2.9926582181259596</v>
      </c>
      <c r="G29">
        <f t="shared" si="8"/>
        <v>-2.9926582181259596</v>
      </c>
      <c r="H29">
        <f t="shared" si="9"/>
        <v>0</v>
      </c>
    </row>
    <row r="30" spans="1:14" x14ac:dyDescent="0.25">
      <c r="A30" s="1">
        <v>43496</v>
      </c>
      <c r="B30">
        <v>2.2679999999999998</v>
      </c>
      <c r="C30">
        <f t="shared" si="0"/>
        <v>31</v>
      </c>
      <c r="D30">
        <f t="shared" si="1"/>
        <v>2.1948387096774189</v>
      </c>
      <c r="E30">
        <f t="shared" si="6"/>
        <v>3.2132415514592929</v>
      </c>
      <c r="F30">
        <f t="shared" si="7"/>
        <v>3.2132415514592929</v>
      </c>
      <c r="G30">
        <f t="shared" si="8"/>
        <v>-0.94524155145929312</v>
      </c>
      <c r="H30">
        <f t="shared" si="9"/>
        <v>0.68306060236294197</v>
      </c>
    </row>
    <row r="31" spans="1:14" x14ac:dyDescent="0.25">
      <c r="A31" s="1">
        <v>43524</v>
      </c>
      <c r="B31">
        <v>1.1519999999999999</v>
      </c>
      <c r="C31">
        <f t="shared" si="0"/>
        <v>28</v>
      </c>
      <c r="D31">
        <f t="shared" si="1"/>
        <v>1.2342857142857142</v>
      </c>
      <c r="E31">
        <f t="shared" si="6"/>
        <v>3.2132415514592929</v>
      </c>
      <c r="F31">
        <f t="shared" si="7"/>
        <v>3.2132415514592929</v>
      </c>
      <c r="G31">
        <f t="shared" si="8"/>
        <v>-2.0612415514592932</v>
      </c>
      <c r="H31">
        <f t="shared" si="9"/>
        <v>0.38412478318823046</v>
      </c>
    </row>
    <row r="32" spans="1:14" x14ac:dyDescent="0.25">
      <c r="A32" s="1">
        <v>43555</v>
      </c>
      <c r="B32">
        <v>7.1050000000000004</v>
      </c>
      <c r="C32">
        <f t="shared" si="0"/>
        <v>31</v>
      </c>
      <c r="D32">
        <f t="shared" si="1"/>
        <v>6.8758064516129034</v>
      </c>
      <c r="E32">
        <f t="shared" si="6"/>
        <v>3.2132415514592929</v>
      </c>
      <c r="F32">
        <f t="shared" si="7"/>
        <v>3.2609915514592931</v>
      </c>
      <c r="G32">
        <f t="shared" si="8"/>
        <v>3.8440084485407073</v>
      </c>
      <c r="H32">
        <f t="shared" si="9"/>
        <v>2.1398349117234146</v>
      </c>
    </row>
    <row r="33" spans="1:8" x14ac:dyDescent="0.25">
      <c r="A33" s="1">
        <v>43585</v>
      </c>
      <c r="B33">
        <v>9.7889999999999997</v>
      </c>
      <c r="C33">
        <f t="shared" si="0"/>
        <v>30</v>
      </c>
      <c r="D33">
        <f t="shared" si="1"/>
        <v>9.7889999999999997</v>
      </c>
      <c r="E33">
        <f t="shared" si="6"/>
        <v>3.3087415514592933</v>
      </c>
      <c r="F33">
        <f t="shared" si="7"/>
        <v>3.3155560675883256</v>
      </c>
      <c r="G33">
        <f t="shared" si="8"/>
        <v>6.4734439324116746</v>
      </c>
      <c r="H33">
        <f t="shared" si="9"/>
        <v>2.9585266324843782</v>
      </c>
    </row>
    <row r="34" spans="1:8" x14ac:dyDescent="0.25">
      <c r="A34" s="1">
        <v>43616</v>
      </c>
      <c r="B34">
        <v>13.61</v>
      </c>
      <c r="C34">
        <f t="shared" si="0"/>
        <v>31</v>
      </c>
      <c r="D34">
        <f t="shared" si="1"/>
        <v>13.170967741935483</v>
      </c>
      <c r="E34">
        <f t="shared" si="6"/>
        <v>3.3223705837173578</v>
      </c>
      <c r="F34">
        <f t="shared" si="7"/>
        <v>3.3575789170506911</v>
      </c>
      <c r="G34">
        <f t="shared" si="8"/>
        <v>10.252421082949308</v>
      </c>
      <c r="H34">
        <f t="shared" si="9"/>
        <v>3.9643283041588502</v>
      </c>
    </row>
    <row r="35" spans="1:8" x14ac:dyDescent="0.25">
      <c r="A35" s="1">
        <v>43646</v>
      </c>
      <c r="B35">
        <v>5.2939999999999996</v>
      </c>
      <c r="C35">
        <f t="shared" si="0"/>
        <v>30</v>
      </c>
      <c r="D35">
        <f t="shared" si="1"/>
        <v>5.2939999999999996</v>
      </c>
      <c r="E35">
        <f t="shared" si="6"/>
        <v>3.3927872503840244</v>
      </c>
      <c r="F35">
        <f t="shared" si="7"/>
        <v>3.493956605222734</v>
      </c>
      <c r="G35">
        <f t="shared" si="8"/>
        <v>1.8000433947772656</v>
      </c>
      <c r="H35">
        <f t="shared" si="9"/>
        <v>1.5603689855297529</v>
      </c>
    </row>
    <row r="36" spans="1:8" x14ac:dyDescent="0.25">
      <c r="A36" s="1">
        <v>43677</v>
      </c>
      <c r="B36">
        <v>0</v>
      </c>
      <c r="C36">
        <f t="shared" si="0"/>
        <v>31</v>
      </c>
      <c r="D36">
        <f t="shared" si="1"/>
        <v>0</v>
      </c>
      <c r="E36">
        <f t="shared" si="6"/>
        <v>3.5951259600614436</v>
      </c>
      <c r="F36">
        <f t="shared" si="7"/>
        <v>3.5988356374807982</v>
      </c>
      <c r="G36">
        <f t="shared" si="8"/>
        <v>-3.5988356374807982</v>
      </c>
      <c r="H36">
        <f t="shared" si="9"/>
        <v>0</v>
      </c>
    </row>
    <row r="37" spans="1:8" x14ac:dyDescent="0.25">
      <c r="A37" s="1">
        <v>43708</v>
      </c>
      <c r="B37">
        <v>0</v>
      </c>
      <c r="C37">
        <f t="shared" si="0"/>
        <v>31</v>
      </c>
      <c r="D37">
        <f t="shared" si="1"/>
        <v>0</v>
      </c>
      <c r="E37">
        <f t="shared" si="6"/>
        <v>3.6025453149001532</v>
      </c>
      <c r="F37">
        <f t="shared" si="7"/>
        <v>3.6715908814026159</v>
      </c>
      <c r="G37">
        <f t="shared" si="8"/>
        <v>-3.6715908814026159</v>
      </c>
      <c r="H37">
        <f t="shared" si="9"/>
        <v>0</v>
      </c>
    </row>
    <row r="38" spans="1:8" x14ac:dyDescent="0.25">
      <c r="A38" s="1">
        <v>43738</v>
      </c>
      <c r="B38">
        <v>1.1459999999999999</v>
      </c>
      <c r="C38">
        <f t="shared" si="0"/>
        <v>30</v>
      </c>
      <c r="D38">
        <f t="shared" si="1"/>
        <v>1.1459999999999999</v>
      </c>
      <c r="E38">
        <f t="shared" si="6"/>
        <v>3.7406364479050791</v>
      </c>
      <c r="F38">
        <f t="shared" si="7"/>
        <v>4.0414832220986279</v>
      </c>
      <c r="G38">
        <f t="shared" si="8"/>
        <v>-2.895483222098628</v>
      </c>
      <c r="H38">
        <f t="shared" si="9"/>
        <v>0.30636497717970168</v>
      </c>
    </row>
    <row r="39" spans="1:8" x14ac:dyDescent="0.25">
      <c r="A39" s="1">
        <v>43769</v>
      </c>
      <c r="B39">
        <v>0.16900000000000001</v>
      </c>
      <c r="C39">
        <f t="shared" si="0"/>
        <v>31</v>
      </c>
      <c r="D39">
        <f t="shared" si="1"/>
        <v>0.16354838709677419</v>
      </c>
      <c r="E39">
        <f t="shared" si="6"/>
        <v>4.3423299962921762</v>
      </c>
      <c r="F39">
        <f t="shared" si="7"/>
        <v>4.3002466629588429</v>
      </c>
      <c r="G39">
        <f t="shared" si="8"/>
        <v>-4.1312466629588434</v>
      </c>
      <c r="H39">
        <f t="shared" si="9"/>
        <v>3.7663739797856151E-2</v>
      </c>
    </row>
    <row r="40" spans="1:8" x14ac:dyDescent="0.25">
      <c r="A40" s="1">
        <v>43799</v>
      </c>
      <c r="B40">
        <v>0.84499999999999997</v>
      </c>
      <c r="C40">
        <f t="shared" si="0"/>
        <v>30</v>
      </c>
      <c r="D40">
        <f t="shared" si="1"/>
        <v>0.84499999999999997</v>
      </c>
      <c r="E40">
        <f t="shared" si="6"/>
        <v>4.2581633296255097</v>
      </c>
      <c r="F40">
        <f t="shared" si="7"/>
        <v>3.9351794586577675</v>
      </c>
      <c r="G40">
        <f t="shared" si="8"/>
        <v>-3.0901794586577678</v>
      </c>
      <c r="H40">
        <f t="shared" si="9"/>
        <v>0.19844236460378206</v>
      </c>
    </row>
    <row r="41" spans="1:8" x14ac:dyDescent="0.25">
      <c r="A41" s="1">
        <v>43830</v>
      </c>
      <c r="B41">
        <v>2.5089999999999999</v>
      </c>
      <c r="C41">
        <f t="shared" si="0"/>
        <v>31</v>
      </c>
      <c r="D41">
        <f t="shared" si="1"/>
        <v>2.428064516129032</v>
      </c>
      <c r="E41">
        <f t="shared" si="6"/>
        <v>3.6121955876900258</v>
      </c>
      <c r="F41">
        <f t="shared" si="7"/>
        <v>3.6966122543566926</v>
      </c>
      <c r="G41">
        <f t="shared" si="8"/>
        <v>-1.1876122543566927</v>
      </c>
      <c r="H41">
        <f t="shared" si="9"/>
        <v>0.67218522839782402</v>
      </c>
    </row>
    <row r="42" spans="1:8" x14ac:dyDescent="0.25">
      <c r="A42" s="1">
        <v>43861</v>
      </c>
      <c r="B42">
        <v>2.36</v>
      </c>
      <c r="C42">
        <f t="shared" si="0"/>
        <v>31</v>
      </c>
      <c r="D42">
        <f t="shared" si="1"/>
        <v>2.2838709677419353</v>
      </c>
      <c r="E42">
        <f t="shared" si="6"/>
        <v>3.7810289210233594</v>
      </c>
      <c r="F42">
        <f t="shared" si="7"/>
        <v>3.8824402113459402</v>
      </c>
      <c r="G42">
        <f t="shared" si="8"/>
        <v>-1.5224402113459403</v>
      </c>
      <c r="H42">
        <f t="shared" si="9"/>
        <v>0.60403424978928522</v>
      </c>
    </row>
    <row r="43" spans="1:8" x14ac:dyDescent="0.25">
      <c r="A43" s="1">
        <v>43890</v>
      </c>
      <c r="B43">
        <v>2.7949999999999999</v>
      </c>
      <c r="C43">
        <f t="shared" si="0"/>
        <v>29</v>
      </c>
      <c r="D43">
        <f t="shared" si="1"/>
        <v>2.8913793103448273</v>
      </c>
      <c r="E43">
        <f t="shared" si="6"/>
        <v>3.983851501668521</v>
      </c>
      <c r="F43">
        <f t="shared" si="7"/>
        <v>4.0271982758620695</v>
      </c>
      <c r="G43">
        <f t="shared" si="8"/>
        <v>-1.2321982758620695</v>
      </c>
      <c r="H43">
        <f t="shared" si="9"/>
        <v>0.72577487116019679</v>
      </c>
    </row>
    <row r="44" spans="1:8" x14ac:dyDescent="0.25">
      <c r="A44" s="1">
        <v>43921</v>
      </c>
      <c r="B44">
        <v>14.566000000000001</v>
      </c>
      <c r="C44">
        <f t="shared" si="0"/>
        <v>31</v>
      </c>
      <c r="D44">
        <f t="shared" si="1"/>
        <v>14.096129032258066</v>
      </c>
      <c r="E44">
        <f t="shared" si="6"/>
        <v>4.0705450500556175</v>
      </c>
      <c r="F44">
        <f t="shared" si="7"/>
        <v>4.1994617167222845</v>
      </c>
      <c r="G44">
        <f t="shared" si="8"/>
        <v>10.366538283277716</v>
      </c>
      <c r="H44">
        <f t="shared" si="9"/>
        <v>3.4629586109274149</v>
      </c>
    </row>
    <row r="45" spans="1:8" x14ac:dyDescent="0.25">
      <c r="A45" s="1">
        <v>43951</v>
      </c>
      <c r="B45">
        <v>8.7789999999999999</v>
      </c>
      <c r="C45">
        <f t="shared" si="0"/>
        <v>30</v>
      </c>
      <c r="D45">
        <f t="shared" si="1"/>
        <v>8.7789999999999999</v>
      </c>
      <c r="E45">
        <f t="shared" si="6"/>
        <v>4.3283783833889506</v>
      </c>
      <c r="F45">
        <f t="shared" si="7"/>
        <v>4.5521283833889505</v>
      </c>
      <c r="G45">
        <f t="shared" si="8"/>
        <v>4.2268716166110494</v>
      </c>
      <c r="H45">
        <f t="shared" si="9"/>
        <v>2.0282422705212726</v>
      </c>
    </row>
    <row r="46" spans="1:8" x14ac:dyDescent="0.25">
      <c r="A46" s="1">
        <v>43982</v>
      </c>
      <c r="B46">
        <v>5.6</v>
      </c>
      <c r="C46">
        <f t="shared" si="0"/>
        <v>31</v>
      </c>
      <c r="D46">
        <f t="shared" si="1"/>
        <v>5.419354838709677</v>
      </c>
      <c r="E46">
        <f t="shared" si="6"/>
        <v>4.7758783833889504</v>
      </c>
      <c r="F46">
        <f t="shared" si="7"/>
        <v>4.9532117167222838</v>
      </c>
      <c r="G46">
        <f t="shared" si="8"/>
        <v>0.64678828327771587</v>
      </c>
      <c r="H46">
        <f t="shared" si="9"/>
        <v>1.1347346820134305</v>
      </c>
    </row>
    <row r="47" spans="1:8" x14ac:dyDescent="0.25">
      <c r="A47" s="1">
        <v>44012</v>
      </c>
      <c r="B47">
        <v>7.32</v>
      </c>
      <c r="C47">
        <f t="shared" si="0"/>
        <v>30</v>
      </c>
      <c r="D47">
        <f t="shared" si="1"/>
        <v>7.3200000000000012</v>
      </c>
      <c r="E47">
        <f t="shared" si="6"/>
        <v>5.1305450500556171</v>
      </c>
      <c r="F47">
        <f t="shared" si="7"/>
        <v>5.1521579532814235</v>
      </c>
      <c r="G47">
        <f t="shared" si="8"/>
        <v>2.1678420467185768</v>
      </c>
      <c r="H47">
        <f t="shared" si="9"/>
        <v>1.426748996175494</v>
      </c>
    </row>
    <row r="48" spans="1:8" x14ac:dyDescent="0.25">
      <c r="A48" s="1">
        <v>44043</v>
      </c>
      <c r="B48">
        <v>2.5150000000000001</v>
      </c>
      <c r="C48">
        <f t="shared" si="0"/>
        <v>31</v>
      </c>
      <c r="D48">
        <f t="shared" si="1"/>
        <v>2.4338709677419357</v>
      </c>
      <c r="E48">
        <f t="shared" si="6"/>
        <v>5.1737708565072298</v>
      </c>
      <c r="F48">
        <f t="shared" si="7"/>
        <v>5.1938918242491656</v>
      </c>
      <c r="G48">
        <f t="shared" si="8"/>
        <v>-2.6788918242491655</v>
      </c>
      <c r="H48">
        <f t="shared" si="9"/>
        <v>0.47042496377294568</v>
      </c>
    </row>
    <row r="49" spans="1:8" x14ac:dyDescent="0.25">
      <c r="A49" s="1">
        <v>44074</v>
      </c>
      <c r="B49">
        <v>1.075</v>
      </c>
      <c r="C49">
        <f t="shared" si="0"/>
        <v>31</v>
      </c>
      <c r="D49">
        <f t="shared" si="1"/>
        <v>1.0403225806451613</v>
      </c>
      <c r="E49">
        <f t="shared" si="6"/>
        <v>5.2140127919911015</v>
      </c>
      <c r="F49">
        <f t="shared" si="7"/>
        <v>5.3170654397743533</v>
      </c>
      <c r="G49">
        <f t="shared" si="8"/>
        <v>-4.2420654397743531</v>
      </c>
      <c r="H49">
        <f t="shared" si="9"/>
        <v>0.19952436293273612</v>
      </c>
    </row>
    <row r="50" spans="1:8" x14ac:dyDescent="0.25">
      <c r="A50" s="1">
        <v>44104</v>
      </c>
      <c r="B50">
        <v>4.24</v>
      </c>
      <c r="C50">
        <f t="shared" si="0"/>
        <v>30</v>
      </c>
      <c r="D50">
        <f t="shared" si="1"/>
        <v>4.24</v>
      </c>
      <c r="E50">
        <f t="shared" si="6"/>
        <v>5.4201180875576043</v>
      </c>
      <c r="F50">
        <f t="shared" si="7"/>
        <v>5.1969326036866352</v>
      </c>
      <c r="G50">
        <f t="shared" si="8"/>
        <v>-0.95693260368663502</v>
      </c>
      <c r="H50">
        <f t="shared" si="9"/>
        <v>0.78227077925355959</v>
      </c>
    </row>
    <row r="51" spans="1:8" x14ac:dyDescent="0.25">
      <c r="A51" s="1">
        <v>44135</v>
      </c>
      <c r="B51">
        <v>5.718</v>
      </c>
      <c r="C51">
        <f t="shared" si="0"/>
        <v>31</v>
      </c>
      <c r="D51">
        <f t="shared" si="1"/>
        <v>5.5335483870967739</v>
      </c>
      <c r="E51">
        <f t="shared" si="6"/>
        <v>4.9737471198156671</v>
      </c>
      <c r="F51">
        <f t="shared" si="7"/>
        <v>5.0320387864823335</v>
      </c>
      <c r="G51">
        <f t="shared" si="8"/>
        <v>0.68596121351766648</v>
      </c>
      <c r="H51">
        <f t="shared" si="9"/>
        <v>1.1125512121536758</v>
      </c>
    </row>
    <row r="52" spans="1:8" x14ac:dyDescent="0.25">
      <c r="A52" s="1">
        <v>44165</v>
      </c>
      <c r="B52">
        <v>5.101</v>
      </c>
      <c r="C52">
        <f t="shared" si="0"/>
        <v>30</v>
      </c>
      <c r="D52">
        <f t="shared" si="1"/>
        <v>5.101</v>
      </c>
      <c r="E52">
        <f t="shared" si="6"/>
        <v>5.0903304531490008</v>
      </c>
      <c r="F52">
        <f>AVERAGE(E52:E53)</f>
        <v>5.2891610983102915</v>
      </c>
      <c r="G52">
        <f t="shared" si="8"/>
        <v>-0.18816109831029149</v>
      </c>
      <c r="H52">
        <f t="shared" si="9"/>
        <v>1.0020960420839473</v>
      </c>
    </row>
    <row r="53" spans="1:8" x14ac:dyDescent="0.25">
      <c r="A53" s="1">
        <v>44196</v>
      </c>
      <c r="B53">
        <v>3.0449999999999999</v>
      </c>
      <c r="C53">
        <f t="shared" si="0"/>
        <v>31</v>
      </c>
      <c r="D53">
        <f t="shared" si="1"/>
        <v>2.9467741935483871</v>
      </c>
      <c r="E53">
        <f>AVERAGE(D47:D58)</f>
        <v>5.4879917434715821</v>
      </c>
    </row>
    <row r="54" spans="1:8" x14ac:dyDescent="0.25">
      <c r="A54" s="1">
        <v>44227</v>
      </c>
      <c r="B54">
        <v>2.859</v>
      </c>
      <c r="C54">
        <f t="shared" si="0"/>
        <v>31</v>
      </c>
      <c r="D54">
        <f t="shared" si="1"/>
        <v>2.7667741935483869</v>
      </c>
    </row>
    <row r="55" spans="1:8" x14ac:dyDescent="0.25">
      <c r="A55" s="1">
        <v>44255</v>
      </c>
      <c r="B55">
        <v>5.0069999999999997</v>
      </c>
      <c r="C55">
        <f t="shared" si="0"/>
        <v>28</v>
      </c>
      <c r="D55">
        <f t="shared" si="1"/>
        <v>5.3646428571428562</v>
      </c>
    </row>
    <row r="56" spans="1:8" x14ac:dyDescent="0.25">
      <c r="A56" s="1">
        <v>44286</v>
      </c>
      <c r="B56">
        <v>9.0310000000000006</v>
      </c>
      <c r="C56">
        <f t="shared" si="0"/>
        <v>31</v>
      </c>
      <c r="D56">
        <f t="shared" si="1"/>
        <v>8.7396774193548392</v>
      </c>
    </row>
    <row r="57" spans="1:8" x14ac:dyDescent="0.25">
      <c r="A57" s="1">
        <v>44316</v>
      </c>
      <c r="B57">
        <v>10.178000000000001</v>
      </c>
      <c r="C57">
        <f t="shared" si="0"/>
        <v>30</v>
      </c>
      <c r="D57">
        <f t="shared" si="1"/>
        <v>10.178000000000001</v>
      </c>
    </row>
    <row r="58" spans="1:8" x14ac:dyDescent="0.25">
      <c r="A58" s="1">
        <v>44347</v>
      </c>
      <c r="B58">
        <v>10.531000000000001</v>
      </c>
      <c r="C58">
        <f t="shared" si="0"/>
        <v>31</v>
      </c>
      <c r="D58">
        <f t="shared" si="1"/>
        <v>10.191290322580645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M5"/>
  <sheetViews>
    <sheetView workbookViewId="0">
      <selection activeCell="O7" sqref="O7"/>
    </sheetView>
  </sheetViews>
  <sheetFormatPr defaultRowHeight="15" x14ac:dyDescent="0.25"/>
  <sheetData>
    <row r="4" spans="2:13" x14ac:dyDescent="0.25">
      <c r="B4" t="s">
        <v>9</v>
      </c>
      <c r="C4" t="s">
        <v>10</v>
      </c>
      <c r="D4" t="s">
        <v>11</v>
      </c>
      <c r="E4" t="s">
        <v>12</v>
      </c>
      <c r="F4" t="s">
        <v>13</v>
      </c>
      <c r="G4" t="s">
        <v>14</v>
      </c>
      <c r="H4" t="s">
        <v>15</v>
      </c>
      <c r="I4" t="s">
        <v>16</v>
      </c>
      <c r="J4" t="s">
        <v>17</v>
      </c>
      <c r="K4" t="s">
        <v>18</v>
      </c>
      <c r="L4" t="s">
        <v>19</v>
      </c>
      <c r="M4" t="s">
        <v>20</v>
      </c>
    </row>
    <row r="5" spans="2:13" x14ac:dyDescent="0.25">
      <c r="B5">
        <v>0.30199999999999999</v>
      </c>
      <c r="C5">
        <v>0.28000000000000003</v>
      </c>
      <c r="D5">
        <v>0.48599999999999999</v>
      </c>
      <c r="E5">
        <v>0.91300000000000003</v>
      </c>
      <c r="F5">
        <v>0.91900000000000004</v>
      </c>
      <c r="G5">
        <v>0.58899999999999997</v>
      </c>
      <c r="H5">
        <v>0.499</v>
      </c>
      <c r="I5">
        <v>0.46300000000000002</v>
      </c>
      <c r="J5">
        <v>0.34799999999999998</v>
      </c>
      <c r="K5">
        <v>0.32</v>
      </c>
      <c r="L5">
        <v>0.33500000000000002</v>
      </c>
      <c r="M5">
        <v>0.34599999999999997</v>
      </c>
    </row>
  </sheetData>
  <phoneticPr fontId="3" type="noConversion"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Q32"/>
  <sheetViews>
    <sheetView topLeftCell="A4" workbookViewId="0">
      <selection activeCell="U16" sqref="U16"/>
    </sheetView>
  </sheetViews>
  <sheetFormatPr defaultRowHeight="15" x14ac:dyDescent="0.25"/>
  <sheetData>
    <row r="3" spans="1:15" x14ac:dyDescent="0.25">
      <c r="B3" s="9" t="s">
        <v>55</v>
      </c>
      <c r="C3" s="9">
        <v>30</v>
      </c>
      <c r="D3" s="9">
        <v>60</v>
      </c>
      <c r="E3" s="9">
        <f>D3+30</f>
        <v>90</v>
      </c>
      <c r="F3" s="9">
        <f t="shared" ref="F3:M3" si="0">E3+30</f>
        <v>120</v>
      </c>
      <c r="G3" s="9">
        <f t="shared" si="0"/>
        <v>150</v>
      </c>
      <c r="H3" s="9">
        <f t="shared" si="0"/>
        <v>180</v>
      </c>
      <c r="I3" s="9">
        <f t="shared" si="0"/>
        <v>210</v>
      </c>
      <c r="J3" s="9">
        <f t="shared" si="0"/>
        <v>240</v>
      </c>
      <c r="K3" s="9">
        <f t="shared" si="0"/>
        <v>270</v>
      </c>
      <c r="L3" s="9">
        <f t="shared" si="0"/>
        <v>300</v>
      </c>
      <c r="M3" s="9">
        <f t="shared" si="0"/>
        <v>330</v>
      </c>
      <c r="N3" s="9">
        <v>355</v>
      </c>
      <c r="O3" s="9">
        <v>364</v>
      </c>
    </row>
    <row r="4" spans="1:15" x14ac:dyDescent="0.25">
      <c r="B4" s="9" t="s">
        <v>56</v>
      </c>
      <c r="C4" s="9">
        <v>0.92800000000000005</v>
      </c>
      <c r="D4" s="9">
        <v>0.68100000000000005</v>
      </c>
      <c r="E4" s="9">
        <v>0.53500000000000003</v>
      </c>
      <c r="F4" s="9">
        <v>0.442</v>
      </c>
      <c r="G4" s="9">
        <v>0.373</v>
      </c>
      <c r="H4" s="9">
        <v>0.32600000000000001</v>
      </c>
      <c r="I4" s="9">
        <v>0.28399999999999997</v>
      </c>
      <c r="J4" s="9">
        <v>0.25800000000000001</v>
      </c>
      <c r="K4" s="9">
        <v>0.22900000000000001</v>
      </c>
      <c r="L4" s="9">
        <v>0.191</v>
      </c>
      <c r="M4" s="9">
        <v>0.159</v>
      </c>
      <c r="N4" s="9">
        <v>0.126</v>
      </c>
      <c r="O4" s="9">
        <v>9.9000000000000005E-2</v>
      </c>
    </row>
    <row r="6" spans="1:15" x14ac:dyDescent="0.25">
      <c r="B6" s="9" t="s">
        <v>55</v>
      </c>
      <c r="C6" s="9">
        <v>30</v>
      </c>
      <c r="D6" s="9">
        <v>60</v>
      </c>
      <c r="E6" s="9">
        <f>D6+30</f>
        <v>90</v>
      </c>
      <c r="F6" s="9">
        <f t="shared" ref="F6" si="1">E6+30</f>
        <v>120</v>
      </c>
      <c r="G6" s="9">
        <f t="shared" ref="G6" si="2">F6+30</f>
        <v>150</v>
      </c>
      <c r="H6" s="9">
        <f t="shared" ref="H6" si="3">G6+30</f>
        <v>180</v>
      </c>
      <c r="I6" s="9">
        <f t="shared" ref="I6" si="4">H6+30</f>
        <v>210</v>
      </c>
      <c r="J6" s="9">
        <f t="shared" ref="J6" si="5">I6+30</f>
        <v>240</v>
      </c>
      <c r="K6" s="9">
        <f t="shared" ref="K6" si="6">J6+30</f>
        <v>270</v>
      </c>
      <c r="L6" s="9">
        <f t="shared" ref="L6" si="7">K6+30</f>
        <v>300</v>
      </c>
      <c r="M6" s="9">
        <f t="shared" ref="M6" si="8">L6+30</f>
        <v>330</v>
      </c>
      <c r="N6" s="9">
        <v>355</v>
      </c>
      <c r="O6" s="9">
        <v>364</v>
      </c>
    </row>
    <row r="7" spans="1:15" x14ac:dyDescent="0.25">
      <c r="A7" t="s">
        <v>29</v>
      </c>
      <c r="B7" s="9" t="s">
        <v>56</v>
      </c>
      <c r="C7" s="9">
        <f>C4-0.094</f>
        <v>0.83400000000000007</v>
      </c>
      <c r="D7" s="9">
        <f>D4-0.094</f>
        <v>0.58700000000000008</v>
      </c>
      <c r="E7" s="9">
        <f t="shared" ref="E7:O7" si="9">E4-0.094</f>
        <v>0.44100000000000006</v>
      </c>
      <c r="F7" s="9">
        <f t="shared" si="9"/>
        <v>0.34799999999999998</v>
      </c>
      <c r="G7" s="9">
        <f t="shared" si="9"/>
        <v>0.27900000000000003</v>
      </c>
      <c r="H7" s="9">
        <f t="shared" si="9"/>
        <v>0.23200000000000001</v>
      </c>
      <c r="I7" s="9">
        <f t="shared" si="9"/>
        <v>0.18999999999999997</v>
      </c>
      <c r="J7" s="9">
        <f t="shared" si="9"/>
        <v>0.16400000000000001</v>
      </c>
      <c r="K7" s="9">
        <f t="shared" si="9"/>
        <v>0.13500000000000001</v>
      </c>
      <c r="L7" s="9">
        <f t="shared" si="9"/>
        <v>9.7000000000000003E-2</v>
      </c>
      <c r="M7" s="9">
        <f t="shared" si="9"/>
        <v>6.5000000000000002E-2</v>
      </c>
      <c r="N7" s="9">
        <f t="shared" si="9"/>
        <v>3.2000000000000001E-2</v>
      </c>
      <c r="O7" s="9">
        <f t="shared" si="9"/>
        <v>5.0000000000000044E-3</v>
      </c>
    </row>
    <row r="11" spans="1:15" x14ac:dyDescent="0.25">
      <c r="B11" s="15" t="s">
        <v>30</v>
      </c>
      <c r="C11" s="15" t="s">
        <v>40</v>
      </c>
      <c r="D11" s="15" t="s">
        <v>46</v>
      </c>
      <c r="E11" s="15" t="s">
        <v>47</v>
      </c>
      <c r="F11" s="15" t="s">
        <v>48</v>
      </c>
      <c r="G11" s="15" t="s">
        <v>49</v>
      </c>
      <c r="H11" s="15" t="s">
        <v>50</v>
      </c>
      <c r="I11" s="15" t="s">
        <v>51</v>
      </c>
      <c r="J11" s="16" t="s">
        <v>54</v>
      </c>
    </row>
    <row r="12" spans="1:15" x14ac:dyDescent="0.25">
      <c r="B12" s="14" t="s">
        <v>31</v>
      </c>
      <c r="C12" s="9">
        <v>10</v>
      </c>
      <c r="D12" s="9"/>
      <c r="E12" s="78" t="s">
        <v>53</v>
      </c>
      <c r="F12" s="79"/>
      <c r="G12" s="79"/>
      <c r="H12" s="79"/>
      <c r="I12" s="80"/>
      <c r="J12" s="11"/>
    </row>
    <row r="13" spans="1:15" x14ac:dyDescent="0.25">
      <c r="B13" s="14" t="s">
        <v>32</v>
      </c>
      <c r="C13" s="9">
        <v>20</v>
      </c>
      <c r="D13" s="9">
        <v>0.68</v>
      </c>
      <c r="E13" s="9">
        <v>8</v>
      </c>
      <c r="F13" s="9">
        <v>0.7</v>
      </c>
      <c r="G13" s="9">
        <f>9.81*D13*E13*F13</f>
        <v>37.356480000000005</v>
      </c>
      <c r="H13" s="9">
        <v>0.88500000000000001</v>
      </c>
      <c r="I13" s="9">
        <f>G13*H13</f>
        <v>33.060484800000005</v>
      </c>
      <c r="J13" s="11">
        <f>I13*C13*24</f>
        <v>15869.032704000003</v>
      </c>
    </row>
    <row r="14" spans="1:15" x14ac:dyDescent="0.25">
      <c r="B14" s="14" t="s">
        <v>33</v>
      </c>
      <c r="C14" s="9">
        <v>30</v>
      </c>
      <c r="D14" s="9">
        <v>0.58700000000000008</v>
      </c>
      <c r="E14" s="9">
        <v>8</v>
      </c>
      <c r="F14" s="9">
        <v>0.7</v>
      </c>
      <c r="G14" s="9">
        <f t="shared" ref="G14:G20" si="10">9.81*D14*E14*F14</f>
        <v>32.247432000000003</v>
      </c>
      <c r="H14" s="9">
        <v>0.88500000000000001</v>
      </c>
      <c r="I14" s="9">
        <f t="shared" ref="I14:I20" si="11">G14*H14</f>
        <v>28.538977320000004</v>
      </c>
      <c r="J14" s="11">
        <f t="shared" ref="J14:J20" si="12">I14*C14*24</f>
        <v>20548.063670400003</v>
      </c>
    </row>
    <row r="15" spans="1:15" x14ac:dyDescent="0.25">
      <c r="B15" s="14" t="s">
        <v>34</v>
      </c>
      <c r="C15" s="9">
        <v>30</v>
      </c>
      <c r="D15" s="9">
        <v>0.44100000000000006</v>
      </c>
      <c r="E15" s="9">
        <v>8</v>
      </c>
      <c r="F15" s="9">
        <v>0.7</v>
      </c>
      <c r="G15" s="9">
        <f t="shared" si="10"/>
        <v>24.226776000000001</v>
      </c>
      <c r="H15" s="9">
        <v>0.88500000000000001</v>
      </c>
      <c r="I15" s="9">
        <f t="shared" si="11"/>
        <v>21.440696760000002</v>
      </c>
      <c r="J15" s="11">
        <f t="shared" si="12"/>
        <v>15437.301667200001</v>
      </c>
    </row>
    <row r="16" spans="1:15" x14ac:dyDescent="0.25">
      <c r="B16" s="14" t="s">
        <v>35</v>
      </c>
      <c r="C16" s="9">
        <v>30</v>
      </c>
      <c r="D16" s="9">
        <v>0.34799999999999998</v>
      </c>
      <c r="E16" s="9">
        <v>8</v>
      </c>
      <c r="F16" s="9">
        <v>0.7</v>
      </c>
      <c r="G16" s="9">
        <f t="shared" si="10"/>
        <v>19.117727999999996</v>
      </c>
      <c r="H16" s="9">
        <v>0.88500000000000001</v>
      </c>
      <c r="I16" s="9">
        <f t="shared" si="11"/>
        <v>16.919189279999998</v>
      </c>
      <c r="J16" s="11">
        <f t="shared" si="12"/>
        <v>12181.816281599997</v>
      </c>
    </row>
    <row r="17" spans="2:17" x14ac:dyDescent="0.25">
      <c r="B17" s="14" t="s">
        <v>36</v>
      </c>
      <c r="C17" s="9">
        <v>30</v>
      </c>
      <c r="D17" s="9">
        <v>0.27900000000000003</v>
      </c>
      <c r="E17" s="9">
        <v>8</v>
      </c>
      <c r="F17" s="9">
        <v>0.7</v>
      </c>
      <c r="G17" s="9">
        <f t="shared" si="10"/>
        <v>15.327144000000002</v>
      </c>
      <c r="H17" s="9">
        <v>0.88500000000000001</v>
      </c>
      <c r="I17" s="9">
        <f t="shared" si="11"/>
        <v>13.564522440000003</v>
      </c>
      <c r="J17" s="11">
        <f t="shared" si="12"/>
        <v>9766.4561568000026</v>
      </c>
    </row>
    <row r="18" spans="2:17" x14ac:dyDescent="0.25">
      <c r="B18" s="14" t="s">
        <v>37</v>
      </c>
      <c r="C18" s="9">
        <v>30</v>
      </c>
      <c r="D18" s="9">
        <v>0.23200000000000001</v>
      </c>
      <c r="E18" s="9">
        <v>8</v>
      </c>
      <c r="F18" s="9">
        <v>0.7</v>
      </c>
      <c r="G18" s="9">
        <f t="shared" si="10"/>
        <v>12.745152000000001</v>
      </c>
      <c r="H18" s="9">
        <v>0.88500000000000001</v>
      </c>
      <c r="I18" s="9">
        <f t="shared" si="11"/>
        <v>11.279459520000001</v>
      </c>
      <c r="J18" s="11">
        <f t="shared" si="12"/>
        <v>8121.2108544000021</v>
      </c>
    </row>
    <row r="19" spans="2:17" x14ac:dyDescent="0.25">
      <c r="B19" s="14" t="s">
        <v>38</v>
      </c>
      <c r="C19" s="9">
        <v>30</v>
      </c>
      <c r="D19" s="9">
        <v>0.18999999999999997</v>
      </c>
      <c r="E19" s="9">
        <v>8</v>
      </c>
      <c r="F19" s="9">
        <v>0.7</v>
      </c>
      <c r="G19" s="9">
        <f t="shared" si="10"/>
        <v>10.43784</v>
      </c>
      <c r="H19" s="9">
        <v>0.88500000000000001</v>
      </c>
      <c r="I19" s="9">
        <f t="shared" si="11"/>
        <v>9.2374884000000002</v>
      </c>
      <c r="J19" s="11">
        <f t="shared" si="12"/>
        <v>6650.9916480000011</v>
      </c>
    </row>
    <row r="20" spans="2:17" x14ac:dyDescent="0.25">
      <c r="B20" s="14" t="s">
        <v>39</v>
      </c>
      <c r="C20" s="9">
        <v>30</v>
      </c>
      <c r="D20" s="9">
        <v>0.16400000000000001</v>
      </c>
      <c r="E20" s="9">
        <v>8</v>
      </c>
      <c r="F20" s="9">
        <v>0.7</v>
      </c>
      <c r="G20" s="9">
        <f t="shared" si="10"/>
        <v>9.0095039999999997</v>
      </c>
      <c r="H20" s="9">
        <v>0.88500000000000001</v>
      </c>
      <c r="I20" s="9">
        <f t="shared" si="11"/>
        <v>7.9734110400000002</v>
      </c>
      <c r="J20" s="11">
        <f t="shared" si="12"/>
        <v>5740.8559488000001</v>
      </c>
    </row>
    <row r="21" spans="2:17" x14ac:dyDescent="0.25">
      <c r="B21" s="14" t="s">
        <v>41</v>
      </c>
      <c r="C21" s="9">
        <v>30</v>
      </c>
      <c r="D21" s="9">
        <v>0.13500000000000001</v>
      </c>
      <c r="E21" s="81" t="s">
        <v>52</v>
      </c>
      <c r="F21" s="82"/>
      <c r="G21" s="82"/>
      <c r="H21" s="82"/>
      <c r="I21" s="83"/>
      <c r="J21" s="11"/>
    </row>
    <row r="22" spans="2:17" x14ac:dyDescent="0.25">
      <c r="B22" s="14" t="s">
        <v>42</v>
      </c>
      <c r="C22" s="9">
        <v>30</v>
      </c>
      <c r="D22" s="9">
        <v>9.7000000000000003E-2</v>
      </c>
      <c r="E22" s="84"/>
      <c r="F22" s="85"/>
      <c r="G22" s="85"/>
      <c r="H22" s="85"/>
      <c r="I22" s="86"/>
      <c r="J22" s="11"/>
    </row>
    <row r="23" spans="2:17" x14ac:dyDescent="0.25">
      <c r="B23" s="14" t="s">
        <v>43</v>
      </c>
      <c r="C23" s="9">
        <v>30</v>
      </c>
      <c r="D23" s="9">
        <v>6.5000000000000002E-2</v>
      </c>
      <c r="E23" s="84"/>
      <c r="F23" s="85"/>
      <c r="G23" s="85"/>
      <c r="H23" s="85"/>
      <c r="I23" s="86"/>
      <c r="J23" s="11"/>
    </row>
    <row r="24" spans="2:17" ht="15.75" thickBot="1" x14ac:dyDescent="0.3">
      <c r="B24" s="14" t="s">
        <v>44</v>
      </c>
      <c r="C24" s="9">
        <v>25</v>
      </c>
      <c r="D24" s="9">
        <v>3.2000000000000001E-2</v>
      </c>
      <c r="E24" s="84"/>
      <c r="F24" s="85"/>
      <c r="G24" s="85"/>
      <c r="H24" s="85"/>
      <c r="I24" s="86"/>
      <c r="J24" s="12"/>
    </row>
    <row r="25" spans="2:17" ht="15.75" thickBot="1" x14ac:dyDescent="0.3">
      <c r="B25" s="14" t="s">
        <v>45</v>
      </c>
      <c r="C25" s="9">
        <v>9</v>
      </c>
      <c r="D25" s="9">
        <v>5.0000000000000044E-3</v>
      </c>
      <c r="E25" s="87"/>
      <c r="F25" s="88"/>
      <c r="G25" s="88"/>
      <c r="H25" s="88"/>
      <c r="I25" s="89"/>
      <c r="J25" s="13">
        <f>SUM(J13:J24)</f>
        <v>94315.728931200007</v>
      </c>
    </row>
    <row r="26" spans="2:17" x14ac:dyDescent="0.25">
      <c r="P26">
        <v>0</v>
      </c>
    </row>
    <row r="29" spans="2:17" x14ac:dyDescent="0.25">
      <c r="E29">
        <v>0.83400000000000007</v>
      </c>
      <c r="F29">
        <v>0.58700000000000008</v>
      </c>
      <c r="G29">
        <v>0.44100000000000006</v>
      </c>
      <c r="H29">
        <v>0.34799999999999998</v>
      </c>
      <c r="I29">
        <v>0.27900000000000003</v>
      </c>
      <c r="J29">
        <v>0.23200000000000001</v>
      </c>
      <c r="K29">
        <v>0.18999999999999997</v>
      </c>
      <c r="L29">
        <v>0.16400000000000001</v>
      </c>
      <c r="M29">
        <v>0.13500000000000001</v>
      </c>
      <c r="N29">
        <v>9.7000000000000003E-2</v>
      </c>
      <c r="O29">
        <v>6.5000000000000002E-2</v>
      </c>
      <c r="P29">
        <v>3.2000000000000001E-2</v>
      </c>
      <c r="Q29">
        <v>5.0000000000000044E-3</v>
      </c>
    </row>
    <row r="31" spans="2:17" x14ac:dyDescent="0.25">
      <c r="B31" s="9" t="s">
        <v>57</v>
      </c>
      <c r="C31" s="9">
        <v>1</v>
      </c>
      <c r="D31" s="9">
        <v>2</v>
      </c>
      <c r="E31" s="9">
        <v>5</v>
      </c>
      <c r="F31" s="10">
        <v>10</v>
      </c>
      <c r="G31" s="9">
        <v>20</v>
      </c>
      <c r="H31" s="9">
        <v>50</v>
      </c>
      <c r="I31" s="9">
        <v>100</v>
      </c>
    </row>
    <row r="32" spans="2:17" x14ac:dyDescent="0.25">
      <c r="B32" s="9" t="s">
        <v>58</v>
      </c>
      <c r="C32" s="9">
        <v>2.77</v>
      </c>
      <c r="D32" s="9">
        <v>5.18</v>
      </c>
      <c r="E32" s="9">
        <v>9.61</v>
      </c>
      <c r="F32" s="10">
        <v>14</v>
      </c>
      <c r="G32" s="9">
        <v>19.2</v>
      </c>
      <c r="H32" s="9">
        <v>27.6</v>
      </c>
      <c r="I32" s="9">
        <v>35.200000000000003</v>
      </c>
    </row>
  </sheetData>
  <mergeCells count="2">
    <mergeCell ref="E12:I12"/>
    <mergeCell ref="E21:I25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M5"/>
  <sheetViews>
    <sheetView workbookViewId="0">
      <selection activeCell="N14" sqref="N14"/>
    </sheetView>
  </sheetViews>
  <sheetFormatPr defaultRowHeight="15" x14ac:dyDescent="0.25"/>
  <sheetData>
    <row r="4" spans="1:13" x14ac:dyDescent="0.25">
      <c r="A4" t="s">
        <v>27</v>
      </c>
      <c r="B4">
        <v>1930</v>
      </c>
      <c r="C4">
        <v>1948</v>
      </c>
      <c r="D4">
        <v>1979</v>
      </c>
      <c r="E4">
        <v>1980</v>
      </c>
      <c r="F4" s="8">
        <v>1990</v>
      </c>
      <c r="G4" s="6">
        <v>1995</v>
      </c>
      <c r="H4" s="6">
        <v>2000</v>
      </c>
      <c r="I4" s="8">
        <v>2009</v>
      </c>
      <c r="J4">
        <v>2011</v>
      </c>
      <c r="K4">
        <v>2014</v>
      </c>
      <c r="L4">
        <v>2016</v>
      </c>
      <c r="M4">
        <v>2017</v>
      </c>
    </row>
    <row r="5" spans="1:13" x14ac:dyDescent="0.25">
      <c r="A5" t="s">
        <v>28</v>
      </c>
      <c r="B5">
        <v>1164</v>
      </c>
      <c r="C5">
        <v>1350</v>
      </c>
      <c r="D5">
        <v>104</v>
      </c>
      <c r="E5">
        <v>135</v>
      </c>
      <c r="F5" s="8">
        <v>900</v>
      </c>
      <c r="G5" s="6">
        <v>1200</v>
      </c>
      <c r="H5" s="6">
        <v>1352</v>
      </c>
      <c r="I5" s="8">
        <v>1354</v>
      </c>
      <c r="J5">
        <v>1406</v>
      </c>
      <c r="K5">
        <v>1572</v>
      </c>
      <c r="L5" s="8">
        <v>1614</v>
      </c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I70"/>
  <sheetViews>
    <sheetView topLeftCell="A37" workbookViewId="0">
      <selection activeCell="J43" sqref="J43"/>
    </sheetView>
  </sheetViews>
  <sheetFormatPr defaultRowHeight="15" x14ac:dyDescent="0.25"/>
  <cols>
    <col min="2" max="2" width="14.7109375" style="32" bestFit="1" customWidth="1"/>
    <col min="3" max="4" width="14.7109375" bestFit="1" customWidth="1"/>
    <col min="6" max="6" width="6.140625" bestFit="1" customWidth="1"/>
    <col min="7" max="7" width="11.28515625" bestFit="1" customWidth="1"/>
  </cols>
  <sheetData>
    <row r="2" spans="1:9" ht="18" x14ac:dyDescent="0.35">
      <c r="C2" s="2" t="s">
        <v>77</v>
      </c>
      <c r="D2" s="2" t="s">
        <v>80</v>
      </c>
    </row>
    <row r="3" spans="1:9" ht="18" x14ac:dyDescent="0.35">
      <c r="A3" s="15" t="s">
        <v>76</v>
      </c>
      <c r="B3" s="34" t="s">
        <v>79</v>
      </c>
      <c r="C3" s="15" t="s">
        <v>99</v>
      </c>
      <c r="D3" s="15" t="s">
        <v>100</v>
      </c>
      <c r="F3" s="36" t="s">
        <v>81</v>
      </c>
      <c r="G3" s="35">
        <v>0.05</v>
      </c>
      <c r="H3" t="s">
        <v>84</v>
      </c>
    </row>
    <row r="4" spans="1:9" ht="18" x14ac:dyDescent="0.35">
      <c r="A4" s="28">
        <v>0</v>
      </c>
      <c r="B4" s="43">
        <v>-6000000</v>
      </c>
      <c r="C4" s="43">
        <v>-6000000</v>
      </c>
      <c r="D4" s="44">
        <v>-6000000</v>
      </c>
      <c r="F4" s="41" t="s">
        <v>78</v>
      </c>
      <c r="G4" s="42">
        <v>0.03</v>
      </c>
      <c r="I4" s="63">
        <f>IRR(B4:B34)</f>
        <v>3.8649721645890311E-2</v>
      </c>
    </row>
    <row r="5" spans="1:9" ht="18" x14ac:dyDescent="0.35">
      <c r="A5" s="28">
        <v>1</v>
      </c>
      <c r="B5" s="43">
        <v>351652.95392156858</v>
      </c>
      <c r="C5" s="19">
        <v>341410.6348753093</v>
      </c>
      <c r="D5" s="19">
        <v>334907.57516339864</v>
      </c>
      <c r="F5" s="37" t="s">
        <v>82</v>
      </c>
      <c r="G5" s="38">
        <f>D35</f>
        <v>-746362.90413033892</v>
      </c>
      <c r="H5" t="s">
        <v>85</v>
      </c>
    </row>
    <row r="6" spans="1:9" ht="18" x14ac:dyDescent="0.35">
      <c r="A6" s="28">
        <v>2</v>
      </c>
      <c r="B6" s="43">
        <v>351257.09502114577</v>
      </c>
      <c r="C6" s="19">
        <v>331093.50082113844</v>
      </c>
      <c r="D6" s="19">
        <v>318600.53970171954</v>
      </c>
      <c r="F6" s="39" t="s">
        <v>83</v>
      </c>
      <c r="G6" s="40">
        <f>C35</f>
        <v>683305.11778486124</v>
      </c>
      <c r="I6" s="62">
        <f>G3+((D35/(D35-C35))*(G4-G3))</f>
        <v>3.9558934064559931E-2</v>
      </c>
    </row>
    <row r="7" spans="1:9" x14ac:dyDescent="0.25">
      <c r="A7" s="28">
        <v>3</v>
      </c>
      <c r="B7" s="43">
        <v>350868.99805994681</v>
      </c>
      <c r="C7" s="19">
        <v>321094.83710016025</v>
      </c>
      <c r="D7" s="19">
        <v>303093.83268324955</v>
      </c>
    </row>
    <row r="8" spans="1:9" x14ac:dyDescent="0.25">
      <c r="A8" s="28">
        <v>4</v>
      </c>
      <c r="B8" s="43">
        <v>350488.51084308513</v>
      </c>
      <c r="C8" s="19">
        <v>311404.50232733868</v>
      </c>
      <c r="D8" s="19">
        <v>288347.76525672752</v>
      </c>
    </row>
    <row r="9" spans="1:9" x14ac:dyDescent="0.25">
      <c r="A9" s="28">
        <v>5</v>
      </c>
      <c r="B9" s="43">
        <v>350115.48415988736</v>
      </c>
      <c r="C9" s="19">
        <v>302012.69218523352</v>
      </c>
      <c r="D9" s="19">
        <v>274324.643125045</v>
      </c>
    </row>
    <row r="10" spans="1:9" x14ac:dyDescent="0.25">
      <c r="A10" s="28">
        <v>6</v>
      </c>
      <c r="B10" s="43">
        <v>341077.64074947429</v>
      </c>
      <c r="C10" s="19">
        <v>285647.15443448798</v>
      </c>
      <c r="D10" s="19">
        <v>254517.38697575417</v>
      </c>
    </row>
    <row r="11" spans="1:9" x14ac:dyDescent="0.25">
      <c r="A11" s="28">
        <v>7</v>
      </c>
      <c r="B11" s="43">
        <v>340889.14093085704</v>
      </c>
      <c r="C11" s="19">
        <v>277174.06680000806</v>
      </c>
      <c r="D11" s="19">
        <v>242263.54810365592</v>
      </c>
    </row>
    <row r="12" spans="1:9" x14ac:dyDescent="0.25">
      <c r="A12" s="28">
        <v>8</v>
      </c>
      <c r="B12" s="43">
        <v>340704.33718711487</v>
      </c>
      <c r="C12" s="19">
        <v>268955.14994631737</v>
      </c>
      <c r="D12" s="19">
        <v>230602.10622213356</v>
      </c>
    </row>
    <row r="13" spans="1:9" x14ac:dyDescent="0.25">
      <c r="A13" s="28">
        <v>9</v>
      </c>
      <c r="B13" s="43">
        <v>340523.15704619093</v>
      </c>
      <c r="C13" s="19">
        <v>260982.64531067736</v>
      </c>
      <c r="D13" s="19">
        <v>219504.26321060793</v>
      </c>
    </row>
    <row r="14" spans="1:9" x14ac:dyDescent="0.25">
      <c r="A14" s="28">
        <v>10</v>
      </c>
      <c r="B14" s="43">
        <v>340345.52945705003</v>
      </c>
      <c r="C14" s="19">
        <v>253249.03743129506</v>
      </c>
      <c r="D14" s="19">
        <v>208942.63131702991</v>
      </c>
    </row>
    <row r="15" spans="1:9" x14ac:dyDescent="0.25">
      <c r="A15" s="28">
        <v>11</v>
      </c>
      <c r="B15" s="43">
        <v>337934.9190561726</v>
      </c>
      <c r="C15" s="19">
        <v>244131.37563185961</v>
      </c>
      <c r="D15" s="19">
        <v>197583.54823124578</v>
      </c>
    </row>
    <row r="16" spans="1:9" x14ac:dyDescent="0.25">
      <c r="A16" s="28">
        <v>12</v>
      </c>
      <c r="B16" s="43">
        <v>337808.04123154166</v>
      </c>
      <c r="C16" s="19">
        <v>236931.76348720165</v>
      </c>
      <c r="D16" s="19">
        <v>188104.15751899022</v>
      </c>
    </row>
    <row r="17" spans="1:4" x14ac:dyDescent="0.25">
      <c r="A17" s="28">
        <v>13</v>
      </c>
      <c r="B17" s="43">
        <v>337683.65120739373</v>
      </c>
      <c r="C17" s="19">
        <v>229946.13478346367</v>
      </c>
      <c r="D17" s="19">
        <v>179080.84999913964</v>
      </c>
    </row>
    <row r="18" spans="1:4" x14ac:dyDescent="0.25">
      <c r="A18" s="28">
        <v>14</v>
      </c>
      <c r="B18" s="43">
        <v>337561.70020332735</v>
      </c>
      <c r="C18" s="19">
        <v>223168.05056682634</v>
      </c>
      <c r="D18" s="19">
        <v>170491.59693138156</v>
      </c>
    </row>
    <row r="19" spans="1:4" x14ac:dyDescent="0.25">
      <c r="A19" s="28">
        <v>15</v>
      </c>
      <c r="B19" s="43">
        <v>337442.14039541892</v>
      </c>
      <c r="C19" s="19">
        <v>216591.26936792021</v>
      </c>
      <c r="D19" s="19">
        <v>162315.43914661015</v>
      </c>
    </row>
    <row r="20" spans="1:4" x14ac:dyDescent="0.25">
      <c r="A20" s="28">
        <v>16</v>
      </c>
      <c r="B20" s="43">
        <v>337324.92489746946</v>
      </c>
      <c r="C20" s="19">
        <v>210209.74097101099</v>
      </c>
      <c r="D20" s="19">
        <v>154532.43475041451</v>
      </c>
    </row>
    <row r="21" spans="1:4" x14ac:dyDescent="0.25">
      <c r="A21" s="28">
        <v>17</v>
      </c>
      <c r="B21" s="43">
        <v>337210.00774261716</v>
      </c>
      <c r="C21" s="19">
        <v>204017.60038772604</v>
      </c>
      <c r="D21" s="19">
        <v>147123.6094073354</v>
      </c>
    </row>
    <row r="22" spans="1:4" x14ac:dyDescent="0.25">
      <c r="A22" s="28">
        <v>18</v>
      </c>
      <c r="B22" s="43">
        <v>337097.34386531095</v>
      </c>
      <c r="C22" s="19">
        <v>198009.16202825546</v>
      </c>
      <c r="D22" s="19">
        <v>140070.90907700316</v>
      </c>
    </row>
    <row r="23" spans="1:4" x14ac:dyDescent="0.25">
      <c r="A23" s="28">
        <v>19</v>
      </c>
      <c r="B23" s="43">
        <v>336986.88908363821</v>
      </c>
      <c r="C23" s="19">
        <v>192178.91406321889</v>
      </c>
      <c r="D23" s="19">
        <v>133357.1550797993</v>
      </c>
    </row>
    <row r="24" spans="1:4" x14ac:dyDescent="0.25">
      <c r="A24" s="28">
        <v>20</v>
      </c>
      <c r="B24" s="43">
        <v>336878.60008199821</v>
      </c>
      <c r="C24" s="19">
        <v>186521.51296963709</v>
      </c>
      <c r="D24" s="19">
        <v>126966.00137588469</v>
      </c>
    </row>
    <row r="25" spans="1:4" x14ac:dyDescent="0.25">
      <c r="A25" s="28">
        <v>21</v>
      </c>
      <c r="B25" s="43">
        <v>336772.43439411587</v>
      </c>
      <c r="C25" s="19">
        <v>181031.77825468945</v>
      </c>
      <c r="D25" s="19">
        <v>120881.89394731415</v>
      </c>
    </row>
    <row r="26" spans="1:4" x14ac:dyDescent="0.25">
      <c r="A26" s="28">
        <v>22</v>
      </c>
      <c r="B26" s="43">
        <v>336668.35038638813</v>
      </c>
      <c r="C26" s="19">
        <v>175704.68735116668</v>
      </c>
      <c r="D26" s="19">
        <v>115090.03217853243</v>
      </c>
    </row>
    <row r="27" spans="1:4" x14ac:dyDescent="0.25">
      <c r="A27" s="28">
        <v>23</v>
      </c>
      <c r="B27" s="43">
        <v>336566.30724155705</v>
      </c>
      <c r="C27" s="19">
        <v>170535.37067875033</v>
      </c>
      <c r="D27" s="19">
        <v>109576.33213583489</v>
      </c>
    </row>
    <row r="28" spans="1:4" x14ac:dyDescent="0.25">
      <c r="A28" s="28">
        <v>24</v>
      </c>
      <c r="B28" s="43">
        <v>336466.26494270295</v>
      </c>
      <c r="C28" s="19">
        <v>165519.10686546317</v>
      </c>
      <c r="D28" s="19">
        <v>104327.39165139243</v>
      </c>
    </row>
    <row r="29" spans="1:4" x14ac:dyDescent="0.25">
      <c r="A29" s="28">
        <v>25</v>
      </c>
      <c r="B29" s="43">
        <v>336368.18425755191</v>
      </c>
      <c r="C29" s="19">
        <v>160651.31812383892</v>
      </c>
      <c r="D29" s="19">
        <v>99330.457122198626</v>
      </c>
    </row>
    <row r="30" spans="1:4" x14ac:dyDescent="0.25">
      <c r="A30" s="28">
        <v>26</v>
      </c>
      <c r="B30" s="43">
        <v>336272.02672309015</v>
      </c>
      <c r="C30" s="19">
        <v>155927.56577655679</v>
      </c>
      <c r="D30" s="19">
        <v>94573.391938811852</v>
      </c>
    </row>
    <row r="31" spans="1:4" x14ac:dyDescent="0.25">
      <c r="A31" s="28">
        <v>27</v>
      </c>
      <c r="B31" s="43">
        <v>336177.75463048049</v>
      </c>
      <c r="C31" s="19">
        <v>151343.54592647485</v>
      </c>
      <c r="D31" s="19">
        <v>90044.646463048572</v>
      </c>
    </row>
    <row r="32" spans="1:4" x14ac:dyDescent="0.25">
      <c r="A32" s="28">
        <v>28</v>
      </c>
      <c r="B32" s="43">
        <v>336085.331010275</v>
      </c>
      <c r="C32" s="19">
        <v>146895.08526617874</v>
      </c>
      <c r="D32" s="19">
        <v>85733.229477848217</v>
      </c>
    </row>
    <row r="33" spans="1:7" x14ac:dyDescent="0.25">
      <c r="A33" s="28">
        <v>29</v>
      </c>
      <c r="B33" s="43">
        <v>335994.71961791662</v>
      </c>
      <c r="C33" s="19">
        <v>142578.13702233642</v>
      </c>
      <c r="D33" s="19">
        <v>81628.68103638562</v>
      </c>
    </row>
    <row r="34" spans="1:7" x14ac:dyDescent="0.25">
      <c r="A34" s="28">
        <v>30</v>
      </c>
      <c r="B34" s="43">
        <v>335905.88491952611</v>
      </c>
      <c r="C34" s="20">
        <v>138388.77703031871</v>
      </c>
      <c r="D34" s="20">
        <v>77721.046641168243</v>
      </c>
    </row>
    <row r="35" spans="1:7" x14ac:dyDescent="0.25">
      <c r="A35" s="9"/>
      <c r="B35" s="33">
        <f>SUM(B4:B34)</f>
        <v>4195128.3232648131</v>
      </c>
      <c r="C35" s="33">
        <f>SUM(C4:C34)</f>
        <v>683305.11778486124</v>
      </c>
      <c r="D35" s="33">
        <f>SUM(D4:D34)</f>
        <v>-746362.90413033892</v>
      </c>
    </row>
    <row r="37" spans="1:7" ht="18" x14ac:dyDescent="0.35">
      <c r="C37" s="2" t="s">
        <v>77</v>
      </c>
      <c r="D37" s="2" t="s">
        <v>80</v>
      </c>
    </row>
    <row r="38" spans="1:7" ht="18" x14ac:dyDescent="0.35">
      <c r="A38" s="15" t="s">
        <v>76</v>
      </c>
      <c r="B38" s="34" t="s">
        <v>79</v>
      </c>
      <c r="C38" s="15" t="s">
        <v>102</v>
      </c>
      <c r="D38" s="15" t="s">
        <v>100</v>
      </c>
      <c r="F38" s="36" t="s">
        <v>81</v>
      </c>
      <c r="G38" s="35">
        <v>0.05</v>
      </c>
    </row>
    <row r="39" spans="1:7" ht="18" x14ac:dyDescent="0.35">
      <c r="A39" s="28">
        <v>0</v>
      </c>
      <c r="B39" s="43">
        <v>-6000000</v>
      </c>
      <c r="C39" s="43">
        <v>-6000000</v>
      </c>
      <c r="D39" s="44">
        <v>-6000000</v>
      </c>
      <c r="F39" s="41" t="s">
        <v>78</v>
      </c>
      <c r="G39" s="42">
        <v>0.08</v>
      </c>
    </row>
    <row r="40" spans="1:7" ht="18" x14ac:dyDescent="0.35">
      <c r="A40" s="28">
        <v>1</v>
      </c>
      <c r="B40" s="43">
        <v>539136.36392156861</v>
      </c>
      <c r="C40" s="19">
        <v>499200.33696441533</v>
      </c>
      <c r="D40" s="19">
        <v>513463.20373482723</v>
      </c>
      <c r="F40" s="37" t="s">
        <v>82</v>
      </c>
      <c r="G40" s="38">
        <f>D70</f>
        <v>2135716.6344476566</v>
      </c>
    </row>
    <row r="41" spans="1:7" ht="18" x14ac:dyDescent="0.35">
      <c r="A41" s="28">
        <v>2</v>
      </c>
      <c r="B41" s="43">
        <v>538740.5050211458</v>
      </c>
      <c r="C41" s="19">
        <v>461883.14902361605</v>
      </c>
      <c r="D41" s="19">
        <v>488653.51929355628</v>
      </c>
      <c r="F41" s="39" t="s">
        <v>83</v>
      </c>
      <c r="G41" s="40">
        <f>C70</f>
        <v>-29115.873976610848</v>
      </c>
    </row>
    <row r="42" spans="1:7" x14ac:dyDescent="0.25">
      <c r="A42" s="28">
        <v>3</v>
      </c>
      <c r="B42" s="43">
        <v>538352.40805994673</v>
      </c>
      <c r="C42" s="19">
        <v>427361.49854883231</v>
      </c>
      <c r="D42" s="19">
        <v>465049.05134214158</v>
      </c>
    </row>
    <row r="43" spans="1:7" x14ac:dyDescent="0.25">
      <c r="A43" s="28">
        <v>4</v>
      </c>
      <c r="B43" s="43">
        <v>537971.92084308516</v>
      </c>
      <c r="C43" s="19">
        <v>395425.42178591806</v>
      </c>
      <c r="D43" s="19">
        <v>442590.83064614859</v>
      </c>
      <c r="E43" t="s">
        <v>84</v>
      </c>
    </row>
    <row r="44" spans="1:7" x14ac:dyDescent="0.25">
      <c r="A44" s="28">
        <v>5</v>
      </c>
      <c r="B44" s="43">
        <v>537598.89415988734</v>
      </c>
      <c r="C44" s="19">
        <v>365880.77410914632</v>
      </c>
      <c r="D44" s="19">
        <v>421222.8006387793</v>
      </c>
      <c r="F44" s="63">
        <f>IRR(B39:B69)</f>
        <v>7.9481450724750324E-2</v>
      </c>
    </row>
    <row r="45" spans="1:7" x14ac:dyDescent="0.25">
      <c r="A45" s="28">
        <v>6</v>
      </c>
      <c r="B45" s="43">
        <v>528561.05074947421</v>
      </c>
      <c r="C45" s="19">
        <v>333083.12013573787</v>
      </c>
      <c r="D45" s="19">
        <v>394420.3941316916</v>
      </c>
      <c r="E45" t="s">
        <v>85</v>
      </c>
    </row>
    <row r="46" spans="1:7" x14ac:dyDescent="0.25">
      <c r="A46" s="28">
        <v>7</v>
      </c>
      <c r="B46" s="43">
        <v>528372.55093085708</v>
      </c>
      <c r="C46" s="19">
        <v>308300.30858830776</v>
      </c>
      <c r="D46" s="19">
        <v>375504.50729978684</v>
      </c>
      <c r="F46" s="62">
        <f>G38+((D70/(D70-C70))*(G39-G38))</f>
        <v>7.9596515566031423E-2</v>
      </c>
    </row>
    <row r="47" spans="1:7" x14ac:dyDescent="0.25">
      <c r="A47" s="28">
        <v>8</v>
      </c>
      <c r="B47" s="43">
        <v>528187.7471871149</v>
      </c>
      <c r="C47" s="19">
        <v>285363.40498039417</v>
      </c>
      <c r="D47" s="19">
        <v>357498.25783749635</v>
      </c>
    </row>
    <row r="48" spans="1:7" x14ac:dyDescent="0.25">
      <c r="A48" s="28">
        <v>9</v>
      </c>
      <c r="B48" s="43">
        <v>528006.56704619096</v>
      </c>
      <c r="C48" s="19">
        <v>264134.73980348447</v>
      </c>
      <c r="D48" s="19">
        <v>340357.7409395249</v>
      </c>
    </row>
    <row r="49" spans="1:4" x14ac:dyDescent="0.25">
      <c r="A49" s="28">
        <v>10</v>
      </c>
      <c r="B49" s="43">
        <v>527828.93945705006</v>
      </c>
      <c r="C49" s="19">
        <v>244486.92757915065</v>
      </c>
      <c r="D49" s="19">
        <v>324041.18153504608</v>
      </c>
    </row>
    <row r="50" spans="1:4" x14ac:dyDescent="0.25">
      <c r="A50" s="28">
        <v>11</v>
      </c>
      <c r="B50" s="43">
        <v>525418.32905617252</v>
      </c>
      <c r="C50" s="19">
        <v>225342.91531403238</v>
      </c>
      <c r="D50" s="19">
        <v>307201.21510554675</v>
      </c>
    </row>
    <row r="51" spans="1:4" x14ac:dyDescent="0.25">
      <c r="A51" s="28">
        <v>12</v>
      </c>
      <c r="B51" s="43">
        <v>525291.45123154169</v>
      </c>
      <c r="C51" s="19">
        <v>208600.46258316495</v>
      </c>
      <c r="D51" s="19">
        <v>292501.93549451511</v>
      </c>
    </row>
    <row r="52" spans="1:4" x14ac:dyDescent="0.25">
      <c r="A52" s="28">
        <v>13</v>
      </c>
      <c r="B52" s="43">
        <v>525167.06120739377</v>
      </c>
      <c r="C52" s="19">
        <v>193102.83851216434</v>
      </c>
      <c r="D52" s="19">
        <v>278507.3052139252</v>
      </c>
    </row>
    <row r="53" spans="1:4" x14ac:dyDescent="0.25">
      <c r="A53" s="28">
        <v>14</v>
      </c>
      <c r="B53" s="43">
        <v>525045.11020332726</v>
      </c>
      <c r="C53" s="19">
        <v>178757.40498246052</v>
      </c>
      <c r="D53" s="19">
        <v>265183.4590407011</v>
      </c>
    </row>
    <row r="54" spans="1:4" x14ac:dyDescent="0.25">
      <c r="A54" s="28">
        <v>15</v>
      </c>
      <c r="B54" s="43">
        <v>524925.55039541889</v>
      </c>
      <c r="C54" s="19">
        <v>165478.42548681004</v>
      </c>
      <c r="D54" s="19">
        <v>252498.16496500972</v>
      </c>
    </row>
    <row r="55" spans="1:4" x14ac:dyDescent="0.25">
      <c r="A55" s="28">
        <v>16</v>
      </c>
      <c r="B55" s="43">
        <v>524808.3348974695</v>
      </c>
      <c r="C55" s="19">
        <v>153186.5502531371</v>
      </c>
      <c r="D55" s="19">
        <v>240420.74505365224</v>
      </c>
    </row>
    <row r="56" spans="1:4" x14ac:dyDescent="0.25">
      <c r="A56" s="28">
        <v>17</v>
      </c>
      <c r="B56" s="43">
        <v>524693.4177426172</v>
      </c>
      <c r="C56" s="19">
        <v>141808.33984358932</v>
      </c>
      <c r="D56" s="19">
        <v>228922.00017232369</v>
      </c>
    </row>
    <row r="57" spans="1:4" x14ac:dyDescent="0.25">
      <c r="A57" s="28">
        <v>18</v>
      </c>
      <c r="B57" s="43">
        <v>524580.75386531092</v>
      </c>
      <c r="C57" s="19">
        <v>131275.82434778145</v>
      </c>
      <c r="D57" s="19">
        <v>217974.13837699199</v>
      </c>
    </row>
    <row r="58" spans="1:4" x14ac:dyDescent="0.25">
      <c r="A58" s="28">
        <v>19</v>
      </c>
      <c r="B58" s="43">
        <v>524470.29908363812</v>
      </c>
      <c r="C58" s="19">
        <v>121526.09550546907</v>
      </c>
      <c r="D58" s="19">
        <v>207550.70679407433</v>
      </c>
    </row>
    <row r="59" spans="1:4" x14ac:dyDescent="0.25">
      <c r="A59" s="28">
        <v>20</v>
      </c>
      <c r="B59" s="43">
        <v>524362.01008199819</v>
      </c>
      <c r="C59" s="19">
        <v>112500.92929388053</v>
      </c>
      <c r="D59" s="19">
        <v>197626.52681805141</v>
      </c>
    </row>
    <row r="60" spans="1:4" x14ac:dyDescent="0.25">
      <c r="A60" s="28">
        <v>21</v>
      </c>
      <c r="B60" s="43">
        <v>524255.84439411596</v>
      </c>
      <c r="C60" s="19">
        <v>104146.43669986812</v>
      </c>
      <c r="D60" s="19">
        <v>188177.63246366347</v>
      </c>
    </row>
    <row r="61" spans="1:4" x14ac:dyDescent="0.25">
      <c r="A61" s="28">
        <v>22</v>
      </c>
      <c r="B61" s="43">
        <v>524151.76038638817</v>
      </c>
      <c r="C61" s="19">
        <v>96412.740568055669</v>
      </c>
      <c r="D61" s="19">
        <v>179181.21171791272</v>
      </c>
    </row>
    <row r="62" spans="1:4" x14ac:dyDescent="0.25">
      <c r="A62" s="28">
        <v>23</v>
      </c>
      <c r="B62" s="43">
        <v>524049.71724155708</v>
      </c>
      <c r="C62" s="19">
        <v>89253.676574311234</v>
      </c>
      <c r="D62" s="19">
        <v>170615.55074476846</v>
      </c>
    </row>
    <row r="63" spans="1:4" x14ac:dyDescent="0.25">
      <c r="A63" s="28">
        <v>24</v>
      </c>
      <c r="B63" s="43">
        <v>523949.67494270293</v>
      </c>
      <c r="C63" s="19">
        <v>82626.51652013039</v>
      </c>
      <c r="D63" s="19">
        <v>162459.98080275775</v>
      </c>
    </row>
    <row r="64" spans="1:4" x14ac:dyDescent="0.25">
      <c r="A64" s="28">
        <v>25</v>
      </c>
      <c r="B64" s="43">
        <v>523851.59425755194</v>
      </c>
      <c r="C64" s="19">
        <v>76491.71227877737</v>
      </c>
      <c r="D64" s="19">
        <v>154694.82774254656</v>
      </c>
    </row>
    <row r="65" spans="1:4" x14ac:dyDescent="0.25">
      <c r="A65" s="28">
        <v>26</v>
      </c>
      <c r="B65" s="43">
        <v>523755.43672309018</v>
      </c>
      <c r="C65" s="19">
        <v>70812.658849123764</v>
      </c>
      <c r="D65" s="19">
        <v>147301.36395819084</v>
      </c>
    </row>
    <row r="66" spans="1:4" x14ac:dyDescent="0.25">
      <c r="A66" s="28">
        <v>27</v>
      </c>
      <c r="B66" s="43">
        <v>523661.16463048052</v>
      </c>
      <c r="C66" s="19">
        <v>65555.475088819483</v>
      </c>
      <c r="D66" s="19">
        <v>140261.76267198095</v>
      </c>
    </row>
    <row r="67" spans="1:4" x14ac:dyDescent="0.25">
      <c r="A67" s="28">
        <v>28</v>
      </c>
      <c r="B67" s="43">
        <v>523568.74101027497</v>
      </c>
      <c r="C67" s="19">
        <v>60688.800805431849</v>
      </c>
      <c r="D67" s="19">
        <v>133559.05443873617</v>
      </c>
    </row>
    <row r="68" spans="1:4" x14ac:dyDescent="0.25">
      <c r="A68" s="28">
        <v>29</v>
      </c>
      <c r="B68" s="43">
        <v>523478.12961791665</v>
      </c>
      <c r="C68" s="19">
        <v>56183.608983154671</v>
      </c>
      <c r="D68" s="19">
        <v>127177.08576104083</v>
      </c>
    </row>
    <row r="69" spans="1:4" x14ac:dyDescent="0.25">
      <c r="A69" s="28">
        <v>30</v>
      </c>
      <c r="B69" s="43">
        <v>523389.29491952609</v>
      </c>
      <c r="C69" s="20">
        <v>52013.032014223732</v>
      </c>
      <c r="D69" s="20">
        <v>121100.47971226844</v>
      </c>
    </row>
    <row r="70" spans="1:4" x14ac:dyDescent="0.25">
      <c r="A70" s="9"/>
      <c r="B70" s="33">
        <f>SUM(B39:B69)</f>
        <v>9819630.6232648119</v>
      </c>
      <c r="C70" s="33">
        <f>SUM(C39:C69)</f>
        <v>-29115.873976610848</v>
      </c>
      <c r="D70" s="33">
        <f>SUM(D39:D69)</f>
        <v>2135716.6344476566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I33"/>
  <sheetViews>
    <sheetView tabSelected="1" workbookViewId="0">
      <selection activeCell="I15" sqref="I15"/>
    </sheetView>
  </sheetViews>
  <sheetFormatPr defaultRowHeight="15" x14ac:dyDescent="0.25"/>
  <cols>
    <col min="2" max="2" width="12.42578125" bestFit="1" customWidth="1"/>
    <col min="5" max="5" width="12.42578125" bestFit="1" customWidth="1"/>
    <col min="7" max="7" width="14" bestFit="1" customWidth="1"/>
    <col min="9" max="9" width="12.42578125" bestFit="1" customWidth="1"/>
  </cols>
  <sheetData>
    <row r="3" spans="2:9" x14ac:dyDescent="0.25">
      <c r="B3" t="s">
        <v>90</v>
      </c>
      <c r="I3" t="s">
        <v>71</v>
      </c>
    </row>
    <row r="4" spans="2:9" x14ac:dyDescent="0.25">
      <c r="B4" s="32">
        <v>245396.09117647057</v>
      </c>
      <c r="I4" s="29">
        <v>464215</v>
      </c>
    </row>
    <row r="5" spans="2:9" x14ac:dyDescent="0.25">
      <c r="B5" s="32">
        <v>247083.70017301041</v>
      </c>
      <c r="D5" t="s">
        <v>86</v>
      </c>
      <c r="G5" s="32">
        <f>SUM(B4:B33)/30</f>
        <v>295766.76458868454</v>
      </c>
    </row>
    <row r="6" spans="2:9" x14ac:dyDescent="0.25">
      <c r="B6" s="32">
        <v>248738.21879706901</v>
      </c>
      <c r="D6" t="s">
        <v>88</v>
      </c>
      <c r="G6" s="32">
        <v>6000000</v>
      </c>
    </row>
    <row r="7" spans="2:9" x14ac:dyDescent="0.25">
      <c r="B7" s="32">
        <v>250360.29587947947</v>
      </c>
      <c r="D7" t="s">
        <v>89</v>
      </c>
      <c r="G7" s="64">
        <f>G5/G6</f>
        <v>4.9294460764780758E-2</v>
      </c>
    </row>
    <row r="8" spans="2:9" x14ac:dyDescent="0.25">
      <c r="B8" s="32">
        <v>251950.56752890142</v>
      </c>
    </row>
    <row r="9" spans="2:9" x14ac:dyDescent="0.25">
      <c r="B9" s="32">
        <v>290480.3210153993</v>
      </c>
    </row>
    <row r="10" spans="2:9" x14ac:dyDescent="0.25">
      <c r="B10" s="32">
        <v>291283.92550529336</v>
      </c>
      <c r="D10" t="s">
        <v>89</v>
      </c>
      <c r="E10" s="64">
        <f>(G5/I4)*(I4/G6)</f>
        <v>4.9294460764780758E-2</v>
      </c>
    </row>
    <row r="11" spans="2:9" x14ac:dyDescent="0.25">
      <c r="B11" s="32">
        <v>292071.77304440533</v>
      </c>
    </row>
    <row r="12" spans="2:9" x14ac:dyDescent="0.25">
      <c r="B12" s="32">
        <v>292844.17259255418</v>
      </c>
    </row>
    <row r="13" spans="2:9" x14ac:dyDescent="0.25">
      <c r="B13" s="32">
        <v>293601.42705152376</v>
      </c>
    </row>
    <row r="14" spans="2:9" x14ac:dyDescent="0.25">
      <c r="B14" s="32">
        <v>303878.23981315939</v>
      </c>
    </row>
    <row r="15" spans="2:9" x14ac:dyDescent="0.25">
      <c r="B15" s="32">
        <v>304419.14001290133</v>
      </c>
    </row>
    <row r="16" spans="2:9" x14ac:dyDescent="0.25">
      <c r="B16" s="32">
        <v>304949.4343263738</v>
      </c>
    </row>
    <row r="17" spans="2:2" x14ac:dyDescent="0.25">
      <c r="B17" s="32">
        <v>305469.33071213128</v>
      </c>
    </row>
    <row r="18" spans="2:2" x14ac:dyDescent="0.25">
      <c r="B18" s="32">
        <v>305979.03305110906</v>
      </c>
    </row>
    <row r="19" spans="2:2" x14ac:dyDescent="0.25">
      <c r="B19" s="32">
        <v>306478.74122657749</v>
      </c>
    </row>
    <row r="20" spans="2:2" x14ac:dyDescent="0.25">
      <c r="B20" s="32">
        <v>306968.65120252699</v>
      </c>
    </row>
    <row r="21" spans="2:2" x14ac:dyDescent="0.25">
      <c r="B21" s="32">
        <v>307448.95510051661</v>
      </c>
    </row>
    <row r="22" spans="2:2" x14ac:dyDescent="0.25">
      <c r="B22" s="32">
        <v>307919.84127501631</v>
      </c>
    </row>
    <row r="23" spans="2:2" x14ac:dyDescent="0.25">
      <c r="B23" s="32">
        <v>308381.49438727088</v>
      </c>
    </row>
    <row r="24" spans="2:2" x14ac:dyDescent="0.25">
      <c r="B24" s="32">
        <v>308834.09547771653</v>
      </c>
    </row>
    <row r="25" spans="2:2" x14ac:dyDescent="0.25">
      <c r="B25" s="32">
        <v>309277.82203697704</v>
      </c>
    </row>
    <row r="26" spans="2:2" x14ac:dyDescent="0.25">
      <c r="B26" s="32">
        <v>309712.84807546769</v>
      </c>
    </row>
    <row r="27" spans="2:2" x14ac:dyDescent="0.25">
      <c r="B27" s="32">
        <v>310139.34419163497</v>
      </c>
    </row>
    <row r="28" spans="2:2" x14ac:dyDescent="0.25">
      <c r="B28" s="32">
        <v>310557.47763885779</v>
      </c>
    </row>
    <row r="29" spans="2:2" x14ac:dyDescent="0.25">
      <c r="B29" s="32">
        <v>310967.4123910371</v>
      </c>
    </row>
    <row r="30" spans="2:2" x14ac:dyDescent="0.25">
      <c r="B30" s="32">
        <v>311369.30920689908</v>
      </c>
    </row>
    <row r="31" spans="2:2" x14ac:dyDescent="0.25">
      <c r="B31" s="32">
        <v>311763.32569303835</v>
      </c>
    </row>
    <row r="32" spans="2:2" x14ac:dyDescent="0.25">
      <c r="B32" s="32">
        <v>312149.61636572384</v>
      </c>
    </row>
    <row r="33" spans="2:2" x14ac:dyDescent="0.25">
      <c r="B33" s="32">
        <v>312528.33271149395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179"/>
  <sheetViews>
    <sheetView topLeftCell="A109" zoomScale="70" zoomScaleNormal="70" workbookViewId="0">
      <selection activeCell="L28" sqref="L28"/>
    </sheetView>
  </sheetViews>
  <sheetFormatPr defaultRowHeight="15" x14ac:dyDescent="0.25"/>
  <cols>
    <col min="1" max="1" width="4.42578125" bestFit="1" customWidth="1"/>
    <col min="2" max="3" width="12.28515625" bestFit="1" customWidth="1"/>
    <col min="4" max="4" width="13.140625" customWidth="1"/>
    <col min="5" max="8" width="9.5703125" bestFit="1" customWidth="1"/>
    <col min="9" max="9" width="11.42578125" bestFit="1" customWidth="1"/>
    <col min="10" max="10" width="6" bestFit="1" customWidth="1"/>
    <col min="11" max="11" width="13.42578125" customWidth="1"/>
    <col min="12" max="12" width="11.42578125" bestFit="1" customWidth="1"/>
    <col min="13" max="13" width="12.28515625" customWidth="1"/>
    <col min="14" max="15" width="11.42578125" bestFit="1" customWidth="1"/>
    <col min="16" max="16" width="13.42578125" bestFit="1" customWidth="1"/>
    <col min="17" max="17" width="14.140625" customWidth="1"/>
    <col min="19" max="19" width="12.7109375" bestFit="1" customWidth="1"/>
    <col min="21" max="21" width="14.7109375" bestFit="1" customWidth="1"/>
  </cols>
  <sheetData>
    <row r="1" spans="1:22" ht="27" thickBot="1" x14ac:dyDescent="0.3">
      <c r="A1" s="22" t="s">
        <v>68</v>
      </c>
      <c r="B1" s="23" t="s">
        <v>59</v>
      </c>
      <c r="C1" s="23" t="s">
        <v>71</v>
      </c>
      <c r="D1" s="45" t="s">
        <v>70</v>
      </c>
      <c r="E1" s="51" t="s">
        <v>91</v>
      </c>
      <c r="F1" s="52" t="s">
        <v>92</v>
      </c>
      <c r="G1" s="52" t="s">
        <v>93</v>
      </c>
      <c r="H1" s="53" t="s">
        <v>94</v>
      </c>
      <c r="I1" s="23" t="s">
        <v>96</v>
      </c>
      <c r="J1" s="23" t="s">
        <v>95</v>
      </c>
      <c r="K1" s="45" t="s">
        <v>65</v>
      </c>
      <c r="L1" s="23" t="s">
        <v>66</v>
      </c>
      <c r="M1" s="45" t="s">
        <v>67</v>
      </c>
      <c r="N1" s="23" t="s">
        <v>64</v>
      </c>
      <c r="O1" s="45" t="s">
        <v>87</v>
      </c>
      <c r="P1" s="90" t="s">
        <v>60</v>
      </c>
      <c r="Q1" s="61" t="s">
        <v>98</v>
      </c>
      <c r="S1" t="s">
        <v>75</v>
      </c>
    </row>
    <row r="2" spans="1:22" x14ac:dyDescent="0.25">
      <c r="A2" s="24">
        <v>0</v>
      </c>
      <c r="B2" s="25">
        <v>6000000</v>
      </c>
      <c r="C2" s="24"/>
      <c r="D2" s="26" t="s">
        <v>69</v>
      </c>
      <c r="E2" s="54"/>
      <c r="F2" s="49"/>
      <c r="G2" s="49"/>
      <c r="H2" s="55"/>
      <c r="I2" s="24"/>
      <c r="J2" s="24"/>
      <c r="K2" s="24"/>
      <c r="L2" s="24"/>
      <c r="M2" s="24"/>
      <c r="N2" s="24"/>
      <c r="O2" s="24"/>
      <c r="P2" s="91"/>
      <c r="Q2" s="27"/>
    </row>
    <row r="3" spans="1:22" x14ac:dyDescent="0.25">
      <c r="A3" s="28">
        <v>1</v>
      </c>
      <c r="B3" s="28"/>
      <c r="C3" s="29">
        <v>464215</v>
      </c>
      <c r="D3" s="47">
        <v>55000</v>
      </c>
      <c r="E3" s="56">
        <f>$E$40/$F$40/J3^A3</f>
        <v>50393.333333333328</v>
      </c>
      <c r="F3" s="50">
        <f t="shared" ref="F3:F12" si="0">$E$39/$F$39/J3^A3</f>
        <v>14348.627450980392</v>
      </c>
      <c r="G3" s="50">
        <f t="shared" ref="G3:G32" si="1">$E$38/$F$38/J3^A3</f>
        <v>16686.666666666668</v>
      </c>
      <c r="H3" s="57">
        <f>$E$37/$F$37/J3^A3</f>
        <v>24828.235294117647</v>
      </c>
      <c r="I3" s="48">
        <f>SUM(E3:H3)</f>
        <v>106256.86274509804</v>
      </c>
      <c r="J3" s="46">
        <v>1.02</v>
      </c>
      <c r="K3" s="29">
        <f t="shared" ref="K3:K32" si="2">C3-(D3+I3)</f>
        <v>302958.13725490193</v>
      </c>
      <c r="L3" s="29">
        <f>K3-M3</f>
        <v>57562.046078431362</v>
      </c>
      <c r="M3" s="29">
        <f>K3*0.81</f>
        <v>245396.09117647057</v>
      </c>
      <c r="N3" s="29">
        <f>I3</f>
        <v>106256.86274509804</v>
      </c>
      <c r="O3" s="29">
        <f>M3+N3</f>
        <v>351652.95392156858</v>
      </c>
      <c r="P3" s="29">
        <f>O3-$B$2</f>
        <v>-5648347.0460784314</v>
      </c>
      <c r="Q3" s="29">
        <f>O3/(1+0.117)^A3</f>
        <v>314819.11720820825</v>
      </c>
      <c r="S3" s="21">
        <f>Q3-$B$2</f>
        <v>-5685180.882791792</v>
      </c>
      <c r="V3">
        <v>-6000000</v>
      </c>
    </row>
    <row r="4" spans="1:22" x14ac:dyDescent="0.25">
      <c r="A4" s="28">
        <v>2</v>
      </c>
      <c r="B4" s="28"/>
      <c r="C4" s="29">
        <v>464215</v>
      </c>
      <c r="D4" s="47">
        <v>55000</v>
      </c>
      <c r="E4" s="56">
        <f>$E$40/$F$40/J4^A4</f>
        <v>49405.228758169935</v>
      </c>
      <c r="F4" s="50">
        <f t="shared" si="0"/>
        <v>14067.281814686659</v>
      </c>
      <c r="G4" s="50">
        <f t="shared" si="1"/>
        <v>16359.477124183008</v>
      </c>
      <c r="H4" s="57">
        <f t="shared" ref="H4:H32" si="3">$E$37/$F$37/J4^A4</f>
        <v>24341.407151095733</v>
      </c>
      <c r="I4" s="48">
        <f t="shared" ref="I4:I32" si="4">SUM(E4:H4)</f>
        <v>104173.39484813533</v>
      </c>
      <c r="J4" s="46">
        <v>1.02</v>
      </c>
      <c r="K4" s="29">
        <f t="shared" si="2"/>
        <v>305041.6051518647</v>
      </c>
      <c r="L4" s="29">
        <f t="shared" ref="L4:L32" si="5">K4-M4</f>
        <v>57957.904978854291</v>
      </c>
      <c r="M4" s="29">
        <f>K4*0.81</f>
        <v>247083.70017301041</v>
      </c>
      <c r="N4" s="29">
        <f t="shared" ref="N4:N32" si="6">I4</f>
        <v>104173.39484813533</v>
      </c>
      <c r="O4" s="29">
        <f t="shared" ref="O4:O32" si="7">M4+N4</f>
        <v>351257.09502114577</v>
      </c>
      <c r="P4" s="29">
        <f>P3+O4</f>
        <v>-5297089.951057286</v>
      </c>
      <c r="Q4" s="29">
        <f>O4/(1+0.117)^A4</f>
        <v>281526.16158445395</v>
      </c>
      <c r="S4" s="21">
        <f>S3+Q4</f>
        <v>-5403654.7212073384</v>
      </c>
      <c r="U4" s="71"/>
    </row>
    <row r="5" spans="1:22" x14ac:dyDescent="0.25">
      <c r="A5" s="28">
        <v>3</v>
      </c>
      <c r="B5" s="28"/>
      <c r="C5" s="29">
        <v>464215</v>
      </c>
      <c r="D5" s="47">
        <v>55000</v>
      </c>
      <c r="E5" s="56">
        <f>$E$40/$F$40/J5^A5</f>
        <v>48436.498782519542</v>
      </c>
      <c r="F5" s="50">
        <f t="shared" si="0"/>
        <v>13791.452759496726</v>
      </c>
      <c r="G5" s="50">
        <f t="shared" si="1"/>
        <v>16038.703062924518</v>
      </c>
      <c r="H5" s="57">
        <f t="shared" si="3"/>
        <v>23864.124657936994</v>
      </c>
      <c r="I5" s="48">
        <f t="shared" si="4"/>
        <v>102130.77926287777</v>
      </c>
      <c r="J5" s="46">
        <v>1.02</v>
      </c>
      <c r="K5" s="29">
        <f t="shared" si="2"/>
        <v>307084.22073712223</v>
      </c>
      <c r="L5" s="29">
        <f t="shared" si="5"/>
        <v>58346.001940053218</v>
      </c>
      <c r="M5" s="29">
        <f t="shared" ref="M5:M32" si="8">K5*0.81</f>
        <v>248738.21879706901</v>
      </c>
      <c r="N5" s="29">
        <f t="shared" si="6"/>
        <v>102130.77926287777</v>
      </c>
      <c r="O5" s="29">
        <f t="shared" si="7"/>
        <v>350868.99805994681</v>
      </c>
      <c r="P5" s="29">
        <f t="shared" ref="P5:P32" si="9">P4+O5</f>
        <v>-4946220.952997339</v>
      </c>
      <c r="Q5" s="29">
        <f t="shared" ref="Q5:Q32" si="10">O5/(1+0.117)^A5</f>
        <v>251759.27389558483</v>
      </c>
      <c r="S5" s="21">
        <f t="shared" ref="S5:S32" si="11">S4+Q5</f>
        <v>-5151895.4473117534</v>
      </c>
      <c r="U5" s="71">
        <f>NPV(U9,$V$3,O3:O32)</f>
        <v>-2833254.8460528427</v>
      </c>
    </row>
    <row r="6" spans="1:22" x14ac:dyDescent="0.25">
      <c r="A6" s="28">
        <v>4</v>
      </c>
      <c r="B6" s="28"/>
      <c r="C6" s="29">
        <v>464215</v>
      </c>
      <c r="D6" s="47">
        <v>55000</v>
      </c>
      <c r="E6" s="56">
        <f>$E$40/$F$40/J6^A6</f>
        <v>47486.763512274061</v>
      </c>
      <c r="F6" s="50">
        <f t="shared" si="0"/>
        <v>13521.032117153653</v>
      </c>
      <c r="G6" s="50">
        <f t="shared" si="1"/>
        <v>15724.218689141684</v>
      </c>
      <c r="H6" s="57">
        <f t="shared" si="3"/>
        <v>23396.200645036268</v>
      </c>
      <c r="I6" s="48">
        <f t="shared" si="4"/>
        <v>100128.21496360566</v>
      </c>
      <c r="J6" s="46">
        <v>1.02</v>
      </c>
      <c r="K6" s="29">
        <f t="shared" si="2"/>
        <v>309086.78503639437</v>
      </c>
      <c r="L6" s="29">
        <f t="shared" si="5"/>
        <v>58726.489156914904</v>
      </c>
      <c r="M6" s="29">
        <f t="shared" si="8"/>
        <v>250360.29587947947</v>
      </c>
      <c r="N6" s="29">
        <f t="shared" si="6"/>
        <v>100128.21496360566</v>
      </c>
      <c r="O6" s="29">
        <f t="shared" si="7"/>
        <v>350488.51084308513</v>
      </c>
      <c r="P6" s="29">
        <f t="shared" si="9"/>
        <v>-4595732.4421542538</v>
      </c>
      <c r="Q6" s="29">
        <f t="shared" si="10"/>
        <v>225144.37120926418</v>
      </c>
      <c r="S6" s="21">
        <f t="shared" si="11"/>
        <v>-4926751.0761024896</v>
      </c>
    </row>
    <row r="7" spans="1:22" x14ac:dyDescent="0.25">
      <c r="A7" s="28">
        <v>5</v>
      </c>
      <c r="B7" s="28"/>
      <c r="C7" s="29">
        <v>464215</v>
      </c>
      <c r="D7" s="47">
        <v>55000</v>
      </c>
      <c r="E7" s="56">
        <f>$E$40/$F$40/J7^A7</f>
        <v>46555.650502229473</v>
      </c>
      <c r="F7" s="50">
        <f t="shared" si="0"/>
        <v>13255.913840346717</v>
      </c>
      <c r="G7" s="50">
        <f t="shared" si="1"/>
        <v>15415.900675629102</v>
      </c>
      <c r="H7" s="57">
        <f t="shared" si="3"/>
        <v>22937.451612780653</v>
      </c>
      <c r="I7" s="48">
        <f t="shared" si="4"/>
        <v>98164.916630985943</v>
      </c>
      <c r="J7" s="46">
        <v>1.02</v>
      </c>
      <c r="K7" s="29">
        <f t="shared" si="2"/>
        <v>311050.08336901409</v>
      </c>
      <c r="L7" s="29">
        <f t="shared" si="5"/>
        <v>59099.515840112668</v>
      </c>
      <c r="M7" s="29">
        <f t="shared" si="8"/>
        <v>251950.56752890142</v>
      </c>
      <c r="N7" s="29">
        <f t="shared" si="6"/>
        <v>98164.916630985943</v>
      </c>
      <c r="O7" s="29">
        <f t="shared" si="7"/>
        <v>350115.48415988736</v>
      </c>
      <c r="P7" s="29">
        <f t="shared" si="9"/>
        <v>-4245616.9579943661</v>
      </c>
      <c r="Q7" s="29">
        <f t="shared" si="10"/>
        <v>201347.13421996255</v>
      </c>
      <c r="S7" s="21">
        <f t="shared" si="11"/>
        <v>-4725403.9418825274</v>
      </c>
    </row>
    <row r="8" spans="1:22" x14ac:dyDescent="0.25">
      <c r="A8" s="28">
        <v>6</v>
      </c>
      <c r="B8" s="28"/>
      <c r="C8" s="29">
        <v>464215</v>
      </c>
      <c r="D8" s="47">
        <v>55000</v>
      </c>
      <c r="E8" s="56"/>
      <c r="F8" s="50">
        <f t="shared" si="0"/>
        <v>12995.993961124232</v>
      </c>
      <c r="G8" s="50">
        <f t="shared" si="1"/>
        <v>15113.628113361863</v>
      </c>
      <c r="H8" s="57">
        <f t="shared" si="3"/>
        <v>22487.697659588874</v>
      </c>
      <c r="I8" s="48">
        <f t="shared" si="4"/>
        <v>50597.319734074968</v>
      </c>
      <c r="J8" s="46">
        <v>1.02</v>
      </c>
      <c r="K8" s="29">
        <f t="shared" si="2"/>
        <v>358617.68026592501</v>
      </c>
      <c r="L8" s="29">
        <f t="shared" si="5"/>
        <v>68137.359250525711</v>
      </c>
      <c r="M8" s="29">
        <f>K8*0.81</f>
        <v>290480.3210153993</v>
      </c>
      <c r="N8" s="29">
        <f t="shared" si="6"/>
        <v>50597.319734074968</v>
      </c>
      <c r="O8" s="29">
        <f t="shared" si="7"/>
        <v>341077.64074947429</v>
      </c>
      <c r="P8" s="29">
        <f t="shared" si="9"/>
        <v>-3904539.317244892</v>
      </c>
      <c r="Q8" s="29">
        <f t="shared" si="10"/>
        <v>175603.92209193303</v>
      </c>
      <c r="S8" s="21">
        <f t="shared" si="11"/>
        <v>-4549800.0197905945</v>
      </c>
    </row>
    <row r="9" spans="1:22" x14ac:dyDescent="0.25">
      <c r="A9" s="28">
        <v>7</v>
      </c>
      <c r="B9" s="28"/>
      <c r="C9" s="29">
        <v>464215</v>
      </c>
      <c r="D9" s="47">
        <v>55000</v>
      </c>
      <c r="E9" s="56"/>
      <c r="F9" s="50">
        <f t="shared" si="0"/>
        <v>12741.170550121798</v>
      </c>
      <c r="G9" s="50">
        <f t="shared" si="1"/>
        <v>14817.282464080261</v>
      </c>
      <c r="H9" s="57">
        <f t="shared" si="3"/>
        <v>22046.762411361648</v>
      </c>
      <c r="I9" s="48">
        <f t="shared" si="4"/>
        <v>49605.215425563707</v>
      </c>
      <c r="J9" s="46">
        <v>1.02</v>
      </c>
      <c r="K9" s="29">
        <f t="shared" si="2"/>
        <v>359609.78457443626</v>
      </c>
      <c r="L9" s="29">
        <f t="shared" si="5"/>
        <v>68325.859069142898</v>
      </c>
      <c r="M9" s="29">
        <f t="shared" si="8"/>
        <v>291283.92550529336</v>
      </c>
      <c r="N9" s="29">
        <f t="shared" si="6"/>
        <v>49605.215425563707</v>
      </c>
      <c r="O9" s="29">
        <f t="shared" si="7"/>
        <v>340889.14093085704</v>
      </c>
      <c r="P9" s="29">
        <f t="shared" si="9"/>
        <v>-3563650.176314035</v>
      </c>
      <c r="Q9" s="29">
        <f t="shared" si="10"/>
        <v>157123.43142859594</v>
      </c>
      <c r="S9" s="21">
        <f t="shared" si="11"/>
        <v>-4392676.5883619981</v>
      </c>
      <c r="U9" s="70">
        <v>0.11700000000000001</v>
      </c>
    </row>
    <row r="10" spans="1:22" x14ac:dyDescent="0.25">
      <c r="A10" s="28">
        <v>8</v>
      </c>
      <c r="B10" s="28"/>
      <c r="C10" s="29">
        <v>464215</v>
      </c>
      <c r="D10" s="47">
        <v>55000</v>
      </c>
      <c r="E10" s="56"/>
      <c r="F10" s="50">
        <f t="shared" si="0"/>
        <v>12491.343676589997</v>
      </c>
      <c r="G10" s="50">
        <f t="shared" si="1"/>
        <v>14526.747513804177</v>
      </c>
      <c r="H10" s="57">
        <f t="shared" si="3"/>
        <v>21614.472952315336</v>
      </c>
      <c r="I10" s="48">
        <f t="shared" si="4"/>
        <v>48632.564142709511</v>
      </c>
      <c r="J10" s="46">
        <v>1.02</v>
      </c>
      <c r="K10" s="29">
        <f t="shared" si="2"/>
        <v>360582.43585729052</v>
      </c>
      <c r="L10" s="29">
        <f t="shared" si="5"/>
        <v>68510.662812885188</v>
      </c>
      <c r="M10" s="29">
        <f t="shared" si="8"/>
        <v>292071.77304440533</v>
      </c>
      <c r="N10" s="29">
        <f t="shared" si="6"/>
        <v>48632.564142709511</v>
      </c>
      <c r="O10" s="29">
        <f t="shared" si="7"/>
        <v>340704.33718711487</v>
      </c>
      <c r="P10" s="29">
        <f t="shared" si="9"/>
        <v>-3222945.8391269203</v>
      </c>
      <c r="Q10" s="29">
        <f t="shared" si="10"/>
        <v>140589.30281886741</v>
      </c>
      <c r="S10" s="21">
        <f t="shared" si="11"/>
        <v>-4252087.2855431307</v>
      </c>
    </row>
    <row r="11" spans="1:22" x14ac:dyDescent="0.25">
      <c r="A11" s="28">
        <v>9</v>
      </c>
      <c r="B11" s="28"/>
      <c r="C11" s="29">
        <v>464215</v>
      </c>
      <c r="D11" s="47">
        <v>55000</v>
      </c>
      <c r="E11" s="56"/>
      <c r="F11" s="50">
        <f t="shared" si="0"/>
        <v>12246.415369205881</v>
      </c>
      <c r="G11" s="50">
        <f t="shared" si="1"/>
        <v>14241.909327258996</v>
      </c>
      <c r="H11" s="57">
        <f t="shared" si="3"/>
        <v>21190.659757171899</v>
      </c>
      <c r="I11" s="48">
        <f t="shared" si="4"/>
        <v>47678.984453636775</v>
      </c>
      <c r="J11" s="46">
        <v>1.02</v>
      </c>
      <c r="K11" s="29">
        <f t="shared" si="2"/>
        <v>361536.0155463632</v>
      </c>
      <c r="L11" s="29">
        <f t="shared" si="5"/>
        <v>68691.842953809013</v>
      </c>
      <c r="M11" s="29">
        <f t="shared" si="8"/>
        <v>292844.17259255418</v>
      </c>
      <c r="N11" s="29">
        <f t="shared" si="6"/>
        <v>47678.984453636775</v>
      </c>
      <c r="O11" s="29">
        <f t="shared" si="7"/>
        <v>340523.15704619093</v>
      </c>
      <c r="P11" s="29">
        <f t="shared" si="9"/>
        <v>-2882422.6820807294</v>
      </c>
      <c r="Q11" s="29">
        <f t="shared" si="10"/>
        <v>125796.36533491923</v>
      </c>
      <c r="S11" s="21">
        <f t="shared" si="11"/>
        <v>-4126290.9202082115</v>
      </c>
    </row>
    <row r="12" spans="1:22" x14ac:dyDescent="0.25">
      <c r="A12" s="28">
        <v>10</v>
      </c>
      <c r="B12" s="28"/>
      <c r="C12" s="29">
        <v>464215</v>
      </c>
      <c r="D12" s="47">
        <v>55000</v>
      </c>
      <c r="E12" s="56"/>
      <c r="F12" s="50">
        <f t="shared" si="0"/>
        <v>12006.289577652824</v>
      </c>
      <c r="G12" s="50">
        <f t="shared" si="1"/>
        <v>13962.656203195094</v>
      </c>
      <c r="H12" s="57">
        <f t="shared" si="3"/>
        <v>20775.156624678333</v>
      </c>
      <c r="I12" s="48">
        <f t="shared" si="4"/>
        <v>46744.102405526253</v>
      </c>
      <c r="J12" s="46">
        <v>1.02</v>
      </c>
      <c r="K12" s="29">
        <f t="shared" si="2"/>
        <v>362470.89759447373</v>
      </c>
      <c r="L12" s="29">
        <f t="shared" si="5"/>
        <v>68869.470542949974</v>
      </c>
      <c r="M12" s="29">
        <f t="shared" si="8"/>
        <v>293601.42705152376</v>
      </c>
      <c r="N12" s="29">
        <f t="shared" si="6"/>
        <v>46744.102405526253</v>
      </c>
      <c r="O12" s="29">
        <f t="shared" si="7"/>
        <v>340345.52945705003</v>
      </c>
      <c r="P12" s="29">
        <f t="shared" si="9"/>
        <v>-2542077.1526236795</v>
      </c>
      <c r="Q12" s="29">
        <f t="shared" si="10"/>
        <v>112561.09757753415</v>
      </c>
      <c r="S12" s="21">
        <f t="shared" si="11"/>
        <v>-4013729.8226306774</v>
      </c>
    </row>
    <row r="13" spans="1:22" ht="15.75" customHeight="1" x14ac:dyDescent="0.25">
      <c r="A13" s="28">
        <v>11</v>
      </c>
      <c r="B13" s="28"/>
      <c r="C13" s="29">
        <v>464215</v>
      </c>
      <c r="D13" s="47">
        <v>55000</v>
      </c>
      <c r="E13" s="56"/>
      <c r="F13" s="50"/>
      <c r="G13" s="50">
        <f t="shared" si="1"/>
        <v>13688.878630583429</v>
      </c>
      <c r="H13" s="57">
        <f t="shared" si="3"/>
        <v>20367.800612429743</v>
      </c>
      <c r="I13" s="48">
        <f t="shared" si="4"/>
        <v>34056.679243013175</v>
      </c>
      <c r="J13" s="46">
        <v>1.02</v>
      </c>
      <c r="K13" s="29">
        <f t="shared" si="2"/>
        <v>375158.32075698685</v>
      </c>
      <c r="L13" s="29">
        <f t="shared" si="5"/>
        <v>71280.080943827459</v>
      </c>
      <c r="M13" s="29">
        <f t="shared" si="8"/>
        <v>303878.23981315939</v>
      </c>
      <c r="N13" s="29">
        <f t="shared" si="6"/>
        <v>34056.679243013175</v>
      </c>
      <c r="O13" s="29">
        <f t="shared" si="7"/>
        <v>337934.9190561726</v>
      </c>
      <c r="P13" s="29">
        <f t="shared" si="9"/>
        <v>-2204142.233567507</v>
      </c>
      <c r="Q13" s="29">
        <f t="shared" si="10"/>
        <v>100057.15861196787</v>
      </c>
      <c r="S13" s="21">
        <f t="shared" si="11"/>
        <v>-3913672.6640187097</v>
      </c>
    </row>
    <row r="14" spans="1:22" x14ac:dyDescent="0.25">
      <c r="A14" s="28">
        <v>12</v>
      </c>
      <c r="B14" s="28"/>
      <c r="C14" s="29">
        <v>464215</v>
      </c>
      <c r="D14" s="47">
        <v>55000</v>
      </c>
      <c r="E14" s="56"/>
      <c r="F14" s="50"/>
      <c r="G14" s="50">
        <f t="shared" si="1"/>
        <v>13420.469245670025</v>
      </c>
      <c r="H14" s="57">
        <f t="shared" si="3"/>
        <v>19968.431972970331</v>
      </c>
      <c r="I14" s="48">
        <f t="shared" si="4"/>
        <v>33388.901218640356</v>
      </c>
      <c r="J14" s="46">
        <v>1.02</v>
      </c>
      <c r="K14" s="29">
        <f t="shared" si="2"/>
        <v>375826.09878135961</v>
      </c>
      <c r="L14" s="29">
        <f t="shared" si="5"/>
        <v>71406.95876845828</v>
      </c>
      <c r="M14" s="29">
        <f t="shared" si="8"/>
        <v>304419.14001290133</v>
      </c>
      <c r="N14" s="29">
        <f t="shared" si="6"/>
        <v>33388.901218640356</v>
      </c>
      <c r="O14" s="29">
        <f t="shared" si="7"/>
        <v>337808.04123154166</v>
      </c>
      <c r="P14" s="29">
        <f t="shared" si="9"/>
        <v>-1866334.1923359653</v>
      </c>
      <c r="Q14" s="29">
        <f t="shared" si="10"/>
        <v>89543.054704216018</v>
      </c>
      <c r="S14" s="21">
        <f t="shared" si="11"/>
        <v>-3824129.6093144938</v>
      </c>
    </row>
    <row r="15" spans="1:22" x14ac:dyDescent="0.25">
      <c r="A15" s="28">
        <v>13</v>
      </c>
      <c r="B15" s="28"/>
      <c r="C15" s="29">
        <v>464215</v>
      </c>
      <c r="D15" s="47">
        <v>55000</v>
      </c>
      <c r="E15" s="56"/>
      <c r="F15" s="50"/>
      <c r="G15" s="50">
        <f t="shared" si="1"/>
        <v>13157.322789872575</v>
      </c>
      <c r="H15" s="57">
        <f t="shared" si="3"/>
        <v>19576.894091147384</v>
      </c>
      <c r="I15" s="48">
        <f t="shared" si="4"/>
        <v>32734.216881019958</v>
      </c>
      <c r="J15" s="46">
        <v>1.02</v>
      </c>
      <c r="K15" s="29">
        <f t="shared" si="2"/>
        <v>376480.78311898001</v>
      </c>
      <c r="L15" s="29">
        <f t="shared" si="5"/>
        <v>71531.348792606208</v>
      </c>
      <c r="M15" s="29">
        <f t="shared" si="8"/>
        <v>304949.4343263738</v>
      </c>
      <c r="N15" s="29">
        <f t="shared" si="6"/>
        <v>32734.216881019958</v>
      </c>
      <c r="O15" s="29">
        <f t="shared" si="7"/>
        <v>337683.65120739373</v>
      </c>
      <c r="P15" s="29">
        <f t="shared" si="9"/>
        <v>-1528650.5411285716</v>
      </c>
      <c r="Q15" s="29">
        <f t="shared" si="10"/>
        <v>80134.362165118262</v>
      </c>
      <c r="S15" s="21">
        <f t="shared" si="11"/>
        <v>-3743995.2471493757</v>
      </c>
    </row>
    <row r="16" spans="1:22" x14ac:dyDescent="0.25">
      <c r="A16" s="28">
        <v>14</v>
      </c>
      <c r="B16" s="28"/>
      <c r="C16" s="29">
        <v>464215</v>
      </c>
      <c r="D16" s="47">
        <v>55000</v>
      </c>
      <c r="E16" s="56"/>
      <c r="F16" s="50"/>
      <c r="G16" s="50">
        <f t="shared" si="1"/>
        <v>12899.336068502524</v>
      </c>
      <c r="H16" s="57">
        <f t="shared" si="3"/>
        <v>19193.033422693512</v>
      </c>
      <c r="I16" s="48">
        <f t="shared" si="4"/>
        <v>32092.369491196034</v>
      </c>
      <c r="J16" s="46">
        <v>1.02</v>
      </c>
      <c r="K16" s="29">
        <f t="shared" si="2"/>
        <v>377122.630508804</v>
      </c>
      <c r="L16" s="29">
        <f t="shared" si="5"/>
        <v>71653.299796672713</v>
      </c>
      <c r="M16" s="29">
        <f t="shared" si="8"/>
        <v>305469.33071213128</v>
      </c>
      <c r="N16" s="29">
        <f t="shared" si="6"/>
        <v>32092.369491196034</v>
      </c>
      <c r="O16" s="29">
        <f t="shared" si="7"/>
        <v>337561.70020332735</v>
      </c>
      <c r="P16" s="29">
        <f t="shared" si="9"/>
        <v>-1191088.8409252441</v>
      </c>
      <c r="Q16" s="29">
        <f t="shared" si="10"/>
        <v>71714.791815679011</v>
      </c>
      <c r="S16" s="21">
        <f t="shared" si="11"/>
        <v>-3672280.4553336967</v>
      </c>
    </row>
    <row r="17" spans="1:19" x14ac:dyDescent="0.25">
      <c r="A17" s="28">
        <v>15</v>
      </c>
      <c r="B17" s="28"/>
      <c r="C17" s="29">
        <v>464215</v>
      </c>
      <c r="D17" s="47">
        <v>55000</v>
      </c>
      <c r="E17" s="56"/>
      <c r="F17" s="50"/>
      <c r="G17" s="50">
        <f t="shared" si="1"/>
        <v>12646.407910296595</v>
      </c>
      <c r="H17" s="57">
        <f t="shared" si="3"/>
        <v>18816.699434013251</v>
      </c>
      <c r="I17" s="48">
        <f t="shared" si="4"/>
        <v>31463.107344309847</v>
      </c>
      <c r="J17" s="46">
        <v>1.02</v>
      </c>
      <c r="K17" s="29">
        <f t="shared" si="2"/>
        <v>377751.89265569014</v>
      </c>
      <c r="L17" s="29">
        <f t="shared" si="5"/>
        <v>71772.859604581085</v>
      </c>
      <c r="M17" s="29">
        <f t="shared" si="8"/>
        <v>305979.03305110906</v>
      </c>
      <c r="N17" s="29">
        <f t="shared" si="6"/>
        <v>31463.107344309847</v>
      </c>
      <c r="O17" s="29">
        <f t="shared" si="7"/>
        <v>337442.14039541892</v>
      </c>
      <c r="P17" s="29">
        <f t="shared" si="9"/>
        <v>-853646.70052982518</v>
      </c>
      <c r="Q17" s="29">
        <f t="shared" si="10"/>
        <v>64180.296689594914</v>
      </c>
      <c r="S17" s="21">
        <f t="shared" si="11"/>
        <v>-3608100.1586441016</v>
      </c>
    </row>
    <row r="18" spans="1:19" x14ac:dyDescent="0.25">
      <c r="A18" s="28">
        <v>16</v>
      </c>
      <c r="B18" s="28"/>
      <c r="C18" s="29">
        <v>464215</v>
      </c>
      <c r="D18" s="47">
        <v>55000</v>
      </c>
      <c r="E18" s="56"/>
      <c r="F18" s="50"/>
      <c r="G18" s="50">
        <f t="shared" si="1"/>
        <v>12398.439127741758</v>
      </c>
      <c r="H18" s="57">
        <f t="shared" si="3"/>
        <v>18447.744543150246</v>
      </c>
      <c r="I18" s="48">
        <f t="shared" si="4"/>
        <v>30846.183670892002</v>
      </c>
      <c r="J18" s="46">
        <v>1.02</v>
      </c>
      <c r="K18" s="29">
        <f t="shared" si="2"/>
        <v>378368.81632910797</v>
      </c>
      <c r="L18" s="29">
        <f t="shared" si="5"/>
        <v>71890.075102530478</v>
      </c>
      <c r="M18" s="29">
        <f t="shared" si="8"/>
        <v>306478.74122657749</v>
      </c>
      <c r="N18" s="29">
        <f t="shared" si="6"/>
        <v>30846.183670892002</v>
      </c>
      <c r="O18" s="29">
        <f t="shared" si="7"/>
        <v>337324.92489746946</v>
      </c>
      <c r="P18" s="29">
        <f t="shared" si="9"/>
        <v>-516321.77563235571</v>
      </c>
      <c r="Q18" s="29">
        <f t="shared" si="10"/>
        <v>57437.78220069073</v>
      </c>
      <c r="S18" s="21">
        <f t="shared" si="11"/>
        <v>-3550662.3764434108</v>
      </c>
    </row>
    <row r="19" spans="1:19" x14ac:dyDescent="0.25">
      <c r="A19" s="28">
        <v>17</v>
      </c>
      <c r="B19" s="28"/>
      <c r="C19" s="29">
        <v>464215</v>
      </c>
      <c r="D19" s="47">
        <v>55000</v>
      </c>
      <c r="E19" s="56"/>
      <c r="F19" s="50"/>
      <c r="G19" s="50">
        <f t="shared" si="1"/>
        <v>12155.332478178192</v>
      </c>
      <c r="H19" s="57">
        <f t="shared" si="3"/>
        <v>18086.024061912001</v>
      </c>
      <c r="I19" s="48">
        <f t="shared" si="4"/>
        <v>30241.356540090193</v>
      </c>
      <c r="J19" s="46">
        <v>1.02</v>
      </c>
      <c r="K19" s="29">
        <f t="shared" si="2"/>
        <v>378973.64345990983</v>
      </c>
      <c r="L19" s="29">
        <f t="shared" si="5"/>
        <v>72004.992257382837</v>
      </c>
      <c r="M19" s="29">
        <f t="shared" si="8"/>
        <v>306968.65120252699</v>
      </c>
      <c r="N19" s="29">
        <f t="shared" si="6"/>
        <v>30241.356540090193</v>
      </c>
      <c r="O19" s="29">
        <f t="shared" si="7"/>
        <v>337210.00774261716</v>
      </c>
      <c r="P19" s="29">
        <f t="shared" si="9"/>
        <v>-179111.76788973855</v>
      </c>
      <c r="Q19" s="29">
        <f t="shared" si="10"/>
        <v>51403.952333829002</v>
      </c>
      <c r="S19" s="21">
        <f t="shared" si="11"/>
        <v>-3499258.4241095819</v>
      </c>
    </row>
    <row r="20" spans="1:19" x14ac:dyDescent="0.25">
      <c r="A20" s="28">
        <v>18</v>
      </c>
      <c r="B20" s="28"/>
      <c r="C20" s="29">
        <v>464215</v>
      </c>
      <c r="D20" s="47">
        <v>55000</v>
      </c>
      <c r="E20" s="56"/>
      <c r="F20" s="50"/>
      <c r="G20" s="50">
        <f t="shared" si="1"/>
        <v>11916.992625664896</v>
      </c>
      <c r="H20" s="57">
        <f t="shared" si="3"/>
        <v>17731.396139129418</v>
      </c>
      <c r="I20" s="48">
        <f t="shared" si="4"/>
        <v>29648.388764794312</v>
      </c>
      <c r="J20" s="46">
        <v>1.02</v>
      </c>
      <c r="K20" s="29">
        <f t="shared" si="2"/>
        <v>379566.61123520567</v>
      </c>
      <c r="L20" s="29">
        <f t="shared" si="5"/>
        <v>72117.656134689052</v>
      </c>
      <c r="M20" s="29">
        <f t="shared" si="8"/>
        <v>307448.95510051661</v>
      </c>
      <c r="N20" s="29">
        <f t="shared" si="6"/>
        <v>29648.388764794312</v>
      </c>
      <c r="O20" s="29">
        <f t="shared" si="7"/>
        <v>337097.34386531095</v>
      </c>
      <c r="P20" s="29">
        <f t="shared" si="9"/>
        <v>157985.5759755724</v>
      </c>
      <c r="Q20" s="29">
        <f t="shared" si="10"/>
        <v>46004.277499001721</v>
      </c>
      <c r="S20" s="21">
        <f t="shared" si="11"/>
        <v>-3453254.1466105799</v>
      </c>
    </row>
    <row r="21" spans="1:19" x14ac:dyDescent="0.25">
      <c r="A21" s="28">
        <v>19</v>
      </c>
      <c r="B21" s="28"/>
      <c r="C21" s="29">
        <v>464215</v>
      </c>
      <c r="D21" s="47">
        <v>55000</v>
      </c>
      <c r="E21" s="56"/>
      <c r="F21" s="50"/>
      <c r="G21" s="50">
        <f t="shared" si="1"/>
        <v>11683.326103593035</v>
      </c>
      <c r="H21" s="57">
        <f t="shared" si="3"/>
        <v>17383.721705028842</v>
      </c>
      <c r="I21" s="48">
        <f t="shared" si="4"/>
        <v>29067.047808621879</v>
      </c>
      <c r="J21" s="46">
        <v>1.02</v>
      </c>
      <c r="K21" s="29">
        <f t="shared" si="2"/>
        <v>380147.95219137811</v>
      </c>
      <c r="L21" s="29">
        <f t="shared" si="5"/>
        <v>72228.110916361795</v>
      </c>
      <c r="M21" s="29">
        <f t="shared" si="8"/>
        <v>307919.84127501631</v>
      </c>
      <c r="N21" s="29">
        <f t="shared" si="6"/>
        <v>29067.047808621879</v>
      </c>
      <c r="O21" s="29">
        <f t="shared" si="7"/>
        <v>336986.88908363821</v>
      </c>
      <c r="P21" s="29">
        <f t="shared" si="9"/>
        <v>494972.4650592106</v>
      </c>
      <c r="Q21" s="29">
        <f t="shared" si="10"/>
        <v>41172.071206241038</v>
      </c>
      <c r="S21" s="21">
        <f t="shared" si="11"/>
        <v>-3412082.075404339</v>
      </c>
    </row>
    <row r="22" spans="1:19" x14ac:dyDescent="0.25">
      <c r="A22" s="28">
        <v>20</v>
      </c>
      <c r="B22" s="28"/>
      <c r="C22" s="29">
        <v>464215</v>
      </c>
      <c r="D22" s="47">
        <v>55000</v>
      </c>
      <c r="E22" s="56"/>
      <c r="F22" s="50"/>
      <c r="G22" s="50">
        <f t="shared" si="1"/>
        <v>11454.241278032387</v>
      </c>
      <c r="H22" s="57">
        <f t="shared" si="3"/>
        <v>17042.864416694942</v>
      </c>
      <c r="I22" s="48">
        <f t="shared" si="4"/>
        <v>28497.105694727328</v>
      </c>
      <c r="J22" s="46">
        <v>1.02</v>
      </c>
      <c r="K22" s="29">
        <f t="shared" si="2"/>
        <v>380717.89430527267</v>
      </c>
      <c r="L22" s="29">
        <f t="shared" si="5"/>
        <v>72336.399918001785</v>
      </c>
      <c r="M22" s="29">
        <f t="shared" si="8"/>
        <v>308381.49438727088</v>
      </c>
      <c r="N22" s="29">
        <f t="shared" si="6"/>
        <v>28497.105694727328</v>
      </c>
      <c r="O22" s="29">
        <f t="shared" si="7"/>
        <v>336878.60008199821</v>
      </c>
      <c r="P22" s="29">
        <f t="shared" si="9"/>
        <v>831851.06514120882</v>
      </c>
      <c r="Q22" s="29">
        <f t="shared" si="10"/>
        <v>36847.664076236826</v>
      </c>
      <c r="S22" s="21">
        <f t="shared" si="11"/>
        <v>-3375234.411328102</v>
      </c>
    </row>
    <row r="23" spans="1:19" x14ac:dyDescent="0.25">
      <c r="A23" s="28">
        <v>21</v>
      </c>
      <c r="B23" s="28"/>
      <c r="C23" s="29">
        <v>464215</v>
      </c>
      <c r="D23" s="47">
        <v>55000</v>
      </c>
      <c r="E23" s="56"/>
      <c r="F23" s="50"/>
      <c r="G23" s="50">
        <f t="shared" si="1"/>
        <v>11229.648311796458</v>
      </c>
      <c r="H23" s="57">
        <f t="shared" si="3"/>
        <v>16708.690604602885</v>
      </c>
      <c r="I23" s="48">
        <f t="shared" si="4"/>
        <v>27938.338916399342</v>
      </c>
      <c r="J23" s="46">
        <v>1.02</v>
      </c>
      <c r="K23" s="29">
        <f t="shared" si="2"/>
        <v>381276.66108360066</v>
      </c>
      <c r="L23" s="29">
        <f t="shared" si="5"/>
        <v>72442.565605884127</v>
      </c>
      <c r="M23" s="29">
        <f t="shared" si="8"/>
        <v>308834.09547771653</v>
      </c>
      <c r="N23" s="29">
        <f t="shared" si="6"/>
        <v>27938.338916399342</v>
      </c>
      <c r="O23" s="29">
        <f t="shared" si="7"/>
        <v>336772.43439411587</v>
      </c>
      <c r="P23" s="29">
        <f t="shared" si="9"/>
        <v>1168623.4995353248</v>
      </c>
      <c r="Q23" s="29">
        <f t="shared" si="10"/>
        <v>32977.664915158013</v>
      </c>
      <c r="S23" s="21">
        <f t="shared" si="11"/>
        <v>-3342256.746412944</v>
      </c>
    </row>
    <row r="24" spans="1:19" x14ac:dyDescent="0.25">
      <c r="A24" s="28">
        <v>22</v>
      </c>
      <c r="B24" s="28"/>
      <c r="C24" s="29">
        <v>464215</v>
      </c>
      <c r="D24" s="47">
        <v>55000</v>
      </c>
      <c r="E24" s="56"/>
      <c r="F24" s="50"/>
      <c r="G24" s="50">
        <f t="shared" si="1"/>
        <v>11009.459129212213</v>
      </c>
      <c r="H24" s="57">
        <f t="shared" si="3"/>
        <v>16381.069220198904</v>
      </c>
      <c r="I24" s="48">
        <f t="shared" si="4"/>
        <v>27390.528349411117</v>
      </c>
      <c r="J24" s="46">
        <v>1.02</v>
      </c>
      <c r="K24" s="29">
        <f t="shared" si="2"/>
        <v>381824.47165058891</v>
      </c>
      <c r="L24" s="29">
        <f t="shared" si="5"/>
        <v>72546.649613611866</v>
      </c>
      <c r="M24" s="29">
        <f t="shared" si="8"/>
        <v>309277.82203697704</v>
      </c>
      <c r="N24" s="29">
        <f t="shared" si="6"/>
        <v>27390.528349411117</v>
      </c>
      <c r="O24" s="29">
        <f t="shared" si="7"/>
        <v>336668.35038638813</v>
      </c>
      <c r="P24" s="29">
        <f t="shared" si="9"/>
        <v>1505291.8499217129</v>
      </c>
      <c r="Q24" s="29">
        <f t="shared" si="10"/>
        <v>29514.299667366846</v>
      </c>
      <c r="S24" s="21">
        <f t="shared" si="11"/>
        <v>-3312742.4467455773</v>
      </c>
    </row>
    <row r="25" spans="1:19" x14ac:dyDescent="0.25">
      <c r="A25" s="28">
        <v>23</v>
      </c>
      <c r="B25" s="28"/>
      <c r="C25" s="29">
        <v>464215</v>
      </c>
      <c r="D25" s="47">
        <v>55000</v>
      </c>
      <c r="E25" s="56"/>
      <c r="F25" s="50"/>
      <c r="G25" s="50">
        <f t="shared" si="1"/>
        <v>10793.587381580604</v>
      </c>
      <c r="H25" s="57">
        <f t="shared" si="3"/>
        <v>16059.871784508732</v>
      </c>
      <c r="I25" s="48">
        <f t="shared" si="4"/>
        <v>26853.459166089335</v>
      </c>
      <c r="J25" s="46">
        <v>1.02</v>
      </c>
      <c r="K25" s="29">
        <f t="shared" si="2"/>
        <v>382361.54083391069</v>
      </c>
      <c r="L25" s="29">
        <f t="shared" si="5"/>
        <v>72648.692758443009</v>
      </c>
      <c r="M25" s="29">
        <f t="shared" si="8"/>
        <v>309712.84807546769</v>
      </c>
      <c r="N25" s="29">
        <f t="shared" si="6"/>
        <v>26853.459166089335</v>
      </c>
      <c r="O25" s="29">
        <f t="shared" si="7"/>
        <v>336566.30724155705</v>
      </c>
      <c r="P25" s="29">
        <f t="shared" si="9"/>
        <v>1841858.1571632698</v>
      </c>
      <c r="Q25" s="29">
        <f t="shared" si="10"/>
        <v>26414.820030101848</v>
      </c>
      <c r="S25" s="21">
        <f t="shared" si="11"/>
        <v>-3286327.6267154752</v>
      </c>
    </row>
    <row r="26" spans="1:19" x14ac:dyDescent="0.25">
      <c r="A26" s="28">
        <v>24</v>
      </c>
      <c r="B26" s="28"/>
      <c r="C26" s="29">
        <v>464215</v>
      </c>
      <c r="D26" s="47">
        <v>55000</v>
      </c>
      <c r="E26" s="56"/>
      <c r="F26" s="50"/>
      <c r="G26" s="50">
        <f t="shared" si="1"/>
        <v>10581.948413314316</v>
      </c>
      <c r="H26" s="57">
        <f t="shared" si="3"/>
        <v>15744.972337753659</v>
      </c>
      <c r="I26" s="48">
        <f t="shared" si="4"/>
        <v>26326.920751067977</v>
      </c>
      <c r="J26" s="46">
        <v>1.02</v>
      </c>
      <c r="K26" s="29">
        <f t="shared" si="2"/>
        <v>382888.07924893202</v>
      </c>
      <c r="L26" s="29">
        <f t="shared" si="5"/>
        <v>72748.735057297046</v>
      </c>
      <c r="M26" s="29">
        <f t="shared" si="8"/>
        <v>310139.34419163497</v>
      </c>
      <c r="N26" s="29">
        <f t="shared" si="6"/>
        <v>26326.920751067977</v>
      </c>
      <c r="O26" s="29">
        <f t="shared" si="7"/>
        <v>336466.26494270295</v>
      </c>
      <c r="P26" s="29">
        <f t="shared" si="9"/>
        <v>2178324.4221059727</v>
      </c>
      <c r="Q26" s="29">
        <f t="shared" si="10"/>
        <v>23640.974381949625</v>
      </c>
      <c r="S26" s="21">
        <f t="shared" si="11"/>
        <v>-3262686.6523335255</v>
      </c>
    </row>
    <row r="27" spans="1:19" x14ac:dyDescent="0.25">
      <c r="A27" s="28">
        <v>25</v>
      </c>
      <c r="B27" s="28"/>
      <c r="C27" s="29">
        <v>464215</v>
      </c>
      <c r="D27" s="47">
        <v>55000</v>
      </c>
      <c r="E27" s="56"/>
      <c r="F27" s="50"/>
      <c r="G27" s="50">
        <f t="shared" si="1"/>
        <v>10374.459228739526</v>
      </c>
      <c r="H27" s="57">
        <f t="shared" si="3"/>
        <v>15436.247389954568</v>
      </c>
      <c r="I27" s="48">
        <f t="shared" si="4"/>
        <v>25810.706618694094</v>
      </c>
      <c r="J27" s="46">
        <v>1.02</v>
      </c>
      <c r="K27" s="29">
        <f t="shared" si="2"/>
        <v>383404.29338130588</v>
      </c>
      <c r="L27" s="29">
        <f t="shared" si="5"/>
        <v>72846.815742448089</v>
      </c>
      <c r="M27" s="29">
        <f t="shared" si="8"/>
        <v>310557.47763885779</v>
      </c>
      <c r="N27" s="29">
        <f t="shared" si="6"/>
        <v>25810.706618694094</v>
      </c>
      <c r="O27" s="29">
        <f t="shared" si="7"/>
        <v>336368.18425755191</v>
      </c>
      <c r="P27" s="29">
        <f t="shared" si="9"/>
        <v>2514692.6063635247</v>
      </c>
      <c r="Q27" s="29">
        <f t="shared" si="10"/>
        <v>21158.534452901516</v>
      </c>
      <c r="S27" s="21">
        <f t="shared" si="11"/>
        <v>-3241528.1178806238</v>
      </c>
    </row>
    <row r="28" spans="1:19" x14ac:dyDescent="0.25">
      <c r="A28" s="28">
        <v>26</v>
      </c>
      <c r="B28" s="28"/>
      <c r="C28" s="29">
        <v>464215</v>
      </c>
      <c r="D28" s="47">
        <v>55000</v>
      </c>
      <c r="E28" s="56"/>
      <c r="F28" s="50"/>
      <c r="G28" s="50">
        <f t="shared" si="1"/>
        <v>10171.038459548554</v>
      </c>
      <c r="H28" s="57">
        <f t="shared" si="3"/>
        <v>15133.575872504476</v>
      </c>
      <c r="I28" s="48">
        <f t="shared" si="4"/>
        <v>25304.614332053032</v>
      </c>
      <c r="J28" s="46">
        <v>1.02</v>
      </c>
      <c r="K28" s="29">
        <f t="shared" si="2"/>
        <v>383910.385667947</v>
      </c>
      <c r="L28" s="29">
        <f t="shared" si="5"/>
        <v>72942.973276909906</v>
      </c>
      <c r="M28" s="29">
        <f t="shared" si="8"/>
        <v>310967.4123910371</v>
      </c>
      <c r="N28" s="29">
        <f t="shared" si="6"/>
        <v>25304.614332053032</v>
      </c>
      <c r="O28" s="29">
        <f t="shared" si="7"/>
        <v>336272.02672309015</v>
      </c>
      <c r="P28" s="29">
        <f t="shared" si="9"/>
        <v>2850964.6330866148</v>
      </c>
      <c r="Q28" s="29">
        <f t="shared" si="10"/>
        <v>18936.87185771815</v>
      </c>
      <c r="S28" s="21">
        <f t="shared" si="11"/>
        <v>-3222591.2460229057</v>
      </c>
    </row>
    <row r="29" spans="1:19" x14ac:dyDescent="0.25">
      <c r="A29" s="28">
        <v>27</v>
      </c>
      <c r="B29" s="28"/>
      <c r="C29" s="29">
        <v>464215</v>
      </c>
      <c r="D29" s="47">
        <v>55000</v>
      </c>
      <c r="E29" s="56"/>
      <c r="F29" s="50"/>
      <c r="G29" s="50">
        <f t="shared" si="1"/>
        <v>9971.6063328907403</v>
      </c>
      <c r="H29" s="57">
        <f t="shared" si="3"/>
        <v>14836.839090690666</v>
      </c>
      <c r="I29" s="48">
        <f t="shared" si="4"/>
        <v>24808.445423581405</v>
      </c>
      <c r="J29" s="46">
        <v>1.02</v>
      </c>
      <c r="K29" s="29">
        <f t="shared" si="2"/>
        <v>384406.5545764186</v>
      </c>
      <c r="L29" s="29">
        <f t="shared" si="5"/>
        <v>73037.245369519514</v>
      </c>
      <c r="M29" s="29">
        <f t="shared" si="8"/>
        <v>311369.30920689908</v>
      </c>
      <c r="N29" s="29">
        <f t="shared" si="6"/>
        <v>24808.445423581405</v>
      </c>
      <c r="O29" s="29">
        <f t="shared" si="7"/>
        <v>336177.75463048049</v>
      </c>
      <c r="P29" s="29">
        <f t="shared" si="9"/>
        <v>3187142.3877170952</v>
      </c>
      <c r="Q29" s="29">
        <f t="shared" si="10"/>
        <v>16948.579234891229</v>
      </c>
      <c r="S29" s="21">
        <f t="shared" si="11"/>
        <v>-3205642.6667880146</v>
      </c>
    </row>
    <row r="30" spans="1:19" x14ac:dyDescent="0.25">
      <c r="A30" s="28">
        <v>28</v>
      </c>
      <c r="B30" s="28"/>
      <c r="C30" s="29">
        <v>464215</v>
      </c>
      <c r="D30" s="47">
        <v>55000</v>
      </c>
      <c r="E30" s="56"/>
      <c r="F30" s="50"/>
      <c r="G30" s="50">
        <f t="shared" si="1"/>
        <v>9776.0846400889604</v>
      </c>
      <c r="H30" s="57">
        <f t="shared" si="3"/>
        <v>14545.920677147709</v>
      </c>
      <c r="I30" s="48">
        <f t="shared" si="4"/>
        <v>24322.005317236668</v>
      </c>
      <c r="J30" s="46">
        <v>1.02</v>
      </c>
      <c r="K30" s="29">
        <f t="shared" si="2"/>
        <v>384892.99468276335</v>
      </c>
      <c r="L30" s="29">
        <f t="shared" si="5"/>
        <v>73129.668989725003</v>
      </c>
      <c r="M30" s="29">
        <f t="shared" si="8"/>
        <v>311763.32569303835</v>
      </c>
      <c r="N30" s="29">
        <f t="shared" si="6"/>
        <v>24322.005317236668</v>
      </c>
      <c r="O30" s="29">
        <f t="shared" si="7"/>
        <v>336085.331010275</v>
      </c>
      <c r="P30" s="29">
        <f t="shared" si="9"/>
        <v>3523227.7187273703</v>
      </c>
      <c r="Q30" s="29">
        <f t="shared" si="10"/>
        <v>15169.13128846441</v>
      </c>
      <c r="S30" s="21">
        <f t="shared" si="11"/>
        <v>-3190473.5354995504</v>
      </c>
    </row>
    <row r="31" spans="1:19" x14ac:dyDescent="0.25">
      <c r="A31" s="28">
        <v>29</v>
      </c>
      <c r="B31" s="28"/>
      <c r="C31" s="29">
        <v>464215</v>
      </c>
      <c r="D31" s="47">
        <v>55000</v>
      </c>
      <c r="E31" s="56"/>
      <c r="F31" s="50"/>
      <c r="G31" s="50">
        <f t="shared" si="1"/>
        <v>9584.3967059695697</v>
      </c>
      <c r="H31" s="57">
        <f t="shared" si="3"/>
        <v>14260.706546223246</v>
      </c>
      <c r="I31" s="48">
        <f t="shared" si="4"/>
        <v>23845.103252192814</v>
      </c>
      <c r="J31" s="46">
        <v>1.02</v>
      </c>
      <c r="K31" s="29">
        <f t="shared" si="2"/>
        <v>385369.89674780716</v>
      </c>
      <c r="L31" s="29">
        <f t="shared" si="5"/>
        <v>73220.280382083321</v>
      </c>
      <c r="M31" s="29">
        <f t="shared" si="8"/>
        <v>312149.61636572384</v>
      </c>
      <c r="N31" s="29">
        <f t="shared" si="6"/>
        <v>23845.103252192814</v>
      </c>
      <c r="O31" s="29">
        <f t="shared" si="7"/>
        <v>335994.71961791662</v>
      </c>
      <c r="P31" s="29">
        <f t="shared" si="9"/>
        <v>3859222.438345287</v>
      </c>
      <c r="Q31" s="29">
        <f t="shared" si="10"/>
        <v>13576.58152629645</v>
      </c>
      <c r="S31" s="21">
        <f t="shared" si="11"/>
        <v>-3176896.9539732537</v>
      </c>
    </row>
    <row r="32" spans="1:19" ht="15.75" thickBot="1" x14ac:dyDescent="0.3">
      <c r="A32" s="28">
        <v>30</v>
      </c>
      <c r="B32" s="28"/>
      <c r="C32" s="29">
        <v>464215</v>
      </c>
      <c r="D32" s="47">
        <v>55000</v>
      </c>
      <c r="E32" s="58"/>
      <c r="F32" s="59"/>
      <c r="G32" s="59">
        <f t="shared" si="1"/>
        <v>9396.4673587936959</v>
      </c>
      <c r="H32" s="60">
        <f t="shared" si="3"/>
        <v>13981.084849238476</v>
      </c>
      <c r="I32" s="48">
        <f t="shared" si="4"/>
        <v>23377.552208032172</v>
      </c>
      <c r="J32" s="46">
        <v>1.02</v>
      </c>
      <c r="K32" s="29">
        <f t="shared" si="2"/>
        <v>385837.44779196783</v>
      </c>
      <c r="L32" s="29">
        <f t="shared" si="5"/>
        <v>73309.115080473886</v>
      </c>
      <c r="M32" s="29">
        <f t="shared" si="8"/>
        <v>312528.33271149395</v>
      </c>
      <c r="N32" s="29">
        <f t="shared" si="6"/>
        <v>23377.552208032172</v>
      </c>
      <c r="O32" s="30">
        <f t="shared" si="7"/>
        <v>335905.88491952611</v>
      </c>
      <c r="P32" s="30">
        <f t="shared" si="9"/>
        <v>4195128.3232648131</v>
      </c>
      <c r="Q32" s="29">
        <f t="shared" si="10"/>
        <v>12151.290932227912</v>
      </c>
      <c r="S32" s="21">
        <f t="shared" si="11"/>
        <v>-3164745.6630410259</v>
      </c>
    </row>
    <row r="33" spans="1:17" ht="15.75" thickBot="1" x14ac:dyDescent="0.3">
      <c r="A33" s="24"/>
      <c r="B33" s="24"/>
      <c r="C33" s="24"/>
      <c r="D33" s="24"/>
      <c r="E33" s="24"/>
      <c r="F33" s="25"/>
      <c r="G33" s="24"/>
      <c r="H33" s="24"/>
      <c r="I33" s="24"/>
      <c r="J33" s="24"/>
      <c r="K33" s="24"/>
      <c r="L33" s="24"/>
      <c r="M33" s="24"/>
      <c r="N33" s="92" t="s">
        <v>72</v>
      </c>
      <c r="O33" s="93"/>
      <c r="P33" s="94"/>
      <c r="Q33" s="29">
        <f>SUM(Q3:Q32)</f>
        <v>2835254.3369589755</v>
      </c>
    </row>
    <row r="34" spans="1:17" ht="15.75" thickBot="1" x14ac:dyDescent="0.3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95" t="s">
        <v>73</v>
      </c>
      <c r="O34" s="96"/>
      <c r="P34" s="96"/>
      <c r="Q34" s="31">
        <f>Q33-B2</f>
        <v>-3164745.6630410245</v>
      </c>
    </row>
    <row r="36" spans="1:17" x14ac:dyDescent="0.25">
      <c r="P36" s="67">
        <f>Q33/B2</f>
        <v>0.47254238949316257</v>
      </c>
    </row>
    <row r="37" spans="1:17" x14ac:dyDescent="0.25">
      <c r="D37" s="9" t="s">
        <v>61</v>
      </c>
      <c r="E37" s="9">
        <v>1266240</v>
      </c>
      <c r="F37" s="9">
        <v>50</v>
      </c>
    </row>
    <row r="38" spans="1:17" x14ac:dyDescent="0.25">
      <c r="D38" s="9" t="s">
        <v>62</v>
      </c>
      <c r="E38" s="9">
        <v>510612</v>
      </c>
      <c r="F38" s="9">
        <v>30</v>
      </c>
    </row>
    <row r="39" spans="1:17" x14ac:dyDescent="0.25">
      <c r="D39" s="9" t="s">
        <v>63</v>
      </c>
      <c r="E39" s="9">
        <v>146356</v>
      </c>
      <c r="F39" s="9">
        <v>10</v>
      </c>
    </row>
    <row r="40" spans="1:17" ht="15.75" thickBot="1" x14ac:dyDescent="0.3">
      <c r="D40" s="9" t="s">
        <v>74</v>
      </c>
      <c r="E40" s="9">
        <v>257006</v>
      </c>
      <c r="F40" s="9">
        <v>5</v>
      </c>
    </row>
    <row r="41" spans="1:17" ht="27" thickBot="1" x14ac:dyDescent="0.3">
      <c r="A41" s="22" t="s">
        <v>68</v>
      </c>
      <c r="B41" s="23" t="s">
        <v>59</v>
      </c>
      <c r="C41" s="23" t="s">
        <v>71</v>
      </c>
      <c r="D41" s="45" t="s">
        <v>70</v>
      </c>
      <c r="E41" s="51" t="s">
        <v>91</v>
      </c>
      <c r="F41" s="52" t="s">
        <v>92</v>
      </c>
      <c r="G41" s="52" t="s">
        <v>93</v>
      </c>
      <c r="H41" s="53" t="s">
        <v>94</v>
      </c>
      <c r="I41" s="23" t="s">
        <v>96</v>
      </c>
      <c r="J41" s="23" t="s">
        <v>95</v>
      </c>
      <c r="K41" s="45" t="s">
        <v>65</v>
      </c>
      <c r="L41" s="23" t="s">
        <v>66</v>
      </c>
      <c r="M41" s="45" t="s">
        <v>67</v>
      </c>
      <c r="N41" s="23" t="s">
        <v>64</v>
      </c>
      <c r="O41" s="45" t="s">
        <v>87</v>
      </c>
      <c r="P41" s="90" t="s">
        <v>60</v>
      </c>
      <c r="Q41" s="61" t="s">
        <v>97</v>
      </c>
    </row>
    <row r="42" spans="1:17" x14ac:dyDescent="0.25">
      <c r="A42" s="24">
        <v>0</v>
      </c>
      <c r="B42" s="25">
        <v>6000000</v>
      </c>
      <c r="C42" s="24"/>
      <c r="D42" s="26" t="s">
        <v>69</v>
      </c>
      <c r="E42" s="54"/>
      <c r="F42" s="49"/>
      <c r="G42" s="49"/>
      <c r="H42" s="55"/>
      <c r="I42" s="24"/>
      <c r="J42" s="24"/>
      <c r="K42" s="24"/>
      <c r="L42" s="24"/>
      <c r="M42" s="24"/>
      <c r="N42" s="24"/>
      <c r="O42" s="24"/>
      <c r="P42" s="91"/>
      <c r="Q42" s="27"/>
    </row>
    <row r="43" spans="1:17" x14ac:dyDescent="0.25">
      <c r="A43" s="28">
        <v>1</v>
      </c>
      <c r="B43" s="28"/>
      <c r="C43" s="29">
        <v>464215</v>
      </c>
      <c r="D43" s="47">
        <v>55000</v>
      </c>
      <c r="E43" s="56">
        <f>$E$40/$F$40/J43^A43</f>
        <v>50393.333333333328</v>
      </c>
      <c r="F43" s="50">
        <f t="shared" ref="F43:F52" si="12">$E$39/$F$39/J43^A43</f>
        <v>14348.627450980392</v>
      </c>
      <c r="G43" s="50">
        <f t="shared" ref="G43:G72" si="13">$E$38/$F$38/J43^A43</f>
        <v>16686.666666666668</v>
      </c>
      <c r="H43" s="57">
        <f>$E$37/$F$37/J43^A43</f>
        <v>24828.235294117647</v>
      </c>
      <c r="I43" s="48">
        <f>SUM(E43:H43)</f>
        <v>106256.86274509804</v>
      </c>
      <c r="J43" s="46">
        <v>1.02</v>
      </c>
      <c r="K43" s="29">
        <f t="shared" ref="K43:K72" si="14">C43-(D43+I43)</f>
        <v>302958.13725490193</v>
      </c>
      <c r="L43" s="29">
        <f>K43-M43</f>
        <v>57562.046078431362</v>
      </c>
      <c r="M43" s="29">
        <f>K43*0.81</f>
        <v>245396.09117647057</v>
      </c>
      <c r="N43" s="29">
        <f>I43</f>
        <v>106256.86274509804</v>
      </c>
      <c r="O43" s="29">
        <f>M43+N43</f>
        <v>351652.95392156858</v>
      </c>
      <c r="P43" s="29">
        <f>O43-$B$2</f>
        <v>-5648347.0460784314</v>
      </c>
      <c r="Q43" s="29">
        <f>O43/(1+0.03)^A43</f>
        <v>341410.6348753093</v>
      </c>
    </row>
    <row r="44" spans="1:17" x14ac:dyDescent="0.25">
      <c r="A44" s="28">
        <v>2</v>
      </c>
      <c r="B44" s="28"/>
      <c r="C44" s="29">
        <v>464215</v>
      </c>
      <c r="D44" s="47">
        <v>55000</v>
      </c>
      <c r="E44" s="56">
        <f>$E$40/$F$40/J44^A44</f>
        <v>49405.228758169935</v>
      </c>
      <c r="F44" s="50">
        <f t="shared" si="12"/>
        <v>14067.281814686659</v>
      </c>
      <c r="G44" s="50">
        <f t="shared" si="13"/>
        <v>16359.477124183008</v>
      </c>
      <c r="H44" s="57">
        <f t="shared" ref="H44:H72" si="15">$E$37/$F$37/J44^A44</f>
        <v>24341.407151095733</v>
      </c>
      <c r="I44" s="48">
        <f t="shared" ref="I44:I72" si="16">SUM(E44:H44)</f>
        <v>104173.39484813533</v>
      </c>
      <c r="J44" s="46">
        <v>1.02</v>
      </c>
      <c r="K44" s="29">
        <f t="shared" si="14"/>
        <v>305041.6051518647</v>
      </c>
      <c r="L44" s="29">
        <f t="shared" ref="L44:L72" si="17">K44-M44</f>
        <v>57957.904978854291</v>
      </c>
      <c r="M44" s="29">
        <f t="shared" ref="M44:M47" si="18">K44*0.81</f>
        <v>247083.70017301041</v>
      </c>
      <c r="N44" s="29">
        <f t="shared" ref="N44:N72" si="19">I44</f>
        <v>104173.39484813533</v>
      </c>
      <c r="O44" s="29">
        <f t="shared" ref="O44:O72" si="20">M44+N44</f>
        <v>351257.09502114577</v>
      </c>
      <c r="P44" s="29">
        <f>P43+O44</f>
        <v>-5297089.951057286</v>
      </c>
      <c r="Q44" s="29">
        <f t="shared" ref="Q44:Q72" si="21">O44/(1+0.03)^A44</f>
        <v>331093.50082113844</v>
      </c>
    </row>
    <row r="45" spans="1:17" x14ac:dyDescent="0.25">
      <c r="A45" s="28">
        <v>3</v>
      </c>
      <c r="B45" s="28"/>
      <c r="C45" s="29">
        <v>464215</v>
      </c>
      <c r="D45" s="47">
        <v>55000</v>
      </c>
      <c r="E45" s="56">
        <f>$E$40/$F$40/J45^A45</f>
        <v>48436.498782519542</v>
      </c>
      <c r="F45" s="50">
        <f t="shared" si="12"/>
        <v>13791.452759496726</v>
      </c>
      <c r="G45" s="50">
        <f t="shared" si="13"/>
        <v>16038.703062924518</v>
      </c>
      <c r="H45" s="57">
        <f t="shared" si="15"/>
        <v>23864.124657936994</v>
      </c>
      <c r="I45" s="48">
        <f t="shared" si="16"/>
        <v>102130.77926287777</v>
      </c>
      <c r="J45" s="46">
        <v>1.02</v>
      </c>
      <c r="K45" s="29">
        <f t="shared" si="14"/>
        <v>307084.22073712223</v>
      </c>
      <c r="L45" s="29">
        <f t="shared" si="17"/>
        <v>58346.001940053218</v>
      </c>
      <c r="M45" s="29">
        <f t="shared" si="18"/>
        <v>248738.21879706901</v>
      </c>
      <c r="N45" s="29">
        <f t="shared" si="19"/>
        <v>102130.77926287777</v>
      </c>
      <c r="O45" s="29">
        <f t="shared" si="20"/>
        <v>350868.99805994681</v>
      </c>
      <c r="P45" s="29">
        <f t="shared" ref="P45:P72" si="22">P44+O45</f>
        <v>-4946220.952997339</v>
      </c>
      <c r="Q45" s="29">
        <f t="shared" si="21"/>
        <v>321094.83710016025</v>
      </c>
    </row>
    <row r="46" spans="1:17" x14ac:dyDescent="0.25">
      <c r="A46" s="28">
        <v>4</v>
      </c>
      <c r="B46" s="28"/>
      <c r="C46" s="29">
        <v>464215</v>
      </c>
      <c r="D46" s="47">
        <v>55000</v>
      </c>
      <c r="E46" s="56">
        <f>$E$40/$F$40/J46^A46</f>
        <v>47486.763512274061</v>
      </c>
      <c r="F46" s="50">
        <f t="shared" si="12"/>
        <v>13521.032117153653</v>
      </c>
      <c r="G46" s="50">
        <f t="shared" si="13"/>
        <v>15724.218689141684</v>
      </c>
      <c r="H46" s="57">
        <f t="shared" si="15"/>
        <v>23396.200645036268</v>
      </c>
      <c r="I46" s="48">
        <f t="shared" si="16"/>
        <v>100128.21496360566</v>
      </c>
      <c r="J46" s="46">
        <v>1.02</v>
      </c>
      <c r="K46" s="29">
        <f t="shared" si="14"/>
        <v>309086.78503639437</v>
      </c>
      <c r="L46" s="29">
        <f t="shared" si="17"/>
        <v>58726.489156914904</v>
      </c>
      <c r="M46" s="29">
        <f t="shared" si="18"/>
        <v>250360.29587947947</v>
      </c>
      <c r="N46" s="29">
        <f t="shared" si="19"/>
        <v>100128.21496360566</v>
      </c>
      <c r="O46" s="29">
        <f t="shared" si="20"/>
        <v>350488.51084308513</v>
      </c>
      <c r="P46" s="29">
        <f t="shared" si="22"/>
        <v>-4595732.4421542538</v>
      </c>
      <c r="Q46" s="29">
        <f t="shared" si="21"/>
        <v>311404.50232733868</v>
      </c>
    </row>
    <row r="47" spans="1:17" x14ac:dyDescent="0.25">
      <c r="A47" s="28">
        <v>5</v>
      </c>
      <c r="B47" s="28"/>
      <c r="C47" s="29">
        <v>464215</v>
      </c>
      <c r="D47" s="47">
        <v>55000</v>
      </c>
      <c r="E47" s="56">
        <f>$E$40/$F$40/J47^A47</f>
        <v>46555.650502229473</v>
      </c>
      <c r="F47" s="50">
        <f t="shared" si="12"/>
        <v>13255.913840346717</v>
      </c>
      <c r="G47" s="50">
        <f t="shared" si="13"/>
        <v>15415.900675629102</v>
      </c>
      <c r="H47" s="57">
        <f t="shared" si="15"/>
        <v>22937.451612780653</v>
      </c>
      <c r="I47" s="48">
        <f t="shared" si="16"/>
        <v>98164.916630985943</v>
      </c>
      <c r="J47" s="46">
        <v>1.02</v>
      </c>
      <c r="K47" s="29">
        <f t="shared" si="14"/>
        <v>311050.08336901409</v>
      </c>
      <c r="L47" s="29">
        <f t="shared" si="17"/>
        <v>59099.515840112668</v>
      </c>
      <c r="M47" s="29">
        <f t="shared" si="18"/>
        <v>251950.56752890142</v>
      </c>
      <c r="N47" s="29">
        <f t="shared" si="19"/>
        <v>98164.916630985943</v>
      </c>
      <c r="O47" s="29">
        <f t="shared" si="20"/>
        <v>350115.48415988736</v>
      </c>
      <c r="P47" s="29">
        <f t="shared" si="22"/>
        <v>-4245616.9579943661</v>
      </c>
      <c r="Q47" s="29">
        <f t="shared" si="21"/>
        <v>302012.69218523352</v>
      </c>
    </row>
    <row r="48" spans="1:17" x14ac:dyDescent="0.25">
      <c r="A48" s="28">
        <v>6</v>
      </c>
      <c r="B48" s="28"/>
      <c r="C48" s="29">
        <v>464215</v>
      </c>
      <c r="D48" s="47">
        <v>55000</v>
      </c>
      <c r="E48" s="56"/>
      <c r="F48" s="50">
        <f t="shared" si="12"/>
        <v>12995.993961124232</v>
      </c>
      <c r="G48" s="50">
        <f t="shared" si="13"/>
        <v>15113.628113361863</v>
      </c>
      <c r="H48" s="57">
        <f t="shared" si="15"/>
        <v>22487.697659588874</v>
      </c>
      <c r="I48" s="48">
        <f t="shared" si="16"/>
        <v>50597.319734074968</v>
      </c>
      <c r="J48" s="46">
        <v>1.02</v>
      </c>
      <c r="K48" s="29">
        <f t="shared" si="14"/>
        <v>358617.68026592501</v>
      </c>
      <c r="L48" s="29">
        <f t="shared" si="17"/>
        <v>68137.359250525711</v>
      </c>
      <c r="M48" s="29">
        <f>K48*0.81</f>
        <v>290480.3210153993</v>
      </c>
      <c r="N48" s="29">
        <f t="shared" si="19"/>
        <v>50597.319734074968</v>
      </c>
      <c r="O48" s="29">
        <f t="shared" si="20"/>
        <v>341077.64074947429</v>
      </c>
      <c r="P48" s="29">
        <f t="shared" si="22"/>
        <v>-3904539.317244892</v>
      </c>
      <c r="Q48" s="29">
        <f t="shared" si="21"/>
        <v>285647.15443448798</v>
      </c>
    </row>
    <row r="49" spans="1:17" x14ac:dyDescent="0.25">
      <c r="A49" s="28">
        <v>7</v>
      </c>
      <c r="B49" s="28"/>
      <c r="C49" s="29">
        <v>464215</v>
      </c>
      <c r="D49" s="47">
        <v>55000</v>
      </c>
      <c r="E49" s="56"/>
      <c r="F49" s="50">
        <f t="shared" si="12"/>
        <v>12741.170550121798</v>
      </c>
      <c r="G49" s="50">
        <f t="shared" si="13"/>
        <v>14817.282464080261</v>
      </c>
      <c r="H49" s="57">
        <f t="shared" si="15"/>
        <v>22046.762411361648</v>
      </c>
      <c r="I49" s="48">
        <f t="shared" si="16"/>
        <v>49605.215425563707</v>
      </c>
      <c r="J49" s="46">
        <v>1.02</v>
      </c>
      <c r="K49" s="29">
        <f t="shared" si="14"/>
        <v>359609.78457443626</v>
      </c>
      <c r="L49" s="29">
        <f t="shared" si="17"/>
        <v>68325.859069142898</v>
      </c>
      <c r="M49" s="29">
        <f t="shared" ref="M49:M72" si="23">K49*0.81</f>
        <v>291283.92550529336</v>
      </c>
      <c r="N49" s="29">
        <f t="shared" si="19"/>
        <v>49605.215425563707</v>
      </c>
      <c r="O49" s="29">
        <f t="shared" si="20"/>
        <v>340889.14093085704</v>
      </c>
      <c r="P49" s="29">
        <f t="shared" si="22"/>
        <v>-3563650.176314035</v>
      </c>
      <c r="Q49" s="29">
        <f t="shared" si="21"/>
        <v>277174.06680000806</v>
      </c>
    </row>
    <row r="50" spans="1:17" x14ac:dyDescent="0.25">
      <c r="A50" s="28">
        <v>8</v>
      </c>
      <c r="B50" s="28"/>
      <c r="C50" s="29">
        <v>464215</v>
      </c>
      <c r="D50" s="47">
        <v>55000</v>
      </c>
      <c r="E50" s="56"/>
      <c r="F50" s="50">
        <f t="shared" si="12"/>
        <v>12491.343676589997</v>
      </c>
      <c r="G50" s="50">
        <f t="shared" si="13"/>
        <v>14526.747513804177</v>
      </c>
      <c r="H50" s="57">
        <f t="shared" si="15"/>
        <v>21614.472952315336</v>
      </c>
      <c r="I50" s="48">
        <f t="shared" si="16"/>
        <v>48632.564142709511</v>
      </c>
      <c r="J50" s="46">
        <v>1.02</v>
      </c>
      <c r="K50" s="29">
        <f t="shared" si="14"/>
        <v>360582.43585729052</v>
      </c>
      <c r="L50" s="29">
        <f t="shared" si="17"/>
        <v>68510.662812885188</v>
      </c>
      <c r="M50" s="29">
        <f t="shared" si="23"/>
        <v>292071.77304440533</v>
      </c>
      <c r="N50" s="29">
        <f t="shared" si="19"/>
        <v>48632.564142709511</v>
      </c>
      <c r="O50" s="29">
        <f t="shared" si="20"/>
        <v>340704.33718711487</v>
      </c>
      <c r="P50" s="29">
        <f t="shared" si="22"/>
        <v>-3222945.8391269203</v>
      </c>
      <c r="Q50" s="29">
        <f t="shared" si="21"/>
        <v>268955.14994631737</v>
      </c>
    </row>
    <row r="51" spans="1:17" x14ac:dyDescent="0.25">
      <c r="A51" s="28">
        <v>9</v>
      </c>
      <c r="B51" s="28"/>
      <c r="C51" s="29">
        <v>464215</v>
      </c>
      <c r="D51" s="47">
        <v>55000</v>
      </c>
      <c r="E51" s="56"/>
      <c r="F51" s="50">
        <f t="shared" si="12"/>
        <v>12246.415369205881</v>
      </c>
      <c r="G51" s="50">
        <f t="shared" si="13"/>
        <v>14241.909327258996</v>
      </c>
      <c r="H51" s="57">
        <f t="shared" si="15"/>
        <v>21190.659757171899</v>
      </c>
      <c r="I51" s="48">
        <f t="shared" si="16"/>
        <v>47678.984453636775</v>
      </c>
      <c r="J51" s="46">
        <v>1.02</v>
      </c>
      <c r="K51" s="29">
        <f t="shared" si="14"/>
        <v>361536.0155463632</v>
      </c>
      <c r="L51" s="29">
        <f t="shared" si="17"/>
        <v>68691.842953809013</v>
      </c>
      <c r="M51" s="29">
        <f t="shared" si="23"/>
        <v>292844.17259255418</v>
      </c>
      <c r="N51" s="29">
        <f t="shared" si="19"/>
        <v>47678.984453636775</v>
      </c>
      <c r="O51" s="29">
        <f t="shared" si="20"/>
        <v>340523.15704619093</v>
      </c>
      <c r="P51" s="29">
        <f t="shared" si="22"/>
        <v>-2882422.6820807294</v>
      </c>
      <c r="Q51" s="29">
        <f t="shared" si="21"/>
        <v>260982.64531067736</v>
      </c>
    </row>
    <row r="52" spans="1:17" x14ac:dyDescent="0.25">
      <c r="A52" s="28">
        <v>10</v>
      </c>
      <c r="B52" s="28"/>
      <c r="C52" s="29">
        <v>464215</v>
      </c>
      <c r="D52" s="47">
        <v>55000</v>
      </c>
      <c r="E52" s="56"/>
      <c r="F52" s="50">
        <f t="shared" si="12"/>
        <v>12006.289577652824</v>
      </c>
      <c r="G52" s="50">
        <f t="shared" si="13"/>
        <v>13962.656203195094</v>
      </c>
      <c r="H52" s="57">
        <f t="shared" si="15"/>
        <v>20775.156624678333</v>
      </c>
      <c r="I52" s="48">
        <f t="shared" si="16"/>
        <v>46744.102405526253</v>
      </c>
      <c r="J52" s="46">
        <v>1.02</v>
      </c>
      <c r="K52" s="29">
        <f t="shared" si="14"/>
        <v>362470.89759447373</v>
      </c>
      <c r="L52" s="29">
        <f t="shared" si="17"/>
        <v>68869.470542949974</v>
      </c>
      <c r="M52" s="29">
        <f t="shared" si="23"/>
        <v>293601.42705152376</v>
      </c>
      <c r="N52" s="29">
        <f t="shared" si="19"/>
        <v>46744.102405526253</v>
      </c>
      <c r="O52" s="29">
        <f t="shared" si="20"/>
        <v>340345.52945705003</v>
      </c>
      <c r="P52" s="29">
        <f t="shared" si="22"/>
        <v>-2542077.1526236795</v>
      </c>
      <c r="Q52" s="29">
        <f t="shared" si="21"/>
        <v>253249.03743129506</v>
      </c>
    </row>
    <row r="53" spans="1:17" x14ac:dyDescent="0.25">
      <c r="A53" s="28">
        <v>11</v>
      </c>
      <c r="B53" s="28"/>
      <c r="C53" s="29">
        <v>464215</v>
      </c>
      <c r="D53" s="47">
        <v>55000</v>
      </c>
      <c r="E53" s="56"/>
      <c r="F53" s="50"/>
      <c r="G53" s="50">
        <f t="shared" si="13"/>
        <v>13688.878630583429</v>
      </c>
      <c r="H53" s="57">
        <f t="shared" si="15"/>
        <v>20367.800612429743</v>
      </c>
      <c r="I53" s="48">
        <f t="shared" si="16"/>
        <v>34056.679243013175</v>
      </c>
      <c r="J53" s="46">
        <v>1.02</v>
      </c>
      <c r="K53" s="29">
        <f t="shared" si="14"/>
        <v>375158.32075698685</v>
      </c>
      <c r="L53" s="29">
        <f t="shared" si="17"/>
        <v>71280.080943827459</v>
      </c>
      <c r="M53" s="29">
        <f t="shared" si="23"/>
        <v>303878.23981315939</v>
      </c>
      <c r="N53" s="29">
        <f t="shared" si="19"/>
        <v>34056.679243013175</v>
      </c>
      <c r="O53" s="29">
        <f t="shared" si="20"/>
        <v>337934.9190561726</v>
      </c>
      <c r="P53" s="29">
        <f t="shared" si="22"/>
        <v>-2204142.233567507</v>
      </c>
      <c r="Q53" s="29">
        <f t="shared" si="21"/>
        <v>244131.37563185961</v>
      </c>
    </row>
    <row r="54" spans="1:17" x14ac:dyDescent="0.25">
      <c r="A54" s="28">
        <v>12</v>
      </c>
      <c r="B54" s="28"/>
      <c r="C54" s="29">
        <v>464215</v>
      </c>
      <c r="D54" s="47">
        <v>55000</v>
      </c>
      <c r="E54" s="56"/>
      <c r="F54" s="50"/>
      <c r="G54" s="50">
        <f t="shared" si="13"/>
        <v>13420.469245670025</v>
      </c>
      <c r="H54" s="57">
        <f t="shared" si="15"/>
        <v>19968.431972970331</v>
      </c>
      <c r="I54" s="48">
        <f t="shared" si="16"/>
        <v>33388.901218640356</v>
      </c>
      <c r="J54" s="46">
        <v>1.02</v>
      </c>
      <c r="K54" s="29">
        <f t="shared" si="14"/>
        <v>375826.09878135961</v>
      </c>
      <c r="L54" s="29">
        <f t="shared" si="17"/>
        <v>71406.95876845828</v>
      </c>
      <c r="M54" s="29">
        <f t="shared" si="23"/>
        <v>304419.14001290133</v>
      </c>
      <c r="N54" s="29">
        <f t="shared" si="19"/>
        <v>33388.901218640356</v>
      </c>
      <c r="O54" s="29">
        <f t="shared" si="20"/>
        <v>337808.04123154166</v>
      </c>
      <c r="P54" s="29">
        <f t="shared" si="22"/>
        <v>-1866334.1923359653</v>
      </c>
      <c r="Q54" s="29">
        <f t="shared" si="21"/>
        <v>236931.76348720165</v>
      </c>
    </row>
    <row r="55" spans="1:17" x14ac:dyDescent="0.25">
      <c r="A55" s="28">
        <v>13</v>
      </c>
      <c r="B55" s="28"/>
      <c r="C55" s="29">
        <v>464215</v>
      </c>
      <c r="D55" s="47">
        <v>55000</v>
      </c>
      <c r="E55" s="56"/>
      <c r="F55" s="50"/>
      <c r="G55" s="50">
        <f t="shared" si="13"/>
        <v>13157.322789872575</v>
      </c>
      <c r="H55" s="57">
        <f t="shared" si="15"/>
        <v>19576.894091147384</v>
      </c>
      <c r="I55" s="48">
        <f t="shared" si="16"/>
        <v>32734.216881019958</v>
      </c>
      <c r="J55" s="46">
        <v>1.02</v>
      </c>
      <c r="K55" s="29">
        <f t="shared" si="14"/>
        <v>376480.78311898001</v>
      </c>
      <c r="L55" s="29">
        <f t="shared" si="17"/>
        <v>71531.348792606208</v>
      </c>
      <c r="M55" s="29">
        <f t="shared" si="23"/>
        <v>304949.4343263738</v>
      </c>
      <c r="N55" s="29">
        <f t="shared" si="19"/>
        <v>32734.216881019958</v>
      </c>
      <c r="O55" s="29">
        <f t="shared" si="20"/>
        <v>337683.65120739373</v>
      </c>
      <c r="P55" s="29">
        <f t="shared" si="22"/>
        <v>-1528650.5411285716</v>
      </c>
      <c r="Q55" s="29">
        <f t="shared" si="21"/>
        <v>229946.13478346367</v>
      </c>
    </row>
    <row r="56" spans="1:17" x14ac:dyDescent="0.25">
      <c r="A56" s="28">
        <v>14</v>
      </c>
      <c r="B56" s="28"/>
      <c r="C56" s="29">
        <v>464215</v>
      </c>
      <c r="D56" s="47">
        <v>55000</v>
      </c>
      <c r="E56" s="56"/>
      <c r="F56" s="50"/>
      <c r="G56" s="50">
        <f t="shared" si="13"/>
        <v>12899.336068502524</v>
      </c>
      <c r="H56" s="57">
        <f t="shared" si="15"/>
        <v>19193.033422693512</v>
      </c>
      <c r="I56" s="48">
        <f t="shared" si="16"/>
        <v>32092.369491196034</v>
      </c>
      <c r="J56" s="46">
        <v>1.02</v>
      </c>
      <c r="K56" s="29">
        <f t="shared" si="14"/>
        <v>377122.630508804</v>
      </c>
      <c r="L56" s="29">
        <f t="shared" si="17"/>
        <v>71653.299796672713</v>
      </c>
      <c r="M56" s="29">
        <f t="shared" si="23"/>
        <v>305469.33071213128</v>
      </c>
      <c r="N56" s="29">
        <f t="shared" si="19"/>
        <v>32092.369491196034</v>
      </c>
      <c r="O56" s="29">
        <f t="shared" si="20"/>
        <v>337561.70020332735</v>
      </c>
      <c r="P56" s="29">
        <f t="shared" si="22"/>
        <v>-1191088.8409252441</v>
      </c>
      <c r="Q56" s="29">
        <f t="shared" si="21"/>
        <v>223168.05056682634</v>
      </c>
    </row>
    <row r="57" spans="1:17" x14ac:dyDescent="0.25">
      <c r="A57" s="28">
        <v>15</v>
      </c>
      <c r="B57" s="28"/>
      <c r="C57" s="29">
        <v>464215</v>
      </c>
      <c r="D57" s="47">
        <v>55000</v>
      </c>
      <c r="E57" s="56"/>
      <c r="F57" s="50"/>
      <c r="G57" s="50">
        <f t="shared" si="13"/>
        <v>12646.407910296595</v>
      </c>
      <c r="H57" s="57">
        <f t="shared" si="15"/>
        <v>18816.699434013251</v>
      </c>
      <c r="I57" s="48">
        <f t="shared" si="16"/>
        <v>31463.107344309847</v>
      </c>
      <c r="J57" s="46">
        <v>1.02</v>
      </c>
      <c r="K57" s="29">
        <f t="shared" si="14"/>
        <v>377751.89265569014</v>
      </c>
      <c r="L57" s="29">
        <f t="shared" si="17"/>
        <v>71772.859604581085</v>
      </c>
      <c r="M57" s="29">
        <f t="shared" si="23"/>
        <v>305979.03305110906</v>
      </c>
      <c r="N57" s="29">
        <f t="shared" si="19"/>
        <v>31463.107344309847</v>
      </c>
      <c r="O57" s="29">
        <f t="shared" si="20"/>
        <v>337442.14039541892</v>
      </c>
      <c r="P57" s="29">
        <f t="shared" si="22"/>
        <v>-853646.70052982518</v>
      </c>
      <c r="Q57" s="29">
        <f t="shared" si="21"/>
        <v>216591.26936792021</v>
      </c>
    </row>
    <row r="58" spans="1:17" x14ac:dyDescent="0.25">
      <c r="A58" s="28">
        <v>16</v>
      </c>
      <c r="B58" s="28"/>
      <c r="C58" s="29">
        <v>464215</v>
      </c>
      <c r="D58" s="47">
        <v>55000</v>
      </c>
      <c r="E58" s="56"/>
      <c r="F58" s="50"/>
      <c r="G58" s="50">
        <f t="shared" si="13"/>
        <v>12398.439127741758</v>
      </c>
      <c r="H58" s="57">
        <f t="shared" si="15"/>
        <v>18447.744543150246</v>
      </c>
      <c r="I58" s="48">
        <f t="shared" si="16"/>
        <v>30846.183670892002</v>
      </c>
      <c r="J58" s="46">
        <v>1.02</v>
      </c>
      <c r="K58" s="29">
        <f t="shared" si="14"/>
        <v>378368.81632910797</v>
      </c>
      <c r="L58" s="29">
        <f t="shared" si="17"/>
        <v>71890.075102530478</v>
      </c>
      <c r="M58" s="29">
        <f t="shared" si="23"/>
        <v>306478.74122657749</v>
      </c>
      <c r="N58" s="29">
        <f t="shared" si="19"/>
        <v>30846.183670892002</v>
      </c>
      <c r="O58" s="29">
        <f t="shared" si="20"/>
        <v>337324.92489746946</v>
      </c>
      <c r="P58" s="29">
        <f t="shared" si="22"/>
        <v>-516321.77563235571</v>
      </c>
      <c r="Q58" s="29">
        <f t="shared" si="21"/>
        <v>210209.74097101099</v>
      </c>
    </row>
    <row r="59" spans="1:17" x14ac:dyDescent="0.25">
      <c r="A59" s="28">
        <v>17</v>
      </c>
      <c r="B59" s="28"/>
      <c r="C59" s="29">
        <v>464215</v>
      </c>
      <c r="D59" s="47">
        <v>55000</v>
      </c>
      <c r="E59" s="56"/>
      <c r="F59" s="50"/>
      <c r="G59" s="50">
        <f t="shared" si="13"/>
        <v>12155.332478178192</v>
      </c>
      <c r="H59" s="57">
        <f t="shared" si="15"/>
        <v>18086.024061912001</v>
      </c>
      <c r="I59" s="48">
        <f t="shared" si="16"/>
        <v>30241.356540090193</v>
      </c>
      <c r="J59" s="46">
        <v>1.02</v>
      </c>
      <c r="K59" s="29">
        <f t="shared" si="14"/>
        <v>378973.64345990983</v>
      </c>
      <c r="L59" s="29">
        <f t="shared" si="17"/>
        <v>72004.992257382837</v>
      </c>
      <c r="M59" s="29">
        <f t="shared" si="23"/>
        <v>306968.65120252699</v>
      </c>
      <c r="N59" s="29">
        <f t="shared" si="19"/>
        <v>30241.356540090193</v>
      </c>
      <c r="O59" s="29">
        <f t="shared" si="20"/>
        <v>337210.00774261716</v>
      </c>
      <c r="P59" s="29">
        <f t="shared" si="22"/>
        <v>-179111.76788973855</v>
      </c>
      <c r="Q59" s="29">
        <f t="shared" si="21"/>
        <v>204017.60038772604</v>
      </c>
    </row>
    <row r="60" spans="1:17" x14ac:dyDescent="0.25">
      <c r="A60" s="28">
        <v>18</v>
      </c>
      <c r="B60" s="28"/>
      <c r="C60" s="29">
        <v>464215</v>
      </c>
      <c r="D60" s="47">
        <v>55000</v>
      </c>
      <c r="E60" s="56"/>
      <c r="F60" s="50"/>
      <c r="G60" s="50">
        <f t="shared" si="13"/>
        <v>11916.992625664896</v>
      </c>
      <c r="H60" s="57">
        <f t="shared" si="15"/>
        <v>17731.396139129418</v>
      </c>
      <c r="I60" s="48">
        <f t="shared" si="16"/>
        <v>29648.388764794312</v>
      </c>
      <c r="J60" s="46">
        <v>1.02</v>
      </c>
      <c r="K60" s="29">
        <f t="shared" si="14"/>
        <v>379566.61123520567</v>
      </c>
      <c r="L60" s="29">
        <f t="shared" si="17"/>
        <v>72117.656134689052</v>
      </c>
      <c r="M60" s="29">
        <f t="shared" si="23"/>
        <v>307448.95510051661</v>
      </c>
      <c r="N60" s="29">
        <f t="shared" si="19"/>
        <v>29648.388764794312</v>
      </c>
      <c r="O60" s="29">
        <f t="shared" si="20"/>
        <v>337097.34386531095</v>
      </c>
      <c r="P60" s="29">
        <f t="shared" si="22"/>
        <v>157985.5759755724</v>
      </c>
      <c r="Q60" s="29">
        <f t="shared" si="21"/>
        <v>198009.16202825546</v>
      </c>
    </row>
    <row r="61" spans="1:17" x14ac:dyDescent="0.25">
      <c r="A61" s="28">
        <v>19</v>
      </c>
      <c r="B61" s="28"/>
      <c r="C61" s="29">
        <v>464215</v>
      </c>
      <c r="D61" s="47">
        <v>55000</v>
      </c>
      <c r="E61" s="56"/>
      <c r="F61" s="50"/>
      <c r="G61" s="50">
        <f t="shared" si="13"/>
        <v>11683.326103593035</v>
      </c>
      <c r="H61" s="57">
        <f t="shared" si="15"/>
        <v>17383.721705028842</v>
      </c>
      <c r="I61" s="48">
        <f t="shared" si="16"/>
        <v>29067.047808621879</v>
      </c>
      <c r="J61" s="46">
        <v>1.02</v>
      </c>
      <c r="K61" s="29">
        <f t="shared" si="14"/>
        <v>380147.95219137811</v>
      </c>
      <c r="L61" s="29">
        <f t="shared" si="17"/>
        <v>72228.110916361795</v>
      </c>
      <c r="M61" s="29">
        <f t="shared" si="23"/>
        <v>307919.84127501631</v>
      </c>
      <c r="N61" s="29">
        <f t="shared" si="19"/>
        <v>29067.047808621879</v>
      </c>
      <c r="O61" s="29">
        <f t="shared" si="20"/>
        <v>336986.88908363821</v>
      </c>
      <c r="P61" s="29">
        <f t="shared" si="22"/>
        <v>494972.4650592106</v>
      </c>
      <c r="Q61" s="29">
        <f t="shared" si="21"/>
        <v>192178.91406321889</v>
      </c>
    </row>
    <row r="62" spans="1:17" x14ac:dyDescent="0.25">
      <c r="A62" s="28">
        <v>20</v>
      </c>
      <c r="B62" s="28"/>
      <c r="C62" s="29">
        <v>464215</v>
      </c>
      <c r="D62" s="47">
        <v>55000</v>
      </c>
      <c r="E62" s="56"/>
      <c r="F62" s="50"/>
      <c r="G62" s="50">
        <f t="shared" si="13"/>
        <v>11454.241278032387</v>
      </c>
      <c r="H62" s="57">
        <f t="shared" si="15"/>
        <v>17042.864416694942</v>
      </c>
      <c r="I62" s="48">
        <f t="shared" si="16"/>
        <v>28497.105694727328</v>
      </c>
      <c r="J62" s="46">
        <v>1.02</v>
      </c>
      <c r="K62" s="29">
        <f t="shared" si="14"/>
        <v>380717.89430527267</v>
      </c>
      <c r="L62" s="29">
        <f t="shared" si="17"/>
        <v>72336.399918001785</v>
      </c>
      <c r="M62" s="29">
        <f t="shared" si="23"/>
        <v>308381.49438727088</v>
      </c>
      <c r="N62" s="29">
        <f t="shared" si="19"/>
        <v>28497.105694727328</v>
      </c>
      <c r="O62" s="29">
        <f t="shared" si="20"/>
        <v>336878.60008199821</v>
      </c>
      <c r="P62" s="29">
        <f t="shared" si="22"/>
        <v>831851.06514120882</v>
      </c>
      <c r="Q62" s="29">
        <f t="shared" si="21"/>
        <v>186521.51296963709</v>
      </c>
    </row>
    <row r="63" spans="1:17" x14ac:dyDescent="0.25">
      <c r="A63" s="28">
        <v>21</v>
      </c>
      <c r="B63" s="28"/>
      <c r="C63" s="29">
        <v>464215</v>
      </c>
      <c r="D63" s="47">
        <v>55000</v>
      </c>
      <c r="E63" s="56"/>
      <c r="F63" s="50"/>
      <c r="G63" s="50">
        <f t="shared" si="13"/>
        <v>11229.648311796458</v>
      </c>
      <c r="H63" s="57">
        <f t="shared" si="15"/>
        <v>16708.690604602885</v>
      </c>
      <c r="I63" s="48">
        <f t="shared" si="16"/>
        <v>27938.338916399342</v>
      </c>
      <c r="J63" s="46">
        <v>1.02</v>
      </c>
      <c r="K63" s="29">
        <f t="shared" si="14"/>
        <v>381276.66108360066</v>
      </c>
      <c r="L63" s="29">
        <f t="shared" si="17"/>
        <v>72442.565605884127</v>
      </c>
      <c r="M63" s="29">
        <f t="shared" si="23"/>
        <v>308834.09547771653</v>
      </c>
      <c r="N63" s="29">
        <f t="shared" si="19"/>
        <v>27938.338916399342</v>
      </c>
      <c r="O63" s="29">
        <f t="shared" si="20"/>
        <v>336772.43439411587</v>
      </c>
      <c r="P63" s="29">
        <f t="shared" si="22"/>
        <v>1168623.4995353248</v>
      </c>
      <c r="Q63" s="29">
        <f t="shared" si="21"/>
        <v>181031.77825468945</v>
      </c>
    </row>
    <row r="64" spans="1:17" x14ac:dyDescent="0.25">
      <c r="A64" s="28">
        <v>22</v>
      </c>
      <c r="B64" s="28"/>
      <c r="C64" s="29">
        <v>464215</v>
      </c>
      <c r="D64" s="47">
        <v>55000</v>
      </c>
      <c r="E64" s="56"/>
      <c r="F64" s="50"/>
      <c r="G64" s="50">
        <f t="shared" si="13"/>
        <v>11009.459129212213</v>
      </c>
      <c r="H64" s="57">
        <f t="shared" si="15"/>
        <v>16381.069220198904</v>
      </c>
      <c r="I64" s="48">
        <f t="shared" si="16"/>
        <v>27390.528349411117</v>
      </c>
      <c r="J64" s="46">
        <v>1.02</v>
      </c>
      <c r="K64" s="29">
        <f t="shared" si="14"/>
        <v>381824.47165058891</v>
      </c>
      <c r="L64" s="29">
        <f t="shared" si="17"/>
        <v>72546.649613611866</v>
      </c>
      <c r="M64" s="29">
        <f t="shared" si="23"/>
        <v>309277.82203697704</v>
      </c>
      <c r="N64" s="29">
        <f t="shared" si="19"/>
        <v>27390.528349411117</v>
      </c>
      <c r="O64" s="29">
        <f t="shared" si="20"/>
        <v>336668.35038638813</v>
      </c>
      <c r="P64" s="29">
        <f t="shared" si="22"/>
        <v>1505291.8499217129</v>
      </c>
      <c r="Q64" s="29">
        <f t="shared" si="21"/>
        <v>175704.68735116668</v>
      </c>
    </row>
    <row r="65" spans="1:17" x14ac:dyDescent="0.25">
      <c r="A65" s="28">
        <v>23</v>
      </c>
      <c r="B65" s="28"/>
      <c r="C65" s="29">
        <v>464215</v>
      </c>
      <c r="D65" s="47">
        <v>55000</v>
      </c>
      <c r="E65" s="56"/>
      <c r="F65" s="50"/>
      <c r="G65" s="50">
        <f t="shared" si="13"/>
        <v>10793.587381580604</v>
      </c>
      <c r="H65" s="57">
        <f t="shared" si="15"/>
        <v>16059.871784508732</v>
      </c>
      <c r="I65" s="48">
        <f t="shared" si="16"/>
        <v>26853.459166089335</v>
      </c>
      <c r="J65" s="46">
        <v>1.02</v>
      </c>
      <c r="K65" s="29">
        <f t="shared" si="14"/>
        <v>382361.54083391069</v>
      </c>
      <c r="L65" s="29">
        <f t="shared" si="17"/>
        <v>72648.692758443009</v>
      </c>
      <c r="M65" s="29">
        <f t="shared" si="23"/>
        <v>309712.84807546769</v>
      </c>
      <c r="N65" s="29">
        <f t="shared" si="19"/>
        <v>26853.459166089335</v>
      </c>
      <c r="O65" s="29">
        <f t="shared" si="20"/>
        <v>336566.30724155705</v>
      </c>
      <c r="P65" s="29">
        <f t="shared" si="22"/>
        <v>1841858.1571632698</v>
      </c>
      <c r="Q65" s="29">
        <f t="shared" si="21"/>
        <v>170535.37067875033</v>
      </c>
    </row>
    <row r="66" spans="1:17" x14ac:dyDescent="0.25">
      <c r="A66" s="28">
        <v>24</v>
      </c>
      <c r="B66" s="28"/>
      <c r="C66" s="29">
        <v>464215</v>
      </c>
      <c r="D66" s="47">
        <v>55000</v>
      </c>
      <c r="E66" s="56"/>
      <c r="F66" s="50"/>
      <c r="G66" s="50">
        <f t="shared" si="13"/>
        <v>10581.948413314316</v>
      </c>
      <c r="H66" s="57">
        <f t="shared" si="15"/>
        <v>15744.972337753659</v>
      </c>
      <c r="I66" s="48">
        <f t="shared" si="16"/>
        <v>26326.920751067977</v>
      </c>
      <c r="J66" s="46">
        <v>1.02</v>
      </c>
      <c r="K66" s="29">
        <f t="shared" si="14"/>
        <v>382888.07924893202</v>
      </c>
      <c r="L66" s="29">
        <f t="shared" si="17"/>
        <v>72748.735057297046</v>
      </c>
      <c r="M66" s="29">
        <f t="shared" si="23"/>
        <v>310139.34419163497</v>
      </c>
      <c r="N66" s="29">
        <f t="shared" si="19"/>
        <v>26326.920751067977</v>
      </c>
      <c r="O66" s="29">
        <f t="shared" si="20"/>
        <v>336466.26494270295</v>
      </c>
      <c r="P66" s="29">
        <f t="shared" si="22"/>
        <v>2178324.4221059727</v>
      </c>
      <c r="Q66" s="29">
        <f t="shared" si="21"/>
        <v>165519.10686546317</v>
      </c>
    </row>
    <row r="67" spans="1:17" x14ac:dyDescent="0.25">
      <c r="A67" s="28">
        <v>25</v>
      </c>
      <c r="B67" s="28"/>
      <c r="C67" s="29">
        <v>464215</v>
      </c>
      <c r="D67" s="47">
        <v>55000</v>
      </c>
      <c r="E67" s="56"/>
      <c r="F67" s="50"/>
      <c r="G67" s="50">
        <f t="shared" si="13"/>
        <v>10374.459228739526</v>
      </c>
      <c r="H67" s="57">
        <f t="shared" si="15"/>
        <v>15436.247389954568</v>
      </c>
      <c r="I67" s="48">
        <f t="shared" si="16"/>
        <v>25810.706618694094</v>
      </c>
      <c r="J67" s="46">
        <v>1.02</v>
      </c>
      <c r="K67" s="29">
        <f t="shared" si="14"/>
        <v>383404.29338130588</v>
      </c>
      <c r="L67" s="29">
        <f t="shared" si="17"/>
        <v>72846.815742448089</v>
      </c>
      <c r="M67" s="29">
        <f t="shared" si="23"/>
        <v>310557.47763885779</v>
      </c>
      <c r="N67" s="29">
        <f t="shared" si="19"/>
        <v>25810.706618694094</v>
      </c>
      <c r="O67" s="29">
        <f t="shared" si="20"/>
        <v>336368.18425755191</v>
      </c>
      <c r="P67" s="29">
        <f t="shared" si="22"/>
        <v>2514692.6063635247</v>
      </c>
      <c r="Q67" s="29">
        <f t="shared" si="21"/>
        <v>160651.31812383892</v>
      </c>
    </row>
    <row r="68" spans="1:17" x14ac:dyDescent="0.25">
      <c r="A68" s="28">
        <v>26</v>
      </c>
      <c r="B68" s="28"/>
      <c r="C68" s="29">
        <v>464215</v>
      </c>
      <c r="D68" s="47">
        <v>55000</v>
      </c>
      <c r="E68" s="56"/>
      <c r="F68" s="50"/>
      <c r="G68" s="50">
        <f t="shared" si="13"/>
        <v>10171.038459548554</v>
      </c>
      <c r="H68" s="57">
        <f t="shared" si="15"/>
        <v>15133.575872504476</v>
      </c>
      <c r="I68" s="48">
        <f t="shared" si="16"/>
        <v>25304.614332053032</v>
      </c>
      <c r="J68" s="46">
        <v>1.02</v>
      </c>
      <c r="K68" s="29">
        <f t="shared" si="14"/>
        <v>383910.385667947</v>
      </c>
      <c r="L68" s="29">
        <f t="shared" si="17"/>
        <v>72942.973276909906</v>
      </c>
      <c r="M68" s="29">
        <f t="shared" si="23"/>
        <v>310967.4123910371</v>
      </c>
      <c r="N68" s="29">
        <f t="shared" si="19"/>
        <v>25304.614332053032</v>
      </c>
      <c r="O68" s="29">
        <f t="shared" si="20"/>
        <v>336272.02672309015</v>
      </c>
      <c r="P68" s="29">
        <f t="shared" si="22"/>
        <v>2850964.6330866148</v>
      </c>
      <c r="Q68" s="29">
        <f t="shared" si="21"/>
        <v>155927.56577655679</v>
      </c>
    </row>
    <row r="69" spans="1:17" x14ac:dyDescent="0.25">
      <c r="A69" s="28">
        <v>27</v>
      </c>
      <c r="B69" s="28"/>
      <c r="C69" s="29">
        <v>464215</v>
      </c>
      <c r="D69" s="47">
        <v>55000</v>
      </c>
      <c r="E69" s="56"/>
      <c r="F69" s="50"/>
      <c r="G69" s="50">
        <f t="shared" si="13"/>
        <v>9971.6063328907403</v>
      </c>
      <c r="H69" s="57">
        <f t="shared" si="15"/>
        <v>14836.839090690666</v>
      </c>
      <c r="I69" s="48">
        <f t="shared" si="16"/>
        <v>24808.445423581405</v>
      </c>
      <c r="J69" s="46">
        <v>1.02</v>
      </c>
      <c r="K69" s="29">
        <f t="shared" si="14"/>
        <v>384406.5545764186</v>
      </c>
      <c r="L69" s="29">
        <f t="shared" si="17"/>
        <v>73037.245369519514</v>
      </c>
      <c r="M69" s="29">
        <f t="shared" si="23"/>
        <v>311369.30920689908</v>
      </c>
      <c r="N69" s="29">
        <f t="shared" si="19"/>
        <v>24808.445423581405</v>
      </c>
      <c r="O69" s="29">
        <f t="shared" si="20"/>
        <v>336177.75463048049</v>
      </c>
      <c r="P69" s="29">
        <f t="shared" si="22"/>
        <v>3187142.3877170952</v>
      </c>
      <c r="Q69" s="29">
        <f t="shared" si="21"/>
        <v>151343.54592647485</v>
      </c>
    </row>
    <row r="70" spans="1:17" x14ac:dyDescent="0.25">
      <c r="A70" s="28">
        <v>28</v>
      </c>
      <c r="B70" s="28"/>
      <c r="C70" s="29">
        <v>464215</v>
      </c>
      <c r="D70" s="47">
        <v>55000</v>
      </c>
      <c r="E70" s="56"/>
      <c r="F70" s="50"/>
      <c r="G70" s="50">
        <f t="shared" si="13"/>
        <v>9776.0846400889604</v>
      </c>
      <c r="H70" s="57">
        <f t="shared" si="15"/>
        <v>14545.920677147709</v>
      </c>
      <c r="I70" s="48">
        <f t="shared" si="16"/>
        <v>24322.005317236668</v>
      </c>
      <c r="J70" s="46">
        <v>1.02</v>
      </c>
      <c r="K70" s="29">
        <f t="shared" si="14"/>
        <v>384892.99468276335</v>
      </c>
      <c r="L70" s="29">
        <f t="shared" si="17"/>
        <v>73129.668989725003</v>
      </c>
      <c r="M70" s="29">
        <f t="shared" si="23"/>
        <v>311763.32569303835</v>
      </c>
      <c r="N70" s="29">
        <f t="shared" si="19"/>
        <v>24322.005317236668</v>
      </c>
      <c r="O70" s="29">
        <f t="shared" si="20"/>
        <v>336085.331010275</v>
      </c>
      <c r="P70" s="29">
        <f t="shared" si="22"/>
        <v>3523227.7187273703</v>
      </c>
      <c r="Q70" s="29">
        <f t="shared" si="21"/>
        <v>146895.08526617874</v>
      </c>
    </row>
    <row r="71" spans="1:17" x14ac:dyDescent="0.25">
      <c r="A71" s="28">
        <v>29</v>
      </c>
      <c r="B71" s="28"/>
      <c r="C71" s="29">
        <v>464215</v>
      </c>
      <c r="D71" s="47">
        <v>55000</v>
      </c>
      <c r="E71" s="56"/>
      <c r="F71" s="50"/>
      <c r="G71" s="50">
        <f t="shared" si="13"/>
        <v>9584.3967059695697</v>
      </c>
      <c r="H71" s="57">
        <f t="shared" si="15"/>
        <v>14260.706546223246</v>
      </c>
      <c r="I71" s="48">
        <f t="shared" si="16"/>
        <v>23845.103252192814</v>
      </c>
      <c r="J71" s="46">
        <v>1.02</v>
      </c>
      <c r="K71" s="29">
        <f t="shared" si="14"/>
        <v>385369.89674780716</v>
      </c>
      <c r="L71" s="29">
        <f t="shared" si="17"/>
        <v>73220.280382083321</v>
      </c>
      <c r="M71" s="29">
        <f t="shared" si="23"/>
        <v>312149.61636572384</v>
      </c>
      <c r="N71" s="29">
        <f t="shared" si="19"/>
        <v>23845.103252192814</v>
      </c>
      <c r="O71" s="29">
        <f t="shared" si="20"/>
        <v>335994.71961791662</v>
      </c>
      <c r="P71" s="29">
        <f t="shared" si="22"/>
        <v>3859222.438345287</v>
      </c>
      <c r="Q71" s="29">
        <f t="shared" si="21"/>
        <v>142578.13702233642</v>
      </c>
    </row>
    <row r="72" spans="1:17" ht="15.75" thickBot="1" x14ac:dyDescent="0.3">
      <c r="A72" s="28">
        <v>30</v>
      </c>
      <c r="B72" s="28"/>
      <c r="C72" s="29">
        <v>464215</v>
      </c>
      <c r="D72" s="47">
        <v>55000</v>
      </c>
      <c r="E72" s="58"/>
      <c r="F72" s="59"/>
      <c r="G72" s="59">
        <f t="shared" si="13"/>
        <v>9396.4673587936959</v>
      </c>
      <c r="H72" s="60">
        <f t="shared" si="15"/>
        <v>13981.084849238476</v>
      </c>
      <c r="I72" s="48">
        <f t="shared" si="16"/>
        <v>23377.552208032172</v>
      </c>
      <c r="J72" s="46">
        <v>1.02</v>
      </c>
      <c r="K72" s="29">
        <f t="shared" si="14"/>
        <v>385837.44779196783</v>
      </c>
      <c r="L72" s="29">
        <f t="shared" si="17"/>
        <v>73309.115080473886</v>
      </c>
      <c r="M72" s="29">
        <f t="shared" si="23"/>
        <v>312528.33271149395</v>
      </c>
      <c r="N72" s="29">
        <f t="shared" si="19"/>
        <v>23377.552208032172</v>
      </c>
      <c r="O72" s="30">
        <f t="shared" si="20"/>
        <v>335905.88491952611</v>
      </c>
      <c r="P72" s="30">
        <f t="shared" si="22"/>
        <v>4195128.3232648131</v>
      </c>
      <c r="Q72" s="29">
        <f t="shared" si="21"/>
        <v>138388.77703031871</v>
      </c>
    </row>
    <row r="73" spans="1:17" ht="15.75" thickBot="1" x14ac:dyDescent="0.3">
      <c r="A73" s="24"/>
      <c r="B73" s="24"/>
      <c r="C73" s="24"/>
      <c r="D73" s="24"/>
      <c r="E73" s="24"/>
      <c r="F73" s="25"/>
      <c r="G73" s="24"/>
      <c r="H73" s="24"/>
      <c r="I73" s="24"/>
      <c r="J73" s="24"/>
      <c r="K73" s="24"/>
      <c r="L73" s="24"/>
      <c r="M73" s="24"/>
      <c r="N73" s="92" t="s">
        <v>72</v>
      </c>
      <c r="O73" s="93"/>
      <c r="P73" s="94"/>
      <c r="Q73" s="29">
        <f>SUM(Q43:Q72)</f>
        <v>6683305.1177848596</v>
      </c>
    </row>
    <row r="74" spans="1:17" ht="15.75" thickBot="1" x14ac:dyDescent="0.3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95" t="s">
        <v>73</v>
      </c>
      <c r="O74" s="96"/>
      <c r="P74" s="96"/>
      <c r="Q74" s="31">
        <f>Q73-B42</f>
        <v>683305.11778485961</v>
      </c>
    </row>
    <row r="75" spans="1:17" ht="15.75" thickBot="1" x14ac:dyDescent="0.3"/>
    <row r="76" spans="1:17" ht="27" thickBot="1" x14ac:dyDescent="0.3">
      <c r="A76" s="22" t="s">
        <v>68</v>
      </c>
      <c r="B76" s="23" t="s">
        <v>59</v>
      </c>
      <c r="C76" s="23" t="s">
        <v>71</v>
      </c>
      <c r="D76" s="45" t="s">
        <v>70</v>
      </c>
      <c r="E76" s="51" t="s">
        <v>91</v>
      </c>
      <c r="F76" s="52" t="s">
        <v>92</v>
      </c>
      <c r="G76" s="52" t="s">
        <v>93</v>
      </c>
      <c r="H76" s="53" t="s">
        <v>94</v>
      </c>
      <c r="I76" s="23" t="s">
        <v>96</v>
      </c>
      <c r="J76" s="23" t="s">
        <v>95</v>
      </c>
      <c r="K76" s="45" t="s">
        <v>65</v>
      </c>
      <c r="L76" s="23" t="s">
        <v>66</v>
      </c>
      <c r="M76" s="45" t="s">
        <v>67</v>
      </c>
      <c r="N76" s="23" t="s">
        <v>64</v>
      </c>
      <c r="O76" s="45" t="s">
        <v>87</v>
      </c>
      <c r="P76" s="90" t="s">
        <v>60</v>
      </c>
      <c r="Q76" s="61" t="s">
        <v>101</v>
      </c>
    </row>
    <row r="77" spans="1:17" x14ac:dyDescent="0.25">
      <c r="A77" s="24">
        <v>0</v>
      </c>
      <c r="B77" s="25">
        <v>6000000</v>
      </c>
      <c r="C77" s="24"/>
      <c r="D77" s="26" t="s">
        <v>69</v>
      </c>
      <c r="E77" s="54"/>
      <c r="F77" s="49"/>
      <c r="G77" s="49"/>
      <c r="H77" s="55"/>
      <c r="I77" s="24"/>
      <c r="J77" s="24"/>
      <c r="K77" s="24"/>
      <c r="L77" s="24"/>
      <c r="M77" s="24"/>
      <c r="N77" s="24"/>
      <c r="O77" s="24"/>
      <c r="P77" s="91"/>
      <c r="Q77" s="27"/>
    </row>
    <row r="78" spans="1:17" x14ac:dyDescent="0.25">
      <c r="A78" s="28">
        <v>1</v>
      </c>
      <c r="B78" s="28"/>
      <c r="C78" s="29">
        <v>464215</v>
      </c>
      <c r="D78" s="47">
        <v>55000</v>
      </c>
      <c r="E78" s="56">
        <f>$E$40/$F$40/J78^A78</f>
        <v>50393.333333333328</v>
      </c>
      <c r="F78" s="50">
        <f t="shared" ref="F78:F87" si="24">$E$39/$F$39/J78^A78</f>
        <v>14348.627450980392</v>
      </c>
      <c r="G78" s="50">
        <f t="shared" ref="G78:G107" si="25">$E$38/$F$38/J78^A78</f>
        <v>16686.666666666668</v>
      </c>
      <c r="H78" s="57">
        <f>$E$37/$F$37/J78^A78</f>
        <v>24828.235294117647</v>
      </c>
      <c r="I78" s="48">
        <f>SUM(E78:H78)</f>
        <v>106256.86274509804</v>
      </c>
      <c r="J78" s="46">
        <v>1.02</v>
      </c>
      <c r="K78" s="29">
        <f t="shared" ref="K78:K107" si="26">C78-(D78+I78)</f>
        <v>302958.13725490193</v>
      </c>
      <c r="L78" s="29">
        <f>K78-M78</f>
        <v>57562.046078431362</v>
      </c>
      <c r="M78" s="29">
        <f>K78*0.81</f>
        <v>245396.09117647057</v>
      </c>
      <c r="N78" s="29">
        <f>I78</f>
        <v>106256.86274509804</v>
      </c>
      <c r="O78" s="29">
        <f>M78+N78</f>
        <v>351652.95392156858</v>
      </c>
      <c r="P78" s="29">
        <f>O78-$B$2</f>
        <v>-5648347.0460784314</v>
      </c>
      <c r="Q78" s="29">
        <f>O78/(1+0.05)^A78</f>
        <v>334907.57516339864</v>
      </c>
    </row>
    <row r="79" spans="1:17" x14ac:dyDescent="0.25">
      <c r="A79" s="28">
        <v>2</v>
      </c>
      <c r="B79" s="28"/>
      <c r="C79" s="29">
        <v>464215</v>
      </c>
      <c r="D79" s="47">
        <v>55000</v>
      </c>
      <c r="E79" s="56">
        <f>$E$40/$F$40/J79^A79</f>
        <v>49405.228758169935</v>
      </c>
      <c r="F79" s="50">
        <f t="shared" si="24"/>
        <v>14067.281814686659</v>
      </c>
      <c r="G79" s="50">
        <f t="shared" si="25"/>
        <v>16359.477124183008</v>
      </c>
      <c r="H79" s="57">
        <f t="shared" ref="H79:H107" si="27">$E$37/$F$37/J79^A79</f>
        <v>24341.407151095733</v>
      </c>
      <c r="I79" s="48">
        <f t="shared" ref="I79:I107" si="28">SUM(E79:H79)</f>
        <v>104173.39484813533</v>
      </c>
      <c r="J79" s="46">
        <v>1.02</v>
      </c>
      <c r="K79" s="29">
        <f t="shared" si="26"/>
        <v>305041.6051518647</v>
      </c>
      <c r="L79" s="29">
        <f t="shared" ref="L79:L107" si="29">K79-M79</f>
        <v>57957.904978854291</v>
      </c>
      <c r="M79" s="29">
        <f t="shared" ref="M79:M82" si="30">K79*0.81</f>
        <v>247083.70017301041</v>
      </c>
      <c r="N79" s="29">
        <f t="shared" ref="N79:N107" si="31">I79</f>
        <v>104173.39484813533</v>
      </c>
      <c r="O79" s="29">
        <f t="shared" ref="O79:O107" si="32">M79+N79</f>
        <v>351257.09502114577</v>
      </c>
      <c r="P79" s="29">
        <f>P78+O79</f>
        <v>-5297089.951057286</v>
      </c>
      <c r="Q79" s="29">
        <f t="shared" ref="Q79:Q107" si="33">O79/(1+0.05)^A79</f>
        <v>318600.53970171954</v>
      </c>
    </row>
    <row r="80" spans="1:17" x14ac:dyDescent="0.25">
      <c r="A80" s="28">
        <v>3</v>
      </c>
      <c r="B80" s="28"/>
      <c r="C80" s="29">
        <v>464215</v>
      </c>
      <c r="D80" s="47">
        <v>55000</v>
      </c>
      <c r="E80" s="56">
        <f>$E$40/$F$40/J80^A80</f>
        <v>48436.498782519542</v>
      </c>
      <c r="F80" s="50">
        <f t="shared" si="24"/>
        <v>13791.452759496726</v>
      </c>
      <c r="G80" s="50">
        <f t="shared" si="25"/>
        <v>16038.703062924518</v>
      </c>
      <c r="H80" s="57">
        <f t="shared" si="27"/>
        <v>23864.124657936994</v>
      </c>
      <c r="I80" s="48">
        <f t="shared" si="28"/>
        <v>102130.77926287777</v>
      </c>
      <c r="J80" s="46">
        <v>1.02</v>
      </c>
      <c r="K80" s="29">
        <f t="shared" si="26"/>
        <v>307084.22073712223</v>
      </c>
      <c r="L80" s="29">
        <f t="shared" si="29"/>
        <v>58346.001940053218</v>
      </c>
      <c r="M80" s="29">
        <f t="shared" si="30"/>
        <v>248738.21879706901</v>
      </c>
      <c r="N80" s="29">
        <f t="shared" si="31"/>
        <v>102130.77926287777</v>
      </c>
      <c r="O80" s="29">
        <f t="shared" si="32"/>
        <v>350868.99805994681</v>
      </c>
      <c r="P80" s="29">
        <f t="shared" ref="P80:P107" si="34">P79+O80</f>
        <v>-4946220.952997339</v>
      </c>
      <c r="Q80" s="29">
        <f t="shared" si="33"/>
        <v>303093.83268324955</v>
      </c>
    </row>
    <row r="81" spans="1:17" x14ac:dyDescent="0.25">
      <c r="A81" s="28">
        <v>4</v>
      </c>
      <c r="B81" s="28"/>
      <c r="C81" s="29">
        <v>464215</v>
      </c>
      <c r="D81" s="47">
        <v>55000</v>
      </c>
      <c r="E81" s="56">
        <f>$E$40/$F$40/J81^A81</f>
        <v>47486.763512274061</v>
      </c>
      <c r="F81" s="50">
        <f t="shared" si="24"/>
        <v>13521.032117153653</v>
      </c>
      <c r="G81" s="50">
        <f t="shared" si="25"/>
        <v>15724.218689141684</v>
      </c>
      <c r="H81" s="57">
        <f t="shared" si="27"/>
        <v>23396.200645036268</v>
      </c>
      <c r="I81" s="48">
        <f t="shared" si="28"/>
        <v>100128.21496360566</v>
      </c>
      <c r="J81" s="46">
        <v>1.02</v>
      </c>
      <c r="K81" s="29">
        <f t="shared" si="26"/>
        <v>309086.78503639437</v>
      </c>
      <c r="L81" s="29">
        <f t="shared" si="29"/>
        <v>58726.489156914904</v>
      </c>
      <c r="M81" s="29">
        <f t="shared" si="30"/>
        <v>250360.29587947947</v>
      </c>
      <c r="N81" s="29">
        <f t="shared" si="31"/>
        <v>100128.21496360566</v>
      </c>
      <c r="O81" s="29">
        <f t="shared" si="32"/>
        <v>350488.51084308513</v>
      </c>
      <c r="P81" s="29">
        <f t="shared" si="34"/>
        <v>-4595732.4421542538</v>
      </c>
      <c r="Q81" s="29">
        <f t="shared" si="33"/>
        <v>288347.76525672752</v>
      </c>
    </row>
    <row r="82" spans="1:17" x14ac:dyDescent="0.25">
      <c r="A82" s="28">
        <v>5</v>
      </c>
      <c r="B82" s="28"/>
      <c r="C82" s="29">
        <v>464215</v>
      </c>
      <c r="D82" s="47">
        <v>55000</v>
      </c>
      <c r="E82" s="56">
        <f>$E$40/$F$40/J82^A82</f>
        <v>46555.650502229473</v>
      </c>
      <c r="F82" s="50">
        <f t="shared" si="24"/>
        <v>13255.913840346717</v>
      </c>
      <c r="G82" s="50">
        <f t="shared" si="25"/>
        <v>15415.900675629102</v>
      </c>
      <c r="H82" s="57">
        <f t="shared" si="27"/>
        <v>22937.451612780653</v>
      </c>
      <c r="I82" s="48">
        <f t="shared" si="28"/>
        <v>98164.916630985943</v>
      </c>
      <c r="J82" s="46">
        <v>1.02</v>
      </c>
      <c r="K82" s="29">
        <f t="shared" si="26"/>
        <v>311050.08336901409</v>
      </c>
      <c r="L82" s="29">
        <f t="shared" si="29"/>
        <v>59099.515840112668</v>
      </c>
      <c r="M82" s="29">
        <f t="shared" si="30"/>
        <v>251950.56752890142</v>
      </c>
      <c r="N82" s="29">
        <f t="shared" si="31"/>
        <v>98164.916630985943</v>
      </c>
      <c r="O82" s="29">
        <f t="shared" si="32"/>
        <v>350115.48415988736</v>
      </c>
      <c r="P82" s="29">
        <f t="shared" si="34"/>
        <v>-4245616.9579943661</v>
      </c>
      <c r="Q82" s="29">
        <f t="shared" si="33"/>
        <v>274324.643125045</v>
      </c>
    </row>
    <row r="83" spans="1:17" x14ac:dyDescent="0.25">
      <c r="A83" s="28">
        <v>6</v>
      </c>
      <c r="B83" s="28"/>
      <c r="C83" s="29">
        <v>464215</v>
      </c>
      <c r="D83" s="47">
        <v>55000</v>
      </c>
      <c r="E83" s="56"/>
      <c r="F83" s="50">
        <f t="shared" si="24"/>
        <v>12995.993961124232</v>
      </c>
      <c r="G83" s="50">
        <f t="shared" si="25"/>
        <v>15113.628113361863</v>
      </c>
      <c r="H83" s="57">
        <f t="shared" si="27"/>
        <v>22487.697659588874</v>
      </c>
      <c r="I83" s="48">
        <f t="shared" si="28"/>
        <v>50597.319734074968</v>
      </c>
      <c r="J83" s="46">
        <v>1.02</v>
      </c>
      <c r="K83" s="29">
        <f t="shared" si="26"/>
        <v>358617.68026592501</v>
      </c>
      <c r="L83" s="29">
        <f t="shared" si="29"/>
        <v>68137.359250525711</v>
      </c>
      <c r="M83" s="29">
        <f>K83*0.81</f>
        <v>290480.3210153993</v>
      </c>
      <c r="N83" s="29">
        <f t="shared" si="31"/>
        <v>50597.319734074968</v>
      </c>
      <c r="O83" s="29">
        <f t="shared" si="32"/>
        <v>341077.64074947429</v>
      </c>
      <c r="P83" s="29">
        <f t="shared" si="34"/>
        <v>-3904539.317244892</v>
      </c>
      <c r="Q83" s="29">
        <f t="shared" si="33"/>
        <v>254517.38697575417</v>
      </c>
    </row>
    <row r="84" spans="1:17" x14ac:dyDescent="0.25">
      <c r="A84" s="28">
        <v>7</v>
      </c>
      <c r="B84" s="28"/>
      <c r="C84" s="29">
        <v>464215</v>
      </c>
      <c r="D84" s="47">
        <v>55000</v>
      </c>
      <c r="E84" s="56"/>
      <c r="F84" s="50">
        <f t="shared" si="24"/>
        <v>12741.170550121798</v>
      </c>
      <c r="G84" s="50">
        <f t="shared" si="25"/>
        <v>14817.282464080261</v>
      </c>
      <c r="H84" s="57">
        <f t="shared" si="27"/>
        <v>22046.762411361648</v>
      </c>
      <c r="I84" s="48">
        <f t="shared" si="28"/>
        <v>49605.215425563707</v>
      </c>
      <c r="J84" s="46">
        <v>1.02</v>
      </c>
      <c r="K84" s="29">
        <f t="shared" si="26"/>
        <v>359609.78457443626</v>
      </c>
      <c r="L84" s="29">
        <f t="shared" si="29"/>
        <v>68325.859069142898</v>
      </c>
      <c r="M84" s="29">
        <f t="shared" ref="M84:M107" si="35">K84*0.81</f>
        <v>291283.92550529336</v>
      </c>
      <c r="N84" s="29">
        <f t="shared" si="31"/>
        <v>49605.215425563707</v>
      </c>
      <c r="O84" s="29">
        <f t="shared" si="32"/>
        <v>340889.14093085704</v>
      </c>
      <c r="P84" s="29">
        <f t="shared" si="34"/>
        <v>-3563650.176314035</v>
      </c>
      <c r="Q84" s="29">
        <f t="shared" si="33"/>
        <v>242263.54810365592</v>
      </c>
    </row>
    <row r="85" spans="1:17" x14ac:dyDescent="0.25">
      <c r="A85" s="28">
        <v>8</v>
      </c>
      <c r="B85" s="28"/>
      <c r="C85" s="29">
        <v>464215</v>
      </c>
      <c r="D85" s="47">
        <v>55000</v>
      </c>
      <c r="E85" s="56"/>
      <c r="F85" s="50">
        <f t="shared" si="24"/>
        <v>12491.343676589997</v>
      </c>
      <c r="G85" s="50">
        <f t="shared" si="25"/>
        <v>14526.747513804177</v>
      </c>
      <c r="H85" s="57">
        <f t="shared" si="27"/>
        <v>21614.472952315336</v>
      </c>
      <c r="I85" s="48">
        <f t="shared" si="28"/>
        <v>48632.564142709511</v>
      </c>
      <c r="J85" s="46">
        <v>1.02</v>
      </c>
      <c r="K85" s="29">
        <f t="shared" si="26"/>
        <v>360582.43585729052</v>
      </c>
      <c r="L85" s="29">
        <f t="shared" si="29"/>
        <v>68510.662812885188</v>
      </c>
      <c r="M85" s="29">
        <f t="shared" si="35"/>
        <v>292071.77304440533</v>
      </c>
      <c r="N85" s="29">
        <f t="shared" si="31"/>
        <v>48632.564142709511</v>
      </c>
      <c r="O85" s="29">
        <f t="shared" si="32"/>
        <v>340704.33718711487</v>
      </c>
      <c r="P85" s="29">
        <f t="shared" si="34"/>
        <v>-3222945.8391269203</v>
      </c>
      <c r="Q85" s="29">
        <f t="shared" si="33"/>
        <v>230602.10622213356</v>
      </c>
    </row>
    <row r="86" spans="1:17" x14ac:dyDescent="0.25">
      <c r="A86" s="28">
        <v>9</v>
      </c>
      <c r="B86" s="28"/>
      <c r="C86" s="29">
        <v>464215</v>
      </c>
      <c r="D86" s="47">
        <v>55000</v>
      </c>
      <c r="E86" s="56"/>
      <c r="F86" s="50">
        <f t="shared" si="24"/>
        <v>12246.415369205881</v>
      </c>
      <c r="G86" s="50">
        <f t="shared" si="25"/>
        <v>14241.909327258996</v>
      </c>
      <c r="H86" s="57">
        <f t="shared" si="27"/>
        <v>21190.659757171899</v>
      </c>
      <c r="I86" s="48">
        <f t="shared" si="28"/>
        <v>47678.984453636775</v>
      </c>
      <c r="J86" s="46">
        <v>1.02</v>
      </c>
      <c r="K86" s="29">
        <f t="shared" si="26"/>
        <v>361536.0155463632</v>
      </c>
      <c r="L86" s="29">
        <f t="shared" si="29"/>
        <v>68691.842953809013</v>
      </c>
      <c r="M86" s="29">
        <f t="shared" si="35"/>
        <v>292844.17259255418</v>
      </c>
      <c r="N86" s="29">
        <f t="shared" si="31"/>
        <v>47678.984453636775</v>
      </c>
      <c r="O86" s="29">
        <f t="shared" si="32"/>
        <v>340523.15704619093</v>
      </c>
      <c r="P86" s="29">
        <f t="shared" si="34"/>
        <v>-2882422.6820807294</v>
      </c>
      <c r="Q86" s="29">
        <f t="shared" si="33"/>
        <v>219504.26321060793</v>
      </c>
    </row>
    <row r="87" spans="1:17" x14ac:dyDescent="0.25">
      <c r="A87" s="28">
        <v>10</v>
      </c>
      <c r="B87" s="28"/>
      <c r="C87" s="29">
        <v>464215</v>
      </c>
      <c r="D87" s="47">
        <v>55000</v>
      </c>
      <c r="E87" s="56"/>
      <c r="F87" s="50">
        <f t="shared" si="24"/>
        <v>12006.289577652824</v>
      </c>
      <c r="G87" s="50">
        <f t="shared" si="25"/>
        <v>13962.656203195094</v>
      </c>
      <c r="H87" s="57">
        <f t="shared" si="27"/>
        <v>20775.156624678333</v>
      </c>
      <c r="I87" s="48">
        <f t="shared" si="28"/>
        <v>46744.102405526253</v>
      </c>
      <c r="J87" s="46">
        <v>1.02</v>
      </c>
      <c r="K87" s="29">
        <f t="shared" si="26"/>
        <v>362470.89759447373</v>
      </c>
      <c r="L87" s="29">
        <f t="shared" si="29"/>
        <v>68869.470542949974</v>
      </c>
      <c r="M87" s="29">
        <f t="shared" si="35"/>
        <v>293601.42705152376</v>
      </c>
      <c r="N87" s="29">
        <f t="shared" si="31"/>
        <v>46744.102405526253</v>
      </c>
      <c r="O87" s="29">
        <f t="shared" si="32"/>
        <v>340345.52945705003</v>
      </c>
      <c r="P87" s="29">
        <f t="shared" si="34"/>
        <v>-2542077.1526236795</v>
      </c>
      <c r="Q87" s="29">
        <f t="shared" si="33"/>
        <v>208942.63131702991</v>
      </c>
    </row>
    <row r="88" spans="1:17" x14ac:dyDescent="0.25">
      <c r="A88" s="28">
        <v>11</v>
      </c>
      <c r="B88" s="28"/>
      <c r="C88" s="29">
        <v>464215</v>
      </c>
      <c r="D88" s="47">
        <v>55000</v>
      </c>
      <c r="E88" s="56"/>
      <c r="F88" s="50"/>
      <c r="G88" s="50">
        <f t="shared" si="25"/>
        <v>13688.878630583429</v>
      </c>
      <c r="H88" s="57">
        <f t="shared" si="27"/>
        <v>20367.800612429743</v>
      </c>
      <c r="I88" s="48">
        <f t="shared" si="28"/>
        <v>34056.679243013175</v>
      </c>
      <c r="J88" s="46">
        <v>1.02</v>
      </c>
      <c r="K88" s="29">
        <f t="shared" si="26"/>
        <v>375158.32075698685</v>
      </c>
      <c r="L88" s="29">
        <f t="shared" si="29"/>
        <v>71280.080943827459</v>
      </c>
      <c r="M88" s="29">
        <f t="shared" si="35"/>
        <v>303878.23981315939</v>
      </c>
      <c r="N88" s="29">
        <f t="shared" si="31"/>
        <v>34056.679243013175</v>
      </c>
      <c r="O88" s="29">
        <f t="shared" si="32"/>
        <v>337934.9190561726</v>
      </c>
      <c r="P88" s="29">
        <f t="shared" si="34"/>
        <v>-2204142.233567507</v>
      </c>
      <c r="Q88" s="29">
        <f t="shared" si="33"/>
        <v>197583.54823124578</v>
      </c>
    </row>
    <row r="89" spans="1:17" x14ac:dyDescent="0.25">
      <c r="A89" s="28">
        <v>12</v>
      </c>
      <c r="B89" s="28"/>
      <c r="C89" s="29">
        <v>464215</v>
      </c>
      <c r="D89" s="47">
        <v>55000</v>
      </c>
      <c r="E89" s="56"/>
      <c r="F89" s="50"/>
      <c r="G89" s="50">
        <f t="shared" si="25"/>
        <v>13420.469245670025</v>
      </c>
      <c r="H89" s="57">
        <f t="shared" si="27"/>
        <v>19968.431972970331</v>
      </c>
      <c r="I89" s="48">
        <f t="shared" si="28"/>
        <v>33388.901218640356</v>
      </c>
      <c r="J89" s="46">
        <v>1.02</v>
      </c>
      <c r="K89" s="29">
        <f t="shared" si="26"/>
        <v>375826.09878135961</v>
      </c>
      <c r="L89" s="29">
        <f t="shared" si="29"/>
        <v>71406.95876845828</v>
      </c>
      <c r="M89" s="29">
        <f t="shared" si="35"/>
        <v>304419.14001290133</v>
      </c>
      <c r="N89" s="29">
        <f t="shared" si="31"/>
        <v>33388.901218640356</v>
      </c>
      <c r="O89" s="29">
        <f t="shared" si="32"/>
        <v>337808.04123154166</v>
      </c>
      <c r="P89" s="29">
        <f t="shared" si="34"/>
        <v>-1866334.1923359653</v>
      </c>
      <c r="Q89" s="29">
        <f t="shared" si="33"/>
        <v>188104.15751899022</v>
      </c>
    </row>
    <row r="90" spans="1:17" x14ac:dyDescent="0.25">
      <c r="A90" s="28">
        <v>13</v>
      </c>
      <c r="B90" s="28"/>
      <c r="C90" s="29">
        <v>464215</v>
      </c>
      <c r="D90" s="47">
        <v>55000</v>
      </c>
      <c r="E90" s="56"/>
      <c r="F90" s="50"/>
      <c r="G90" s="50">
        <f t="shared" si="25"/>
        <v>13157.322789872575</v>
      </c>
      <c r="H90" s="57">
        <f t="shared" si="27"/>
        <v>19576.894091147384</v>
      </c>
      <c r="I90" s="48">
        <f t="shared" si="28"/>
        <v>32734.216881019958</v>
      </c>
      <c r="J90" s="46">
        <v>1.02</v>
      </c>
      <c r="K90" s="29">
        <f t="shared" si="26"/>
        <v>376480.78311898001</v>
      </c>
      <c r="L90" s="29">
        <f t="shared" si="29"/>
        <v>71531.348792606208</v>
      </c>
      <c r="M90" s="29">
        <f t="shared" si="35"/>
        <v>304949.4343263738</v>
      </c>
      <c r="N90" s="29">
        <f t="shared" si="31"/>
        <v>32734.216881019958</v>
      </c>
      <c r="O90" s="29">
        <f t="shared" si="32"/>
        <v>337683.65120739373</v>
      </c>
      <c r="P90" s="29">
        <f t="shared" si="34"/>
        <v>-1528650.5411285716</v>
      </c>
      <c r="Q90" s="29">
        <f t="shared" si="33"/>
        <v>179080.84999913964</v>
      </c>
    </row>
    <row r="91" spans="1:17" x14ac:dyDescent="0.25">
      <c r="A91" s="28">
        <v>14</v>
      </c>
      <c r="B91" s="28"/>
      <c r="C91" s="29">
        <v>464215</v>
      </c>
      <c r="D91" s="47">
        <v>55000</v>
      </c>
      <c r="E91" s="56"/>
      <c r="F91" s="50"/>
      <c r="G91" s="50">
        <f t="shared" si="25"/>
        <v>12899.336068502524</v>
      </c>
      <c r="H91" s="57">
        <f t="shared" si="27"/>
        <v>19193.033422693512</v>
      </c>
      <c r="I91" s="48">
        <f t="shared" si="28"/>
        <v>32092.369491196034</v>
      </c>
      <c r="J91" s="46">
        <v>1.02</v>
      </c>
      <c r="K91" s="29">
        <f t="shared" si="26"/>
        <v>377122.630508804</v>
      </c>
      <c r="L91" s="29">
        <f t="shared" si="29"/>
        <v>71653.299796672713</v>
      </c>
      <c r="M91" s="29">
        <f t="shared" si="35"/>
        <v>305469.33071213128</v>
      </c>
      <c r="N91" s="29">
        <f t="shared" si="31"/>
        <v>32092.369491196034</v>
      </c>
      <c r="O91" s="29">
        <f t="shared" si="32"/>
        <v>337561.70020332735</v>
      </c>
      <c r="P91" s="29">
        <f t="shared" si="34"/>
        <v>-1191088.8409252441</v>
      </c>
      <c r="Q91" s="29">
        <f t="shared" si="33"/>
        <v>170491.59693138156</v>
      </c>
    </row>
    <row r="92" spans="1:17" x14ac:dyDescent="0.25">
      <c r="A92" s="28">
        <v>15</v>
      </c>
      <c r="B92" s="28"/>
      <c r="C92" s="29">
        <v>464215</v>
      </c>
      <c r="D92" s="47">
        <v>55000</v>
      </c>
      <c r="E92" s="56"/>
      <c r="F92" s="50"/>
      <c r="G92" s="50">
        <f t="shared" si="25"/>
        <v>12646.407910296595</v>
      </c>
      <c r="H92" s="57">
        <f t="shared" si="27"/>
        <v>18816.699434013251</v>
      </c>
      <c r="I92" s="48">
        <f t="shared" si="28"/>
        <v>31463.107344309847</v>
      </c>
      <c r="J92" s="46">
        <v>1.02</v>
      </c>
      <c r="K92" s="29">
        <f t="shared" si="26"/>
        <v>377751.89265569014</v>
      </c>
      <c r="L92" s="29">
        <f t="shared" si="29"/>
        <v>71772.859604581085</v>
      </c>
      <c r="M92" s="29">
        <f t="shared" si="35"/>
        <v>305979.03305110906</v>
      </c>
      <c r="N92" s="29">
        <f t="shared" si="31"/>
        <v>31463.107344309847</v>
      </c>
      <c r="O92" s="29">
        <f t="shared" si="32"/>
        <v>337442.14039541892</v>
      </c>
      <c r="P92" s="29">
        <f t="shared" si="34"/>
        <v>-853646.70052982518</v>
      </c>
      <c r="Q92" s="29">
        <f t="shared" si="33"/>
        <v>162315.43914661015</v>
      </c>
    </row>
    <row r="93" spans="1:17" x14ac:dyDescent="0.25">
      <c r="A93" s="28">
        <v>16</v>
      </c>
      <c r="B93" s="28"/>
      <c r="C93" s="29">
        <v>464215</v>
      </c>
      <c r="D93" s="47">
        <v>55000</v>
      </c>
      <c r="E93" s="56"/>
      <c r="F93" s="50"/>
      <c r="G93" s="50">
        <f t="shared" si="25"/>
        <v>12398.439127741758</v>
      </c>
      <c r="H93" s="57">
        <f t="shared" si="27"/>
        <v>18447.744543150246</v>
      </c>
      <c r="I93" s="48">
        <f t="shared" si="28"/>
        <v>30846.183670892002</v>
      </c>
      <c r="J93" s="46">
        <v>1.02</v>
      </c>
      <c r="K93" s="29">
        <f t="shared" si="26"/>
        <v>378368.81632910797</v>
      </c>
      <c r="L93" s="29">
        <f t="shared" si="29"/>
        <v>71890.075102530478</v>
      </c>
      <c r="M93" s="29">
        <f t="shared" si="35"/>
        <v>306478.74122657749</v>
      </c>
      <c r="N93" s="29">
        <f t="shared" si="31"/>
        <v>30846.183670892002</v>
      </c>
      <c r="O93" s="29">
        <f t="shared" si="32"/>
        <v>337324.92489746946</v>
      </c>
      <c r="P93" s="29">
        <f t="shared" si="34"/>
        <v>-516321.77563235571</v>
      </c>
      <c r="Q93" s="29">
        <f t="shared" si="33"/>
        <v>154532.43475041451</v>
      </c>
    </row>
    <row r="94" spans="1:17" x14ac:dyDescent="0.25">
      <c r="A94" s="28">
        <v>17</v>
      </c>
      <c r="B94" s="28"/>
      <c r="C94" s="29">
        <v>464215</v>
      </c>
      <c r="D94" s="47">
        <v>55000</v>
      </c>
      <c r="E94" s="56"/>
      <c r="F94" s="50"/>
      <c r="G94" s="50">
        <f t="shared" si="25"/>
        <v>12155.332478178192</v>
      </c>
      <c r="H94" s="57">
        <f t="shared" si="27"/>
        <v>18086.024061912001</v>
      </c>
      <c r="I94" s="48">
        <f t="shared" si="28"/>
        <v>30241.356540090193</v>
      </c>
      <c r="J94" s="46">
        <v>1.02</v>
      </c>
      <c r="K94" s="29">
        <f t="shared" si="26"/>
        <v>378973.64345990983</v>
      </c>
      <c r="L94" s="29">
        <f t="shared" si="29"/>
        <v>72004.992257382837</v>
      </c>
      <c r="M94" s="29">
        <f t="shared" si="35"/>
        <v>306968.65120252699</v>
      </c>
      <c r="N94" s="29">
        <f t="shared" si="31"/>
        <v>30241.356540090193</v>
      </c>
      <c r="O94" s="29">
        <f t="shared" si="32"/>
        <v>337210.00774261716</v>
      </c>
      <c r="P94" s="29">
        <f t="shared" si="34"/>
        <v>-179111.76788973855</v>
      </c>
      <c r="Q94" s="29">
        <f t="shared" si="33"/>
        <v>147123.6094073354</v>
      </c>
    </row>
    <row r="95" spans="1:17" x14ac:dyDescent="0.25">
      <c r="A95" s="28">
        <v>18</v>
      </c>
      <c r="B95" s="28"/>
      <c r="C95" s="29">
        <v>464215</v>
      </c>
      <c r="D95" s="47">
        <v>55000</v>
      </c>
      <c r="E95" s="56"/>
      <c r="F95" s="50"/>
      <c r="G95" s="50">
        <f t="shared" si="25"/>
        <v>11916.992625664896</v>
      </c>
      <c r="H95" s="57">
        <f t="shared" si="27"/>
        <v>17731.396139129418</v>
      </c>
      <c r="I95" s="48">
        <f t="shared" si="28"/>
        <v>29648.388764794312</v>
      </c>
      <c r="J95" s="46">
        <v>1.02</v>
      </c>
      <c r="K95" s="29">
        <f t="shared" si="26"/>
        <v>379566.61123520567</v>
      </c>
      <c r="L95" s="29">
        <f t="shared" si="29"/>
        <v>72117.656134689052</v>
      </c>
      <c r="M95" s="29">
        <f t="shared" si="35"/>
        <v>307448.95510051661</v>
      </c>
      <c r="N95" s="29">
        <f t="shared" si="31"/>
        <v>29648.388764794312</v>
      </c>
      <c r="O95" s="29">
        <f t="shared" si="32"/>
        <v>337097.34386531095</v>
      </c>
      <c r="P95" s="29">
        <f t="shared" si="34"/>
        <v>157985.5759755724</v>
      </c>
      <c r="Q95" s="29">
        <f t="shared" si="33"/>
        <v>140070.90907700316</v>
      </c>
    </row>
    <row r="96" spans="1:17" x14ac:dyDescent="0.25">
      <c r="A96" s="28">
        <v>19</v>
      </c>
      <c r="B96" s="28"/>
      <c r="C96" s="29">
        <v>464215</v>
      </c>
      <c r="D96" s="47">
        <v>55000</v>
      </c>
      <c r="E96" s="56"/>
      <c r="F96" s="50"/>
      <c r="G96" s="50">
        <f t="shared" si="25"/>
        <v>11683.326103593035</v>
      </c>
      <c r="H96" s="57">
        <f t="shared" si="27"/>
        <v>17383.721705028842</v>
      </c>
      <c r="I96" s="48">
        <f t="shared" si="28"/>
        <v>29067.047808621879</v>
      </c>
      <c r="J96" s="46">
        <v>1.02</v>
      </c>
      <c r="K96" s="29">
        <f t="shared" si="26"/>
        <v>380147.95219137811</v>
      </c>
      <c r="L96" s="29">
        <f t="shared" si="29"/>
        <v>72228.110916361795</v>
      </c>
      <c r="M96" s="29">
        <f t="shared" si="35"/>
        <v>307919.84127501631</v>
      </c>
      <c r="N96" s="29">
        <f t="shared" si="31"/>
        <v>29067.047808621879</v>
      </c>
      <c r="O96" s="29">
        <f t="shared" si="32"/>
        <v>336986.88908363821</v>
      </c>
      <c r="P96" s="29">
        <f t="shared" si="34"/>
        <v>494972.4650592106</v>
      </c>
      <c r="Q96" s="29">
        <f t="shared" si="33"/>
        <v>133357.1550797993</v>
      </c>
    </row>
    <row r="97" spans="1:19" x14ac:dyDescent="0.25">
      <c r="A97" s="28">
        <v>20</v>
      </c>
      <c r="B97" s="28"/>
      <c r="C97" s="29">
        <v>464215</v>
      </c>
      <c r="D97" s="47">
        <v>55000</v>
      </c>
      <c r="E97" s="56"/>
      <c r="F97" s="50"/>
      <c r="G97" s="50">
        <f t="shared" si="25"/>
        <v>11454.241278032387</v>
      </c>
      <c r="H97" s="57">
        <f t="shared" si="27"/>
        <v>17042.864416694942</v>
      </c>
      <c r="I97" s="48">
        <f t="shared" si="28"/>
        <v>28497.105694727328</v>
      </c>
      <c r="J97" s="46">
        <v>1.02</v>
      </c>
      <c r="K97" s="29">
        <f t="shared" si="26"/>
        <v>380717.89430527267</v>
      </c>
      <c r="L97" s="29">
        <f t="shared" si="29"/>
        <v>72336.399918001785</v>
      </c>
      <c r="M97" s="29">
        <f t="shared" si="35"/>
        <v>308381.49438727088</v>
      </c>
      <c r="N97" s="29">
        <f t="shared" si="31"/>
        <v>28497.105694727328</v>
      </c>
      <c r="O97" s="29">
        <f t="shared" si="32"/>
        <v>336878.60008199821</v>
      </c>
      <c r="P97" s="29">
        <f t="shared" si="34"/>
        <v>831851.06514120882</v>
      </c>
      <c r="Q97" s="29">
        <f t="shared" si="33"/>
        <v>126966.00137588469</v>
      </c>
    </row>
    <row r="98" spans="1:19" x14ac:dyDescent="0.25">
      <c r="A98" s="28">
        <v>21</v>
      </c>
      <c r="B98" s="28"/>
      <c r="C98" s="29">
        <v>464215</v>
      </c>
      <c r="D98" s="47">
        <v>55000</v>
      </c>
      <c r="E98" s="56"/>
      <c r="F98" s="50"/>
      <c r="G98" s="50">
        <f t="shared" si="25"/>
        <v>11229.648311796458</v>
      </c>
      <c r="H98" s="57">
        <f t="shared" si="27"/>
        <v>16708.690604602885</v>
      </c>
      <c r="I98" s="48">
        <f t="shared" si="28"/>
        <v>27938.338916399342</v>
      </c>
      <c r="J98" s="46">
        <v>1.02</v>
      </c>
      <c r="K98" s="29">
        <f t="shared" si="26"/>
        <v>381276.66108360066</v>
      </c>
      <c r="L98" s="29">
        <f t="shared" si="29"/>
        <v>72442.565605884127</v>
      </c>
      <c r="M98" s="29">
        <f t="shared" si="35"/>
        <v>308834.09547771653</v>
      </c>
      <c r="N98" s="29">
        <f t="shared" si="31"/>
        <v>27938.338916399342</v>
      </c>
      <c r="O98" s="29">
        <f t="shared" si="32"/>
        <v>336772.43439411587</v>
      </c>
      <c r="P98" s="29">
        <f t="shared" si="34"/>
        <v>1168623.4995353248</v>
      </c>
      <c r="Q98" s="29">
        <f t="shared" si="33"/>
        <v>120881.89394731415</v>
      </c>
    </row>
    <row r="99" spans="1:19" x14ac:dyDescent="0.25">
      <c r="A99" s="28">
        <v>22</v>
      </c>
      <c r="B99" s="28"/>
      <c r="C99" s="29">
        <v>464215</v>
      </c>
      <c r="D99" s="47">
        <v>55000</v>
      </c>
      <c r="E99" s="56"/>
      <c r="F99" s="50"/>
      <c r="G99" s="50">
        <f t="shared" si="25"/>
        <v>11009.459129212213</v>
      </c>
      <c r="H99" s="57">
        <f t="shared" si="27"/>
        <v>16381.069220198904</v>
      </c>
      <c r="I99" s="48">
        <f t="shared" si="28"/>
        <v>27390.528349411117</v>
      </c>
      <c r="J99" s="46">
        <v>1.02</v>
      </c>
      <c r="K99" s="29">
        <f t="shared" si="26"/>
        <v>381824.47165058891</v>
      </c>
      <c r="L99" s="29">
        <f t="shared" si="29"/>
        <v>72546.649613611866</v>
      </c>
      <c r="M99" s="29">
        <f t="shared" si="35"/>
        <v>309277.82203697704</v>
      </c>
      <c r="N99" s="29">
        <f t="shared" si="31"/>
        <v>27390.528349411117</v>
      </c>
      <c r="O99" s="29">
        <f t="shared" si="32"/>
        <v>336668.35038638813</v>
      </c>
      <c r="P99" s="29">
        <f t="shared" si="34"/>
        <v>1505291.8499217129</v>
      </c>
      <c r="Q99" s="29">
        <f t="shared" si="33"/>
        <v>115090.03217853243</v>
      </c>
    </row>
    <row r="100" spans="1:19" x14ac:dyDescent="0.25">
      <c r="A100" s="28">
        <v>23</v>
      </c>
      <c r="B100" s="28"/>
      <c r="C100" s="29">
        <v>464215</v>
      </c>
      <c r="D100" s="47">
        <v>55000</v>
      </c>
      <c r="E100" s="56"/>
      <c r="F100" s="50"/>
      <c r="G100" s="50">
        <f t="shared" si="25"/>
        <v>10793.587381580604</v>
      </c>
      <c r="H100" s="57">
        <f t="shared" si="27"/>
        <v>16059.871784508732</v>
      </c>
      <c r="I100" s="48">
        <f t="shared" si="28"/>
        <v>26853.459166089335</v>
      </c>
      <c r="J100" s="46">
        <v>1.02</v>
      </c>
      <c r="K100" s="29">
        <f t="shared" si="26"/>
        <v>382361.54083391069</v>
      </c>
      <c r="L100" s="29">
        <f t="shared" si="29"/>
        <v>72648.692758443009</v>
      </c>
      <c r="M100" s="29">
        <f t="shared" si="35"/>
        <v>309712.84807546769</v>
      </c>
      <c r="N100" s="29">
        <f t="shared" si="31"/>
        <v>26853.459166089335</v>
      </c>
      <c r="O100" s="29">
        <f t="shared" si="32"/>
        <v>336566.30724155705</v>
      </c>
      <c r="P100" s="29">
        <f t="shared" si="34"/>
        <v>1841858.1571632698</v>
      </c>
      <c r="Q100" s="29">
        <f t="shared" si="33"/>
        <v>109576.33213583489</v>
      </c>
    </row>
    <row r="101" spans="1:19" x14ac:dyDescent="0.25">
      <c r="A101" s="28">
        <v>24</v>
      </c>
      <c r="B101" s="28"/>
      <c r="C101" s="29">
        <v>464215</v>
      </c>
      <c r="D101" s="47">
        <v>55000</v>
      </c>
      <c r="E101" s="56"/>
      <c r="F101" s="50"/>
      <c r="G101" s="50">
        <f t="shared" si="25"/>
        <v>10581.948413314316</v>
      </c>
      <c r="H101" s="57">
        <f t="shared" si="27"/>
        <v>15744.972337753659</v>
      </c>
      <c r="I101" s="48">
        <f t="shared" si="28"/>
        <v>26326.920751067977</v>
      </c>
      <c r="J101" s="46">
        <v>1.02</v>
      </c>
      <c r="K101" s="29">
        <f t="shared" si="26"/>
        <v>382888.07924893202</v>
      </c>
      <c r="L101" s="29">
        <f t="shared" si="29"/>
        <v>72748.735057297046</v>
      </c>
      <c r="M101" s="29">
        <f t="shared" si="35"/>
        <v>310139.34419163497</v>
      </c>
      <c r="N101" s="29">
        <f t="shared" si="31"/>
        <v>26326.920751067977</v>
      </c>
      <c r="O101" s="29">
        <f t="shared" si="32"/>
        <v>336466.26494270295</v>
      </c>
      <c r="P101" s="29">
        <f t="shared" si="34"/>
        <v>2178324.4221059727</v>
      </c>
      <c r="Q101" s="29">
        <f t="shared" si="33"/>
        <v>104327.39165139243</v>
      </c>
    </row>
    <row r="102" spans="1:19" x14ac:dyDescent="0.25">
      <c r="A102" s="28">
        <v>25</v>
      </c>
      <c r="B102" s="28"/>
      <c r="C102" s="29">
        <v>464215</v>
      </c>
      <c r="D102" s="47">
        <v>55000</v>
      </c>
      <c r="E102" s="56"/>
      <c r="F102" s="50"/>
      <c r="G102" s="50">
        <f t="shared" si="25"/>
        <v>10374.459228739526</v>
      </c>
      <c r="H102" s="57">
        <f t="shared" si="27"/>
        <v>15436.247389954568</v>
      </c>
      <c r="I102" s="48">
        <f t="shared" si="28"/>
        <v>25810.706618694094</v>
      </c>
      <c r="J102" s="46">
        <v>1.02</v>
      </c>
      <c r="K102" s="29">
        <f t="shared" si="26"/>
        <v>383404.29338130588</v>
      </c>
      <c r="L102" s="29">
        <f t="shared" si="29"/>
        <v>72846.815742448089</v>
      </c>
      <c r="M102" s="29">
        <f t="shared" si="35"/>
        <v>310557.47763885779</v>
      </c>
      <c r="N102" s="29">
        <f t="shared" si="31"/>
        <v>25810.706618694094</v>
      </c>
      <c r="O102" s="29">
        <f t="shared" si="32"/>
        <v>336368.18425755191</v>
      </c>
      <c r="P102" s="29">
        <f t="shared" si="34"/>
        <v>2514692.6063635247</v>
      </c>
      <c r="Q102" s="29">
        <f t="shared" si="33"/>
        <v>99330.457122198626</v>
      </c>
    </row>
    <row r="103" spans="1:19" x14ac:dyDescent="0.25">
      <c r="A103" s="28">
        <v>26</v>
      </c>
      <c r="B103" s="28"/>
      <c r="C103" s="29">
        <v>464215</v>
      </c>
      <c r="D103" s="47">
        <v>55000</v>
      </c>
      <c r="E103" s="56"/>
      <c r="F103" s="50"/>
      <c r="G103" s="50">
        <f t="shared" si="25"/>
        <v>10171.038459548554</v>
      </c>
      <c r="H103" s="57">
        <f t="shared" si="27"/>
        <v>15133.575872504476</v>
      </c>
      <c r="I103" s="48">
        <f t="shared" si="28"/>
        <v>25304.614332053032</v>
      </c>
      <c r="J103" s="46">
        <v>1.02</v>
      </c>
      <c r="K103" s="29">
        <f t="shared" si="26"/>
        <v>383910.385667947</v>
      </c>
      <c r="L103" s="29">
        <f t="shared" si="29"/>
        <v>72942.973276909906</v>
      </c>
      <c r="M103" s="29">
        <f t="shared" si="35"/>
        <v>310967.4123910371</v>
      </c>
      <c r="N103" s="29">
        <f t="shared" si="31"/>
        <v>25304.614332053032</v>
      </c>
      <c r="O103" s="29">
        <f t="shared" si="32"/>
        <v>336272.02672309015</v>
      </c>
      <c r="P103" s="29">
        <f t="shared" si="34"/>
        <v>2850964.6330866148</v>
      </c>
      <c r="Q103" s="29">
        <f t="shared" si="33"/>
        <v>94573.391938811852</v>
      </c>
    </row>
    <row r="104" spans="1:19" x14ac:dyDescent="0.25">
      <c r="A104" s="28">
        <v>27</v>
      </c>
      <c r="B104" s="28"/>
      <c r="C104" s="29">
        <v>464215</v>
      </c>
      <c r="D104" s="47">
        <v>55000</v>
      </c>
      <c r="E104" s="56"/>
      <c r="F104" s="50"/>
      <c r="G104" s="50">
        <f t="shared" si="25"/>
        <v>9971.6063328907403</v>
      </c>
      <c r="H104" s="57">
        <f t="shared" si="27"/>
        <v>14836.839090690666</v>
      </c>
      <c r="I104" s="48">
        <f t="shared" si="28"/>
        <v>24808.445423581405</v>
      </c>
      <c r="J104" s="46">
        <v>1.02</v>
      </c>
      <c r="K104" s="29">
        <f t="shared" si="26"/>
        <v>384406.5545764186</v>
      </c>
      <c r="L104" s="29">
        <f t="shared" si="29"/>
        <v>73037.245369519514</v>
      </c>
      <c r="M104" s="29">
        <f t="shared" si="35"/>
        <v>311369.30920689908</v>
      </c>
      <c r="N104" s="29">
        <f t="shared" si="31"/>
        <v>24808.445423581405</v>
      </c>
      <c r="O104" s="29">
        <f t="shared" si="32"/>
        <v>336177.75463048049</v>
      </c>
      <c r="P104" s="29">
        <f t="shared" si="34"/>
        <v>3187142.3877170952</v>
      </c>
      <c r="Q104" s="29">
        <f t="shared" si="33"/>
        <v>90044.646463048572</v>
      </c>
    </row>
    <row r="105" spans="1:19" x14ac:dyDescent="0.25">
      <c r="A105" s="28">
        <v>28</v>
      </c>
      <c r="B105" s="28"/>
      <c r="C105" s="29">
        <v>464215</v>
      </c>
      <c r="D105" s="47">
        <v>55000</v>
      </c>
      <c r="E105" s="56"/>
      <c r="F105" s="50"/>
      <c r="G105" s="50">
        <f t="shared" si="25"/>
        <v>9776.0846400889604</v>
      </c>
      <c r="H105" s="57">
        <f t="shared" si="27"/>
        <v>14545.920677147709</v>
      </c>
      <c r="I105" s="48">
        <f t="shared" si="28"/>
        <v>24322.005317236668</v>
      </c>
      <c r="J105" s="46">
        <v>1.02</v>
      </c>
      <c r="K105" s="29">
        <f t="shared" si="26"/>
        <v>384892.99468276335</v>
      </c>
      <c r="L105" s="29">
        <f t="shared" si="29"/>
        <v>73129.668989725003</v>
      </c>
      <c r="M105" s="29">
        <f t="shared" si="35"/>
        <v>311763.32569303835</v>
      </c>
      <c r="N105" s="29">
        <f t="shared" si="31"/>
        <v>24322.005317236668</v>
      </c>
      <c r="O105" s="29">
        <f t="shared" si="32"/>
        <v>336085.331010275</v>
      </c>
      <c r="P105" s="29">
        <f t="shared" si="34"/>
        <v>3523227.7187273703</v>
      </c>
      <c r="Q105" s="29">
        <f t="shared" si="33"/>
        <v>85733.229477848217</v>
      </c>
    </row>
    <row r="106" spans="1:19" x14ac:dyDescent="0.25">
      <c r="A106" s="28">
        <v>29</v>
      </c>
      <c r="B106" s="28"/>
      <c r="C106" s="29">
        <v>464215</v>
      </c>
      <c r="D106" s="47">
        <v>55000</v>
      </c>
      <c r="E106" s="56"/>
      <c r="F106" s="50"/>
      <c r="G106" s="50">
        <f t="shared" si="25"/>
        <v>9584.3967059695697</v>
      </c>
      <c r="H106" s="57">
        <f t="shared" si="27"/>
        <v>14260.706546223246</v>
      </c>
      <c r="I106" s="48">
        <f t="shared" si="28"/>
        <v>23845.103252192814</v>
      </c>
      <c r="J106" s="46">
        <v>1.02</v>
      </c>
      <c r="K106" s="29">
        <f t="shared" si="26"/>
        <v>385369.89674780716</v>
      </c>
      <c r="L106" s="29">
        <f t="shared" si="29"/>
        <v>73220.280382083321</v>
      </c>
      <c r="M106" s="29">
        <f t="shared" si="35"/>
        <v>312149.61636572384</v>
      </c>
      <c r="N106" s="29">
        <f t="shared" si="31"/>
        <v>23845.103252192814</v>
      </c>
      <c r="O106" s="29">
        <f t="shared" si="32"/>
        <v>335994.71961791662</v>
      </c>
      <c r="P106" s="29">
        <f t="shared" si="34"/>
        <v>3859222.438345287</v>
      </c>
      <c r="Q106" s="29">
        <f t="shared" si="33"/>
        <v>81628.68103638562</v>
      </c>
    </row>
    <row r="107" spans="1:19" ht="15.75" thickBot="1" x14ac:dyDescent="0.3">
      <c r="A107" s="28">
        <v>30</v>
      </c>
      <c r="B107" s="28"/>
      <c r="C107" s="29">
        <v>464215</v>
      </c>
      <c r="D107" s="47">
        <v>55000</v>
      </c>
      <c r="E107" s="58"/>
      <c r="F107" s="59"/>
      <c r="G107" s="59">
        <f t="shared" si="25"/>
        <v>9396.4673587936959</v>
      </c>
      <c r="H107" s="60">
        <f t="shared" si="27"/>
        <v>13981.084849238476</v>
      </c>
      <c r="I107" s="48">
        <f t="shared" si="28"/>
        <v>23377.552208032172</v>
      </c>
      <c r="J107" s="46">
        <v>1.02</v>
      </c>
      <c r="K107" s="29">
        <f t="shared" si="26"/>
        <v>385837.44779196783</v>
      </c>
      <c r="L107" s="29">
        <f t="shared" si="29"/>
        <v>73309.115080473886</v>
      </c>
      <c r="M107" s="29">
        <f t="shared" si="35"/>
        <v>312528.33271149395</v>
      </c>
      <c r="N107" s="29">
        <f t="shared" si="31"/>
        <v>23377.552208032172</v>
      </c>
      <c r="O107" s="30">
        <f t="shared" si="32"/>
        <v>335905.88491952611</v>
      </c>
      <c r="P107" s="30">
        <f t="shared" si="34"/>
        <v>4195128.3232648131</v>
      </c>
      <c r="Q107" s="29">
        <f t="shared" si="33"/>
        <v>77721.046641168243</v>
      </c>
    </row>
    <row r="108" spans="1:19" ht="15.75" thickBot="1" x14ac:dyDescent="0.3">
      <c r="A108" s="24"/>
      <c r="B108" s="24"/>
      <c r="C108" s="24"/>
      <c r="D108" s="24"/>
      <c r="E108" s="24"/>
      <c r="F108" s="25"/>
      <c r="G108" s="24"/>
      <c r="H108" s="24"/>
      <c r="I108" s="24"/>
      <c r="J108" s="24"/>
      <c r="K108" s="24"/>
      <c r="L108" s="24"/>
      <c r="M108" s="24"/>
      <c r="N108" s="92" t="s">
        <v>72</v>
      </c>
      <c r="O108" s="93"/>
      <c r="P108" s="94"/>
      <c r="Q108" s="29">
        <f>SUM(Q78:Q107)</f>
        <v>5253637.0958696604</v>
      </c>
    </row>
    <row r="109" spans="1:19" ht="15.75" thickBot="1" x14ac:dyDescent="0.3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95" t="s">
        <v>73</v>
      </c>
      <c r="O109" s="96"/>
      <c r="P109" s="96"/>
      <c r="Q109" s="31">
        <f>Q108-B77</f>
        <v>-746362.90413033962</v>
      </c>
    </row>
    <row r="110" spans="1:19" ht="27" thickBot="1" x14ac:dyDescent="0.3">
      <c r="A110" s="22" t="s">
        <v>68</v>
      </c>
      <c r="B110" s="23" t="s">
        <v>59</v>
      </c>
      <c r="C110" s="23" t="s">
        <v>71</v>
      </c>
      <c r="D110" s="45" t="s">
        <v>70</v>
      </c>
      <c r="E110" s="51" t="s">
        <v>91</v>
      </c>
      <c r="F110" s="52" t="s">
        <v>92</v>
      </c>
      <c r="G110" s="52" t="s">
        <v>93</v>
      </c>
      <c r="H110" s="53" t="s">
        <v>94</v>
      </c>
      <c r="I110" s="23" t="s">
        <v>96</v>
      </c>
      <c r="J110" s="23" t="s">
        <v>95</v>
      </c>
      <c r="K110" s="45" t="s">
        <v>65</v>
      </c>
      <c r="L110" s="23" t="s">
        <v>66</v>
      </c>
      <c r="M110" s="45" t="s">
        <v>67</v>
      </c>
      <c r="N110" s="23" t="s">
        <v>64</v>
      </c>
      <c r="O110" s="45" t="s">
        <v>87</v>
      </c>
      <c r="P110" s="90" t="s">
        <v>60</v>
      </c>
      <c r="Q110" s="61" t="s">
        <v>98</v>
      </c>
    </row>
    <row r="111" spans="1:19" x14ac:dyDescent="0.25">
      <c r="A111" s="24">
        <v>0</v>
      </c>
      <c r="B111" s="25">
        <v>6000000</v>
      </c>
      <c r="C111" s="24"/>
      <c r="D111" s="26" t="s">
        <v>69</v>
      </c>
      <c r="E111" s="54"/>
      <c r="F111" s="49"/>
      <c r="G111" s="49"/>
      <c r="H111" s="55"/>
      <c r="I111" s="24"/>
      <c r="J111" s="24"/>
      <c r="K111" s="24"/>
      <c r="L111" s="24"/>
      <c r="M111" s="24"/>
      <c r="N111" s="24"/>
      <c r="O111" s="24"/>
      <c r="P111" s="91"/>
      <c r="Q111" s="27"/>
    </row>
    <row r="112" spans="1:19" x14ac:dyDescent="0.25">
      <c r="A112" s="28">
        <v>1</v>
      </c>
      <c r="B112" s="28"/>
      <c r="C112" s="65">
        <v>710676</v>
      </c>
      <c r="D112" s="66">
        <v>70000</v>
      </c>
      <c r="E112" s="56">
        <f>$E$40/$F$40/J112^A112</f>
        <v>50393.333333333328</v>
      </c>
      <c r="F112" s="50">
        <f t="shared" ref="F112:F121" si="36">$E$39/$F$39/J112^A112</f>
        <v>14348.627450980392</v>
      </c>
      <c r="G112" s="50">
        <f t="shared" ref="G112:G141" si="37">$E$38/$F$38/J112^A112</f>
        <v>16686.666666666668</v>
      </c>
      <c r="H112" s="57">
        <f>$E$37/$F$37/J112^A112</f>
        <v>24828.235294117647</v>
      </c>
      <c r="I112" s="48">
        <f>SUM(E112:H112)</f>
        <v>106256.86274509804</v>
      </c>
      <c r="J112" s="46">
        <v>1.02</v>
      </c>
      <c r="K112" s="29">
        <f t="shared" ref="K112:K141" si="38">C112-(D112+I112)</f>
        <v>534419.13725490193</v>
      </c>
      <c r="L112" s="29">
        <f>K112-M112</f>
        <v>101539.63607843133</v>
      </c>
      <c r="M112" s="29">
        <f>K112*0.81</f>
        <v>432879.5011764706</v>
      </c>
      <c r="N112" s="29">
        <f>I112</f>
        <v>106256.86274509804</v>
      </c>
      <c r="O112" s="29">
        <f>M112+N112</f>
        <v>539136.36392156861</v>
      </c>
      <c r="P112" s="29">
        <f>O112-$B$2</f>
        <v>-5460863.6360784313</v>
      </c>
      <c r="Q112" s="29">
        <f t="shared" ref="Q112:Q141" si="39">O112/(1+0.117)^A112</f>
        <v>482664.60512226378</v>
      </c>
      <c r="S112" s="21">
        <f>Q112-B111</f>
        <v>-5517335.3948777365</v>
      </c>
    </row>
    <row r="113" spans="1:19" x14ac:dyDescent="0.25">
      <c r="A113" s="28">
        <v>2</v>
      </c>
      <c r="B113" s="28"/>
      <c r="C113" s="65">
        <v>710676</v>
      </c>
      <c r="D113" s="66">
        <v>70000</v>
      </c>
      <c r="E113" s="56">
        <f>$E$40/$F$40/J113^A113</f>
        <v>49405.228758169935</v>
      </c>
      <c r="F113" s="50">
        <f t="shared" si="36"/>
        <v>14067.281814686659</v>
      </c>
      <c r="G113" s="50">
        <f t="shared" si="37"/>
        <v>16359.477124183008</v>
      </c>
      <c r="H113" s="57">
        <f t="shared" ref="H113:H141" si="40">$E$37/$F$37/J113^A113</f>
        <v>24341.407151095733</v>
      </c>
      <c r="I113" s="48">
        <f t="shared" ref="I113:I141" si="41">SUM(E113:H113)</f>
        <v>104173.39484813533</v>
      </c>
      <c r="J113" s="46">
        <v>1.02</v>
      </c>
      <c r="K113" s="29">
        <f t="shared" si="38"/>
        <v>536502.6051518647</v>
      </c>
      <c r="L113" s="29">
        <f t="shared" ref="L113:L141" si="42">K113-M113</f>
        <v>101935.49497885426</v>
      </c>
      <c r="M113" s="29">
        <f t="shared" ref="M113:M116" si="43">K113*0.81</f>
        <v>434567.11017301044</v>
      </c>
      <c r="N113" s="29">
        <f t="shared" ref="N113:N141" si="44">I113</f>
        <v>104173.39484813533</v>
      </c>
      <c r="O113" s="29">
        <f t="shared" ref="O113:O141" si="45">M113+N113</f>
        <v>538740.5050211458</v>
      </c>
      <c r="P113" s="29">
        <f>P112+O113</f>
        <v>-4922123.1310572857</v>
      </c>
      <c r="Q113" s="29">
        <f t="shared" si="39"/>
        <v>431790.69866060035</v>
      </c>
      <c r="S113" s="21">
        <f>S112+Q113</f>
        <v>-5085544.6962171365</v>
      </c>
    </row>
    <row r="114" spans="1:19" x14ac:dyDescent="0.25">
      <c r="A114" s="28">
        <v>3</v>
      </c>
      <c r="B114" s="28"/>
      <c r="C114" s="65">
        <v>710676</v>
      </c>
      <c r="D114" s="66">
        <v>70000</v>
      </c>
      <c r="E114" s="56">
        <f>$E$40/$F$40/J114^A114</f>
        <v>48436.498782519542</v>
      </c>
      <c r="F114" s="50">
        <f t="shared" si="36"/>
        <v>13791.452759496726</v>
      </c>
      <c r="G114" s="50">
        <f t="shared" si="37"/>
        <v>16038.703062924518</v>
      </c>
      <c r="H114" s="57">
        <f t="shared" si="40"/>
        <v>23864.124657936994</v>
      </c>
      <c r="I114" s="48">
        <f t="shared" si="41"/>
        <v>102130.77926287777</v>
      </c>
      <c r="J114" s="46">
        <v>1.02</v>
      </c>
      <c r="K114" s="29">
        <f t="shared" si="38"/>
        <v>538545.22073712223</v>
      </c>
      <c r="L114" s="29">
        <f t="shared" si="42"/>
        <v>102323.59194005321</v>
      </c>
      <c r="M114" s="29">
        <f t="shared" si="43"/>
        <v>436221.62879706902</v>
      </c>
      <c r="N114" s="29">
        <f t="shared" si="44"/>
        <v>102130.77926287777</v>
      </c>
      <c r="O114" s="29">
        <f t="shared" si="45"/>
        <v>538352.40805994673</v>
      </c>
      <c r="P114" s="29">
        <f t="shared" ref="P114:P141" si="46">P113+O114</f>
        <v>-4383770.7229973394</v>
      </c>
      <c r="Q114" s="29">
        <f t="shared" si="39"/>
        <v>386284.37423233176</v>
      </c>
      <c r="S114" s="21">
        <f t="shared" ref="S114:S141" si="47">S113+Q114</f>
        <v>-4699260.3219848052</v>
      </c>
    </row>
    <row r="115" spans="1:19" x14ac:dyDescent="0.25">
      <c r="A115" s="28">
        <v>4</v>
      </c>
      <c r="B115" s="28"/>
      <c r="C115" s="65">
        <v>710676</v>
      </c>
      <c r="D115" s="66">
        <v>70000</v>
      </c>
      <c r="E115" s="56">
        <f>$E$40/$F$40/J115^A115</f>
        <v>47486.763512274061</v>
      </c>
      <c r="F115" s="50">
        <f t="shared" si="36"/>
        <v>13521.032117153653</v>
      </c>
      <c r="G115" s="50">
        <f t="shared" si="37"/>
        <v>15724.218689141684</v>
      </c>
      <c r="H115" s="57">
        <f t="shared" si="40"/>
        <v>23396.200645036268</v>
      </c>
      <c r="I115" s="48">
        <f t="shared" si="41"/>
        <v>100128.21496360566</v>
      </c>
      <c r="J115" s="46">
        <v>1.02</v>
      </c>
      <c r="K115" s="29">
        <f t="shared" si="38"/>
        <v>540547.78503639437</v>
      </c>
      <c r="L115" s="29">
        <f t="shared" si="42"/>
        <v>102704.0791569149</v>
      </c>
      <c r="M115" s="29">
        <f t="shared" si="43"/>
        <v>437843.70587947947</v>
      </c>
      <c r="N115" s="29">
        <f t="shared" si="44"/>
        <v>100128.21496360566</v>
      </c>
      <c r="O115" s="29">
        <f t="shared" si="45"/>
        <v>537971.92084308516</v>
      </c>
      <c r="P115" s="29">
        <f t="shared" si="46"/>
        <v>-3845798.8021542542</v>
      </c>
      <c r="Q115" s="29">
        <f t="shared" si="39"/>
        <v>345578.65978289623</v>
      </c>
      <c r="S115" s="21">
        <f t="shared" si="47"/>
        <v>-4353681.6622019093</v>
      </c>
    </row>
    <row r="116" spans="1:19" x14ac:dyDescent="0.25">
      <c r="A116" s="28">
        <v>5</v>
      </c>
      <c r="B116" s="28"/>
      <c r="C116" s="65">
        <v>710676</v>
      </c>
      <c r="D116" s="66">
        <v>70000</v>
      </c>
      <c r="E116" s="56">
        <f>$E$40/$F$40/J116^A116</f>
        <v>46555.650502229473</v>
      </c>
      <c r="F116" s="50">
        <f t="shared" si="36"/>
        <v>13255.913840346717</v>
      </c>
      <c r="G116" s="50">
        <f t="shared" si="37"/>
        <v>15415.900675629102</v>
      </c>
      <c r="H116" s="57">
        <f t="shared" si="40"/>
        <v>22937.451612780653</v>
      </c>
      <c r="I116" s="48">
        <f t="shared" si="41"/>
        <v>98164.916630985943</v>
      </c>
      <c r="J116" s="46">
        <v>1.02</v>
      </c>
      <c r="K116" s="29">
        <f t="shared" si="38"/>
        <v>542511.08336901409</v>
      </c>
      <c r="L116" s="29">
        <f t="shared" si="42"/>
        <v>103077.10584011266</v>
      </c>
      <c r="M116" s="29">
        <f t="shared" si="43"/>
        <v>439433.97752890142</v>
      </c>
      <c r="N116" s="29">
        <f t="shared" si="44"/>
        <v>98164.916630985943</v>
      </c>
      <c r="O116" s="29">
        <f t="shared" si="45"/>
        <v>537598.89415988734</v>
      </c>
      <c r="P116" s="29">
        <f t="shared" si="46"/>
        <v>-3308199.9079943667</v>
      </c>
      <c r="Q116" s="29">
        <f t="shared" si="39"/>
        <v>309166.55102715327</v>
      </c>
      <c r="S116" s="21">
        <f t="shared" si="47"/>
        <v>-4044515.1111747562</v>
      </c>
    </row>
    <row r="117" spans="1:19" x14ac:dyDescent="0.25">
      <c r="A117" s="28">
        <v>6</v>
      </c>
      <c r="B117" s="28"/>
      <c r="C117" s="65">
        <v>710676</v>
      </c>
      <c r="D117" s="66">
        <v>70000</v>
      </c>
      <c r="E117" s="56"/>
      <c r="F117" s="50">
        <f t="shared" si="36"/>
        <v>12995.993961124232</v>
      </c>
      <c r="G117" s="50">
        <f t="shared" si="37"/>
        <v>15113.628113361863</v>
      </c>
      <c r="H117" s="57">
        <f t="shared" si="40"/>
        <v>22487.697659588874</v>
      </c>
      <c r="I117" s="48">
        <f t="shared" si="41"/>
        <v>50597.319734074968</v>
      </c>
      <c r="J117" s="46">
        <v>1.02</v>
      </c>
      <c r="K117" s="29">
        <f t="shared" si="38"/>
        <v>590078.68026592501</v>
      </c>
      <c r="L117" s="29">
        <f t="shared" si="42"/>
        <v>112114.94925052574</v>
      </c>
      <c r="M117" s="29">
        <f>K117*0.81</f>
        <v>477963.73101539927</v>
      </c>
      <c r="N117" s="29">
        <f t="shared" si="44"/>
        <v>50597.319734074968</v>
      </c>
      <c r="O117" s="29">
        <f t="shared" si="45"/>
        <v>528561.05074947421</v>
      </c>
      <c r="P117" s="29">
        <f t="shared" si="46"/>
        <v>-2779638.8572448925</v>
      </c>
      <c r="Q117" s="29">
        <f t="shared" si="39"/>
        <v>272129.81001242599</v>
      </c>
      <c r="S117" s="21">
        <f t="shared" si="47"/>
        <v>-3772385.3011623304</v>
      </c>
    </row>
    <row r="118" spans="1:19" x14ac:dyDescent="0.25">
      <c r="A118" s="28">
        <v>7</v>
      </c>
      <c r="B118" s="28"/>
      <c r="C118" s="65">
        <v>710676</v>
      </c>
      <c r="D118" s="66">
        <v>70000</v>
      </c>
      <c r="E118" s="56"/>
      <c r="F118" s="50">
        <f t="shared" si="36"/>
        <v>12741.170550121798</v>
      </c>
      <c r="G118" s="50">
        <f t="shared" si="37"/>
        <v>14817.282464080261</v>
      </c>
      <c r="H118" s="57">
        <f t="shared" si="40"/>
        <v>22046.762411361648</v>
      </c>
      <c r="I118" s="48">
        <f t="shared" si="41"/>
        <v>49605.215425563707</v>
      </c>
      <c r="J118" s="46">
        <v>1.02</v>
      </c>
      <c r="K118" s="29">
        <f t="shared" si="38"/>
        <v>591070.78457443626</v>
      </c>
      <c r="L118" s="29">
        <f t="shared" si="42"/>
        <v>112303.44906914287</v>
      </c>
      <c r="M118" s="29">
        <f t="shared" ref="M118:M141" si="48">K118*0.81</f>
        <v>478767.33550529339</v>
      </c>
      <c r="N118" s="29">
        <f t="shared" si="44"/>
        <v>49605.215425563707</v>
      </c>
      <c r="O118" s="29">
        <f t="shared" si="45"/>
        <v>528372.55093085708</v>
      </c>
      <c r="P118" s="29">
        <f t="shared" si="46"/>
        <v>-2251266.3063140353</v>
      </c>
      <c r="Q118" s="29">
        <f t="shared" si="39"/>
        <v>243538.7294773811</v>
      </c>
      <c r="S118" s="21">
        <f t="shared" si="47"/>
        <v>-3528846.5716849491</v>
      </c>
    </row>
    <row r="119" spans="1:19" x14ac:dyDescent="0.25">
      <c r="A119" s="28">
        <v>8</v>
      </c>
      <c r="B119" s="28"/>
      <c r="C119" s="65">
        <v>710676</v>
      </c>
      <c r="D119" s="66">
        <v>70000</v>
      </c>
      <c r="E119" s="56"/>
      <c r="F119" s="50">
        <f t="shared" si="36"/>
        <v>12491.343676589997</v>
      </c>
      <c r="G119" s="50">
        <f t="shared" si="37"/>
        <v>14526.747513804177</v>
      </c>
      <c r="H119" s="57">
        <f t="shared" si="40"/>
        <v>21614.472952315336</v>
      </c>
      <c r="I119" s="48">
        <f t="shared" si="41"/>
        <v>48632.564142709511</v>
      </c>
      <c r="J119" s="46">
        <v>1.02</v>
      </c>
      <c r="K119" s="29">
        <f t="shared" si="38"/>
        <v>592043.43585729052</v>
      </c>
      <c r="L119" s="29">
        <f t="shared" si="42"/>
        <v>112488.25281288516</v>
      </c>
      <c r="M119" s="29">
        <f t="shared" si="48"/>
        <v>479555.18304440536</v>
      </c>
      <c r="N119" s="29">
        <f t="shared" si="44"/>
        <v>48632.564142709511</v>
      </c>
      <c r="O119" s="29">
        <f t="shared" si="45"/>
        <v>528187.7471871149</v>
      </c>
      <c r="P119" s="29">
        <f t="shared" si="46"/>
        <v>-1723078.5591269205</v>
      </c>
      <c r="Q119" s="29">
        <f t="shared" si="39"/>
        <v>217953.04323854976</v>
      </c>
      <c r="S119" s="21">
        <f t="shared" si="47"/>
        <v>-3310893.5284463991</v>
      </c>
    </row>
    <row r="120" spans="1:19" x14ac:dyDescent="0.25">
      <c r="A120" s="28">
        <v>9</v>
      </c>
      <c r="B120" s="28"/>
      <c r="C120" s="65">
        <v>710676</v>
      </c>
      <c r="D120" s="66">
        <v>70000</v>
      </c>
      <c r="E120" s="56"/>
      <c r="F120" s="50">
        <f t="shared" si="36"/>
        <v>12246.415369205881</v>
      </c>
      <c r="G120" s="50">
        <f t="shared" si="37"/>
        <v>14241.909327258996</v>
      </c>
      <c r="H120" s="57">
        <f t="shared" si="40"/>
        <v>21190.659757171899</v>
      </c>
      <c r="I120" s="48">
        <f t="shared" si="41"/>
        <v>47678.984453636775</v>
      </c>
      <c r="J120" s="46">
        <v>1.02</v>
      </c>
      <c r="K120" s="29">
        <f t="shared" si="38"/>
        <v>592997.0155463632</v>
      </c>
      <c r="L120" s="29">
        <f t="shared" si="42"/>
        <v>112669.43295380898</v>
      </c>
      <c r="M120" s="29">
        <f t="shared" si="48"/>
        <v>480327.58259255422</v>
      </c>
      <c r="N120" s="29">
        <f t="shared" si="44"/>
        <v>47678.984453636775</v>
      </c>
      <c r="O120" s="29">
        <f t="shared" si="45"/>
        <v>528006.56704619096</v>
      </c>
      <c r="P120" s="29">
        <f t="shared" si="46"/>
        <v>-1195071.9920807295</v>
      </c>
      <c r="Q120" s="29">
        <f t="shared" si="39"/>
        <v>195056.65219228927</v>
      </c>
      <c r="S120" s="21">
        <f t="shared" si="47"/>
        <v>-3115836.8762541097</v>
      </c>
    </row>
    <row r="121" spans="1:19" x14ac:dyDescent="0.25">
      <c r="A121" s="28">
        <v>10</v>
      </c>
      <c r="B121" s="28"/>
      <c r="C121" s="65">
        <v>710676</v>
      </c>
      <c r="D121" s="66">
        <v>70000</v>
      </c>
      <c r="E121" s="56"/>
      <c r="F121" s="50">
        <f t="shared" si="36"/>
        <v>12006.289577652824</v>
      </c>
      <c r="G121" s="50">
        <f t="shared" si="37"/>
        <v>13962.656203195094</v>
      </c>
      <c r="H121" s="57">
        <f t="shared" si="40"/>
        <v>20775.156624678333</v>
      </c>
      <c r="I121" s="48">
        <f t="shared" si="41"/>
        <v>46744.102405526253</v>
      </c>
      <c r="J121" s="46">
        <v>1.02</v>
      </c>
      <c r="K121" s="29">
        <f t="shared" si="38"/>
        <v>593931.89759447379</v>
      </c>
      <c r="L121" s="29">
        <f t="shared" si="42"/>
        <v>112847.06054295</v>
      </c>
      <c r="M121" s="29">
        <f t="shared" si="48"/>
        <v>481084.83705152379</v>
      </c>
      <c r="N121" s="29">
        <f t="shared" si="44"/>
        <v>46744.102405526253</v>
      </c>
      <c r="O121" s="29">
        <f t="shared" si="45"/>
        <v>527828.93945705006</v>
      </c>
      <c r="P121" s="29">
        <f t="shared" si="46"/>
        <v>-667243.0526236794</v>
      </c>
      <c r="Q121" s="29">
        <f t="shared" si="39"/>
        <v>174566.72591895764</v>
      </c>
      <c r="S121" s="21">
        <f t="shared" si="47"/>
        <v>-2941270.1503351522</v>
      </c>
    </row>
    <row r="122" spans="1:19" x14ac:dyDescent="0.25">
      <c r="A122" s="28">
        <v>11</v>
      </c>
      <c r="B122" s="28"/>
      <c r="C122" s="65">
        <v>710676</v>
      </c>
      <c r="D122" s="66">
        <v>70000</v>
      </c>
      <c r="E122" s="56"/>
      <c r="F122" s="50"/>
      <c r="G122" s="50">
        <f t="shared" si="37"/>
        <v>13688.878630583429</v>
      </c>
      <c r="H122" s="57">
        <f t="shared" si="40"/>
        <v>20367.800612429743</v>
      </c>
      <c r="I122" s="48">
        <f t="shared" si="41"/>
        <v>34056.679243013175</v>
      </c>
      <c r="J122" s="46">
        <v>1.02</v>
      </c>
      <c r="K122" s="29">
        <f t="shared" si="38"/>
        <v>606619.32075698685</v>
      </c>
      <c r="L122" s="29">
        <f t="shared" si="42"/>
        <v>115257.67094382748</v>
      </c>
      <c r="M122" s="29">
        <f t="shared" si="48"/>
        <v>491361.64981315937</v>
      </c>
      <c r="N122" s="29">
        <f t="shared" si="44"/>
        <v>34056.679243013175</v>
      </c>
      <c r="O122" s="29">
        <f t="shared" si="45"/>
        <v>525418.32905617252</v>
      </c>
      <c r="P122" s="29">
        <f t="shared" si="46"/>
        <v>-141824.72356750688</v>
      </c>
      <c r="Q122" s="29">
        <f t="shared" si="39"/>
        <v>155568.0165720605</v>
      </c>
      <c r="S122" s="21">
        <f t="shared" si="47"/>
        <v>-2785702.1337630916</v>
      </c>
    </row>
    <row r="123" spans="1:19" x14ac:dyDescent="0.25">
      <c r="A123" s="28">
        <v>12</v>
      </c>
      <c r="B123" s="28"/>
      <c r="C123" s="65">
        <v>710676</v>
      </c>
      <c r="D123" s="66">
        <v>70000</v>
      </c>
      <c r="E123" s="56"/>
      <c r="F123" s="50"/>
      <c r="G123" s="50">
        <f t="shared" si="37"/>
        <v>13420.469245670025</v>
      </c>
      <c r="H123" s="57">
        <f t="shared" si="40"/>
        <v>19968.431972970331</v>
      </c>
      <c r="I123" s="48">
        <f t="shared" si="41"/>
        <v>33388.901218640356</v>
      </c>
      <c r="J123" s="46">
        <v>1.02</v>
      </c>
      <c r="K123" s="29">
        <f t="shared" si="38"/>
        <v>607287.09878135961</v>
      </c>
      <c r="L123" s="29">
        <f t="shared" si="42"/>
        <v>115384.54876845831</v>
      </c>
      <c r="M123" s="29">
        <f t="shared" si="48"/>
        <v>491902.55001290131</v>
      </c>
      <c r="N123" s="29">
        <f t="shared" si="44"/>
        <v>33388.901218640356</v>
      </c>
      <c r="O123" s="29">
        <f t="shared" si="45"/>
        <v>525291.45123154169</v>
      </c>
      <c r="P123" s="29">
        <f t="shared" si="46"/>
        <v>383466.72766403481</v>
      </c>
      <c r="Q123" s="29">
        <f t="shared" si="39"/>
        <v>139239.43604718169</v>
      </c>
      <c r="S123" s="21">
        <f t="shared" si="47"/>
        <v>-2646462.6977159102</v>
      </c>
    </row>
    <row r="124" spans="1:19" x14ac:dyDescent="0.25">
      <c r="A124" s="28">
        <v>13</v>
      </c>
      <c r="B124" s="28"/>
      <c r="C124" s="65">
        <v>710676</v>
      </c>
      <c r="D124" s="66">
        <v>70000</v>
      </c>
      <c r="E124" s="56"/>
      <c r="F124" s="50"/>
      <c r="G124" s="50">
        <f t="shared" si="37"/>
        <v>13157.322789872575</v>
      </c>
      <c r="H124" s="57">
        <f t="shared" si="40"/>
        <v>19576.894091147384</v>
      </c>
      <c r="I124" s="48">
        <f t="shared" si="41"/>
        <v>32734.216881019958</v>
      </c>
      <c r="J124" s="46">
        <v>1.02</v>
      </c>
      <c r="K124" s="29">
        <f t="shared" si="38"/>
        <v>607941.78311898001</v>
      </c>
      <c r="L124" s="29">
        <f t="shared" si="42"/>
        <v>115508.93879260618</v>
      </c>
      <c r="M124" s="29">
        <f t="shared" si="48"/>
        <v>492432.84432637383</v>
      </c>
      <c r="N124" s="29">
        <f t="shared" si="44"/>
        <v>32734.216881019958</v>
      </c>
      <c r="O124" s="29">
        <f t="shared" si="45"/>
        <v>525167.06120739377</v>
      </c>
      <c r="P124" s="29">
        <f t="shared" si="46"/>
        <v>908633.78887142858</v>
      </c>
      <c r="Q124" s="29">
        <f t="shared" si="39"/>
        <v>124625.30338532029</v>
      </c>
      <c r="S124" s="21">
        <f t="shared" si="47"/>
        <v>-2521837.39433059</v>
      </c>
    </row>
    <row r="125" spans="1:19" x14ac:dyDescent="0.25">
      <c r="A125" s="28">
        <v>14</v>
      </c>
      <c r="B125" s="28"/>
      <c r="C125" s="65">
        <v>710676</v>
      </c>
      <c r="D125" s="66">
        <v>70000</v>
      </c>
      <c r="E125" s="56"/>
      <c r="F125" s="50"/>
      <c r="G125" s="50">
        <f t="shared" si="37"/>
        <v>12899.336068502524</v>
      </c>
      <c r="H125" s="57">
        <f t="shared" si="40"/>
        <v>19193.033422693512</v>
      </c>
      <c r="I125" s="48">
        <f t="shared" si="41"/>
        <v>32092.369491196034</v>
      </c>
      <c r="J125" s="46">
        <v>1.02</v>
      </c>
      <c r="K125" s="29">
        <f t="shared" si="38"/>
        <v>608583.630508804</v>
      </c>
      <c r="L125" s="29">
        <f t="shared" si="42"/>
        <v>115630.88979667274</v>
      </c>
      <c r="M125" s="29">
        <f t="shared" si="48"/>
        <v>492952.74071213126</v>
      </c>
      <c r="N125" s="29">
        <f t="shared" si="44"/>
        <v>32092.369491196034</v>
      </c>
      <c r="O125" s="29">
        <f t="shared" si="45"/>
        <v>525045.11020332726</v>
      </c>
      <c r="P125" s="29">
        <f t="shared" si="46"/>
        <v>1433678.8990747558</v>
      </c>
      <c r="Q125" s="29">
        <f t="shared" si="39"/>
        <v>111545.53596984375</v>
      </c>
      <c r="S125" s="21">
        <f t="shared" si="47"/>
        <v>-2410291.8583607464</v>
      </c>
    </row>
    <row r="126" spans="1:19" x14ac:dyDescent="0.25">
      <c r="A126" s="28">
        <v>15</v>
      </c>
      <c r="B126" s="28"/>
      <c r="C126" s="65">
        <v>710676</v>
      </c>
      <c r="D126" s="66">
        <v>70000</v>
      </c>
      <c r="E126" s="56"/>
      <c r="F126" s="50"/>
      <c r="G126" s="50">
        <f t="shared" si="37"/>
        <v>12646.407910296595</v>
      </c>
      <c r="H126" s="57">
        <f t="shared" si="40"/>
        <v>18816.699434013251</v>
      </c>
      <c r="I126" s="48">
        <f t="shared" si="41"/>
        <v>31463.107344309847</v>
      </c>
      <c r="J126" s="46">
        <v>1.02</v>
      </c>
      <c r="K126" s="29">
        <f t="shared" si="38"/>
        <v>609212.8926556902</v>
      </c>
      <c r="L126" s="29">
        <f t="shared" si="42"/>
        <v>115750.44960458111</v>
      </c>
      <c r="M126" s="29">
        <f t="shared" si="48"/>
        <v>493462.44305110909</v>
      </c>
      <c r="N126" s="29">
        <f t="shared" si="44"/>
        <v>31463.107344309847</v>
      </c>
      <c r="O126" s="29">
        <f t="shared" si="45"/>
        <v>524925.55039541889</v>
      </c>
      <c r="P126" s="29">
        <f t="shared" si="46"/>
        <v>1958604.4494701747</v>
      </c>
      <c r="Q126" s="29">
        <f t="shared" si="39"/>
        <v>99838.975431013663</v>
      </c>
      <c r="S126" s="21">
        <f t="shared" si="47"/>
        <v>-2310452.8829297326</v>
      </c>
    </row>
    <row r="127" spans="1:19" x14ac:dyDescent="0.25">
      <c r="A127" s="28">
        <v>16</v>
      </c>
      <c r="B127" s="28"/>
      <c r="C127" s="65">
        <v>710676</v>
      </c>
      <c r="D127" s="66">
        <v>70000</v>
      </c>
      <c r="E127" s="56"/>
      <c r="F127" s="50"/>
      <c r="G127" s="50">
        <f t="shared" si="37"/>
        <v>12398.439127741758</v>
      </c>
      <c r="H127" s="57">
        <f t="shared" si="40"/>
        <v>18447.744543150246</v>
      </c>
      <c r="I127" s="48">
        <f t="shared" si="41"/>
        <v>30846.183670892002</v>
      </c>
      <c r="J127" s="46">
        <v>1.02</v>
      </c>
      <c r="K127" s="29">
        <f t="shared" si="38"/>
        <v>609829.81632910797</v>
      </c>
      <c r="L127" s="29">
        <f t="shared" si="42"/>
        <v>115867.6651025305</v>
      </c>
      <c r="M127" s="29">
        <f t="shared" si="48"/>
        <v>493962.15122657747</v>
      </c>
      <c r="N127" s="29">
        <f t="shared" si="44"/>
        <v>30846.183670892002</v>
      </c>
      <c r="O127" s="29">
        <f t="shared" si="45"/>
        <v>524808.3348974695</v>
      </c>
      <c r="P127" s="29">
        <f t="shared" si="46"/>
        <v>2483412.7843676442</v>
      </c>
      <c r="Q127" s="29">
        <f t="shared" si="39"/>
        <v>89361.397904736164</v>
      </c>
      <c r="S127" s="21">
        <f t="shared" si="47"/>
        <v>-2221091.4850249966</v>
      </c>
    </row>
    <row r="128" spans="1:19" x14ac:dyDescent="0.25">
      <c r="A128" s="28">
        <v>17</v>
      </c>
      <c r="B128" s="28"/>
      <c r="C128" s="65">
        <v>710676</v>
      </c>
      <c r="D128" s="66">
        <v>70000</v>
      </c>
      <c r="E128" s="56"/>
      <c r="F128" s="50"/>
      <c r="G128" s="50">
        <f t="shared" si="37"/>
        <v>12155.332478178192</v>
      </c>
      <c r="H128" s="57">
        <f t="shared" si="40"/>
        <v>18086.024061912001</v>
      </c>
      <c r="I128" s="48">
        <f t="shared" si="41"/>
        <v>30241.356540090193</v>
      </c>
      <c r="J128" s="46">
        <v>1.02</v>
      </c>
      <c r="K128" s="29">
        <f t="shared" si="38"/>
        <v>610434.64345990983</v>
      </c>
      <c r="L128" s="29">
        <f t="shared" si="42"/>
        <v>115982.58225738286</v>
      </c>
      <c r="M128" s="29">
        <f t="shared" si="48"/>
        <v>494452.06120252697</v>
      </c>
      <c r="N128" s="29">
        <f t="shared" si="44"/>
        <v>30241.356540090193</v>
      </c>
      <c r="O128" s="29">
        <f t="shared" si="45"/>
        <v>524693.4177426172</v>
      </c>
      <c r="P128" s="29">
        <f t="shared" si="46"/>
        <v>3008106.2021102617</v>
      </c>
      <c r="Q128" s="29">
        <f t="shared" si="39"/>
        <v>79983.733626618123</v>
      </c>
      <c r="S128" s="21">
        <f t="shared" si="47"/>
        <v>-2141107.7513983785</v>
      </c>
    </row>
    <row r="129" spans="1:19" x14ac:dyDescent="0.25">
      <c r="A129" s="28">
        <v>18</v>
      </c>
      <c r="B129" s="28"/>
      <c r="C129" s="65">
        <v>710676</v>
      </c>
      <c r="D129" s="66">
        <v>70000</v>
      </c>
      <c r="E129" s="56"/>
      <c r="F129" s="50"/>
      <c r="G129" s="50">
        <f t="shared" si="37"/>
        <v>11916.992625664896</v>
      </c>
      <c r="H129" s="57">
        <f t="shared" si="40"/>
        <v>17731.396139129418</v>
      </c>
      <c r="I129" s="48">
        <f t="shared" si="41"/>
        <v>29648.388764794312</v>
      </c>
      <c r="J129" s="46">
        <v>1.02</v>
      </c>
      <c r="K129" s="29">
        <f t="shared" si="38"/>
        <v>611027.61123520567</v>
      </c>
      <c r="L129" s="29">
        <f t="shared" si="42"/>
        <v>116095.24613468902</v>
      </c>
      <c r="M129" s="29">
        <f t="shared" si="48"/>
        <v>494932.36510051665</v>
      </c>
      <c r="N129" s="29">
        <f t="shared" si="44"/>
        <v>29648.388764794312</v>
      </c>
      <c r="O129" s="29">
        <f t="shared" si="45"/>
        <v>524580.75386531092</v>
      </c>
      <c r="P129" s="29">
        <f t="shared" si="46"/>
        <v>3532686.9559755726</v>
      </c>
      <c r="Q129" s="29">
        <f t="shared" si="39"/>
        <v>71590.473822000014</v>
      </c>
      <c r="S129" s="21">
        <f t="shared" si="47"/>
        <v>-2069517.2775763785</v>
      </c>
    </row>
    <row r="130" spans="1:19" x14ac:dyDescent="0.25">
      <c r="A130" s="28">
        <v>19</v>
      </c>
      <c r="B130" s="28"/>
      <c r="C130" s="65">
        <v>710676</v>
      </c>
      <c r="D130" s="66">
        <v>70000</v>
      </c>
      <c r="E130" s="56"/>
      <c r="F130" s="50"/>
      <c r="G130" s="50">
        <f t="shared" si="37"/>
        <v>11683.326103593035</v>
      </c>
      <c r="H130" s="57">
        <f t="shared" si="40"/>
        <v>17383.721705028842</v>
      </c>
      <c r="I130" s="48">
        <f t="shared" si="41"/>
        <v>29067.047808621879</v>
      </c>
      <c r="J130" s="46">
        <v>1.02</v>
      </c>
      <c r="K130" s="29">
        <f t="shared" si="38"/>
        <v>611608.95219137811</v>
      </c>
      <c r="L130" s="29">
        <f t="shared" si="42"/>
        <v>116205.70091636182</v>
      </c>
      <c r="M130" s="29">
        <f t="shared" si="48"/>
        <v>495403.25127501629</v>
      </c>
      <c r="N130" s="29">
        <f t="shared" si="44"/>
        <v>29067.047808621879</v>
      </c>
      <c r="O130" s="29">
        <f t="shared" si="45"/>
        <v>524470.29908363812</v>
      </c>
      <c r="P130" s="29">
        <f t="shared" si="46"/>
        <v>4057157.2550592106</v>
      </c>
      <c r="Q130" s="29">
        <f t="shared" si="39"/>
        <v>64078.245174905576</v>
      </c>
      <c r="S130" s="21">
        <f t="shared" si="47"/>
        <v>-2005439.032401473</v>
      </c>
    </row>
    <row r="131" spans="1:19" x14ac:dyDescent="0.25">
      <c r="A131" s="28">
        <v>20</v>
      </c>
      <c r="B131" s="28"/>
      <c r="C131" s="65">
        <v>710676</v>
      </c>
      <c r="D131" s="66">
        <v>70000</v>
      </c>
      <c r="E131" s="56"/>
      <c r="F131" s="50"/>
      <c r="G131" s="50">
        <f t="shared" si="37"/>
        <v>11454.241278032387</v>
      </c>
      <c r="H131" s="57">
        <f t="shared" si="40"/>
        <v>17042.864416694942</v>
      </c>
      <c r="I131" s="48">
        <f t="shared" si="41"/>
        <v>28497.105694727328</v>
      </c>
      <c r="J131" s="46">
        <v>1.02</v>
      </c>
      <c r="K131" s="29">
        <f t="shared" si="38"/>
        <v>612178.89430527273</v>
      </c>
      <c r="L131" s="29">
        <f t="shared" si="42"/>
        <v>116313.98991800181</v>
      </c>
      <c r="M131" s="29">
        <f t="shared" si="48"/>
        <v>495864.90438727092</v>
      </c>
      <c r="N131" s="29">
        <f t="shared" si="44"/>
        <v>28497.105694727328</v>
      </c>
      <c r="O131" s="29">
        <f t="shared" si="45"/>
        <v>524362.01008199819</v>
      </c>
      <c r="P131" s="29">
        <f t="shared" si="46"/>
        <v>4581519.2651412087</v>
      </c>
      <c r="Q131" s="29">
        <f t="shared" si="39"/>
        <v>57354.534236187181</v>
      </c>
      <c r="S131" s="21">
        <f t="shared" si="47"/>
        <v>-1948084.4981652859</v>
      </c>
    </row>
    <row r="132" spans="1:19" x14ac:dyDescent="0.25">
      <c r="A132" s="28">
        <v>21</v>
      </c>
      <c r="B132" s="28"/>
      <c r="C132" s="65">
        <v>710676</v>
      </c>
      <c r="D132" s="66">
        <v>70000</v>
      </c>
      <c r="E132" s="56"/>
      <c r="F132" s="50"/>
      <c r="G132" s="50">
        <f t="shared" si="37"/>
        <v>11229.648311796458</v>
      </c>
      <c r="H132" s="57">
        <f t="shared" si="40"/>
        <v>16708.690604602885</v>
      </c>
      <c r="I132" s="48">
        <f t="shared" si="41"/>
        <v>27938.338916399342</v>
      </c>
      <c r="J132" s="46">
        <v>1.02</v>
      </c>
      <c r="K132" s="29">
        <f t="shared" si="38"/>
        <v>612737.66108360072</v>
      </c>
      <c r="L132" s="29">
        <f t="shared" si="42"/>
        <v>116420.15560588409</v>
      </c>
      <c r="M132" s="29">
        <f t="shared" si="48"/>
        <v>496317.50547771662</v>
      </c>
      <c r="N132" s="29">
        <f t="shared" si="44"/>
        <v>27938.338916399342</v>
      </c>
      <c r="O132" s="29">
        <f t="shared" si="45"/>
        <v>524255.84439411596</v>
      </c>
      <c r="P132" s="29">
        <f t="shared" si="46"/>
        <v>5105775.1095353244</v>
      </c>
      <c r="Q132" s="29">
        <f t="shared" si="39"/>
        <v>51336.545989419756</v>
      </c>
      <c r="S132" s="21">
        <f t="shared" si="47"/>
        <v>-1896747.9521758661</v>
      </c>
    </row>
    <row r="133" spans="1:19" x14ac:dyDescent="0.25">
      <c r="A133" s="28">
        <v>22</v>
      </c>
      <c r="B133" s="28"/>
      <c r="C133" s="65">
        <v>710676</v>
      </c>
      <c r="D133" s="66">
        <v>70000</v>
      </c>
      <c r="E133" s="56"/>
      <c r="F133" s="50"/>
      <c r="G133" s="50">
        <f t="shared" si="37"/>
        <v>11009.459129212213</v>
      </c>
      <c r="H133" s="57">
        <f t="shared" si="40"/>
        <v>16381.069220198904</v>
      </c>
      <c r="I133" s="48">
        <f t="shared" si="41"/>
        <v>27390.528349411117</v>
      </c>
      <c r="J133" s="46">
        <v>1.02</v>
      </c>
      <c r="K133" s="29">
        <f t="shared" si="38"/>
        <v>613285.47165058891</v>
      </c>
      <c r="L133" s="29">
        <f t="shared" si="42"/>
        <v>116524.23961361183</v>
      </c>
      <c r="M133" s="29">
        <f t="shared" si="48"/>
        <v>496761.23203697708</v>
      </c>
      <c r="N133" s="29">
        <f t="shared" si="44"/>
        <v>27390.528349411117</v>
      </c>
      <c r="O133" s="29">
        <f t="shared" si="45"/>
        <v>524151.76038638817</v>
      </c>
      <c r="P133" s="29">
        <f t="shared" si="46"/>
        <v>5629926.8699217122</v>
      </c>
      <c r="Q133" s="29">
        <f t="shared" si="39"/>
        <v>45950.182455425696</v>
      </c>
      <c r="S133" s="21">
        <f t="shared" si="47"/>
        <v>-1850797.7697204405</v>
      </c>
    </row>
    <row r="134" spans="1:19" x14ac:dyDescent="0.25">
      <c r="A134" s="28">
        <v>23</v>
      </c>
      <c r="B134" s="28"/>
      <c r="C134" s="65">
        <v>710676</v>
      </c>
      <c r="D134" s="66">
        <v>70000</v>
      </c>
      <c r="E134" s="56"/>
      <c r="F134" s="50"/>
      <c r="G134" s="50">
        <f t="shared" si="37"/>
        <v>10793.587381580604</v>
      </c>
      <c r="H134" s="57">
        <f t="shared" si="40"/>
        <v>16059.871784508732</v>
      </c>
      <c r="I134" s="48">
        <f t="shared" si="41"/>
        <v>26853.459166089335</v>
      </c>
      <c r="J134" s="46">
        <v>1.02</v>
      </c>
      <c r="K134" s="29">
        <f t="shared" si="38"/>
        <v>613822.54083391069</v>
      </c>
      <c r="L134" s="29">
        <f t="shared" si="42"/>
        <v>116626.28275844298</v>
      </c>
      <c r="M134" s="29">
        <f t="shared" si="48"/>
        <v>497196.25807546772</v>
      </c>
      <c r="N134" s="29">
        <f t="shared" si="44"/>
        <v>26853.459166089335</v>
      </c>
      <c r="O134" s="29">
        <f t="shared" si="45"/>
        <v>524049.71724155708</v>
      </c>
      <c r="P134" s="29">
        <f t="shared" si="46"/>
        <v>6153976.5871632695</v>
      </c>
      <c r="Q134" s="29">
        <f t="shared" si="39"/>
        <v>41129.128703386406</v>
      </c>
      <c r="S134" s="21">
        <f t="shared" si="47"/>
        <v>-1809668.6410170542</v>
      </c>
    </row>
    <row r="135" spans="1:19" x14ac:dyDescent="0.25">
      <c r="A135" s="28">
        <v>24</v>
      </c>
      <c r="B135" s="28"/>
      <c r="C135" s="65">
        <v>710676</v>
      </c>
      <c r="D135" s="66">
        <v>70000</v>
      </c>
      <c r="E135" s="56"/>
      <c r="F135" s="50"/>
      <c r="G135" s="50">
        <f t="shared" si="37"/>
        <v>10581.948413314316</v>
      </c>
      <c r="H135" s="57">
        <f t="shared" si="40"/>
        <v>15744.972337753659</v>
      </c>
      <c r="I135" s="48">
        <f t="shared" si="41"/>
        <v>26326.920751067977</v>
      </c>
      <c r="J135" s="46">
        <v>1.02</v>
      </c>
      <c r="K135" s="29">
        <f t="shared" si="38"/>
        <v>614349.07924893196</v>
      </c>
      <c r="L135" s="29">
        <f t="shared" si="42"/>
        <v>116726.32505729701</v>
      </c>
      <c r="M135" s="29">
        <f t="shared" si="48"/>
        <v>497622.75419163494</v>
      </c>
      <c r="N135" s="29">
        <f t="shared" si="44"/>
        <v>26326.920751067977</v>
      </c>
      <c r="O135" s="29">
        <f t="shared" si="45"/>
        <v>523949.67494270293</v>
      </c>
      <c r="P135" s="29">
        <f t="shared" si="46"/>
        <v>6677926.2621059725</v>
      </c>
      <c r="Q135" s="29">
        <f t="shared" si="39"/>
        <v>36814.034966805986</v>
      </c>
      <c r="S135" s="21">
        <f t="shared" si="47"/>
        <v>-1772854.6060502483</v>
      </c>
    </row>
    <row r="136" spans="1:19" x14ac:dyDescent="0.25">
      <c r="A136" s="28">
        <v>25</v>
      </c>
      <c r="B136" s="28"/>
      <c r="C136" s="65">
        <v>710676</v>
      </c>
      <c r="D136" s="66">
        <v>70000</v>
      </c>
      <c r="E136" s="56"/>
      <c r="F136" s="50"/>
      <c r="G136" s="50">
        <f t="shared" si="37"/>
        <v>10374.459228739526</v>
      </c>
      <c r="H136" s="57">
        <f t="shared" si="40"/>
        <v>15436.247389954568</v>
      </c>
      <c r="I136" s="48">
        <f t="shared" si="41"/>
        <v>25810.706618694094</v>
      </c>
      <c r="J136" s="46">
        <v>1.02</v>
      </c>
      <c r="K136" s="29">
        <f t="shared" si="38"/>
        <v>614865.29338130588</v>
      </c>
      <c r="L136" s="29">
        <f t="shared" si="42"/>
        <v>116824.40574244806</v>
      </c>
      <c r="M136" s="29">
        <f t="shared" si="48"/>
        <v>498040.88763885782</v>
      </c>
      <c r="N136" s="29">
        <f t="shared" si="44"/>
        <v>25810.706618694094</v>
      </c>
      <c r="O136" s="29">
        <f t="shared" si="45"/>
        <v>523851.59425755194</v>
      </c>
      <c r="P136" s="29">
        <f t="shared" si="46"/>
        <v>7201777.8563635247</v>
      </c>
      <c r="Q136" s="29">
        <f t="shared" si="39"/>
        <v>32951.784752683401</v>
      </c>
      <c r="S136" s="21">
        <f t="shared" si="47"/>
        <v>-1739902.8212975648</v>
      </c>
    </row>
    <row r="137" spans="1:19" x14ac:dyDescent="0.25">
      <c r="A137" s="28">
        <v>26</v>
      </c>
      <c r="B137" s="28"/>
      <c r="C137" s="65">
        <v>710676</v>
      </c>
      <c r="D137" s="66">
        <v>70000</v>
      </c>
      <c r="E137" s="56"/>
      <c r="F137" s="50"/>
      <c r="G137" s="50">
        <f t="shared" si="37"/>
        <v>10171.038459548554</v>
      </c>
      <c r="H137" s="57">
        <f t="shared" si="40"/>
        <v>15133.575872504476</v>
      </c>
      <c r="I137" s="48">
        <f t="shared" si="41"/>
        <v>25304.614332053032</v>
      </c>
      <c r="J137" s="46">
        <v>1.02</v>
      </c>
      <c r="K137" s="29">
        <f t="shared" si="38"/>
        <v>615371.385667947</v>
      </c>
      <c r="L137" s="29">
        <f t="shared" si="42"/>
        <v>116920.56327690987</v>
      </c>
      <c r="M137" s="29">
        <f t="shared" si="48"/>
        <v>498450.82239103713</v>
      </c>
      <c r="N137" s="29">
        <f t="shared" si="44"/>
        <v>25304.614332053032</v>
      </c>
      <c r="O137" s="29">
        <f t="shared" si="45"/>
        <v>523755.43672309018</v>
      </c>
      <c r="P137" s="29">
        <f t="shared" si="46"/>
        <v>7725533.2930866145</v>
      </c>
      <c r="Q137" s="29">
        <f t="shared" si="39"/>
        <v>29494.839896914105</v>
      </c>
      <c r="S137" s="21">
        <f t="shared" si="47"/>
        <v>-1710407.9814006507</v>
      </c>
    </row>
    <row r="138" spans="1:19" x14ac:dyDescent="0.25">
      <c r="A138" s="28">
        <v>27</v>
      </c>
      <c r="B138" s="28"/>
      <c r="C138" s="65">
        <v>710676</v>
      </c>
      <c r="D138" s="66">
        <v>70000</v>
      </c>
      <c r="E138" s="56"/>
      <c r="F138" s="50"/>
      <c r="G138" s="50">
        <f t="shared" si="37"/>
        <v>9971.6063328907403</v>
      </c>
      <c r="H138" s="57">
        <f t="shared" si="40"/>
        <v>14836.839090690666</v>
      </c>
      <c r="I138" s="48">
        <f t="shared" si="41"/>
        <v>24808.445423581405</v>
      </c>
      <c r="J138" s="46">
        <v>1.02</v>
      </c>
      <c r="K138" s="29">
        <f t="shared" si="38"/>
        <v>615867.5545764186</v>
      </c>
      <c r="L138" s="29">
        <f t="shared" si="42"/>
        <v>117014.83536951948</v>
      </c>
      <c r="M138" s="29">
        <f t="shared" si="48"/>
        <v>498852.71920689911</v>
      </c>
      <c r="N138" s="29">
        <f t="shared" si="44"/>
        <v>24808.445423581405</v>
      </c>
      <c r="O138" s="29">
        <f t="shared" si="45"/>
        <v>523661.16463048052</v>
      </c>
      <c r="P138" s="29">
        <f t="shared" si="46"/>
        <v>8249194.4577170946</v>
      </c>
      <c r="Q138" s="29">
        <f t="shared" si="39"/>
        <v>26400.654471414018</v>
      </c>
      <c r="S138" s="21">
        <f t="shared" si="47"/>
        <v>-1684007.3269292368</v>
      </c>
    </row>
    <row r="139" spans="1:19" x14ac:dyDescent="0.25">
      <c r="A139" s="28">
        <v>28</v>
      </c>
      <c r="B139" s="28"/>
      <c r="C139" s="65">
        <v>710676</v>
      </c>
      <c r="D139" s="66">
        <v>70000</v>
      </c>
      <c r="E139" s="56"/>
      <c r="F139" s="50"/>
      <c r="G139" s="50">
        <f t="shared" si="37"/>
        <v>9776.0846400889604</v>
      </c>
      <c r="H139" s="57">
        <f t="shared" si="40"/>
        <v>14545.920677147709</v>
      </c>
      <c r="I139" s="48">
        <f t="shared" si="41"/>
        <v>24322.005317236668</v>
      </c>
      <c r="J139" s="46">
        <v>1.02</v>
      </c>
      <c r="K139" s="29">
        <f t="shared" si="38"/>
        <v>616353.99468276335</v>
      </c>
      <c r="L139" s="29">
        <f t="shared" si="42"/>
        <v>117107.25898972503</v>
      </c>
      <c r="M139" s="29">
        <f t="shared" si="48"/>
        <v>499246.73569303832</v>
      </c>
      <c r="N139" s="29">
        <f t="shared" si="44"/>
        <v>24322.005317236668</v>
      </c>
      <c r="O139" s="29">
        <f t="shared" si="45"/>
        <v>523568.74101027497</v>
      </c>
      <c r="P139" s="29">
        <f t="shared" si="46"/>
        <v>8772763.1987273693</v>
      </c>
      <c r="Q139" s="29">
        <f t="shared" si="39"/>
        <v>23631.150300570753</v>
      </c>
      <c r="S139" s="21">
        <f t="shared" si="47"/>
        <v>-1660376.176628666</v>
      </c>
    </row>
    <row r="140" spans="1:19" x14ac:dyDescent="0.25">
      <c r="A140" s="28">
        <v>29</v>
      </c>
      <c r="B140" s="28"/>
      <c r="C140" s="65">
        <v>710676</v>
      </c>
      <c r="D140" s="66">
        <v>70000</v>
      </c>
      <c r="E140" s="56"/>
      <c r="F140" s="50"/>
      <c r="G140" s="50">
        <f t="shared" si="37"/>
        <v>9584.3967059695697</v>
      </c>
      <c r="H140" s="57">
        <f t="shared" si="40"/>
        <v>14260.706546223246</v>
      </c>
      <c r="I140" s="48">
        <f t="shared" si="41"/>
        <v>23845.103252192814</v>
      </c>
      <c r="J140" s="46">
        <v>1.02</v>
      </c>
      <c r="K140" s="29">
        <f t="shared" si="38"/>
        <v>616830.89674780716</v>
      </c>
      <c r="L140" s="29">
        <f t="shared" si="42"/>
        <v>117197.87038208335</v>
      </c>
      <c r="M140" s="29">
        <f t="shared" si="48"/>
        <v>499633.02636572381</v>
      </c>
      <c r="N140" s="29">
        <f t="shared" si="44"/>
        <v>23845.103252192814</v>
      </c>
      <c r="O140" s="29">
        <f t="shared" si="45"/>
        <v>523478.12961791665</v>
      </c>
      <c r="P140" s="29">
        <f t="shared" si="46"/>
        <v>9296241.3283452857</v>
      </c>
      <c r="Q140" s="29">
        <f t="shared" si="39"/>
        <v>21152.247606964622</v>
      </c>
      <c r="S140" s="21">
        <f t="shared" si="47"/>
        <v>-1639223.9290217014</v>
      </c>
    </row>
    <row r="141" spans="1:19" ht="15.75" thickBot="1" x14ac:dyDescent="0.3">
      <c r="A141" s="28">
        <v>30</v>
      </c>
      <c r="B141" s="28"/>
      <c r="C141" s="65">
        <v>710676</v>
      </c>
      <c r="D141" s="66">
        <v>70000</v>
      </c>
      <c r="E141" s="58"/>
      <c r="F141" s="59"/>
      <c r="G141" s="59">
        <f t="shared" si="37"/>
        <v>9396.4673587936959</v>
      </c>
      <c r="H141" s="60">
        <f t="shared" si="40"/>
        <v>13981.084849238476</v>
      </c>
      <c r="I141" s="48">
        <f t="shared" si="41"/>
        <v>23377.552208032172</v>
      </c>
      <c r="J141" s="46">
        <v>1.02</v>
      </c>
      <c r="K141" s="29">
        <f t="shared" si="38"/>
        <v>617298.44779196777</v>
      </c>
      <c r="L141" s="29">
        <f t="shared" si="42"/>
        <v>117286.70508047385</v>
      </c>
      <c r="M141" s="29">
        <f t="shared" si="48"/>
        <v>500011.74271149392</v>
      </c>
      <c r="N141" s="29">
        <f t="shared" si="44"/>
        <v>23377.552208032172</v>
      </c>
      <c r="O141" s="30">
        <f t="shared" si="45"/>
        <v>523389.29491952609</v>
      </c>
      <c r="P141" s="30">
        <f t="shared" si="46"/>
        <v>9819630.6232648119</v>
      </c>
      <c r="Q141" s="29">
        <f t="shared" si="39"/>
        <v>18933.444988331914</v>
      </c>
      <c r="S141" s="21">
        <f t="shared" si="47"/>
        <v>-1620290.4840333695</v>
      </c>
    </row>
    <row r="142" spans="1:19" ht="15.75" thickBot="1" x14ac:dyDescent="0.3">
      <c r="A142" s="24"/>
      <c r="B142" s="24"/>
      <c r="C142" s="24"/>
      <c r="D142" s="24"/>
      <c r="E142" s="24"/>
      <c r="F142" s="25"/>
      <c r="G142" s="24"/>
      <c r="H142" s="24"/>
      <c r="I142" s="24"/>
      <c r="J142" s="24"/>
      <c r="K142" s="24"/>
      <c r="L142" s="24"/>
      <c r="M142" s="24"/>
      <c r="N142" s="92" t="s">
        <v>72</v>
      </c>
      <c r="O142" s="93"/>
      <c r="P142" s="94"/>
      <c r="Q142" s="29">
        <f>SUM(Q112:Q141)</f>
        <v>4379709.5159666343</v>
      </c>
    </row>
    <row r="143" spans="1:19" ht="15.75" thickBot="1" x14ac:dyDescent="0.3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95" t="s">
        <v>73</v>
      </c>
      <c r="O143" s="96"/>
      <c r="P143" s="96"/>
      <c r="Q143" s="31">
        <f>Q142-B111</f>
        <v>-1620290.4840333657</v>
      </c>
    </row>
    <row r="145" spans="1:19" ht="15.75" thickBot="1" x14ac:dyDescent="0.3"/>
    <row r="146" spans="1:19" ht="27" thickBot="1" x14ac:dyDescent="0.3">
      <c r="A146" s="68" t="s">
        <v>68</v>
      </c>
      <c r="B146" s="69" t="s">
        <v>59</v>
      </c>
      <c r="C146" s="69" t="s">
        <v>71</v>
      </c>
      <c r="D146" s="45" t="s">
        <v>70</v>
      </c>
      <c r="E146" s="51" t="s">
        <v>91</v>
      </c>
      <c r="F146" s="52" t="s">
        <v>92</v>
      </c>
      <c r="G146" s="52" t="s">
        <v>93</v>
      </c>
      <c r="H146" s="53" t="s">
        <v>94</v>
      </c>
      <c r="I146" s="69" t="s">
        <v>96</v>
      </c>
      <c r="J146" s="69" t="s">
        <v>95</v>
      </c>
      <c r="K146" s="45" t="s">
        <v>65</v>
      </c>
      <c r="L146" s="69" t="s">
        <v>66</v>
      </c>
      <c r="M146" s="45" t="s">
        <v>67</v>
      </c>
      <c r="N146" s="69" t="s">
        <v>64</v>
      </c>
      <c r="O146" s="45" t="s">
        <v>87</v>
      </c>
      <c r="P146" s="90" t="s">
        <v>60</v>
      </c>
      <c r="Q146" s="61" t="s">
        <v>103</v>
      </c>
    </row>
    <row r="147" spans="1:19" x14ac:dyDescent="0.25">
      <c r="A147" s="24">
        <v>0</v>
      </c>
      <c r="B147" s="25">
        <v>6000000</v>
      </c>
      <c r="C147" s="24"/>
      <c r="D147" s="26" t="s">
        <v>69</v>
      </c>
      <c r="E147" s="54"/>
      <c r="F147" s="49"/>
      <c r="G147" s="49"/>
      <c r="H147" s="55"/>
      <c r="I147" s="24"/>
      <c r="J147" s="24"/>
      <c r="K147" s="24"/>
      <c r="L147" s="24"/>
      <c r="M147" s="24"/>
      <c r="N147" s="24"/>
      <c r="O147" s="24"/>
      <c r="P147" s="91"/>
      <c r="Q147" s="27"/>
    </row>
    <row r="148" spans="1:19" x14ac:dyDescent="0.25">
      <c r="A148" s="28">
        <v>1</v>
      </c>
      <c r="B148" s="28"/>
      <c r="C148" s="65">
        <v>710676</v>
      </c>
      <c r="D148" s="66">
        <v>70000</v>
      </c>
      <c r="E148" s="56">
        <f>$E$40/$F$40/J148^A148</f>
        <v>50393.333333333328</v>
      </c>
      <c r="F148" s="50">
        <f t="shared" ref="F148:F157" si="49">$E$39/$F$39/J148^A148</f>
        <v>14348.627450980392</v>
      </c>
      <c r="G148" s="50">
        <f t="shared" ref="G148:G177" si="50">$E$38/$F$38/J148^A148</f>
        <v>16686.666666666668</v>
      </c>
      <c r="H148" s="57">
        <f>$E$37/$F$37/J148^A148</f>
        <v>24828.235294117647</v>
      </c>
      <c r="I148" s="48">
        <f>SUM(E148:H148)</f>
        <v>106256.86274509804</v>
      </c>
      <c r="J148" s="46">
        <v>1.02</v>
      </c>
      <c r="K148" s="29">
        <f t="shared" ref="K148:K177" si="51">C148-(D148+I148)</f>
        <v>534419.13725490193</v>
      </c>
      <c r="L148" s="29">
        <f>K148-M148</f>
        <v>101539.63607843133</v>
      </c>
      <c r="M148" s="29">
        <f>K148*0.81</f>
        <v>432879.5011764706</v>
      </c>
      <c r="N148" s="29">
        <f>I148</f>
        <v>106256.86274509804</v>
      </c>
      <c r="O148" s="29">
        <f>M148+N148</f>
        <v>539136.36392156861</v>
      </c>
      <c r="P148" s="29">
        <f>O148-$B$2</f>
        <v>-5460863.6360784313</v>
      </c>
      <c r="Q148" s="29">
        <f>O148/(1+0.08)^A148</f>
        <v>499200.33696441533</v>
      </c>
      <c r="S148" s="21">
        <f>Q148-B147</f>
        <v>-5500799.6630355846</v>
      </c>
    </row>
    <row r="149" spans="1:19" x14ac:dyDescent="0.25">
      <c r="A149" s="28">
        <v>2</v>
      </c>
      <c r="B149" s="28"/>
      <c r="C149" s="65">
        <v>710676</v>
      </c>
      <c r="D149" s="66">
        <v>70000</v>
      </c>
      <c r="E149" s="56">
        <f>$E$40/$F$40/J149^A149</f>
        <v>49405.228758169935</v>
      </c>
      <c r="F149" s="50">
        <f t="shared" si="49"/>
        <v>14067.281814686659</v>
      </c>
      <c r="G149" s="50">
        <f t="shared" si="50"/>
        <v>16359.477124183008</v>
      </c>
      <c r="H149" s="57">
        <f t="shared" ref="H149:H177" si="52">$E$37/$F$37/J149^A149</f>
        <v>24341.407151095733</v>
      </c>
      <c r="I149" s="48">
        <f t="shared" ref="I149:I177" si="53">SUM(E149:H149)</f>
        <v>104173.39484813533</v>
      </c>
      <c r="J149" s="46">
        <v>1.02</v>
      </c>
      <c r="K149" s="29">
        <f t="shared" si="51"/>
        <v>536502.6051518647</v>
      </c>
      <c r="L149" s="29">
        <f t="shared" ref="L149:L177" si="54">K149-M149</f>
        <v>101935.49497885426</v>
      </c>
      <c r="M149" s="29">
        <f t="shared" ref="M149:M152" si="55">K149*0.81</f>
        <v>434567.11017301044</v>
      </c>
      <c r="N149" s="29">
        <f t="shared" ref="N149:N177" si="56">I149</f>
        <v>104173.39484813533</v>
      </c>
      <c r="O149" s="29">
        <f t="shared" ref="O149:O177" si="57">M149+N149</f>
        <v>538740.5050211458</v>
      </c>
      <c r="P149" s="29">
        <f>P148+O149</f>
        <v>-4922123.1310572857</v>
      </c>
      <c r="Q149" s="29">
        <f t="shared" ref="Q149:Q177" si="58">O149/(1+0.08)^A149</f>
        <v>461883.14902361605</v>
      </c>
      <c r="S149" s="21">
        <f>S148+Q149</f>
        <v>-5038916.5140119689</v>
      </c>
    </row>
    <row r="150" spans="1:19" x14ac:dyDescent="0.25">
      <c r="A150" s="28">
        <v>3</v>
      </c>
      <c r="B150" s="28"/>
      <c r="C150" s="65">
        <v>710676</v>
      </c>
      <c r="D150" s="66">
        <v>70000</v>
      </c>
      <c r="E150" s="56">
        <f>$E$40/$F$40/J150^A150</f>
        <v>48436.498782519542</v>
      </c>
      <c r="F150" s="50">
        <f t="shared" si="49"/>
        <v>13791.452759496726</v>
      </c>
      <c r="G150" s="50">
        <f t="shared" si="50"/>
        <v>16038.703062924518</v>
      </c>
      <c r="H150" s="57">
        <f t="shared" si="52"/>
        <v>23864.124657936994</v>
      </c>
      <c r="I150" s="48">
        <f t="shared" si="53"/>
        <v>102130.77926287777</v>
      </c>
      <c r="J150" s="46">
        <v>1.02</v>
      </c>
      <c r="K150" s="29">
        <f t="shared" si="51"/>
        <v>538545.22073712223</v>
      </c>
      <c r="L150" s="29">
        <f t="shared" si="54"/>
        <v>102323.59194005321</v>
      </c>
      <c r="M150" s="29">
        <f t="shared" si="55"/>
        <v>436221.62879706902</v>
      </c>
      <c r="N150" s="29">
        <f t="shared" si="56"/>
        <v>102130.77926287777</v>
      </c>
      <c r="O150" s="29">
        <f t="shared" si="57"/>
        <v>538352.40805994673</v>
      </c>
      <c r="P150" s="29">
        <f t="shared" ref="P150:P177" si="59">P149+O150</f>
        <v>-4383770.7229973394</v>
      </c>
      <c r="Q150" s="29">
        <f t="shared" si="58"/>
        <v>427361.49854883231</v>
      </c>
      <c r="S150" s="21">
        <f t="shared" ref="S150:S177" si="60">S149+Q150</f>
        <v>-4611555.0154631361</v>
      </c>
    </row>
    <row r="151" spans="1:19" x14ac:dyDescent="0.25">
      <c r="A151" s="28">
        <v>4</v>
      </c>
      <c r="B151" s="28"/>
      <c r="C151" s="65">
        <v>710676</v>
      </c>
      <c r="D151" s="66">
        <v>70000</v>
      </c>
      <c r="E151" s="56">
        <f>$E$40/$F$40/J151^A151</f>
        <v>47486.763512274061</v>
      </c>
      <c r="F151" s="50">
        <f t="shared" si="49"/>
        <v>13521.032117153653</v>
      </c>
      <c r="G151" s="50">
        <f t="shared" si="50"/>
        <v>15724.218689141684</v>
      </c>
      <c r="H151" s="57">
        <f t="shared" si="52"/>
        <v>23396.200645036268</v>
      </c>
      <c r="I151" s="48">
        <f t="shared" si="53"/>
        <v>100128.21496360566</v>
      </c>
      <c r="J151" s="46">
        <v>1.02</v>
      </c>
      <c r="K151" s="29">
        <f t="shared" si="51"/>
        <v>540547.78503639437</v>
      </c>
      <c r="L151" s="29">
        <f t="shared" si="54"/>
        <v>102704.0791569149</v>
      </c>
      <c r="M151" s="29">
        <f t="shared" si="55"/>
        <v>437843.70587947947</v>
      </c>
      <c r="N151" s="29">
        <f t="shared" si="56"/>
        <v>100128.21496360566</v>
      </c>
      <c r="O151" s="29">
        <f t="shared" si="57"/>
        <v>537971.92084308516</v>
      </c>
      <c r="P151" s="29">
        <f t="shared" si="59"/>
        <v>-3845798.8021542542</v>
      </c>
      <c r="Q151" s="29">
        <f t="shared" si="58"/>
        <v>395425.42178591806</v>
      </c>
      <c r="S151" s="21">
        <f t="shared" si="60"/>
        <v>-4216129.5936772181</v>
      </c>
    </row>
    <row r="152" spans="1:19" x14ac:dyDescent="0.25">
      <c r="A152" s="28">
        <v>5</v>
      </c>
      <c r="B152" s="28"/>
      <c r="C152" s="65">
        <v>710676</v>
      </c>
      <c r="D152" s="66">
        <v>70000</v>
      </c>
      <c r="E152" s="56">
        <f>$E$40/$F$40/J152^A152</f>
        <v>46555.650502229473</v>
      </c>
      <c r="F152" s="50">
        <f t="shared" si="49"/>
        <v>13255.913840346717</v>
      </c>
      <c r="G152" s="50">
        <f t="shared" si="50"/>
        <v>15415.900675629102</v>
      </c>
      <c r="H152" s="57">
        <f t="shared" si="52"/>
        <v>22937.451612780653</v>
      </c>
      <c r="I152" s="48">
        <f t="shared" si="53"/>
        <v>98164.916630985943</v>
      </c>
      <c r="J152" s="46">
        <v>1.02</v>
      </c>
      <c r="K152" s="29">
        <f t="shared" si="51"/>
        <v>542511.08336901409</v>
      </c>
      <c r="L152" s="29">
        <f t="shared" si="54"/>
        <v>103077.10584011266</v>
      </c>
      <c r="M152" s="29">
        <f t="shared" si="55"/>
        <v>439433.97752890142</v>
      </c>
      <c r="N152" s="29">
        <f t="shared" si="56"/>
        <v>98164.916630985943</v>
      </c>
      <c r="O152" s="29">
        <f t="shared" si="57"/>
        <v>537598.89415988734</v>
      </c>
      <c r="P152" s="29">
        <f t="shared" si="59"/>
        <v>-3308199.9079943667</v>
      </c>
      <c r="Q152" s="29">
        <f t="shared" si="58"/>
        <v>365880.77410914632</v>
      </c>
      <c r="S152" s="21">
        <f t="shared" si="60"/>
        <v>-3850248.8195680715</v>
      </c>
    </row>
    <row r="153" spans="1:19" x14ac:dyDescent="0.25">
      <c r="A153" s="28">
        <v>6</v>
      </c>
      <c r="B153" s="28"/>
      <c r="C153" s="65">
        <v>710676</v>
      </c>
      <c r="D153" s="66">
        <v>70000</v>
      </c>
      <c r="E153" s="56"/>
      <c r="F153" s="50">
        <f t="shared" si="49"/>
        <v>12995.993961124232</v>
      </c>
      <c r="G153" s="50">
        <f t="shared" si="50"/>
        <v>15113.628113361863</v>
      </c>
      <c r="H153" s="57">
        <f t="shared" si="52"/>
        <v>22487.697659588874</v>
      </c>
      <c r="I153" s="48">
        <f t="shared" si="53"/>
        <v>50597.319734074968</v>
      </c>
      <c r="J153" s="46">
        <v>1.02</v>
      </c>
      <c r="K153" s="29">
        <f t="shared" si="51"/>
        <v>590078.68026592501</v>
      </c>
      <c r="L153" s="29">
        <f t="shared" si="54"/>
        <v>112114.94925052574</v>
      </c>
      <c r="M153" s="29">
        <f>K153*0.81</f>
        <v>477963.73101539927</v>
      </c>
      <c r="N153" s="29">
        <f t="shared" si="56"/>
        <v>50597.319734074968</v>
      </c>
      <c r="O153" s="29">
        <f t="shared" si="57"/>
        <v>528561.05074947421</v>
      </c>
      <c r="P153" s="29">
        <f t="shared" si="59"/>
        <v>-2779638.8572448925</v>
      </c>
      <c r="Q153" s="29">
        <f t="shared" si="58"/>
        <v>333083.12013573787</v>
      </c>
      <c r="S153" s="21">
        <f t="shared" si="60"/>
        <v>-3517165.6994323335</v>
      </c>
    </row>
    <row r="154" spans="1:19" x14ac:dyDescent="0.25">
      <c r="A154" s="28">
        <v>7</v>
      </c>
      <c r="B154" s="28"/>
      <c r="C154" s="65">
        <v>710676</v>
      </c>
      <c r="D154" s="66">
        <v>70000</v>
      </c>
      <c r="E154" s="56"/>
      <c r="F154" s="50">
        <f t="shared" si="49"/>
        <v>12741.170550121798</v>
      </c>
      <c r="G154" s="50">
        <f t="shared" si="50"/>
        <v>14817.282464080261</v>
      </c>
      <c r="H154" s="57">
        <f t="shared" si="52"/>
        <v>22046.762411361648</v>
      </c>
      <c r="I154" s="48">
        <f t="shared" si="53"/>
        <v>49605.215425563707</v>
      </c>
      <c r="J154" s="46">
        <v>1.02</v>
      </c>
      <c r="K154" s="29">
        <f t="shared" si="51"/>
        <v>591070.78457443626</v>
      </c>
      <c r="L154" s="29">
        <f t="shared" si="54"/>
        <v>112303.44906914287</v>
      </c>
      <c r="M154" s="29">
        <f t="shared" ref="M154:M177" si="61">K154*0.81</f>
        <v>478767.33550529339</v>
      </c>
      <c r="N154" s="29">
        <f t="shared" si="56"/>
        <v>49605.215425563707</v>
      </c>
      <c r="O154" s="29">
        <f t="shared" si="57"/>
        <v>528372.55093085708</v>
      </c>
      <c r="P154" s="29">
        <f t="shared" si="59"/>
        <v>-2251266.3063140353</v>
      </c>
      <c r="Q154" s="29">
        <f t="shared" si="58"/>
        <v>308300.30858830776</v>
      </c>
      <c r="S154" s="21">
        <f t="shared" si="60"/>
        <v>-3208865.3908440256</v>
      </c>
    </row>
    <row r="155" spans="1:19" x14ac:dyDescent="0.25">
      <c r="A155" s="28">
        <v>8</v>
      </c>
      <c r="B155" s="28"/>
      <c r="C155" s="65">
        <v>710676</v>
      </c>
      <c r="D155" s="66">
        <v>70000</v>
      </c>
      <c r="E155" s="56"/>
      <c r="F155" s="50">
        <f t="shared" si="49"/>
        <v>12491.343676589997</v>
      </c>
      <c r="G155" s="50">
        <f t="shared" si="50"/>
        <v>14526.747513804177</v>
      </c>
      <c r="H155" s="57">
        <f t="shared" si="52"/>
        <v>21614.472952315336</v>
      </c>
      <c r="I155" s="48">
        <f t="shared" si="53"/>
        <v>48632.564142709511</v>
      </c>
      <c r="J155" s="46">
        <v>1.02</v>
      </c>
      <c r="K155" s="29">
        <f t="shared" si="51"/>
        <v>592043.43585729052</v>
      </c>
      <c r="L155" s="29">
        <f t="shared" si="54"/>
        <v>112488.25281288516</v>
      </c>
      <c r="M155" s="29">
        <f t="shared" si="61"/>
        <v>479555.18304440536</v>
      </c>
      <c r="N155" s="29">
        <f t="shared" si="56"/>
        <v>48632.564142709511</v>
      </c>
      <c r="O155" s="29">
        <f t="shared" si="57"/>
        <v>528187.7471871149</v>
      </c>
      <c r="P155" s="29">
        <f t="shared" si="59"/>
        <v>-1723078.5591269205</v>
      </c>
      <c r="Q155" s="29">
        <f t="shared" si="58"/>
        <v>285363.40498039417</v>
      </c>
      <c r="S155" s="21">
        <f t="shared" si="60"/>
        <v>-2923501.9858636316</v>
      </c>
    </row>
    <row r="156" spans="1:19" x14ac:dyDescent="0.25">
      <c r="A156" s="28">
        <v>9</v>
      </c>
      <c r="B156" s="28"/>
      <c r="C156" s="65">
        <v>710676</v>
      </c>
      <c r="D156" s="66">
        <v>70000</v>
      </c>
      <c r="E156" s="56"/>
      <c r="F156" s="50">
        <f t="shared" si="49"/>
        <v>12246.415369205881</v>
      </c>
      <c r="G156" s="50">
        <f t="shared" si="50"/>
        <v>14241.909327258996</v>
      </c>
      <c r="H156" s="57">
        <f t="shared" si="52"/>
        <v>21190.659757171899</v>
      </c>
      <c r="I156" s="48">
        <f t="shared" si="53"/>
        <v>47678.984453636775</v>
      </c>
      <c r="J156" s="46">
        <v>1.02</v>
      </c>
      <c r="K156" s="29">
        <f t="shared" si="51"/>
        <v>592997.0155463632</v>
      </c>
      <c r="L156" s="29">
        <f t="shared" si="54"/>
        <v>112669.43295380898</v>
      </c>
      <c r="M156" s="29">
        <f t="shared" si="61"/>
        <v>480327.58259255422</v>
      </c>
      <c r="N156" s="29">
        <f t="shared" si="56"/>
        <v>47678.984453636775</v>
      </c>
      <c r="O156" s="29">
        <f t="shared" si="57"/>
        <v>528006.56704619096</v>
      </c>
      <c r="P156" s="29">
        <f t="shared" si="59"/>
        <v>-1195071.9920807295</v>
      </c>
      <c r="Q156" s="29">
        <f t="shared" si="58"/>
        <v>264134.73980348447</v>
      </c>
      <c r="S156" s="21">
        <f t="shared" si="60"/>
        <v>-2659367.246060147</v>
      </c>
    </row>
    <row r="157" spans="1:19" x14ac:dyDescent="0.25">
      <c r="A157" s="28">
        <v>10</v>
      </c>
      <c r="B157" s="28"/>
      <c r="C157" s="65">
        <v>710676</v>
      </c>
      <c r="D157" s="66">
        <v>70000</v>
      </c>
      <c r="E157" s="56"/>
      <c r="F157" s="50">
        <f t="shared" si="49"/>
        <v>12006.289577652824</v>
      </c>
      <c r="G157" s="50">
        <f t="shared" si="50"/>
        <v>13962.656203195094</v>
      </c>
      <c r="H157" s="57">
        <f t="shared" si="52"/>
        <v>20775.156624678333</v>
      </c>
      <c r="I157" s="48">
        <f t="shared" si="53"/>
        <v>46744.102405526253</v>
      </c>
      <c r="J157" s="46">
        <v>1.02</v>
      </c>
      <c r="K157" s="29">
        <f t="shared" si="51"/>
        <v>593931.89759447379</v>
      </c>
      <c r="L157" s="29">
        <f t="shared" si="54"/>
        <v>112847.06054295</v>
      </c>
      <c r="M157" s="29">
        <f t="shared" si="61"/>
        <v>481084.83705152379</v>
      </c>
      <c r="N157" s="29">
        <f t="shared" si="56"/>
        <v>46744.102405526253</v>
      </c>
      <c r="O157" s="29">
        <f t="shared" si="57"/>
        <v>527828.93945705006</v>
      </c>
      <c r="P157" s="29">
        <f t="shared" si="59"/>
        <v>-667243.0526236794</v>
      </c>
      <c r="Q157" s="29">
        <f t="shared" si="58"/>
        <v>244486.92757915065</v>
      </c>
      <c r="S157" s="21">
        <f t="shared" si="60"/>
        <v>-2414880.3184809964</v>
      </c>
    </row>
    <row r="158" spans="1:19" x14ac:dyDescent="0.25">
      <c r="A158" s="28">
        <v>11</v>
      </c>
      <c r="B158" s="28"/>
      <c r="C158" s="65">
        <v>710676</v>
      </c>
      <c r="D158" s="66">
        <v>70000</v>
      </c>
      <c r="E158" s="56"/>
      <c r="F158" s="50"/>
      <c r="G158" s="50">
        <f t="shared" si="50"/>
        <v>13688.878630583429</v>
      </c>
      <c r="H158" s="57">
        <f t="shared" si="52"/>
        <v>20367.800612429743</v>
      </c>
      <c r="I158" s="48">
        <f t="shared" si="53"/>
        <v>34056.679243013175</v>
      </c>
      <c r="J158" s="46">
        <v>1.02</v>
      </c>
      <c r="K158" s="29">
        <f t="shared" si="51"/>
        <v>606619.32075698685</v>
      </c>
      <c r="L158" s="29">
        <f t="shared" si="54"/>
        <v>115257.67094382748</v>
      </c>
      <c r="M158" s="29">
        <f t="shared" si="61"/>
        <v>491361.64981315937</v>
      </c>
      <c r="N158" s="29">
        <f t="shared" si="56"/>
        <v>34056.679243013175</v>
      </c>
      <c r="O158" s="29">
        <f t="shared" si="57"/>
        <v>525418.32905617252</v>
      </c>
      <c r="P158" s="29">
        <f t="shared" si="59"/>
        <v>-141824.72356750688</v>
      </c>
      <c r="Q158" s="29">
        <f t="shared" si="58"/>
        <v>225342.91531403238</v>
      </c>
      <c r="S158" s="21">
        <f t="shared" si="60"/>
        <v>-2189537.4031669642</v>
      </c>
    </row>
    <row r="159" spans="1:19" x14ac:dyDescent="0.25">
      <c r="A159" s="28">
        <v>12</v>
      </c>
      <c r="B159" s="28"/>
      <c r="C159" s="65">
        <v>710676</v>
      </c>
      <c r="D159" s="66">
        <v>70000</v>
      </c>
      <c r="E159" s="56"/>
      <c r="F159" s="50"/>
      <c r="G159" s="50">
        <f t="shared" si="50"/>
        <v>13420.469245670025</v>
      </c>
      <c r="H159" s="57">
        <f t="shared" si="52"/>
        <v>19968.431972970331</v>
      </c>
      <c r="I159" s="48">
        <f t="shared" si="53"/>
        <v>33388.901218640356</v>
      </c>
      <c r="J159" s="46">
        <v>1.02</v>
      </c>
      <c r="K159" s="29">
        <f t="shared" si="51"/>
        <v>607287.09878135961</v>
      </c>
      <c r="L159" s="29">
        <f t="shared" si="54"/>
        <v>115384.54876845831</v>
      </c>
      <c r="M159" s="29">
        <f t="shared" si="61"/>
        <v>491902.55001290131</v>
      </c>
      <c r="N159" s="29">
        <f t="shared" si="56"/>
        <v>33388.901218640356</v>
      </c>
      <c r="O159" s="29">
        <f t="shared" si="57"/>
        <v>525291.45123154169</v>
      </c>
      <c r="P159" s="29">
        <f t="shared" si="59"/>
        <v>383466.72766403481</v>
      </c>
      <c r="Q159" s="29">
        <f t="shared" si="58"/>
        <v>208600.46258316495</v>
      </c>
      <c r="S159" s="21">
        <f t="shared" si="60"/>
        <v>-1980936.9405837993</v>
      </c>
    </row>
    <row r="160" spans="1:19" x14ac:dyDescent="0.25">
      <c r="A160" s="28">
        <v>13</v>
      </c>
      <c r="B160" s="28"/>
      <c r="C160" s="65">
        <v>710676</v>
      </c>
      <c r="D160" s="66">
        <v>70000</v>
      </c>
      <c r="E160" s="56"/>
      <c r="F160" s="50"/>
      <c r="G160" s="50">
        <f t="shared" si="50"/>
        <v>13157.322789872575</v>
      </c>
      <c r="H160" s="57">
        <f t="shared" si="52"/>
        <v>19576.894091147384</v>
      </c>
      <c r="I160" s="48">
        <f t="shared" si="53"/>
        <v>32734.216881019958</v>
      </c>
      <c r="J160" s="46">
        <v>1.02</v>
      </c>
      <c r="K160" s="29">
        <f t="shared" si="51"/>
        <v>607941.78311898001</v>
      </c>
      <c r="L160" s="29">
        <f t="shared" si="54"/>
        <v>115508.93879260618</v>
      </c>
      <c r="M160" s="29">
        <f t="shared" si="61"/>
        <v>492432.84432637383</v>
      </c>
      <c r="N160" s="29">
        <f t="shared" si="56"/>
        <v>32734.216881019958</v>
      </c>
      <c r="O160" s="29">
        <f t="shared" si="57"/>
        <v>525167.06120739377</v>
      </c>
      <c r="P160" s="29">
        <f t="shared" si="59"/>
        <v>908633.78887142858</v>
      </c>
      <c r="Q160" s="29">
        <f t="shared" si="58"/>
        <v>193102.83851216434</v>
      </c>
      <c r="S160" s="21">
        <f t="shared" si="60"/>
        <v>-1787834.102071635</v>
      </c>
    </row>
    <row r="161" spans="1:19" x14ac:dyDescent="0.25">
      <c r="A161" s="28">
        <v>14</v>
      </c>
      <c r="B161" s="28"/>
      <c r="C161" s="65">
        <v>710676</v>
      </c>
      <c r="D161" s="66">
        <v>70000</v>
      </c>
      <c r="E161" s="56"/>
      <c r="F161" s="50"/>
      <c r="G161" s="50">
        <f t="shared" si="50"/>
        <v>12899.336068502524</v>
      </c>
      <c r="H161" s="57">
        <f t="shared" si="52"/>
        <v>19193.033422693512</v>
      </c>
      <c r="I161" s="48">
        <f t="shared" si="53"/>
        <v>32092.369491196034</v>
      </c>
      <c r="J161" s="46">
        <v>1.02</v>
      </c>
      <c r="K161" s="29">
        <f t="shared" si="51"/>
        <v>608583.630508804</v>
      </c>
      <c r="L161" s="29">
        <f t="shared" si="54"/>
        <v>115630.88979667274</v>
      </c>
      <c r="M161" s="29">
        <f t="shared" si="61"/>
        <v>492952.74071213126</v>
      </c>
      <c r="N161" s="29">
        <f t="shared" si="56"/>
        <v>32092.369491196034</v>
      </c>
      <c r="O161" s="29">
        <f t="shared" si="57"/>
        <v>525045.11020332726</v>
      </c>
      <c r="P161" s="29">
        <f t="shared" si="59"/>
        <v>1433678.8990747558</v>
      </c>
      <c r="Q161" s="29">
        <f t="shared" si="58"/>
        <v>178757.40498246052</v>
      </c>
      <c r="S161" s="21">
        <f t="shared" si="60"/>
        <v>-1609076.6970891745</v>
      </c>
    </row>
    <row r="162" spans="1:19" x14ac:dyDescent="0.25">
      <c r="A162" s="28">
        <v>15</v>
      </c>
      <c r="B162" s="28"/>
      <c r="C162" s="65">
        <v>710676</v>
      </c>
      <c r="D162" s="66">
        <v>70000</v>
      </c>
      <c r="E162" s="56"/>
      <c r="F162" s="50"/>
      <c r="G162" s="50">
        <f t="shared" si="50"/>
        <v>12646.407910296595</v>
      </c>
      <c r="H162" s="57">
        <f t="shared" si="52"/>
        <v>18816.699434013251</v>
      </c>
      <c r="I162" s="48">
        <f t="shared" si="53"/>
        <v>31463.107344309847</v>
      </c>
      <c r="J162" s="46">
        <v>1.02</v>
      </c>
      <c r="K162" s="29">
        <f t="shared" si="51"/>
        <v>609212.8926556902</v>
      </c>
      <c r="L162" s="29">
        <f t="shared" si="54"/>
        <v>115750.44960458111</v>
      </c>
      <c r="M162" s="29">
        <f t="shared" si="61"/>
        <v>493462.44305110909</v>
      </c>
      <c r="N162" s="29">
        <f t="shared" si="56"/>
        <v>31463.107344309847</v>
      </c>
      <c r="O162" s="29">
        <f t="shared" si="57"/>
        <v>524925.55039541889</v>
      </c>
      <c r="P162" s="29">
        <f t="shared" si="59"/>
        <v>1958604.4494701747</v>
      </c>
      <c r="Q162" s="29">
        <f t="shared" si="58"/>
        <v>165478.42548681004</v>
      </c>
      <c r="S162" s="21">
        <f t="shared" si="60"/>
        <v>-1443598.2716023645</v>
      </c>
    </row>
    <row r="163" spans="1:19" x14ac:dyDescent="0.25">
      <c r="A163" s="28">
        <v>16</v>
      </c>
      <c r="B163" s="28"/>
      <c r="C163" s="65">
        <v>710676</v>
      </c>
      <c r="D163" s="66">
        <v>70000</v>
      </c>
      <c r="E163" s="56"/>
      <c r="F163" s="50"/>
      <c r="G163" s="50">
        <f t="shared" si="50"/>
        <v>12398.439127741758</v>
      </c>
      <c r="H163" s="57">
        <f t="shared" si="52"/>
        <v>18447.744543150246</v>
      </c>
      <c r="I163" s="48">
        <f t="shared" si="53"/>
        <v>30846.183670892002</v>
      </c>
      <c r="J163" s="46">
        <v>1.02</v>
      </c>
      <c r="K163" s="29">
        <f t="shared" si="51"/>
        <v>609829.81632910797</v>
      </c>
      <c r="L163" s="29">
        <f t="shared" si="54"/>
        <v>115867.6651025305</v>
      </c>
      <c r="M163" s="29">
        <f t="shared" si="61"/>
        <v>493962.15122657747</v>
      </c>
      <c r="N163" s="29">
        <f t="shared" si="56"/>
        <v>30846.183670892002</v>
      </c>
      <c r="O163" s="29">
        <f t="shared" si="57"/>
        <v>524808.3348974695</v>
      </c>
      <c r="P163" s="29">
        <f t="shared" si="59"/>
        <v>2483412.7843676442</v>
      </c>
      <c r="Q163" s="29">
        <f t="shared" si="58"/>
        <v>153186.5502531371</v>
      </c>
      <c r="S163" s="21">
        <f t="shared" si="60"/>
        <v>-1290411.7213492275</v>
      </c>
    </row>
    <row r="164" spans="1:19" x14ac:dyDescent="0.25">
      <c r="A164" s="28">
        <v>17</v>
      </c>
      <c r="B164" s="28"/>
      <c r="C164" s="65">
        <v>710676</v>
      </c>
      <c r="D164" s="66">
        <v>70000</v>
      </c>
      <c r="E164" s="56"/>
      <c r="F164" s="50"/>
      <c r="G164" s="50">
        <f t="shared" si="50"/>
        <v>12155.332478178192</v>
      </c>
      <c r="H164" s="57">
        <f t="shared" si="52"/>
        <v>18086.024061912001</v>
      </c>
      <c r="I164" s="48">
        <f t="shared" si="53"/>
        <v>30241.356540090193</v>
      </c>
      <c r="J164" s="46">
        <v>1.02</v>
      </c>
      <c r="K164" s="29">
        <f t="shared" si="51"/>
        <v>610434.64345990983</v>
      </c>
      <c r="L164" s="29">
        <f t="shared" si="54"/>
        <v>115982.58225738286</v>
      </c>
      <c r="M164" s="29">
        <f t="shared" si="61"/>
        <v>494452.06120252697</v>
      </c>
      <c r="N164" s="29">
        <f t="shared" si="56"/>
        <v>30241.356540090193</v>
      </c>
      <c r="O164" s="29">
        <f t="shared" si="57"/>
        <v>524693.4177426172</v>
      </c>
      <c r="P164" s="29">
        <f t="shared" si="59"/>
        <v>3008106.2021102617</v>
      </c>
      <c r="Q164" s="29">
        <f t="shared" si="58"/>
        <v>141808.33984358932</v>
      </c>
      <c r="S164" s="21">
        <f t="shared" si="60"/>
        <v>-1148603.3815056381</v>
      </c>
    </row>
    <row r="165" spans="1:19" x14ac:dyDescent="0.25">
      <c r="A165" s="28">
        <v>18</v>
      </c>
      <c r="B165" s="28"/>
      <c r="C165" s="65">
        <v>710676</v>
      </c>
      <c r="D165" s="66">
        <v>70000</v>
      </c>
      <c r="E165" s="56"/>
      <c r="F165" s="50"/>
      <c r="G165" s="50">
        <f t="shared" si="50"/>
        <v>11916.992625664896</v>
      </c>
      <c r="H165" s="57">
        <f t="shared" si="52"/>
        <v>17731.396139129418</v>
      </c>
      <c r="I165" s="48">
        <f t="shared" si="53"/>
        <v>29648.388764794312</v>
      </c>
      <c r="J165" s="46">
        <v>1.02</v>
      </c>
      <c r="K165" s="29">
        <f t="shared" si="51"/>
        <v>611027.61123520567</v>
      </c>
      <c r="L165" s="29">
        <f t="shared" si="54"/>
        <v>116095.24613468902</v>
      </c>
      <c r="M165" s="29">
        <f t="shared" si="61"/>
        <v>494932.36510051665</v>
      </c>
      <c r="N165" s="29">
        <f t="shared" si="56"/>
        <v>29648.388764794312</v>
      </c>
      <c r="O165" s="29">
        <f t="shared" si="57"/>
        <v>524580.75386531092</v>
      </c>
      <c r="P165" s="29">
        <f t="shared" si="59"/>
        <v>3532686.9559755726</v>
      </c>
      <c r="Q165" s="29">
        <f t="shared" si="58"/>
        <v>131275.82434778145</v>
      </c>
      <c r="S165" s="21">
        <f t="shared" si="60"/>
        <v>-1017327.5571578566</v>
      </c>
    </row>
    <row r="166" spans="1:19" x14ac:dyDescent="0.25">
      <c r="A166" s="28">
        <v>19</v>
      </c>
      <c r="B166" s="28"/>
      <c r="C166" s="65">
        <v>710676</v>
      </c>
      <c r="D166" s="66">
        <v>70000</v>
      </c>
      <c r="E166" s="56"/>
      <c r="F166" s="50"/>
      <c r="G166" s="50">
        <f t="shared" si="50"/>
        <v>11683.326103593035</v>
      </c>
      <c r="H166" s="57">
        <f t="shared" si="52"/>
        <v>17383.721705028842</v>
      </c>
      <c r="I166" s="48">
        <f t="shared" si="53"/>
        <v>29067.047808621879</v>
      </c>
      <c r="J166" s="46">
        <v>1.02</v>
      </c>
      <c r="K166" s="29">
        <f t="shared" si="51"/>
        <v>611608.95219137811</v>
      </c>
      <c r="L166" s="29">
        <f t="shared" si="54"/>
        <v>116205.70091636182</v>
      </c>
      <c r="M166" s="29">
        <f t="shared" si="61"/>
        <v>495403.25127501629</v>
      </c>
      <c r="N166" s="29">
        <f t="shared" si="56"/>
        <v>29067.047808621879</v>
      </c>
      <c r="O166" s="29">
        <f t="shared" si="57"/>
        <v>524470.29908363812</v>
      </c>
      <c r="P166" s="29">
        <f t="shared" si="59"/>
        <v>4057157.2550592106</v>
      </c>
      <c r="Q166" s="29">
        <f t="shared" si="58"/>
        <v>121526.09550546907</v>
      </c>
      <c r="S166" s="21">
        <f t="shared" si="60"/>
        <v>-895801.46165238763</v>
      </c>
    </row>
    <row r="167" spans="1:19" x14ac:dyDescent="0.25">
      <c r="A167" s="28">
        <v>20</v>
      </c>
      <c r="B167" s="28"/>
      <c r="C167" s="65">
        <v>710676</v>
      </c>
      <c r="D167" s="66">
        <v>70000</v>
      </c>
      <c r="E167" s="56"/>
      <c r="F167" s="50"/>
      <c r="G167" s="50">
        <f t="shared" si="50"/>
        <v>11454.241278032387</v>
      </c>
      <c r="H167" s="57">
        <f t="shared" si="52"/>
        <v>17042.864416694942</v>
      </c>
      <c r="I167" s="48">
        <f t="shared" si="53"/>
        <v>28497.105694727328</v>
      </c>
      <c r="J167" s="46">
        <v>1.02</v>
      </c>
      <c r="K167" s="29">
        <f t="shared" si="51"/>
        <v>612178.89430527273</v>
      </c>
      <c r="L167" s="29">
        <f t="shared" si="54"/>
        <v>116313.98991800181</v>
      </c>
      <c r="M167" s="29">
        <f t="shared" si="61"/>
        <v>495864.90438727092</v>
      </c>
      <c r="N167" s="29">
        <f t="shared" si="56"/>
        <v>28497.105694727328</v>
      </c>
      <c r="O167" s="29">
        <f t="shared" si="57"/>
        <v>524362.01008199819</v>
      </c>
      <c r="P167" s="29">
        <f t="shared" si="59"/>
        <v>4581519.2651412087</v>
      </c>
      <c r="Q167" s="29">
        <f t="shared" si="58"/>
        <v>112500.92929388053</v>
      </c>
      <c r="S167" s="21">
        <f t="shared" si="60"/>
        <v>-783300.53235850716</v>
      </c>
    </row>
    <row r="168" spans="1:19" x14ac:dyDescent="0.25">
      <c r="A168" s="28">
        <v>21</v>
      </c>
      <c r="B168" s="28"/>
      <c r="C168" s="65">
        <v>710676</v>
      </c>
      <c r="D168" s="66">
        <v>70000</v>
      </c>
      <c r="E168" s="56"/>
      <c r="F168" s="50"/>
      <c r="G168" s="50">
        <f t="shared" si="50"/>
        <v>11229.648311796458</v>
      </c>
      <c r="H168" s="57">
        <f t="shared" si="52"/>
        <v>16708.690604602885</v>
      </c>
      <c r="I168" s="48">
        <f t="shared" si="53"/>
        <v>27938.338916399342</v>
      </c>
      <c r="J168" s="46">
        <v>1.02</v>
      </c>
      <c r="K168" s="29">
        <f t="shared" si="51"/>
        <v>612737.66108360072</v>
      </c>
      <c r="L168" s="29">
        <f t="shared" si="54"/>
        <v>116420.15560588409</v>
      </c>
      <c r="M168" s="29">
        <f t="shared" si="61"/>
        <v>496317.50547771662</v>
      </c>
      <c r="N168" s="29">
        <f t="shared" si="56"/>
        <v>27938.338916399342</v>
      </c>
      <c r="O168" s="29">
        <f t="shared" si="57"/>
        <v>524255.84439411596</v>
      </c>
      <c r="P168" s="29">
        <f t="shared" si="59"/>
        <v>5105775.1095353244</v>
      </c>
      <c r="Q168" s="29">
        <f t="shared" si="58"/>
        <v>104146.43669986812</v>
      </c>
      <c r="S168" s="21">
        <f t="shared" si="60"/>
        <v>-679154.09565863898</v>
      </c>
    </row>
    <row r="169" spans="1:19" x14ac:dyDescent="0.25">
      <c r="A169" s="28">
        <v>22</v>
      </c>
      <c r="B169" s="28"/>
      <c r="C169" s="65">
        <v>710676</v>
      </c>
      <c r="D169" s="66">
        <v>70000</v>
      </c>
      <c r="E169" s="56"/>
      <c r="F169" s="50"/>
      <c r="G169" s="50">
        <f t="shared" si="50"/>
        <v>11009.459129212213</v>
      </c>
      <c r="H169" s="57">
        <f t="shared" si="52"/>
        <v>16381.069220198904</v>
      </c>
      <c r="I169" s="48">
        <f t="shared" si="53"/>
        <v>27390.528349411117</v>
      </c>
      <c r="J169" s="46">
        <v>1.02</v>
      </c>
      <c r="K169" s="29">
        <f t="shared" si="51"/>
        <v>613285.47165058891</v>
      </c>
      <c r="L169" s="29">
        <f t="shared" si="54"/>
        <v>116524.23961361183</v>
      </c>
      <c r="M169" s="29">
        <f t="shared" si="61"/>
        <v>496761.23203697708</v>
      </c>
      <c r="N169" s="29">
        <f t="shared" si="56"/>
        <v>27390.528349411117</v>
      </c>
      <c r="O169" s="29">
        <f t="shared" si="57"/>
        <v>524151.76038638817</v>
      </c>
      <c r="P169" s="29">
        <f t="shared" si="59"/>
        <v>5629926.8699217122</v>
      </c>
      <c r="Q169" s="29">
        <f t="shared" si="58"/>
        <v>96412.740568055669</v>
      </c>
      <c r="S169" s="21">
        <f t="shared" si="60"/>
        <v>-582741.35509058333</v>
      </c>
    </row>
    <row r="170" spans="1:19" x14ac:dyDescent="0.25">
      <c r="A170" s="28">
        <v>23</v>
      </c>
      <c r="B170" s="28"/>
      <c r="C170" s="65">
        <v>710676</v>
      </c>
      <c r="D170" s="66">
        <v>70000</v>
      </c>
      <c r="E170" s="56"/>
      <c r="F170" s="50"/>
      <c r="G170" s="50">
        <f t="shared" si="50"/>
        <v>10793.587381580604</v>
      </c>
      <c r="H170" s="57">
        <f t="shared" si="52"/>
        <v>16059.871784508732</v>
      </c>
      <c r="I170" s="48">
        <f t="shared" si="53"/>
        <v>26853.459166089335</v>
      </c>
      <c r="J170" s="46">
        <v>1.02</v>
      </c>
      <c r="K170" s="29">
        <f t="shared" si="51"/>
        <v>613822.54083391069</v>
      </c>
      <c r="L170" s="29">
        <f t="shared" si="54"/>
        <v>116626.28275844298</v>
      </c>
      <c r="M170" s="29">
        <f t="shared" si="61"/>
        <v>497196.25807546772</v>
      </c>
      <c r="N170" s="29">
        <f t="shared" si="56"/>
        <v>26853.459166089335</v>
      </c>
      <c r="O170" s="29">
        <f t="shared" si="57"/>
        <v>524049.71724155708</v>
      </c>
      <c r="P170" s="29">
        <f t="shared" si="59"/>
        <v>6153976.5871632695</v>
      </c>
      <c r="Q170" s="29">
        <f t="shared" si="58"/>
        <v>89253.676574311234</v>
      </c>
      <c r="S170" s="21">
        <f t="shared" si="60"/>
        <v>-493487.67851627211</v>
      </c>
    </row>
    <row r="171" spans="1:19" x14ac:dyDescent="0.25">
      <c r="A171" s="28">
        <v>24</v>
      </c>
      <c r="B171" s="28"/>
      <c r="C171" s="65">
        <v>710676</v>
      </c>
      <c r="D171" s="66">
        <v>70000</v>
      </c>
      <c r="E171" s="56"/>
      <c r="F171" s="50"/>
      <c r="G171" s="50">
        <f t="shared" si="50"/>
        <v>10581.948413314316</v>
      </c>
      <c r="H171" s="57">
        <f t="shared" si="52"/>
        <v>15744.972337753659</v>
      </c>
      <c r="I171" s="48">
        <f t="shared" si="53"/>
        <v>26326.920751067977</v>
      </c>
      <c r="J171" s="46">
        <v>1.02</v>
      </c>
      <c r="K171" s="29">
        <f t="shared" si="51"/>
        <v>614349.07924893196</v>
      </c>
      <c r="L171" s="29">
        <f t="shared" si="54"/>
        <v>116726.32505729701</v>
      </c>
      <c r="M171" s="29">
        <f t="shared" si="61"/>
        <v>497622.75419163494</v>
      </c>
      <c r="N171" s="29">
        <f t="shared" si="56"/>
        <v>26326.920751067977</v>
      </c>
      <c r="O171" s="29">
        <f t="shared" si="57"/>
        <v>523949.67494270293</v>
      </c>
      <c r="P171" s="29">
        <f t="shared" si="59"/>
        <v>6677926.2621059725</v>
      </c>
      <c r="Q171" s="29">
        <f t="shared" si="58"/>
        <v>82626.51652013039</v>
      </c>
      <c r="S171" s="21">
        <f t="shared" si="60"/>
        <v>-410861.16199614172</v>
      </c>
    </row>
    <row r="172" spans="1:19" x14ac:dyDescent="0.25">
      <c r="A172" s="28">
        <v>25</v>
      </c>
      <c r="B172" s="28"/>
      <c r="C172" s="65">
        <v>710676</v>
      </c>
      <c r="D172" s="66">
        <v>70000</v>
      </c>
      <c r="E172" s="56"/>
      <c r="F172" s="50"/>
      <c r="G172" s="50">
        <f t="shared" si="50"/>
        <v>10374.459228739526</v>
      </c>
      <c r="H172" s="57">
        <f t="shared" si="52"/>
        <v>15436.247389954568</v>
      </c>
      <c r="I172" s="48">
        <f t="shared" si="53"/>
        <v>25810.706618694094</v>
      </c>
      <c r="J172" s="46">
        <v>1.02</v>
      </c>
      <c r="K172" s="29">
        <f t="shared" si="51"/>
        <v>614865.29338130588</v>
      </c>
      <c r="L172" s="29">
        <f t="shared" si="54"/>
        <v>116824.40574244806</v>
      </c>
      <c r="M172" s="29">
        <f t="shared" si="61"/>
        <v>498040.88763885782</v>
      </c>
      <c r="N172" s="29">
        <f t="shared" si="56"/>
        <v>25810.706618694094</v>
      </c>
      <c r="O172" s="29">
        <f t="shared" si="57"/>
        <v>523851.59425755194</v>
      </c>
      <c r="P172" s="29">
        <f t="shared" si="59"/>
        <v>7201777.8563635247</v>
      </c>
      <c r="Q172" s="29">
        <f t="shared" si="58"/>
        <v>76491.71227877737</v>
      </c>
      <c r="S172" s="21">
        <f t="shared" si="60"/>
        <v>-334369.44971736433</v>
      </c>
    </row>
    <row r="173" spans="1:19" x14ac:dyDescent="0.25">
      <c r="A173" s="28">
        <v>26</v>
      </c>
      <c r="B173" s="28"/>
      <c r="C173" s="65">
        <v>710676</v>
      </c>
      <c r="D173" s="66">
        <v>70000</v>
      </c>
      <c r="E173" s="56"/>
      <c r="F173" s="50"/>
      <c r="G173" s="50">
        <f t="shared" si="50"/>
        <v>10171.038459548554</v>
      </c>
      <c r="H173" s="57">
        <f t="shared" si="52"/>
        <v>15133.575872504476</v>
      </c>
      <c r="I173" s="48">
        <f t="shared" si="53"/>
        <v>25304.614332053032</v>
      </c>
      <c r="J173" s="46">
        <v>1.02</v>
      </c>
      <c r="K173" s="29">
        <f t="shared" si="51"/>
        <v>615371.385667947</v>
      </c>
      <c r="L173" s="29">
        <f t="shared" si="54"/>
        <v>116920.56327690987</v>
      </c>
      <c r="M173" s="29">
        <f t="shared" si="61"/>
        <v>498450.82239103713</v>
      </c>
      <c r="N173" s="29">
        <f t="shared" si="56"/>
        <v>25304.614332053032</v>
      </c>
      <c r="O173" s="29">
        <f t="shared" si="57"/>
        <v>523755.43672309018</v>
      </c>
      <c r="P173" s="29">
        <f t="shared" si="59"/>
        <v>7725533.2930866145</v>
      </c>
      <c r="Q173" s="29">
        <f t="shared" si="58"/>
        <v>70812.658849123764</v>
      </c>
      <c r="S173" s="21">
        <f t="shared" si="60"/>
        <v>-263556.79086824058</v>
      </c>
    </row>
    <row r="174" spans="1:19" x14ac:dyDescent="0.25">
      <c r="A174" s="28">
        <v>27</v>
      </c>
      <c r="B174" s="28"/>
      <c r="C174" s="65">
        <v>710676</v>
      </c>
      <c r="D174" s="66">
        <v>70000</v>
      </c>
      <c r="E174" s="56"/>
      <c r="F174" s="50"/>
      <c r="G174" s="50">
        <f t="shared" si="50"/>
        <v>9971.6063328907403</v>
      </c>
      <c r="H174" s="57">
        <f t="shared" si="52"/>
        <v>14836.839090690666</v>
      </c>
      <c r="I174" s="48">
        <f t="shared" si="53"/>
        <v>24808.445423581405</v>
      </c>
      <c r="J174" s="46">
        <v>1.02</v>
      </c>
      <c r="K174" s="29">
        <f t="shared" si="51"/>
        <v>615867.5545764186</v>
      </c>
      <c r="L174" s="29">
        <f t="shared" si="54"/>
        <v>117014.83536951948</v>
      </c>
      <c r="M174" s="29">
        <f t="shared" si="61"/>
        <v>498852.71920689911</v>
      </c>
      <c r="N174" s="29">
        <f t="shared" si="56"/>
        <v>24808.445423581405</v>
      </c>
      <c r="O174" s="29">
        <f t="shared" si="57"/>
        <v>523661.16463048052</v>
      </c>
      <c r="P174" s="29">
        <f t="shared" si="59"/>
        <v>8249194.4577170946</v>
      </c>
      <c r="Q174" s="29">
        <f t="shared" si="58"/>
        <v>65555.475088819483</v>
      </c>
      <c r="S174" s="21">
        <f t="shared" si="60"/>
        <v>-198001.3157794211</v>
      </c>
    </row>
    <row r="175" spans="1:19" x14ac:dyDescent="0.25">
      <c r="A175" s="28">
        <v>28</v>
      </c>
      <c r="B175" s="28"/>
      <c r="C175" s="65">
        <v>710676</v>
      </c>
      <c r="D175" s="66">
        <v>70000</v>
      </c>
      <c r="E175" s="56"/>
      <c r="F175" s="50"/>
      <c r="G175" s="50">
        <f t="shared" si="50"/>
        <v>9776.0846400889604</v>
      </c>
      <c r="H175" s="57">
        <f t="shared" si="52"/>
        <v>14545.920677147709</v>
      </c>
      <c r="I175" s="48">
        <f t="shared" si="53"/>
        <v>24322.005317236668</v>
      </c>
      <c r="J175" s="46">
        <v>1.02</v>
      </c>
      <c r="K175" s="29">
        <f t="shared" si="51"/>
        <v>616353.99468276335</v>
      </c>
      <c r="L175" s="29">
        <f t="shared" si="54"/>
        <v>117107.25898972503</v>
      </c>
      <c r="M175" s="29">
        <f t="shared" si="61"/>
        <v>499246.73569303832</v>
      </c>
      <c r="N175" s="29">
        <f t="shared" si="56"/>
        <v>24322.005317236668</v>
      </c>
      <c r="O175" s="29">
        <f t="shared" si="57"/>
        <v>523568.74101027497</v>
      </c>
      <c r="P175" s="29">
        <f t="shared" si="59"/>
        <v>8772763.1987273693</v>
      </c>
      <c r="Q175" s="29">
        <f t="shared" si="58"/>
        <v>60688.800805431849</v>
      </c>
      <c r="S175" s="21">
        <f t="shared" si="60"/>
        <v>-137312.51497398925</v>
      </c>
    </row>
    <row r="176" spans="1:19" x14ac:dyDescent="0.25">
      <c r="A176" s="28">
        <v>29</v>
      </c>
      <c r="B176" s="28"/>
      <c r="C176" s="65">
        <v>710676</v>
      </c>
      <c r="D176" s="66">
        <v>70000</v>
      </c>
      <c r="E176" s="56"/>
      <c r="F176" s="50"/>
      <c r="G176" s="50">
        <f t="shared" si="50"/>
        <v>9584.3967059695697</v>
      </c>
      <c r="H176" s="57">
        <f t="shared" si="52"/>
        <v>14260.706546223246</v>
      </c>
      <c r="I176" s="48">
        <f t="shared" si="53"/>
        <v>23845.103252192814</v>
      </c>
      <c r="J176" s="46">
        <v>1.02</v>
      </c>
      <c r="K176" s="29">
        <f t="shared" si="51"/>
        <v>616830.89674780716</v>
      </c>
      <c r="L176" s="29">
        <f t="shared" si="54"/>
        <v>117197.87038208335</v>
      </c>
      <c r="M176" s="29">
        <f t="shared" si="61"/>
        <v>499633.02636572381</v>
      </c>
      <c r="N176" s="29">
        <f t="shared" si="56"/>
        <v>23845.103252192814</v>
      </c>
      <c r="O176" s="29">
        <f t="shared" si="57"/>
        <v>523478.12961791665</v>
      </c>
      <c r="P176" s="29">
        <f t="shared" si="59"/>
        <v>9296241.3283452857</v>
      </c>
      <c r="Q176" s="29">
        <f t="shared" si="58"/>
        <v>56183.608983154671</v>
      </c>
      <c r="S176" s="21">
        <f t="shared" si="60"/>
        <v>-81128.905990834581</v>
      </c>
    </row>
    <row r="177" spans="1:19" ht="15.75" thickBot="1" x14ac:dyDescent="0.3">
      <c r="A177" s="28">
        <v>30</v>
      </c>
      <c r="B177" s="28"/>
      <c r="C177" s="65">
        <v>710676</v>
      </c>
      <c r="D177" s="66">
        <v>70000</v>
      </c>
      <c r="E177" s="58"/>
      <c r="F177" s="59"/>
      <c r="G177" s="59">
        <f t="shared" si="50"/>
        <v>9396.4673587936959</v>
      </c>
      <c r="H177" s="60">
        <f t="shared" si="52"/>
        <v>13981.084849238476</v>
      </c>
      <c r="I177" s="48">
        <f t="shared" si="53"/>
        <v>23377.552208032172</v>
      </c>
      <c r="J177" s="46">
        <v>1.02</v>
      </c>
      <c r="K177" s="29">
        <f t="shared" si="51"/>
        <v>617298.44779196777</v>
      </c>
      <c r="L177" s="29">
        <f t="shared" si="54"/>
        <v>117286.70508047385</v>
      </c>
      <c r="M177" s="29">
        <f t="shared" si="61"/>
        <v>500011.74271149392</v>
      </c>
      <c r="N177" s="29">
        <f t="shared" si="56"/>
        <v>23377.552208032172</v>
      </c>
      <c r="O177" s="30">
        <f t="shared" si="57"/>
        <v>523389.29491952609</v>
      </c>
      <c r="P177" s="30">
        <f t="shared" si="59"/>
        <v>9819630.6232648119</v>
      </c>
      <c r="Q177" s="29">
        <f t="shared" si="58"/>
        <v>52013.032014223732</v>
      </c>
      <c r="S177" s="21">
        <f t="shared" si="60"/>
        <v>-29115.873976610848</v>
      </c>
    </row>
    <row r="178" spans="1:19" ht="15.75" thickBot="1" x14ac:dyDescent="0.3">
      <c r="A178" s="24"/>
      <c r="B178" s="24"/>
      <c r="C178" s="24"/>
      <c r="D178" s="24"/>
      <c r="E178" s="24"/>
      <c r="F178" s="25"/>
      <c r="G178" s="24"/>
      <c r="H178" s="24"/>
      <c r="I178" s="24"/>
      <c r="J178" s="24"/>
      <c r="K178" s="24"/>
      <c r="L178" s="24"/>
      <c r="M178" s="24"/>
      <c r="N178" s="92" t="s">
        <v>72</v>
      </c>
      <c r="O178" s="93"/>
      <c r="P178" s="94"/>
      <c r="Q178" s="29">
        <f>SUM(Q148:Q177)</f>
        <v>5970884.1260233894</v>
      </c>
    </row>
    <row r="179" spans="1:19" ht="15.75" thickBot="1" x14ac:dyDescent="0.3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95" t="s">
        <v>73</v>
      </c>
      <c r="O179" s="96"/>
      <c r="P179" s="96"/>
      <c r="Q179" s="31">
        <f>Q178-B147</f>
        <v>-29115.873976610601</v>
      </c>
    </row>
  </sheetData>
  <mergeCells count="15">
    <mergeCell ref="N74:P74"/>
    <mergeCell ref="P76:P77"/>
    <mergeCell ref="N108:P108"/>
    <mergeCell ref="N109:P109"/>
    <mergeCell ref="P1:P2"/>
    <mergeCell ref="N33:P33"/>
    <mergeCell ref="N34:P34"/>
    <mergeCell ref="P41:P42"/>
    <mergeCell ref="N73:P73"/>
    <mergeCell ref="P146:P147"/>
    <mergeCell ref="N178:P178"/>
    <mergeCell ref="N179:P179"/>
    <mergeCell ref="P110:P111"/>
    <mergeCell ref="N142:P142"/>
    <mergeCell ref="N143:P143"/>
  </mergeCells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3121F-3308-4019-9FAD-FDB7E1FF8BAA}">
  <dimension ref="A1:S56"/>
  <sheetViews>
    <sheetView topLeftCell="B43" workbookViewId="0">
      <selection activeCell="E42" sqref="E42:H45"/>
    </sheetView>
  </sheetViews>
  <sheetFormatPr defaultRowHeight="15" x14ac:dyDescent="0.25"/>
  <cols>
    <col min="2" max="2" width="12.28515625" bestFit="1" customWidth="1"/>
    <col min="3" max="3" width="10.85546875" bestFit="1" customWidth="1"/>
    <col min="4" max="4" width="10.5703125" bestFit="1" customWidth="1"/>
    <col min="5" max="5" width="13.42578125" bestFit="1" customWidth="1"/>
    <col min="6" max="6" width="18.85546875" bestFit="1" customWidth="1"/>
    <col min="7" max="7" width="19.85546875" bestFit="1" customWidth="1"/>
    <col min="8" max="8" width="13.140625" customWidth="1"/>
    <col min="9" max="9" width="14.140625" bestFit="1" customWidth="1"/>
    <col min="11" max="11" width="10.85546875" bestFit="1" customWidth="1"/>
    <col min="12" max="12" width="9.85546875" bestFit="1" customWidth="1"/>
    <col min="13" max="15" width="10.85546875" bestFit="1" customWidth="1"/>
    <col min="16" max="17" width="12.28515625" bestFit="1" customWidth="1"/>
    <col min="19" max="19" width="13.5703125" bestFit="1" customWidth="1"/>
  </cols>
  <sheetData>
    <row r="1" spans="1:19" ht="27" thickBot="1" x14ac:dyDescent="0.3">
      <c r="A1" s="68" t="s">
        <v>68</v>
      </c>
      <c r="B1" s="69" t="s">
        <v>59</v>
      </c>
      <c r="C1" s="69" t="s">
        <v>71</v>
      </c>
      <c r="D1" s="45" t="s">
        <v>70</v>
      </c>
      <c r="E1" s="51" t="s">
        <v>91</v>
      </c>
      <c r="F1" s="52" t="s">
        <v>92</v>
      </c>
      <c r="G1" s="52" t="s">
        <v>93</v>
      </c>
      <c r="H1" s="53" t="s">
        <v>94</v>
      </c>
      <c r="I1" s="69" t="s">
        <v>96</v>
      </c>
      <c r="J1" s="69" t="s">
        <v>95</v>
      </c>
      <c r="K1" s="45" t="s">
        <v>65</v>
      </c>
      <c r="L1" s="69" t="s">
        <v>66</v>
      </c>
      <c r="M1" s="45" t="s">
        <v>67</v>
      </c>
      <c r="N1" s="69" t="s">
        <v>64</v>
      </c>
      <c r="O1" s="45" t="s">
        <v>87</v>
      </c>
      <c r="P1" s="90" t="s">
        <v>60</v>
      </c>
      <c r="Q1" s="61" t="s">
        <v>98</v>
      </c>
      <c r="S1" t="s">
        <v>75</v>
      </c>
    </row>
    <row r="2" spans="1:19" x14ac:dyDescent="0.25">
      <c r="A2" s="24">
        <v>0</v>
      </c>
      <c r="B2" s="25">
        <v>6000000</v>
      </c>
      <c r="C2" s="24"/>
      <c r="D2" s="26" t="s">
        <v>69</v>
      </c>
      <c r="E2" s="54"/>
      <c r="F2" s="49"/>
      <c r="G2" s="49"/>
      <c r="H2" s="55"/>
      <c r="I2" s="24"/>
      <c r="J2" s="24"/>
      <c r="K2" s="24"/>
      <c r="L2" s="24"/>
      <c r="M2" s="24"/>
      <c r="N2" s="24"/>
      <c r="O2" s="24"/>
      <c r="P2" s="91"/>
      <c r="Q2" s="27"/>
    </row>
    <row r="3" spans="1:19" x14ac:dyDescent="0.25">
      <c r="A3" s="72">
        <v>1</v>
      </c>
      <c r="B3" s="72"/>
      <c r="C3" s="73">
        <f>SUM(F43:G43)</f>
        <v>178244</v>
      </c>
      <c r="D3" s="74">
        <f>H43</f>
        <v>60538</v>
      </c>
      <c r="E3" s="56">
        <f>$E$40/$F$40/J3^A3</f>
        <v>50343.976493633694</v>
      </c>
      <c r="F3" s="50">
        <f t="shared" ref="F3:F12" si="0">$E$39/$F$39/J3^A3</f>
        <v>14334.573947110677</v>
      </c>
      <c r="G3" s="50">
        <f t="shared" ref="G3:G32" si="1">$E$38/$F$38/J3^A3</f>
        <v>16670.323212536732</v>
      </c>
      <c r="H3" s="57">
        <f>$E$37/$F$37/J3^A3</f>
        <v>24803.917727717926</v>
      </c>
      <c r="I3" s="48">
        <f>SUM(E3:H3)</f>
        <v>106152.79138099903</v>
      </c>
      <c r="J3" s="75">
        <v>1.0209999999999999</v>
      </c>
      <c r="K3" s="29">
        <f t="shared" ref="K3:K32" si="2">C3-(D3+I3)</f>
        <v>11553.208619000972</v>
      </c>
      <c r="L3" s="29">
        <f>K3-M3</f>
        <v>2195.109637610185</v>
      </c>
      <c r="M3" s="29">
        <f>K3*0.81</f>
        <v>9358.0989813907872</v>
      </c>
      <c r="N3" s="29">
        <f>I3</f>
        <v>106152.79138099903</v>
      </c>
      <c r="O3" s="29">
        <f>M3+N3</f>
        <v>115510.89036238982</v>
      </c>
      <c r="P3" s="29">
        <f>O3-$B$2</f>
        <v>-5884489.1096376106</v>
      </c>
      <c r="Q3" s="73">
        <f>O3/(1+0.117)^A3</f>
        <v>103411.71921431497</v>
      </c>
      <c r="R3" s="76"/>
      <c r="S3" s="77">
        <f>Q3-$B$2</f>
        <v>-5896588.2807856854</v>
      </c>
    </row>
    <row r="4" spans="1:19" x14ac:dyDescent="0.25">
      <c r="A4" s="72">
        <v>2</v>
      </c>
      <c r="B4" s="72"/>
      <c r="C4" s="73">
        <f t="shared" ref="C4:C5" si="3">SUM(F44:G44)</f>
        <v>342728</v>
      </c>
      <c r="D4" s="74">
        <f t="shared" ref="D4:D5" si="4">H44</f>
        <v>32549</v>
      </c>
      <c r="E4" s="56">
        <f>$E$40/$F$40/J4^A4</f>
        <v>48639.267816318184</v>
      </c>
      <c r="F4" s="50">
        <f t="shared" si="0"/>
        <v>13849.187724265319</v>
      </c>
      <c r="G4" s="50">
        <f t="shared" si="1"/>
        <v>16105.845660040275</v>
      </c>
      <c r="H4" s="57">
        <f t="shared" ref="H4:H32" si="5">$E$37/$F$37/J4^A4</f>
        <v>23964.026707444475</v>
      </c>
      <c r="I4" s="48">
        <f t="shared" ref="I4:I32" si="6">SUM(E4:H4)</f>
        <v>102558.32790806826</v>
      </c>
      <c r="J4" s="75">
        <v>1.028</v>
      </c>
      <c r="K4" s="29">
        <f t="shared" si="2"/>
        <v>207620.67209193174</v>
      </c>
      <c r="L4" s="29">
        <f t="shared" ref="L4:L32" si="7">K4-M4</f>
        <v>39447.927697467007</v>
      </c>
      <c r="M4" s="29">
        <f>K4*0.81</f>
        <v>168172.74439446474</v>
      </c>
      <c r="N4" s="29">
        <f t="shared" ref="N4:N32" si="8">I4</f>
        <v>102558.32790806826</v>
      </c>
      <c r="O4" s="29">
        <f t="shared" ref="O4:O32" si="9">M4+N4</f>
        <v>270731.07230253296</v>
      </c>
      <c r="P4" s="29">
        <f>P3+O4</f>
        <v>-5613758.0373350773</v>
      </c>
      <c r="Q4" s="73">
        <f>O4/(1+0.117)^A4</f>
        <v>216986.02159875815</v>
      </c>
      <c r="R4" s="76"/>
      <c r="S4" s="77">
        <f>S3+Q4</f>
        <v>-5679602.2591869272</v>
      </c>
    </row>
    <row r="5" spans="1:19" x14ac:dyDescent="0.25">
      <c r="A5" s="72">
        <v>3</v>
      </c>
      <c r="B5" s="72"/>
      <c r="C5" s="73">
        <f t="shared" si="3"/>
        <v>410597</v>
      </c>
      <c r="D5" s="74">
        <f t="shared" si="4"/>
        <v>59565</v>
      </c>
      <c r="E5" s="56">
        <f>$E$40/$F$40/J5^A5</f>
        <v>46766.424363286904</v>
      </c>
      <c r="F5" s="50">
        <f t="shared" si="0"/>
        <v>13315.928040810757</v>
      </c>
      <c r="G5" s="50">
        <f t="shared" si="1"/>
        <v>15485.693898836769</v>
      </c>
      <c r="H5" s="57">
        <f t="shared" si="5"/>
        <v>23041.29755171802</v>
      </c>
      <c r="I5" s="48">
        <f t="shared" si="6"/>
        <v>98609.343854652456</v>
      </c>
      <c r="J5" s="75">
        <v>1.032</v>
      </c>
      <c r="K5" s="29">
        <f t="shared" si="2"/>
        <v>252422.65614534754</v>
      </c>
      <c r="L5" s="29">
        <f t="shared" si="7"/>
        <v>47960.30466761603</v>
      </c>
      <c r="M5" s="29">
        <f t="shared" ref="M5:M32" si="10">K5*0.81</f>
        <v>204462.35147773151</v>
      </c>
      <c r="N5" s="29">
        <f t="shared" si="8"/>
        <v>98609.343854652456</v>
      </c>
      <c r="O5" s="29">
        <f t="shared" si="9"/>
        <v>303071.69533238397</v>
      </c>
      <c r="P5" s="29">
        <f t="shared" ref="P5:P32" si="11">P4+O5</f>
        <v>-5310686.3420026936</v>
      </c>
      <c r="Q5" s="73">
        <f t="shared" ref="Q5:Q32" si="12">O5/(1+0.117)^A5</f>
        <v>217463.24234137285</v>
      </c>
      <c r="R5" s="76"/>
      <c r="S5" s="77">
        <f t="shared" ref="S5:S32" si="13">S4+Q5</f>
        <v>-5462139.0168455541</v>
      </c>
    </row>
    <row r="6" spans="1:19" x14ac:dyDescent="0.25">
      <c r="A6" s="28">
        <v>4</v>
      </c>
      <c r="B6" s="28"/>
      <c r="C6" s="29">
        <v>410597</v>
      </c>
      <c r="D6" s="47">
        <v>59565</v>
      </c>
      <c r="E6" s="56">
        <f>$E$40/$F$40/J6^A6</f>
        <v>47486.763512274061</v>
      </c>
      <c r="F6" s="50">
        <f t="shared" si="0"/>
        <v>13521.032117153653</v>
      </c>
      <c r="G6" s="50">
        <f t="shared" si="1"/>
        <v>15724.218689141684</v>
      </c>
      <c r="H6" s="57">
        <f t="shared" si="5"/>
        <v>23396.200645036268</v>
      </c>
      <c r="I6" s="48">
        <f t="shared" si="6"/>
        <v>100128.21496360566</v>
      </c>
      <c r="J6" s="46">
        <v>1.02</v>
      </c>
      <c r="K6" s="29">
        <f t="shared" si="2"/>
        <v>250903.78503639434</v>
      </c>
      <c r="L6" s="29">
        <f t="shared" si="7"/>
        <v>47671.719156914914</v>
      </c>
      <c r="M6" s="29">
        <f t="shared" si="10"/>
        <v>203232.06587947943</v>
      </c>
      <c r="N6" s="29">
        <f t="shared" si="8"/>
        <v>100128.21496360566</v>
      </c>
      <c r="O6" s="29">
        <f t="shared" si="9"/>
        <v>303360.28084308509</v>
      </c>
      <c r="P6" s="29">
        <f t="shared" si="11"/>
        <v>-5007326.0611596089</v>
      </c>
      <c r="Q6" s="29">
        <f t="shared" si="12"/>
        <v>194870.46669800897</v>
      </c>
      <c r="S6" s="21">
        <f t="shared" si="13"/>
        <v>-5267268.5501475455</v>
      </c>
    </row>
    <row r="7" spans="1:19" x14ac:dyDescent="0.25">
      <c r="A7" s="28">
        <v>5</v>
      </c>
      <c r="B7" s="28"/>
      <c r="C7" s="29">
        <v>410597</v>
      </c>
      <c r="D7" s="47">
        <v>59565</v>
      </c>
      <c r="E7" s="56">
        <f>$E$40/$F$40/J7^A7</f>
        <v>46555.650502229473</v>
      </c>
      <c r="F7" s="50">
        <f t="shared" si="0"/>
        <v>13255.913840346717</v>
      </c>
      <c r="G7" s="50">
        <f t="shared" si="1"/>
        <v>15415.900675629102</v>
      </c>
      <c r="H7" s="57">
        <f t="shared" si="5"/>
        <v>22937.451612780653</v>
      </c>
      <c r="I7" s="48">
        <f t="shared" si="6"/>
        <v>98164.916630985943</v>
      </c>
      <c r="J7" s="46">
        <v>1.02</v>
      </c>
      <c r="K7" s="29">
        <f t="shared" si="2"/>
        <v>252867.08336901406</v>
      </c>
      <c r="L7" s="29">
        <f t="shared" si="7"/>
        <v>48044.74584011265</v>
      </c>
      <c r="M7" s="29">
        <f t="shared" si="10"/>
        <v>204822.33752890141</v>
      </c>
      <c r="N7" s="29">
        <f t="shared" si="8"/>
        <v>98164.916630985943</v>
      </c>
      <c r="O7" s="29">
        <f t="shared" si="9"/>
        <v>302987.25415988732</v>
      </c>
      <c r="P7" s="29">
        <f t="shared" si="11"/>
        <v>-4704338.8069997216</v>
      </c>
      <c r="Q7" s="29">
        <f t="shared" si="12"/>
        <v>174244.26536476542</v>
      </c>
      <c r="S7" s="21">
        <f t="shared" si="13"/>
        <v>-5093024.2847827803</v>
      </c>
    </row>
    <row r="8" spans="1:19" x14ac:dyDescent="0.25">
      <c r="A8" s="28">
        <v>6</v>
      </c>
      <c r="B8" s="28"/>
      <c r="C8" s="29">
        <v>410597</v>
      </c>
      <c r="D8" s="47">
        <v>59565</v>
      </c>
      <c r="E8" s="56"/>
      <c r="F8" s="50">
        <f t="shared" si="0"/>
        <v>12995.993961124232</v>
      </c>
      <c r="G8" s="50">
        <f t="shared" si="1"/>
        <v>15113.628113361863</v>
      </c>
      <c r="H8" s="57">
        <f t="shared" si="5"/>
        <v>22487.697659588874</v>
      </c>
      <c r="I8" s="48">
        <f t="shared" si="6"/>
        <v>50597.319734074968</v>
      </c>
      <c r="J8" s="46">
        <v>1.02</v>
      </c>
      <c r="K8" s="29">
        <f t="shared" si="2"/>
        <v>300434.68026592501</v>
      </c>
      <c r="L8" s="29">
        <f t="shared" si="7"/>
        <v>57082.589250525722</v>
      </c>
      <c r="M8" s="29">
        <f>K8*0.81</f>
        <v>243352.09101539929</v>
      </c>
      <c r="N8" s="29">
        <f t="shared" si="8"/>
        <v>50597.319734074968</v>
      </c>
      <c r="O8" s="29">
        <f t="shared" si="9"/>
        <v>293949.41074947425</v>
      </c>
      <c r="P8" s="29">
        <f t="shared" si="11"/>
        <v>-4410389.396250247</v>
      </c>
      <c r="Q8" s="29">
        <f t="shared" si="12"/>
        <v>151339.93923141636</v>
      </c>
      <c r="S8" s="21">
        <f t="shared" si="13"/>
        <v>-4941684.3455513641</v>
      </c>
    </row>
    <row r="9" spans="1:19" x14ac:dyDescent="0.25">
      <c r="A9" s="28">
        <v>7</v>
      </c>
      <c r="B9" s="28"/>
      <c r="C9" s="29">
        <v>410597</v>
      </c>
      <c r="D9" s="47">
        <v>59565</v>
      </c>
      <c r="E9" s="56"/>
      <c r="F9" s="50">
        <f t="shared" si="0"/>
        <v>12741.170550121798</v>
      </c>
      <c r="G9" s="50">
        <f t="shared" si="1"/>
        <v>14817.282464080261</v>
      </c>
      <c r="H9" s="57">
        <f t="shared" si="5"/>
        <v>22046.762411361648</v>
      </c>
      <c r="I9" s="48">
        <f t="shared" si="6"/>
        <v>49605.215425563707</v>
      </c>
      <c r="J9" s="46">
        <v>1.02</v>
      </c>
      <c r="K9" s="29">
        <f t="shared" si="2"/>
        <v>301426.78457443626</v>
      </c>
      <c r="L9" s="29">
        <f t="shared" si="7"/>
        <v>57271.089069142879</v>
      </c>
      <c r="M9" s="29">
        <f t="shared" si="10"/>
        <v>244155.69550529338</v>
      </c>
      <c r="N9" s="29">
        <f t="shared" si="8"/>
        <v>49605.215425563707</v>
      </c>
      <c r="O9" s="29">
        <f t="shared" si="9"/>
        <v>293760.91093085706</v>
      </c>
      <c r="P9" s="29">
        <f t="shared" si="11"/>
        <v>-4116628.48531939</v>
      </c>
      <c r="Q9" s="29">
        <f t="shared" si="12"/>
        <v>135400.97586859894</v>
      </c>
      <c r="S9" s="21">
        <f t="shared" si="13"/>
        <v>-4806283.3696827656</v>
      </c>
    </row>
    <row r="10" spans="1:19" x14ac:dyDescent="0.25">
      <c r="A10" s="28">
        <v>8</v>
      </c>
      <c r="B10" s="28"/>
      <c r="C10" s="29">
        <v>410597</v>
      </c>
      <c r="D10" s="47">
        <v>59565</v>
      </c>
      <c r="E10" s="56"/>
      <c r="F10" s="50">
        <f t="shared" si="0"/>
        <v>12491.343676589997</v>
      </c>
      <c r="G10" s="50">
        <f t="shared" si="1"/>
        <v>14526.747513804177</v>
      </c>
      <c r="H10" s="57">
        <f t="shared" si="5"/>
        <v>21614.472952315336</v>
      </c>
      <c r="I10" s="48">
        <f t="shared" si="6"/>
        <v>48632.564142709511</v>
      </c>
      <c r="J10" s="46">
        <v>1.02</v>
      </c>
      <c r="K10" s="29">
        <f t="shared" si="2"/>
        <v>302399.43585729052</v>
      </c>
      <c r="L10" s="29">
        <f t="shared" si="7"/>
        <v>57455.892812885169</v>
      </c>
      <c r="M10" s="29">
        <f t="shared" si="10"/>
        <v>244943.54304440535</v>
      </c>
      <c r="N10" s="29">
        <f t="shared" si="8"/>
        <v>48632.564142709511</v>
      </c>
      <c r="O10" s="29">
        <f t="shared" si="9"/>
        <v>293576.10718711489</v>
      </c>
      <c r="P10" s="29">
        <f t="shared" si="11"/>
        <v>-3823052.3781322753</v>
      </c>
      <c r="Q10" s="29">
        <f t="shared" si="12"/>
        <v>121142.16265772417</v>
      </c>
      <c r="S10" s="21">
        <f t="shared" si="13"/>
        <v>-4685141.2070250418</v>
      </c>
    </row>
    <row r="11" spans="1:19" x14ac:dyDescent="0.25">
      <c r="A11" s="28">
        <v>9</v>
      </c>
      <c r="B11" s="28"/>
      <c r="C11" s="29">
        <v>410597</v>
      </c>
      <c r="D11" s="47">
        <v>59565</v>
      </c>
      <c r="E11" s="56"/>
      <c r="F11" s="50">
        <f t="shared" si="0"/>
        <v>12246.415369205881</v>
      </c>
      <c r="G11" s="50">
        <f t="shared" si="1"/>
        <v>14241.909327258996</v>
      </c>
      <c r="H11" s="57">
        <f t="shared" si="5"/>
        <v>21190.659757171899</v>
      </c>
      <c r="I11" s="48">
        <f t="shared" si="6"/>
        <v>47678.984453636775</v>
      </c>
      <c r="J11" s="46">
        <v>1.02</v>
      </c>
      <c r="K11" s="29">
        <f t="shared" si="2"/>
        <v>303353.0155463632</v>
      </c>
      <c r="L11" s="29">
        <f t="shared" si="7"/>
        <v>57637.072953808994</v>
      </c>
      <c r="M11" s="29">
        <f t="shared" si="10"/>
        <v>245715.9425925542</v>
      </c>
      <c r="N11" s="29">
        <f t="shared" si="8"/>
        <v>47678.984453636775</v>
      </c>
      <c r="O11" s="29">
        <f t="shared" si="9"/>
        <v>293394.92704619095</v>
      </c>
      <c r="P11" s="29">
        <f t="shared" si="11"/>
        <v>-3529657.4510860844</v>
      </c>
      <c r="Q11" s="29">
        <f t="shared" si="12"/>
        <v>108386.2129972798</v>
      </c>
      <c r="S11" s="21">
        <f t="shared" si="13"/>
        <v>-4576754.9940277617</v>
      </c>
    </row>
    <row r="12" spans="1:19" x14ac:dyDescent="0.25">
      <c r="A12" s="28">
        <v>10</v>
      </c>
      <c r="B12" s="28"/>
      <c r="C12" s="29">
        <v>410597</v>
      </c>
      <c r="D12" s="47">
        <v>59565</v>
      </c>
      <c r="E12" s="56"/>
      <c r="F12" s="50">
        <f t="shared" si="0"/>
        <v>12006.289577652824</v>
      </c>
      <c r="G12" s="50">
        <f t="shared" si="1"/>
        <v>13962.656203195094</v>
      </c>
      <c r="H12" s="57">
        <f t="shared" si="5"/>
        <v>20775.156624678333</v>
      </c>
      <c r="I12" s="48">
        <f t="shared" si="6"/>
        <v>46744.102405526253</v>
      </c>
      <c r="J12" s="46">
        <v>1.02</v>
      </c>
      <c r="K12" s="29">
        <f t="shared" si="2"/>
        <v>304287.89759447373</v>
      </c>
      <c r="L12" s="29">
        <f t="shared" si="7"/>
        <v>57814.700542949984</v>
      </c>
      <c r="M12" s="29">
        <f t="shared" si="10"/>
        <v>246473.19705152375</v>
      </c>
      <c r="N12" s="29">
        <f t="shared" si="8"/>
        <v>46744.102405526253</v>
      </c>
      <c r="O12" s="29">
        <f t="shared" si="9"/>
        <v>293217.29945704999</v>
      </c>
      <c r="P12" s="29">
        <f t="shared" si="11"/>
        <v>-3236440.1516290344</v>
      </c>
      <c r="Q12" s="29">
        <f t="shared" si="12"/>
        <v>96974.569074723549</v>
      </c>
      <c r="S12" s="21">
        <f t="shared" si="13"/>
        <v>-4479780.4249530379</v>
      </c>
    </row>
    <row r="13" spans="1:19" x14ac:dyDescent="0.25">
      <c r="A13" s="28">
        <v>11</v>
      </c>
      <c r="B13" s="28"/>
      <c r="C13" s="29">
        <v>410597</v>
      </c>
      <c r="D13" s="47">
        <v>59565</v>
      </c>
      <c r="E13" s="56"/>
      <c r="F13" s="50"/>
      <c r="G13" s="50">
        <f t="shared" si="1"/>
        <v>13688.878630583429</v>
      </c>
      <c r="H13" s="57">
        <f t="shared" si="5"/>
        <v>20367.800612429743</v>
      </c>
      <c r="I13" s="48">
        <f t="shared" si="6"/>
        <v>34056.679243013175</v>
      </c>
      <c r="J13" s="46">
        <v>1.02</v>
      </c>
      <c r="K13" s="29">
        <f t="shared" si="2"/>
        <v>316975.32075698685</v>
      </c>
      <c r="L13" s="29">
        <f t="shared" si="7"/>
        <v>60225.310943827499</v>
      </c>
      <c r="M13" s="29">
        <f t="shared" si="10"/>
        <v>256750.00981315935</v>
      </c>
      <c r="N13" s="29">
        <f t="shared" si="8"/>
        <v>34056.679243013175</v>
      </c>
      <c r="O13" s="29">
        <f t="shared" si="9"/>
        <v>290806.6890561725</v>
      </c>
      <c r="P13" s="29">
        <f t="shared" si="11"/>
        <v>-2945633.4625728619</v>
      </c>
      <c r="Q13" s="29">
        <f t="shared" si="12"/>
        <v>86103.238734787359</v>
      </c>
      <c r="S13" s="21">
        <f t="shared" si="13"/>
        <v>-4393677.1862182505</v>
      </c>
    </row>
    <row r="14" spans="1:19" x14ac:dyDescent="0.25">
      <c r="A14" s="28">
        <v>12</v>
      </c>
      <c r="B14" s="28"/>
      <c r="C14" s="29">
        <v>410597</v>
      </c>
      <c r="D14" s="47">
        <v>59565</v>
      </c>
      <c r="E14" s="56"/>
      <c r="F14" s="50"/>
      <c r="G14" s="50">
        <f t="shared" si="1"/>
        <v>13420.469245670025</v>
      </c>
      <c r="H14" s="57">
        <f t="shared" si="5"/>
        <v>19968.431972970331</v>
      </c>
      <c r="I14" s="48">
        <f t="shared" si="6"/>
        <v>33388.901218640356</v>
      </c>
      <c r="J14" s="46">
        <v>1.02</v>
      </c>
      <c r="K14" s="29">
        <f t="shared" si="2"/>
        <v>317643.09878135961</v>
      </c>
      <c r="L14" s="29">
        <f t="shared" si="7"/>
        <v>60352.18876845832</v>
      </c>
      <c r="M14" s="29">
        <f t="shared" si="10"/>
        <v>257290.91001290129</v>
      </c>
      <c r="N14" s="29">
        <f t="shared" si="8"/>
        <v>33388.901218640356</v>
      </c>
      <c r="O14" s="29">
        <f t="shared" si="9"/>
        <v>290679.81123154168</v>
      </c>
      <c r="P14" s="29">
        <f t="shared" si="11"/>
        <v>-2654953.65134132</v>
      </c>
      <c r="Q14" s="29">
        <f t="shared" si="12"/>
        <v>77050.736103338248</v>
      </c>
      <c r="S14" s="21">
        <f t="shared" si="13"/>
        <v>-4316626.4501149124</v>
      </c>
    </row>
    <row r="15" spans="1:19" x14ac:dyDescent="0.25">
      <c r="A15" s="28">
        <v>13</v>
      </c>
      <c r="B15" s="28"/>
      <c r="C15" s="29">
        <v>410597</v>
      </c>
      <c r="D15" s="47">
        <v>59565</v>
      </c>
      <c r="E15" s="56"/>
      <c r="F15" s="50"/>
      <c r="G15" s="50">
        <f t="shared" si="1"/>
        <v>13157.322789872575</v>
      </c>
      <c r="H15" s="57">
        <f t="shared" si="5"/>
        <v>19576.894091147384</v>
      </c>
      <c r="I15" s="48">
        <f t="shared" si="6"/>
        <v>32734.216881019958</v>
      </c>
      <c r="J15" s="46">
        <v>1.02</v>
      </c>
      <c r="K15" s="29">
        <f t="shared" si="2"/>
        <v>318297.78311898001</v>
      </c>
      <c r="L15" s="29">
        <f t="shared" si="7"/>
        <v>60476.578792606189</v>
      </c>
      <c r="M15" s="29">
        <f t="shared" si="10"/>
        <v>257821.20432637382</v>
      </c>
      <c r="N15" s="29">
        <f t="shared" si="8"/>
        <v>32734.216881019958</v>
      </c>
      <c r="O15" s="29">
        <f t="shared" si="9"/>
        <v>290555.42120739375</v>
      </c>
      <c r="P15" s="29">
        <f t="shared" si="11"/>
        <v>-2364398.2301339265</v>
      </c>
      <c r="Q15" s="29">
        <f t="shared" si="12"/>
        <v>68950.549630760375</v>
      </c>
      <c r="S15" s="21">
        <f t="shared" si="13"/>
        <v>-4247675.9004841521</v>
      </c>
    </row>
    <row r="16" spans="1:19" x14ac:dyDescent="0.25">
      <c r="A16" s="28">
        <v>14</v>
      </c>
      <c r="B16" s="28"/>
      <c r="C16" s="29">
        <v>410597</v>
      </c>
      <c r="D16" s="47">
        <v>59565</v>
      </c>
      <c r="E16" s="56"/>
      <c r="F16" s="50"/>
      <c r="G16" s="50">
        <f t="shared" si="1"/>
        <v>12899.336068502524</v>
      </c>
      <c r="H16" s="57">
        <f t="shared" si="5"/>
        <v>19193.033422693512</v>
      </c>
      <c r="I16" s="48">
        <f t="shared" si="6"/>
        <v>32092.369491196034</v>
      </c>
      <c r="J16" s="46">
        <v>1.02</v>
      </c>
      <c r="K16" s="29">
        <f t="shared" si="2"/>
        <v>318939.630508804</v>
      </c>
      <c r="L16" s="29">
        <f t="shared" si="7"/>
        <v>60598.529796672752</v>
      </c>
      <c r="M16" s="29">
        <f t="shared" si="10"/>
        <v>258341.10071213124</v>
      </c>
      <c r="N16" s="29">
        <f t="shared" si="8"/>
        <v>32092.369491196034</v>
      </c>
      <c r="O16" s="29">
        <f t="shared" si="9"/>
        <v>290433.47020332725</v>
      </c>
      <c r="P16" s="29">
        <f t="shared" si="11"/>
        <v>-2073964.7599305992</v>
      </c>
      <c r="Q16" s="29">
        <f t="shared" si="12"/>
        <v>61702.426073192066</v>
      </c>
      <c r="S16" s="21">
        <f t="shared" si="13"/>
        <v>-4185973.47441096</v>
      </c>
    </row>
    <row r="17" spans="1:19" x14ac:dyDescent="0.25">
      <c r="A17" s="28">
        <v>15</v>
      </c>
      <c r="B17" s="28"/>
      <c r="C17" s="29">
        <v>410597</v>
      </c>
      <c r="D17" s="47">
        <v>59565</v>
      </c>
      <c r="E17" s="56"/>
      <c r="F17" s="50"/>
      <c r="G17" s="50">
        <f t="shared" si="1"/>
        <v>12646.407910296595</v>
      </c>
      <c r="H17" s="57">
        <f t="shared" si="5"/>
        <v>18816.699434013251</v>
      </c>
      <c r="I17" s="48">
        <f t="shared" si="6"/>
        <v>31463.107344309847</v>
      </c>
      <c r="J17" s="46">
        <v>1.02</v>
      </c>
      <c r="K17" s="29">
        <f t="shared" si="2"/>
        <v>319568.89265569014</v>
      </c>
      <c r="L17" s="29">
        <f t="shared" si="7"/>
        <v>60718.089604581124</v>
      </c>
      <c r="M17" s="29">
        <f t="shared" si="10"/>
        <v>258850.80305110902</v>
      </c>
      <c r="N17" s="29">
        <f t="shared" si="8"/>
        <v>31463.107344309847</v>
      </c>
      <c r="O17" s="29">
        <f t="shared" si="9"/>
        <v>290313.91039541888</v>
      </c>
      <c r="P17" s="29">
        <f t="shared" si="11"/>
        <v>-1783650.8495351803</v>
      </c>
      <c r="Q17" s="29">
        <f t="shared" si="12"/>
        <v>55216.674717807145</v>
      </c>
      <c r="S17" s="21">
        <f t="shared" si="13"/>
        <v>-4130756.7996931528</v>
      </c>
    </row>
    <row r="18" spans="1:19" x14ac:dyDescent="0.25">
      <c r="A18" s="28">
        <v>16</v>
      </c>
      <c r="B18" s="28"/>
      <c r="C18" s="29">
        <v>410597</v>
      </c>
      <c r="D18" s="47">
        <v>59565</v>
      </c>
      <c r="E18" s="56"/>
      <c r="F18" s="50"/>
      <c r="G18" s="50">
        <f t="shared" si="1"/>
        <v>12398.439127741758</v>
      </c>
      <c r="H18" s="57">
        <f t="shared" si="5"/>
        <v>18447.744543150246</v>
      </c>
      <c r="I18" s="48">
        <f t="shared" si="6"/>
        <v>30846.183670892002</v>
      </c>
      <c r="J18" s="46">
        <v>1.02</v>
      </c>
      <c r="K18" s="29">
        <f t="shared" si="2"/>
        <v>320185.81632910797</v>
      </c>
      <c r="L18" s="29">
        <f t="shared" si="7"/>
        <v>60835.305102530489</v>
      </c>
      <c r="M18" s="29">
        <f t="shared" si="10"/>
        <v>259350.51122657748</v>
      </c>
      <c r="N18" s="29">
        <f t="shared" si="8"/>
        <v>30846.183670892002</v>
      </c>
      <c r="O18" s="29">
        <f t="shared" si="9"/>
        <v>290196.69489746948</v>
      </c>
      <c r="P18" s="29">
        <f t="shared" si="11"/>
        <v>-1493454.1546377107</v>
      </c>
      <c r="Q18" s="29">
        <f t="shared" si="12"/>
        <v>49413.053488257639</v>
      </c>
      <c r="S18" s="21">
        <f t="shared" si="13"/>
        <v>-4081343.746204895</v>
      </c>
    </row>
    <row r="19" spans="1:19" x14ac:dyDescent="0.25">
      <c r="A19" s="28">
        <v>17</v>
      </c>
      <c r="B19" s="28"/>
      <c r="C19" s="29">
        <v>410597</v>
      </c>
      <c r="D19" s="47">
        <v>59565</v>
      </c>
      <c r="E19" s="56"/>
      <c r="F19" s="50"/>
      <c r="G19" s="50">
        <f t="shared" si="1"/>
        <v>12155.332478178192</v>
      </c>
      <c r="H19" s="57">
        <f t="shared" si="5"/>
        <v>18086.024061912001</v>
      </c>
      <c r="I19" s="48">
        <f t="shared" si="6"/>
        <v>30241.356540090193</v>
      </c>
      <c r="J19" s="46">
        <v>1.02</v>
      </c>
      <c r="K19" s="29">
        <f t="shared" si="2"/>
        <v>320790.64345990983</v>
      </c>
      <c r="L19" s="29">
        <f t="shared" si="7"/>
        <v>60950.222257382848</v>
      </c>
      <c r="M19" s="29">
        <f t="shared" si="10"/>
        <v>259840.42120252698</v>
      </c>
      <c r="N19" s="29">
        <f t="shared" si="8"/>
        <v>30241.356540090193</v>
      </c>
      <c r="O19" s="29">
        <f t="shared" si="9"/>
        <v>290081.77774261718</v>
      </c>
      <c r="P19" s="29">
        <f t="shared" si="11"/>
        <v>-1203372.3768950934</v>
      </c>
      <c r="Q19" s="29">
        <f t="shared" si="12"/>
        <v>44219.772644990073</v>
      </c>
      <c r="S19" s="21">
        <f t="shared" si="13"/>
        <v>-4037123.9735599048</v>
      </c>
    </row>
    <row r="20" spans="1:19" x14ac:dyDescent="0.25">
      <c r="A20" s="28">
        <v>18</v>
      </c>
      <c r="B20" s="28"/>
      <c r="C20" s="29">
        <v>410597</v>
      </c>
      <c r="D20" s="47">
        <v>59565</v>
      </c>
      <c r="E20" s="56"/>
      <c r="F20" s="50"/>
      <c r="G20" s="50">
        <f t="shared" si="1"/>
        <v>11916.992625664896</v>
      </c>
      <c r="H20" s="57">
        <f t="shared" si="5"/>
        <v>17731.396139129418</v>
      </c>
      <c r="I20" s="48">
        <f t="shared" si="6"/>
        <v>29648.388764794312</v>
      </c>
      <c r="J20" s="46">
        <v>1.02</v>
      </c>
      <c r="K20" s="29">
        <f t="shared" si="2"/>
        <v>321383.61123520567</v>
      </c>
      <c r="L20" s="29">
        <f t="shared" si="7"/>
        <v>61062.886134689063</v>
      </c>
      <c r="M20" s="29">
        <f t="shared" si="10"/>
        <v>260320.7251005166</v>
      </c>
      <c r="N20" s="29">
        <f t="shared" si="8"/>
        <v>29648.388764794312</v>
      </c>
      <c r="O20" s="29">
        <f t="shared" si="9"/>
        <v>289969.11386531091</v>
      </c>
      <c r="P20" s="29">
        <f t="shared" si="11"/>
        <v>-913403.26302978245</v>
      </c>
      <c r="Q20" s="29">
        <f t="shared" si="12"/>
        <v>39572.603650444027</v>
      </c>
      <c r="S20" s="21">
        <f t="shared" si="13"/>
        <v>-3997551.3699094607</v>
      </c>
    </row>
    <row r="21" spans="1:19" x14ac:dyDescent="0.25">
      <c r="A21" s="28">
        <v>19</v>
      </c>
      <c r="B21" s="28"/>
      <c r="C21" s="29">
        <v>410597</v>
      </c>
      <c r="D21" s="47">
        <v>59565</v>
      </c>
      <c r="E21" s="56"/>
      <c r="F21" s="50"/>
      <c r="G21" s="50">
        <f t="shared" si="1"/>
        <v>11683.326103593035</v>
      </c>
      <c r="H21" s="57">
        <f t="shared" si="5"/>
        <v>17383.721705028842</v>
      </c>
      <c r="I21" s="48">
        <f t="shared" si="6"/>
        <v>29067.047808621879</v>
      </c>
      <c r="J21" s="46">
        <v>1.02</v>
      </c>
      <c r="K21" s="29">
        <f t="shared" si="2"/>
        <v>321964.95219137811</v>
      </c>
      <c r="L21" s="29">
        <f t="shared" si="7"/>
        <v>61173.340916361834</v>
      </c>
      <c r="M21" s="29">
        <f t="shared" si="10"/>
        <v>260791.61127501627</v>
      </c>
      <c r="N21" s="29">
        <f t="shared" si="8"/>
        <v>29067.047808621879</v>
      </c>
      <c r="O21" s="29">
        <f t="shared" si="9"/>
        <v>289858.65908363817</v>
      </c>
      <c r="P21" s="29">
        <f t="shared" si="11"/>
        <v>-623544.60394614423</v>
      </c>
      <c r="Q21" s="29">
        <f t="shared" si="12"/>
        <v>35414.082084882313</v>
      </c>
      <c r="S21" s="21">
        <f t="shared" si="13"/>
        <v>-3962137.2878245781</v>
      </c>
    </row>
    <row r="22" spans="1:19" x14ac:dyDescent="0.25">
      <c r="A22" s="28">
        <v>20</v>
      </c>
      <c r="B22" s="28"/>
      <c r="C22" s="29">
        <v>410597</v>
      </c>
      <c r="D22" s="47">
        <v>59565</v>
      </c>
      <c r="E22" s="56"/>
      <c r="F22" s="50"/>
      <c r="G22" s="50">
        <f t="shared" si="1"/>
        <v>11454.241278032387</v>
      </c>
      <c r="H22" s="57">
        <f t="shared" si="5"/>
        <v>17042.864416694942</v>
      </c>
      <c r="I22" s="48">
        <f t="shared" si="6"/>
        <v>28497.105694727328</v>
      </c>
      <c r="J22" s="46">
        <v>1.02</v>
      </c>
      <c r="K22" s="29">
        <f t="shared" si="2"/>
        <v>322534.89430527267</v>
      </c>
      <c r="L22" s="29">
        <f t="shared" si="7"/>
        <v>61281.629918001796</v>
      </c>
      <c r="M22" s="29">
        <f t="shared" si="10"/>
        <v>261253.26438727087</v>
      </c>
      <c r="N22" s="29">
        <f t="shared" si="8"/>
        <v>28497.105694727328</v>
      </c>
      <c r="O22" s="29">
        <f t="shared" si="9"/>
        <v>289750.37008199818</v>
      </c>
      <c r="P22" s="29">
        <f t="shared" si="11"/>
        <v>-333794.23386414605</v>
      </c>
      <c r="Q22" s="29">
        <f t="shared" si="12"/>
        <v>31692.794674841371</v>
      </c>
      <c r="S22" s="21">
        <f t="shared" si="13"/>
        <v>-3930444.4931497369</v>
      </c>
    </row>
    <row r="23" spans="1:19" x14ac:dyDescent="0.25">
      <c r="A23" s="28">
        <v>21</v>
      </c>
      <c r="B23" s="28"/>
      <c r="C23" s="29">
        <v>410597</v>
      </c>
      <c r="D23" s="47">
        <v>59565</v>
      </c>
      <c r="E23" s="56"/>
      <c r="F23" s="50"/>
      <c r="G23" s="50">
        <f t="shared" si="1"/>
        <v>11229.648311796458</v>
      </c>
      <c r="H23" s="57">
        <f t="shared" si="5"/>
        <v>16708.690604602885</v>
      </c>
      <c r="I23" s="48">
        <f t="shared" si="6"/>
        <v>27938.338916399342</v>
      </c>
      <c r="J23" s="46">
        <v>1.02</v>
      </c>
      <c r="K23" s="29">
        <f t="shared" si="2"/>
        <v>323093.66108360066</v>
      </c>
      <c r="L23" s="29">
        <f t="shared" si="7"/>
        <v>61387.795605884108</v>
      </c>
      <c r="M23" s="29">
        <f t="shared" si="10"/>
        <v>261705.86547771655</v>
      </c>
      <c r="N23" s="29">
        <f t="shared" si="8"/>
        <v>27938.338916399342</v>
      </c>
      <c r="O23" s="29">
        <f t="shared" si="9"/>
        <v>289644.20439411589</v>
      </c>
      <c r="P23" s="29">
        <f t="shared" si="11"/>
        <v>-44150.02947003016</v>
      </c>
      <c r="Q23" s="29">
        <f t="shared" si="12"/>
        <v>28362.741547749378</v>
      </c>
      <c r="S23" s="21">
        <f t="shared" si="13"/>
        <v>-3902081.7516019875</v>
      </c>
    </row>
    <row r="24" spans="1:19" x14ac:dyDescent="0.25">
      <c r="A24" s="28">
        <v>22</v>
      </c>
      <c r="B24" s="28"/>
      <c r="C24" s="29">
        <v>410597</v>
      </c>
      <c r="D24" s="47">
        <v>59565</v>
      </c>
      <c r="E24" s="56"/>
      <c r="F24" s="50"/>
      <c r="G24" s="50">
        <f t="shared" si="1"/>
        <v>11009.459129212213</v>
      </c>
      <c r="H24" s="57">
        <f t="shared" si="5"/>
        <v>16381.069220198904</v>
      </c>
      <c r="I24" s="48">
        <f t="shared" si="6"/>
        <v>27390.528349411117</v>
      </c>
      <c r="J24" s="46">
        <v>1.02</v>
      </c>
      <c r="K24" s="29">
        <f t="shared" si="2"/>
        <v>323641.47165058891</v>
      </c>
      <c r="L24" s="29">
        <f t="shared" si="7"/>
        <v>61491.879613611847</v>
      </c>
      <c r="M24" s="29">
        <f t="shared" si="10"/>
        <v>262149.59203697706</v>
      </c>
      <c r="N24" s="29">
        <f t="shared" si="8"/>
        <v>27390.528349411117</v>
      </c>
      <c r="O24" s="29">
        <f t="shared" si="9"/>
        <v>289540.12038638815</v>
      </c>
      <c r="P24" s="29">
        <f t="shared" si="11"/>
        <v>245390.09091635799</v>
      </c>
      <c r="Q24" s="29">
        <f t="shared" si="12"/>
        <v>25382.765766374334</v>
      </c>
      <c r="S24" s="21">
        <f t="shared" si="13"/>
        <v>-3876698.9858356132</v>
      </c>
    </row>
    <row r="25" spans="1:19" x14ac:dyDescent="0.25">
      <c r="A25" s="28">
        <v>23</v>
      </c>
      <c r="B25" s="28"/>
      <c r="C25" s="29">
        <v>410597</v>
      </c>
      <c r="D25" s="47">
        <v>59565</v>
      </c>
      <c r="E25" s="56"/>
      <c r="F25" s="50"/>
      <c r="G25" s="50">
        <f t="shared" si="1"/>
        <v>10793.587381580604</v>
      </c>
      <c r="H25" s="57">
        <f t="shared" si="5"/>
        <v>16059.871784508732</v>
      </c>
      <c r="I25" s="48">
        <f t="shared" si="6"/>
        <v>26853.459166089335</v>
      </c>
      <c r="J25" s="46">
        <v>1.02</v>
      </c>
      <c r="K25" s="29">
        <f t="shared" si="2"/>
        <v>324178.54083391069</v>
      </c>
      <c r="L25" s="29">
        <f t="shared" si="7"/>
        <v>61593.92275844299</v>
      </c>
      <c r="M25" s="29">
        <f t="shared" si="10"/>
        <v>262584.6180754677</v>
      </c>
      <c r="N25" s="29">
        <f t="shared" si="8"/>
        <v>26853.459166089335</v>
      </c>
      <c r="O25" s="29">
        <f t="shared" si="9"/>
        <v>289438.07724155707</v>
      </c>
      <c r="P25" s="29">
        <f t="shared" si="11"/>
        <v>534828.16815791512</v>
      </c>
      <c r="Q25" s="29">
        <f t="shared" si="12"/>
        <v>22716.043037270596</v>
      </c>
      <c r="S25" s="21">
        <f t="shared" si="13"/>
        <v>-3853982.9427983426</v>
      </c>
    </row>
    <row r="26" spans="1:19" x14ac:dyDescent="0.25">
      <c r="A26" s="28">
        <v>24</v>
      </c>
      <c r="B26" s="28"/>
      <c r="C26" s="29">
        <v>410597</v>
      </c>
      <c r="D26" s="47">
        <v>59565</v>
      </c>
      <c r="E26" s="56"/>
      <c r="F26" s="50"/>
      <c r="G26" s="50">
        <f t="shared" si="1"/>
        <v>10581.948413314316</v>
      </c>
      <c r="H26" s="57">
        <f t="shared" si="5"/>
        <v>15744.972337753659</v>
      </c>
      <c r="I26" s="48">
        <f t="shared" si="6"/>
        <v>26326.920751067977</v>
      </c>
      <c r="J26" s="46">
        <v>1.02</v>
      </c>
      <c r="K26" s="29">
        <f t="shared" si="2"/>
        <v>324705.07924893202</v>
      </c>
      <c r="L26" s="29">
        <f t="shared" si="7"/>
        <v>61693.965057297086</v>
      </c>
      <c r="M26" s="29">
        <f t="shared" si="10"/>
        <v>263011.11419163493</v>
      </c>
      <c r="N26" s="29">
        <f t="shared" si="8"/>
        <v>26326.920751067977</v>
      </c>
      <c r="O26" s="29">
        <f t="shared" si="9"/>
        <v>289338.03494270291</v>
      </c>
      <c r="P26" s="29">
        <f t="shared" si="11"/>
        <v>824166.20310061797</v>
      </c>
      <c r="Q26" s="29">
        <f t="shared" si="12"/>
        <v>20329.625238859866</v>
      </c>
      <c r="S26" s="21">
        <f t="shared" si="13"/>
        <v>-3833653.3175594825</v>
      </c>
    </row>
    <row r="27" spans="1:19" x14ac:dyDescent="0.25">
      <c r="A27" s="28">
        <v>25</v>
      </c>
      <c r="B27" s="28"/>
      <c r="C27" s="29">
        <v>410597</v>
      </c>
      <c r="D27" s="47">
        <v>59565</v>
      </c>
      <c r="E27" s="56"/>
      <c r="F27" s="50"/>
      <c r="G27" s="50">
        <f t="shared" si="1"/>
        <v>10374.459228739526</v>
      </c>
      <c r="H27" s="57">
        <f t="shared" si="5"/>
        <v>15436.247389954568</v>
      </c>
      <c r="I27" s="48">
        <f t="shared" si="6"/>
        <v>25810.706618694094</v>
      </c>
      <c r="J27" s="46">
        <v>1.02</v>
      </c>
      <c r="K27" s="29">
        <f t="shared" si="2"/>
        <v>325221.29338130588</v>
      </c>
      <c r="L27" s="29">
        <f t="shared" si="7"/>
        <v>61792.045742448128</v>
      </c>
      <c r="M27" s="29">
        <f t="shared" si="10"/>
        <v>263429.24763885775</v>
      </c>
      <c r="N27" s="29">
        <f t="shared" si="8"/>
        <v>25810.706618694094</v>
      </c>
      <c r="O27" s="29">
        <f t="shared" si="9"/>
        <v>289239.95425755181</v>
      </c>
      <c r="P27" s="29">
        <f t="shared" si="11"/>
        <v>1113406.1573581698</v>
      </c>
      <c r="Q27" s="29">
        <f t="shared" si="12"/>
        <v>18194.032086661802</v>
      </c>
      <c r="S27" s="21">
        <f t="shared" si="13"/>
        <v>-3815459.2854728205</v>
      </c>
    </row>
    <row r="28" spans="1:19" x14ac:dyDescent="0.25">
      <c r="A28" s="28">
        <v>26</v>
      </c>
      <c r="B28" s="28"/>
      <c r="C28" s="29">
        <v>410597</v>
      </c>
      <c r="D28" s="47">
        <v>59565</v>
      </c>
      <c r="E28" s="56"/>
      <c r="F28" s="50"/>
      <c r="G28" s="50">
        <f t="shared" si="1"/>
        <v>10171.038459548554</v>
      </c>
      <c r="H28" s="57">
        <f t="shared" si="5"/>
        <v>15133.575872504476</v>
      </c>
      <c r="I28" s="48">
        <f t="shared" si="6"/>
        <v>25304.614332053032</v>
      </c>
      <c r="J28" s="46">
        <v>1.02</v>
      </c>
      <c r="K28" s="29">
        <f t="shared" si="2"/>
        <v>325727.385667947</v>
      </c>
      <c r="L28" s="29">
        <f t="shared" si="7"/>
        <v>61888.203276909888</v>
      </c>
      <c r="M28" s="29">
        <f t="shared" si="10"/>
        <v>263839.18239103712</v>
      </c>
      <c r="N28" s="29">
        <f t="shared" si="8"/>
        <v>25304.614332053032</v>
      </c>
      <c r="O28" s="29">
        <f t="shared" si="9"/>
        <v>289143.79672309017</v>
      </c>
      <c r="P28" s="29">
        <f t="shared" si="11"/>
        <v>1402549.9540812599</v>
      </c>
      <c r="Q28" s="29">
        <f t="shared" si="12"/>
        <v>16282.885853922529</v>
      </c>
      <c r="S28" s="21">
        <f t="shared" si="13"/>
        <v>-3799176.3996188981</v>
      </c>
    </row>
    <row r="29" spans="1:19" x14ac:dyDescent="0.25">
      <c r="A29" s="28">
        <v>27</v>
      </c>
      <c r="B29" s="28"/>
      <c r="C29" s="29">
        <v>410597</v>
      </c>
      <c r="D29" s="47">
        <v>59565</v>
      </c>
      <c r="E29" s="56"/>
      <c r="F29" s="50"/>
      <c r="G29" s="50">
        <f t="shared" si="1"/>
        <v>9971.6063328907403</v>
      </c>
      <c r="H29" s="57">
        <f t="shared" si="5"/>
        <v>14836.839090690666</v>
      </c>
      <c r="I29" s="48">
        <f t="shared" si="6"/>
        <v>24808.445423581405</v>
      </c>
      <c r="J29" s="46">
        <v>1.02</v>
      </c>
      <c r="K29" s="29">
        <f t="shared" si="2"/>
        <v>326223.5545764186</v>
      </c>
      <c r="L29" s="29">
        <f t="shared" si="7"/>
        <v>61982.475369519496</v>
      </c>
      <c r="M29" s="29">
        <f t="shared" si="10"/>
        <v>264241.0792068991</v>
      </c>
      <c r="N29" s="29">
        <f t="shared" si="8"/>
        <v>24808.445423581405</v>
      </c>
      <c r="O29" s="29">
        <f t="shared" si="9"/>
        <v>289049.5246304805</v>
      </c>
      <c r="P29" s="29">
        <f t="shared" si="11"/>
        <v>1691599.4787117403</v>
      </c>
      <c r="Q29" s="29">
        <f t="shared" si="12"/>
        <v>14572.584603024068</v>
      </c>
      <c r="S29" s="21">
        <f t="shared" si="13"/>
        <v>-3784603.8150158739</v>
      </c>
    </row>
    <row r="30" spans="1:19" x14ac:dyDescent="0.25">
      <c r="A30" s="28">
        <v>28</v>
      </c>
      <c r="B30" s="28"/>
      <c r="C30" s="29">
        <v>410597</v>
      </c>
      <c r="D30" s="47">
        <v>59565</v>
      </c>
      <c r="E30" s="56"/>
      <c r="F30" s="50"/>
      <c r="G30" s="50">
        <f t="shared" si="1"/>
        <v>9776.0846400889604</v>
      </c>
      <c r="H30" s="57">
        <f t="shared" si="5"/>
        <v>14545.920677147709</v>
      </c>
      <c r="I30" s="48">
        <f t="shared" si="6"/>
        <v>24322.005317236668</v>
      </c>
      <c r="J30" s="46">
        <v>1.02</v>
      </c>
      <c r="K30" s="29">
        <f t="shared" si="2"/>
        <v>326709.99468276335</v>
      </c>
      <c r="L30" s="29">
        <f t="shared" si="7"/>
        <v>62074.898989725043</v>
      </c>
      <c r="M30" s="29">
        <f t="shared" si="10"/>
        <v>264635.09569303831</v>
      </c>
      <c r="N30" s="29">
        <f t="shared" si="8"/>
        <v>24322.005317236668</v>
      </c>
      <c r="O30" s="29">
        <f t="shared" si="9"/>
        <v>288957.10101027496</v>
      </c>
      <c r="P30" s="29">
        <f t="shared" si="11"/>
        <v>1980556.5797220152</v>
      </c>
      <c r="Q30" s="29">
        <f t="shared" si="12"/>
        <v>13042.009863337136</v>
      </c>
      <c r="S30" s="21">
        <f t="shared" si="13"/>
        <v>-3771561.8051525368</v>
      </c>
    </row>
    <row r="31" spans="1:19" x14ac:dyDescent="0.25">
      <c r="A31" s="28">
        <v>29</v>
      </c>
      <c r="B31" s="28"/>
      <c r="C31" s="29">
        <v>410597</v>
      </c>
      <c r="D31" s="47">
        <v>59565</v>
      </c>
      <c r="E31" s="56"/>
      <c r="F31" s="50"/>
      <c r="G31" s="50">
        <f t="shared" si="1"/>
        <v>9584.3967059695697</v>
      </c>
      <c r="H31" s="57">
        <f t="shared" si="5"/>
        <v>14260.706546223246</v>
      </c>
      <c r="I31" s="48">
        <f t="shared" si="6"/>
        <v>23845.103252192814</v>
      </c>
      <c r="J31" s="46">
        <v>1.02</v>
      </c>
      <c r="K31" s="29">
        <f t="shared" si="2"/>
        <v>327186.89674780716</v>
      </c>
      <c r="L31" s="29">
        <f t="shared" si="7"/>
        <v>62165.510382083361</v>
      </c>
      <c r="M31" s="29">
        <f t="shared" si="10"/>
        <v>265021.3863657238</v>
      </c>
      <c r="N31" s="29">
        <f t="shared" si="8"/>
        <v>23845.103252192814</v>
      </c>
      <c r="O31" s="29">
        <f t="shared" si="9"/>
        <v>288866.48961791664</v>
      </c>
      <c r="P31" s="29">
        <f t="shared" si="11"/>
        <v>2269423.0693399319</v>
      </c>
      <c r="Q31" s="29">
        <f t="shared" si="12"/>
        <v>11672.265120631928</v>
      </c>
      <c r="S31" s="21">
        <f t="shared" si="13"/>
        <v>-3759889.5400319048</v>
      </c>
    </row>
    <row r="32" spans="1:19" ht="15.75" thickBot="1" x14ac:dyDescent="0.3">
      <c r="A32" s="28">
        <v>30</v>
      </c>
      <c r="B32" s="28"/>
      <c r="C32" s="29">
        <v>410597</v>
      </c>
      <c r="D32" s="47">
        <v>59565</v>
      </c>
      <c r="E32" s="58"/>
      <c r="F32" s="59"/>
      <c r="G32" s="59">
        <f t="shared" si="1"/>
        <v>9396.4673587936959</v>
      </c>
      <c r="H32" s="60">
        <f t="shared" si="5"/>
        <v>13981.084849238476</v>
      </c>
      <c r="I32" s="48">
        <f t="shared" si="6"/>
        <v>23377.552208032172</v>
      </c>
      <c r="J32" s="46">
        <v>1.02</v>
      </c>
      <c r="K32" s="29">
        <f t="shared" si="2"/>
        <v>327654.44779196783</v>
      </c>
      <c r="L32" s="29">
        <f t="shared" si="7"/>
        <v>62254.345080473868</v>
      </c>
      <c r="M32" s="29">
        <f t="shared" si="10"/>
        <v>265400.10271149396</v>
      </c>
      <c r="N32" s="29">
        <f t="shared" si="8"/>
        <v>23377.552208032172</v>
      </c>
      <c r="O32" s="30">
        <f t="shared" si="9"/>
        <v>288777.65491952613</v>
      </c>
      <c r="P32" s="30">
        <f t="shared" si="11"/>
        <v>2558200.724259458</v>
      </c>
      <c r="Q32" s="29">
        <f t="shared" si="12"/>
        <v>10446.441867174626</v>
      </c>
      <c r="S32" s="21">
        <f t="shared" si="13"/>
        <v>-3749443.0981647302</v>
      </c>
    </row>
    <row r="33" spans="1:17" ht="15.75" thickBot="1" x14ac:dyDescent="0.3">
      <c r="A33" s="24"/>
      <c r="B33" s="24"/>
      <c r="C33" s="24"/>
      <c r="D33" s="24"/>
      <c r="E33" s="24"/>
      <c r="F33" s="25"/>
      <c r="G33" s="24"/>
      <c r="H33" s="24"/>
      <c r="I33" s="24"/>
      <c r="J33" s="24"/>
      <c r="K33" s="24"/>
      <c r="L33" s="24"/>
      <c r="M33" s="24"/>
      <c r="N33" s="92" t="s">
        <v>72</v>
      </c>
      <c r="O33" s="93"/>
      <c r="P33" s="94"/>
      <c r="Q33" s="29">
        <f>SUM(Q3:Q32)</f>
        <v>2250556.9018352707</v>
      </c>
    </row>
    <row r="34" spans="1:17" ht="15.75" thickBot="1" x14ac:dyDescent="0.3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95" t="s">
        <v>73</v>
      </c>
      <c r="O34" s="96"/>
      <c r="P34" s="96"/>
      <c r="Q34" s="31">
        <f>Q33-B2</f>
        <v>-3749443.0981647293</v>
      </c>
    </row>
    <row r="36" spans="1:17" x14ac:dyDescent="0.25">
      <c r="P36" s="67">
        <f>Q33/B2</f>
        <v>0.3750928169725451</v>
      </c>
    </row>
    <row r="37" spans="1:17" x14ac:dyDescent="0.25">
      <c r="D37" s="9" t="s">
        <v>61</v>
      </c>
      <c r="E37" s="9">
        <v>1266240</v>
      </c>
      <c r="F37" s="9">
        <v>50</v>
      </c>
    </row>
    <row r="38" spans="1:17" x14ac:dyDescent="0.25">
      <c r="D38" s="9" t="s">
        <v>62</v>
      </c>
      <c r="E38" s="9">
        <v>510612</v>
      </c>
      <c r="F38" s="9">
        <v>30</v>
      </c>
    </row>
    <row r="39" spans="1:17" x14ac:dyDescent="0.25">
      <c r="D39" s="9" t="s">
        <v>63</v>
      </c>
      <c r="E39" s="9">
        <v>146356</v>
      </c>
      <c r="F39" s="9">
        <v>10</v>
      </c>
    </row>
    <row r="40" spans="1:17" x14ac:dyDescent="0.25">
      <c r="D40" s="9" t="s">
        <v>74</v>
      </c>
      <c r="E40" s="9">
        <v>257006</v>
      </c>
      <c r="F40" s="9">
        <v>5</v>
      </c>
    </row>
    <row r="42" spans="1:17" x14ac:dyDescent="0.25">
      <c r="E42" s="18" t="s">
        <v>107</v>
      </c>
      <c r="F42" s="97" t="s">
        <v>104</v>
      </c>
      <c r="G42" s="97" t="s">
        <v>105</v>
      </c>
      <c r="H42" s="17" t="s">
        <v>106</v>
      </c>
    </row>
    <row r="43" spans="1:17" x14ac:dyDescent="0.25">
      <c r="E43" s="11">
        <v>2018</v>
      </c>
      <c r="F43" s="98">
        <v>87532</v>
      </c>
      <c r="G43" s="98">
        <v>90712</v>
      </c>
      <c r="H43" s="99">
        <v>60538</v>
      </c>
    </row>
    <row r="44" spans="1:17" x14ac:dyDescent="0.25">
      <c r="E44" s="11">
        <v>2019</v>
      </c>
      <c r="F44" s="98">
        <v>116236</v>
      </c>
      <c r="G44" s="98">
        <v>226492</v>
      </c>
      <c r="H44" s="99">
        <v>32549</v>
      </c>
    </row>
    <row r="45" spans="1:17" x14ac:dyDescent="0.25">
      <c r="E45" s="12">
        <v>2020</v>
      </c>
      <c r="F45" s="100">
        <v>179124</v>
      </c>
      <c r="G45" s="100">
        <v>231473</v>
      </c>
      <c r="H45" s="101">
        <v>59565</v>
      </c>
    </row>
    <row r="48" spans="1:17" x14ac:dyDescent="0.25">
      <c r="E48" t="s">
        <v>108</v>
      </c>
      <c r="F48" t="s">
        <v>104</v>
      </c>
      <c r="G48" t="s">
        <v>105</v>
      </c>
      <c r="H48" t="s">
        <v>106</v>
      </c>
    </row>
    <row r="49" spans="5:8" x14ac:dyDescent="0.25">
      <c r="E49">
        <v>2018</v>
      </c>
      <c r="F49">
        <v>260215</v>
      </c>
      <c r="G49">
        <v>204000</v>
      </c>
      <c r="H49">
        <v>55000</v>
      </c>
    </row>
    <row r="50" spans="5:8" x14ac:dyDescent="0.25">
      <c r="E50">
        <v>2019</v>
      </c>
      <c r="F50" s="5">
        <f>F49*1.02</f>
        <v>265419.3</v>
      </c>
      <c r="G50">
        <v>204000</v>
      </c>
      <c r="H50">
        <v>55000</v>
      </c>
    </row>
    <row r="51" spans="5:8" x14ac:dyDescent="0.25">
      <c r="E51">
        <v>2020</v>
      </c>
      <c r="F51" s="5">
        <f>F50*1.02</f>
        <v>270727.68599999999</v>
      </c>
      <c r="G51">
        <v>204000</v>
      </c>
      <c r="H51">
        <v>55000</v>
      </c>
    </row>
    <row r="53" spans="5:8" x14ac:dyDescent="0.25">
      <c r="E53" t="s">
        <v>109</v>
      </c>
      <c r="F53" t="s">
        <v>104</v>
      </c>
      <c r="G53" t="s">
        <v>105</v>
      </c>
      <c r="H53" t="s">
        <v>106</v>
      </c>
    </row>
    <row r="54" spans="5:8" x14ac:dyDescent="0.25">
      <c r="E54">
        <v>2018</v>
      </c>
      <c r="F54">
        <v>176676</v>
      </c>
      <c r="G54">
        <v>534000</v>
      </c>
      <c r="H54">
        <v>70000</v>
      </c>
    </row>
    <row r="55" spans="5:8" x14ac:dyDescent="0.25">
      <c r="E55">
        <v>2019</v>
      </c>
      <c r="F55" s="5">
        <f>F54*1.02</f>
        <v>180209.52</v>
      </c>
      <c r="G55">
        <v>534000</v>
      </c>
      <c r="H55">
        <v>70000</v>
      </c>
    </row>
    <row r="56" spans="5:8" x14ac:dyDescent="0.25">
      <c r="E56">
        <v>2020</v>
      </c>
      <c r="F56" s="5">
        <f>F55*1.02</f>
        <v>183813.71039999998</v>
      </c>
      <c r="G56">
        <v>534000</v>
      </c>
      <c r="H56">
        <v>70000</v>
      </c>
    </row>
  </sheetData>
  <mergeCells count="3">
    <mergeCell ref="P1:P2"/>
    <mergeCell ref="N33:P33"/>
    <mergeCell ref="N34:P34"/>
  </mergeCells>
  <pageMargins left="0.7" right="0.7" top="0.78740157499999996" bottom="0.78740157499999996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Výroba EE</vt:lpstr>
      <vt:lpstr>ODTOK</vt:lpstr>
      <vt:lpstr>Výpočet EG kWh</vt:lpstr>
      <vt:lpstr>počet MVE</vt:lpstr>
      <vt:lpstr>IRR</vt:lpstr>
      <vt:lpstr>ROI</vt:lpstr>
      <vt:lpstr>CASH FLOW</vt:lpstr>
      <vt:lpstr>SKUTECNE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</dc:creator>
  <cp:lastModifiedBy>Martina</cp:lastModifiedBy>
  <dcterms:created xsi:type="dcterms:W3CDTF">2021-04-27T13:50:52Z</dcterms:created>
  <dcterms:modified xsi:type="dcterms:W3CDTF">2022-08-12T20:33:52Z</dcterms:modified>
</cp:coreProperties>
</file>