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xr:revisionPtr revIDLastSave="0" documentId="13_ncr:1_{697A6B2B-E8E4-4EFE-A226-70FBDAC189CF}" xr6:coauthVersionLast="46" xr6:coauthVersionMax="46" xr10:uidLastSave="{00000000-0000-0000-0000-000000000000}"/>
  <bookViews>
    <workbookView xWindow="-120" yWindow="-120" windowWidth="29040" windowHeight="15840" xr2:uid="{3A825695-172B-48BA-AE25-38AF353CA813}"/>
  </bookViews>
  <sheets>
    <sheet name="Pasiva" sheetId="2" r:id="rId1"/>
    <sheet name="Odvětví" sheetId="10" r:id="rId2"/>
    <sheet name="Horizontální analýza" sheetId="3" r:id="rId3"/>
    <sheet name="Vertikální analýza" sheetId="4" r:id="rId4"/>
    <sheet name="Zadluženost" sheetId="5" r:id="rId5"/>
    <sheet name="Likvidita" sheetId="6" r:id="rId6"/>
    <sheet name="Rentabilita" sheetId="7" r:id="rId7"/>
    <sheet name="Finanční páka" sheetId="12" r:id="rId8"/>
    <sheet name="Bilanční pravidla" sheetId="13" r:id="rId9"/>
    <sheet name="Bod indiference" sheetId="8" r:id="rId10"/>
    <sheet name="Náklady" sheetId="11" r:id="rId11"/>
    <sheet name="Benchmarking - re" sheetId="14" r:id="rId12"/>
    <sheet name="U-křivka" sheetId="9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25" i="9" l="1"/>
  <c r="AH37" i="9"/>
  <c r="AI37" i="9" s="1"/>
  <c r="AG37" i="9" s="1"/>
  <c r="AF37" i="9" s="1"/>
  <c r="AH36" i="9"/>
  <c r="AI36" i="9" s="1"/>
  <c r="AH35" i="9"/>
  <c r="AI35" i="9" s="1"/>
  <c r="AG35" i="9" s="1"/>
  <c r="AF35" i="9" s="1"/>
  <c r="AH34" i="9"/>
  <c r="AI34" i="9" s="1"/>
  <c r="AH33" i="9"/>
  <c r="AI33" i="9" s="1"/>
  <c r="AG33" i="9" s="1"/>
  <c r="AF33" i="9" s="1"/>
  <c r="AH32" i="9"/>
  <c r="AI32" i="9" s="1"/>
  <c r="AH31" i="9"/>
  <c r="AI31" i="9" s="1"/>
  <c r="AG31" i="9" s="1"/>
  <c r="AF31" i="9" s="1"/>
  <c r="AH30" i="9"/>
  <c r="AI30" i="9" s="1"/>
  <c r="AH29" i="9"/>
  <c r="AI29" i="9" s="1"/>
  <c r="AG29" i="9" s="1"/>
  <c r="AF29" i="9" s="1"/>
  <c r="AH28" i="9"/>
  <c r="AI28" i="9" s="1"/>
  <c r="AH27" i="9"/>
  <c r="AI27" i="9" s="1"/>
  <c r="AG27" i="9" s="1"/>
  <c r="AF27" i="9" s="1"/>
  <c r="AH26" i="9"/>
  <c r="AI26" i="9" s="1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25" i="9"/>
  <c r="W24" i="9"/>
  <c r="E116" i="6"/>
  <c r="F116" i="6"/>
  <c r="G116" i="6"/>
  <c r="H116" i="6"/>
  <c r="I116" i="6"/>
  <c r="J116" i="6"/>
  <c r="K116" i="6"/>
  <c r="L116" i="6"/>
  <c r="M116" i="6"/>
  <c r="D116" i="6"/>
  <c r="D133" i="11"/>
  <c r="E133" i="11"/>
  <c r="F133" i="11"/>
  <c r="G133" i="11"/>
  <c r="H133" i="11"/>
  <c r="I133" i="11"/>
  <c r="J133" i="11"/>
  <c r="K133" i="11"/>
  <c r="L133" i="11"/>
  <c r="C133" i="11"/>
  <c r="D21" i="13"/>
  <c r="E21" i="13"/>
  <c r="F21" i="13"/>
  <c r="G21" i="13"/>
  <c r="H21" i="13"/>
  <c r="I21" i="13"/>
  <c r="J21" i="13"/>
  <c r="K21" i="13"/>
  <c r="L21" i="13"/>
  <c r="C21" i="13"/>
  <c r="P8" i="12"/>
  <c r="E17" i="6"/>
  <c r="K19" i="7"/>
  <c r="D19" i="7"/>
  <c r="H29" i="7"/>
  <c r="H28" i="7"/>
  <c r="D18" i="7"/>
  <c r="L81" i="4"/>
  <c r="L71" i="3"/>
  <c r="K71" i="3"/>
  <c r="I71" i="3"/>
  <c r="E71" i="3"/>
  <c r="D71" i="3"/>
  <c r="H68" i="3"/>
  <c r="H67" i="3"/>
  <c r="D7" i="13"/>
  <c r="E7" i="13"/>
  <c r="F7" i="13"/>
  <c r="G7" i="13"/>
  <c r="H7" i="13"/>
  <c r="I7" i="13"/>
  <c r="J7" i="13"/>
  <c r="K7" i="13"/>
  <c r="L7" i="13"/>
  <c r="C7" i="13"/>
  <c r="L5" i="13"/>
  <c r="K5" i="13"/>
  <c r="J5" i="13"/>
  <c r="I5" i="13"/>
  <c r="H5" i="13"/>
  <c r="G5" i="13"/>
  <c r="F5" i="13"/>
  <c r="E5" i="13"/>
  <c r="D5" i="13"/>
  <c r="C5" i="13"/>
  <c r="D13" i="13"/>
  <c r="E13" i="13"/>
  <c r="F13" i="13"/>
  <c r="G13" i="13"/>
  <c r="H13" i="13"/>
  <c r="I13" i="13"/>
  <c r="J13" i="13"/>
  <c r="K13" i="13"/>
  <c r="L13" i="13"/>
  <c r="C13" i="13"/>
  <c r="D6" i="12"/>
  <c r="E6" i="12"/>
  <c r="F6" i="12"/>
  <c r="G6" i="12"/>
  <c r="H6" i="12"/>
  <c r="I6" i="12"/>
  <c r="J6" i="12"/>
  <c r="K6" i="12"/>
  <c r="L6" i="12"/>
  <c r="C6" i="12"/>
  <c r="Q9" i="12"/>
  <c r="R9" i="12"/>
  <c r="S9" i="12"/>
  <c r="T9" i="12"/>
  <c r="U9" i="12"/>
  <c r="V9" i="12"/>
  <c r="W9" i="12"/>
  <c r="X9" i="12"/>
  <c r="Y9" i="12"/>
  <c r="P9" i="12"/>
  <c r="Q8" i="12"/>
  <c r="R8" i="12"/>
  <c r="S8" i="12"/>
  <c r="T8" i="12"/>
  <c r="U8" i="12"/>
  <c r="V8" i="12"/>
  <c r="W8" i="12"/>
  <c r="X8" i="12"/>
  <c r="Y8" i="12"/>
  <c r="D4" i="12"/>
  <c r="E4" i="12"/>
  <c r="F4" i="12"/>
  <c r="G4" i="12"/>
  <c r="H4" i="12"/>
  <c r="I4" i="12"/>
  <c r="J4" i="12"/>
  <c r="K4" i="12"/>
  <c r="L4" i="12"/>
  <c r="C4" i="12"/>
  <c r="H6" i="8"/>
  <c r="I6" i="8"/>
  <c r="J6" i="8"/>
  <c r="K6" i="8"/>
  <c r="L6" i="8"/>
  <c r="G6" i="8"/>
  <c r="F6" i="8"/>
  <c r="E6" i="8"/>
  <c r="D6" i="8"/>
  <c r="C6" i="8"/>
  <c r="C13" i="9"/>
  <c r="M13" i="9" s="1"/>
  <c r="M9" i="9"/>
  <c r="M5" i="9"/>
  <c r="M6" i="9"/>
  <c r="C7" i="9"/>
  <c r="D7" i="9"/>
  <c r="E7" i="9"/>
  <c r="F7" i="9"/>
  <c r="G7" i="9"/>
  <c r="H7" i="9"/>
  <c r="I7" i="9"/>
  <c r="J7" i="9"/>
  <c r="K7" i="9"/>
  <c r="L7" i="9"/>
  <c r="X8" i="9"/>
  <c r="Y8" i="9" s="1"/>
  <c r="X9" i="9"/>
  <c r="Y9" i="9" s="1"/>
  <c r="X10" i="9"/>
  <c r="Y10" i="9" s="1"/>
  <c r="X11" i="9"/>
  <c r="Y11" i="9" s="1"/>
  <c r="X12" i="9"/>
  <c r="Y12" i="9" s="1"/>
  <c r="X13" i="9"/>
  <c r="Y13" i="9" s="1"/>
  <c r="X14" i="9"/>
  <c r="Y14" i="9" s="1"/>
  <c r="X15" i="9"/>
  <c r="Y15" i="9" s="1"/>
  <c r="X7" i="9"/>
  <c r="Y7" i="9" s="1"/>
  <c r="M10" i="9"/>
  <c r="M8" i="9"/>
  <c r="W6" i="9" s="1"/>
  <c r="D12" i="9"/>
  <c r="E12" i="9"/>
  <c r="F12" i="9"/>
  <c r="G12" i="9"/>
  <c r="H12" i="9"/>
  <c r="I12" i="9"/>
  <c r="J12" i="9"/>
  <c r="K12" i="9"/>
  <c r="L12" i="9"/>
  <c r="C12" i="9"/>
  <c r="Q83" i="11"/>
  <c r="R83" i="11"/>
  <c r="S83" i="11"/>
  <c r="T83" i="11"/>
  <c r="U83" i="11"/>
  <c r="V83" i="11"/>
  <c r="W83" i="11"/>
  <c r="X83" i="11"/>
  <c r="Y83" i="11"/>
  <c r="P83" i="11"/>
  <c r="Q88" i="11"/>
  <c r="R88" i="11"/>
  <c r="S88" i="11"/>
  <c r="T88" i="11"/>
  <c r="U88" i="11"/>
  <c r="V88" i="11"/>
  <c r="W88" i="11"/>
  <c r="X88" i="11"/>
  <c r="Y88" i="11"/>
  <c r="P88" i="11"/>
  <c r="F77" i="11"/>
  <c r="G77" i="11"/>
  <c r="J77" i="11"/>
  <c r="K77" i="11"/>
  <c r="D33" i="11"/>
  <c r="D35" i="11" s="1"/>
  <c r="E33" i="11"/>
  <c r="E35" i="11" s="1"/>
  <c r="F33" i="11"/>
  <c r="F35" i="11" s="1"/>
  <c r="G33" i="11"/>
  <c r="G35" i="11" s="1"/>
  <c r="H33" i="11"/>
  <c r="H35" i="11" s="1"/>
  <c r="I33" i="11"/>
  <c r="I35" i="11" s="1"/>
  <c r="J33" i="11"/>
  <c r="J35" i="11" s="1"/>
  <c r="K33" i="11"/>
  <c r="K35" i="11" s="1"/>
  <c r="L33" i="11"/>
  <c r="L35" i="11" s="1"/>
  <c r="C33" i="11"/>
  <c r="C35" i="11" s="1"/>
  <c r="D32" i="11"/>
  <c r="E32" i="11"/>
  <c r="F32" i="11"/>
  <c r="G32" i="11"/>
  <c r="H32" i="11"/>
  <c r="I32" i="11"/>
  <c r="J32" i="11"/>
  <c r="K32" i="11"/>
  <c r="L32" i="11"/>
  <c r="C32" i="11"/>
  <c r="D76" i="11"/>
  <c r="D77" i="11" s="1"/>
  <c r="E76" i="11"/>
  <c r="E77" i="11" s="1"/>
  <c r="F76" i="11"/>
  <c r="G76" i="11"/>
  <c r="H76" i="11"/>
  <c r="H77" i="11" s="1"/>
  <c r="I76" i="11"/>
  <c r="I77" i="11" s="1"/>
  <c r="J76" i="11"/>
  <c r="K76" i="11"/>
  <c r="L76" i="11"/>
  <c r="L77" i="11" s="1"/>
  <c r="C76" i="11"/>
  <c r="C77" i="11" s="1"/>
  <c r="F71" i="11"/>
  <c r="C66" i="11"/>
  <c r="AG26" i="9" l="1"/>
  <c r="AF26" i="9" s="1"/>
  <c r="AE26" i="9"/>
  <c r="AG30" i="9"/>
  <c r="AF30" i="9" s="1"/>
  <c r="AE30" i="9"/>
  <c r="AG28" i="9"/>
  <c r="AF28" i="9" s="1"/>
  <c r="AE28" i="9"/>
  <c r="AG32" i="9"/>
  <c r="AF32" i="9" s="1"/>
  <c r="AE32" i="9"/>
  <c r="AG36" i="9"/>
  <c r="AF36" i="9" s="1"/>
  <c r="AE36" i="9"/>
  <c r="AG34" i="9"/>
  <c r="AF34" i="9" s="1"/>
  <c r="AE34" i="9"/>
  <c r="AI25" i="9"/>
  <c r="AE25" i="9" s="1"/>
  <c r="AE27" i="9"/>
  <c r="AK27" i="9" s="1"/>
  <c r="AE29" i="9"/>
  <c r="AK29" i="9" s="1"/>
  <c r="AE31" i="9"/>
  <c r="AK31" i="9" s="1"/>
  <c r="AE33" i="9"/>
  <c r="AK33" i="9" s="1"/>
  <c r="AE35" i="9"/>
  <c r="AK35" i="9" s="1"/>
  <c r="AE37" i="9"/>
  <c r="AK37" i="9" s="1"/>
  <c r="K14" i="9"/>
  <c r="G14" i="9"/>
  <c r="U25" i="9"/>
  <c r="L14" i="9"/>
  <c r="H14" i="9"/>
  <c r="D14" i="9"/>
  <c r="W15" i="9"/>
  <c r="C14" i="9"/>
  <c r="W8" i="9"/>
  <c r="M12" i="9"/>
  <c r="I14" i="9"/>
  <c r="E14" i="9"/>
  <c r="J14" i="9"/>
  <c r="F14" i="9"/>
  <c r="U10" i="9"/>
  <c r="U14" i="9"/>
  <c r="U11" i="9"/>
  <c r="U15" i="9"/>
  <c r="U9" i="9"/>
  <c r="U12" i="9"/>
  <c r="U13" i="9"/>
  <c r="U8" i="9"/>
  <c r="W12" i="9"/>
  <c r="W9" i="9"/>
  <c r="W13" i="9"/>
  <c r="W10" i="9"/>
  <c r="W14" i="9"/>
  <c r="W11" i="9"/>
  <c r="U7" i="9"/>
  <c r="W7" i="9"/>
  <c r="M7" i="9"/>
  <c r="C48" i="11"/>
  <c r="E25" i="11"/>
  <c r="C25" i="11"/>
  <c r="D23" i="11"/>
  <c r="D25" i="11" s="1"/>
  <c r="E23" i="11"/>
  <c r="F23" i="11"/>
  <c r="F25" i="11" s="1"/>
  <c r="F24" i="11" s="1"/>
  <c r="G23" i="11"/>
  <c r="G25" i="11" s="1"/>
  <c r="H23" i="11"/>
  <c r="H25" i="11" s="1"/>
  <c r="I23" i="11"/>
  <c r="I25" i="11" s="1"/>
  <c r="J23" i="11"/>
  <c r="J25" i="11" s="1"/>
  <c r="K23" i="11"/>
  <c r="K25" i="11" s="1"/>
  <c r="L23" i="11"/>
  <c r="L25" i="11" s="1"/>
  <c r="C23" i="11"/>
  <c r="AK34" i="9" l="1"/>
  <c r="AK32" i="9"/>
  <c r="AK30" i="9"/>
  <c r="AK36" i="9"/>
  <c r="AK28" i="9"/>
  <c r="AK26" i="9"/>
  <c r="AG25" i="9"/>
  <c r="AF25" i="9" s="1"/>
  <c r="AK25" i="9" s="1"/>
  <c r="W25" i="9"/>
  <c r="M14" i="9"/>
  <c r="V8" i="9"/>
  <c r="V7" i="9"/>
  <c r="AA7" i="9" s="1"/>
  <c r="AA24" i="9"/>
  <c r="V11" i="9"/>
  <c r="AA11" i="9" s="1"/>
  <c r="V14" i="9"/>
  <c r="AA14" i="9" s="1"/>
  <c r="AA8" i="9"/>
  <c r="V13" i="9"/>
  <c r="AA13" i="9" s="1"/>
  <c r="V10" i="9"/>
  <c r="AA10" i="9" s="1"/>
  <c r="V12" i="9"/>
  <c r="AA12" i="9" s="1"/>
  <c r="V9" i="9"/>
  <c r="AA9" i="9" s="1"/>
  <c r="V15" i="9"/>
  <c r="AA15" i="9" s="1"/>
  <c r="V6" i="9"/>
  <c r="AA6" i="9" s="1"/>
  <c r="G18" i="11"/>
  <c r="G56" i="11"/>
  <c r="G59" i="11" s="1"/>
  <c r="G24" i="11"/>
  <c r="K18" i="11"/>
  <c r="K56" i="11"/>
  <c r="K59" i="11" s="1"/>
  <c r="K24" i="11"/>
  <c r="L18" i="11"/>
  <c r="L56" i="11"/>
  <c r="L59" i="11" s="1"/>
  <c r="L24" i="11"/>
  <c r="H56" i="11"/>
  <c r="H59" i="11" s="1"/>
  <c r="H18" i="11"/>
  <c r="H24" i="11"/>
  <c r="D18" i="11"/>
  <c r="D56" i="11"/>
  <c r="D59" i="11" s="1"/>
  <c r="D24" i="11"/>
  <c r="J18" i="11"/>
  <c r="J56" i="11"/>
  <c r="J59" i="11" s="1"/>
  <c r="I56" i="11"/>
  <c r="I59" i="11" s="1"/>
  <c r="I18" i="11"/>
  <c r="J24" i="11"/>
  <c r="F18" i="11"/>
  <c r="F56" i="11"/>
  <c r="F59" i="11" s="1"/>
  <c r="C18" i="11"/>
  <c r="C56" i="11"/>
  <c r="C59" i="11" s="1"/>
  <c r="E56" i="11"/>
  <c r="E59" i="11" s="1"/>
  <c r="E18" i="11"/>
  <c r="C24" i="11"/>
  <c r="I24" i="11"/>
  <c r="E24" i="11"/>
  <c r="D17" i="11" l="1"/>
  <c r="E17" i="11"/>
  <c r="F17" i="11"/>
  <c r="G17" i="11"/>
  <c r="H17" i="11"/>
  <c r="I17" i="11"/>
  <c r="J17" i="11"/>
  <c r="K17" i="11"/>
  <c r="L17" i="11"/>
  <c r="C17" i="11"/>
  <c r="M54" i="7"/>
  <c r="L54" i="7"/>
  <c r="K54" i="7"/>
  <c r="J54" i="7"/>
  <c r="I54" i="7"/>
  <c r="H54" i="7"/>
  <c r="G54" i="7"/>
  <c r="F54" i="7"/>
  <c r="E54" i="7"/>
  <c r="D54" i="7"/>
  <c r="M55" i="7"/>
  <c r="L55" i="7"/>
  <c r="K55" i="7"/>
  <c r="J55" i="7"/>
  <c r="I55" i="7"/>
  <c r="H55" i="7"/>
  <c r="G55" i="7"/>
  <c r="F55" i="7"/>
  <c r="E55" i="7"/>
  <c r="D55" i="7"/>
  <c r="M34" i="7"/>
  <c r="L34" i="7"/>
  <c r="K34" i="7"/>
  <c r="J34" i="7"/>
  <c r="I34" i="7"/>
  <c r="H34" i="7"/>
  <c r="G34" i="7"/>
  <c r="F34" i="7"/>
  <c r="E34" i="7"/>
  <c r="D34" i="7"/>
  <c r="M33" i="7"/>
  <c r="L33" i="7"/>
  <c r="K33" i="7"/>
  <c r="J33" i="7"/>
  <c r="I33" i="7"/>
  <c r="H33" i="7"/>
  <c r="G33" i="7"/>
  <c r="F33" i="7"/>
  <c r="E33" i="7"/>
  <c r="D33" i="7"/>
  <c r="E29" i="7"/>
  <c r="F29" i="7"/>
  <c r="G29" i="7"/>
  <c r="I29" i="7"/>
  <c r="J29" i="7"/>
  <c r="K29" i="7"/>
  <c r="L29" i="7"/>
  <c r="M29" i="7"/>
  <c r="D29" i="7"/>
  <c r="E28" i="7"/>
  <c r="F28" i="7"/>
  <c r="G28" i="7"/>
  <c r="I28" i="7"/>
  <c r="J28" i="7"/>
  <c r="K28" i="7"/>
  <c r="L28" i="7"/>
  <c r="M28" i="7"/>
  <c r="D28" i="7"/>
  <c r="E19" i="7"/>
  <c r="F19" i="7"/>
  <c r="G19" i="7"/>
  <c r="H19" i="7"/>
  <c r="I19" i="7"/>
  <c r="J19" i="7"/>
  <c r="L19" i="7"/>
  <c r="M19" i="7"/>
  <c r="E18" i="7"/>
  <c r="F18" i="7"/>
  <c r="G18" i="7"/>
  <c r="H18" i="7"/>
  <c r="I18" i="7"/>
  <c r="J18" i="7"/>
  <c r="K18" i="7"/>
  <c r="L18" i="7"/>
  <c r="M18" i="7"/>
  <c r="M92" i="6"/>
  <c r="L92" i="6"/>
  <c r="K92" i="6"/>
  <c r="J92" i="6"/>
  <c r="I92" i="6"/>
  <c r="H92" i="6"/>
  <c r="G92" i="6"/>
  <c r="F92" i="6"/>
  <c r="E92" i="6"/>
  <c r="D92" i="6"/>
  <c r="E30" i="6"/>
  <c r="F30" i="6"/>
  <c r="G30" i="6"/>
  <c r="H30" i="6"/>
  <c r="I30" i="6"/>
  <c r="J30" i="6"/>
  <c r="K30" i="6"/>
  <c r="L30" i="6"/>
  <c r="M30" i="6"/>
  <c r="D30" i="6"/>
  <c r="M91" i="6"/>
  <c r="L91" i="6"/>
  <c r="K91" i="6"/>
  <c r="J91" i="6"/>
  <c r="I91" i="6"/>
  <c r="H91" i="6"/>
  <c r="G91" i="6"/>
  <c r="F91" i="6"/>
  <c r="E91" i="6"/>
  <c r="D91" i="6"/>
  <c r="M69" i="6"/>
  <c r="L69" i="6"/>
  <c r="K69" i="6"/>
  <c r="J69" i="6"/>
  <c r="I69" i="6"/>
  <c r="H69" i="6"/>
  <c r="G69" i="6"/>
  <c r="F69" i="6"/>
  <c r="E69" i="6"/>
  <c r="D69" i="6"/>
  <c r="M49" i="6"/>
  <c r="L49" i="6"/>
  <c r="K49" i="6"/>
  <c r="J49" i="6"/>
  <c r="I49" i="6"/>
  <c r="H49" i="6"/>
  <c r="G49" i="6"/>
  <c r="F49" i="6"/>
  <c r="E49" i="6"/>
  <c r="D49" i="6"/>
  <c r="E31" i="6"/>
  <c r="F31" i="6"/>
  <c r="G31" i="6"/>
  <c r="H31" i="6"/>
  <c r="I31" i="6"/>
  <c r="J31" i="6"/>
  <c r="K31" i="6"/>
  <c r="L31" i="6"/>
  <c r="M31" i="6"/>
  <c r="D31" i="6"/>
  <c r="D28" i="6"/>
  <c r="E29" i="6"/>
  <c r="F29" i="6"/>
  <c r="G29" i="6"/>
  <c r="H29" i="6"/>
  <c r="I29" i="6"/>
  <c r="J29" i="6"/>
  <c r="K29" i="6"/>
  <c r="L29" i="6"/>
  <c r="M29" i="6"/>
  <c r="D29" i="6"/>
  <c r="E28" i="6"/>
  <c r="F28" i="6"/>
  <c r="G28" i="6"/>
  <c r="H28" i="6"/>
  <c r="I28" i="6"/>
  <c r="J28" i="6"/>
  <c r="K28" i="6"/>
  <c r="L28" i="6"/>
  <c r="M28" i="6"/>
  <c r="M40" i="6"/>
  <c r="L40" i="6"/>
  <c r="M39" i="6"/>
  <c r="L39" i="6"/>
  <c r="M38" i="6"/>
  <c r="L38" i="6"/>
  <c r="M37" i="6"/>
  <c r="L37" i="6"/>
  <c r="K40" i="6"/>
  <c r="J40" i="6"/>
  <c r="I40" i="6"/>
  <c r="H40" i="6"/>
  <c r="G40" i="6"/>
  <c r="F40" i="6"/>
  <c r="E40" i="6"/>
  <c r="D40" i="6"/>
  <c r="K39" i="6"/>
  <c r="J39" i="6"/>
  <c r="I39" i="6"/>
  <c r="H39" i="6"/>
  <c r="G39" i="6"/>
  <c r="F39" i="6"/>
  <c r="E39" i="6"/>
  <c r="D39" i="6"/>
  <c r="K38" i="6"/>
  <c r="J38" i="6"/>
  <c r="I38" i="6"/>
  <c r="H38" i="6"/>
  <c r="G38" i="6"/>
  <c r="F38" i="6"/>
  <c r="E38" i="6"/>
  <c r="D38" i="6"/>
  <c r="K37" i="6"/>
  <c r="J37" i="6"/>
  <c r="I37" i="6"/>
  <c r="H37" i="6"/>
  <c r="G37" i="6"/>
  <c r="F37" i="6"/>
  <c r="E37" i="6"/>
  <c r="D37" i="6"/>
  <c r="E20" i="6"/>
  <c r="F20" i="6"/>
  <c r="G20" i="6"/>
  <c r="H20" i="6"/>
  <c r="I20" i="6"/>
  <c r="J20" i="6"/>
  <c r="K20" i="6"/>
  <c r="L20" i="6"/>
  <c r="M20" i="6"/>
  <c r="D20" i="6"/>
  <c r="M19" i="6"/>
  <c r="E19" i="6"/>
  <c r="F19" i="6"/>
  <c r="G19" i="6"/>
  <c r="H19" i="6"/>
  <c r="I19" i="6"/>
  <c r="J19" i="6"/>
  <c r="K19" i="6"/>
  <c r="L19" i="6"/>
  <c r="D19" i="6"/>
  <c r="E18" i="6"/>
  <c r="F18" i="6"/>
  <c r="G18" i="6"/>
  <c r="H18" i="6"/>
  <c r="I18" i="6"/>
  <c r="J18" i="6"/>
  <c r="K18" i="6"/>
  <c r="L18" i="6"/>
  <c r="M18" i="6"/>
  <c r="D18" i="6"/>
  <c r="F17" i="6"/>
  <c r="G17" i="6"/>
  <c r="H17" i="6"/>
  <c r="I17" i="6"/>
  <c r="J17" i="6"/>
  <c r="K17" i="6"/>
  <c r="L17" i="6"/>
  <c r="M17" i="6"/>
  <c r="D17" i="6"/>
  <c r="Z61" i="5"/>
  <c r="Y61" i="5"/>
  <c r="X61" i="5"/>
  <c r="W61" i="5"/>
  <c r="V61" i="5"/>
  <c r="U61" i="5"/>
  <c r="T61" i="5"/>
  <c r="S61" i="5"/>
  <c r="R61" i="5"/>
  <c r="Q61" i="5"/>
  <c r="M82" i="5"/>
  <c r="L82" i="5"/>
  <c r="K82" i="5"/>
  <c r="J82" i="5"/>
  <c r="I82" i="5"/>
  <c r="H82" i="5"/>
  <c r="G82" i="5"/>
  <c r="F82" i="5"/>
  <c r="E82" i="5"/>
  <c r="D82" i="5"/>
  <c r="Z40" i="5"/>
  <c r="Y40" i="5"/>
  <c r="X40" i="5"/>
  <c r="W40" i="5"/>
  <c r="V40" i="5"/>
  <c r="U40" i="5"/>
  <c r="T40" i="5"/>
  <c r="S40" i="5"/>
  <c r="R40" i="5"/>
  <c r="Q40" i="5"/>
  <c r="M60" i="5"/>
  <c r="L60" i="5"/>
  <c r="K60" i="5"/>
  <c r="J60" i="5"/>
  <c r="I60" i="5"/>
  <c r="H60" i="5"/>
  <c r="G60" i="5"/>
  <c r="F60" i="5"/>
  <c r="E60" i="5"/>
  <c r="D60" i="5"/>
  <c r="Q30" i="5"/>
  <c r="R34" i="5"/>
  <c r="S34" i="5"/>
  <c r="T34" i="5"/>
  <c r="U34" i="5"/>
  <c r="V34" i="5"/>
  <c r="W34" i="5"/>
  <c r="X34" i="5"/>
  <c r="Y34" i="5"/>
  <c r="Z34" i="5"/>
  <c r="Q34" i="5"/>
  <c r="R33" i="5"/>
  <c r="S33" i="5"/>
  <c r="T33" i="5"/>
  <c r="U33" i="5"/>
  <c r="V33" i="5"/>
  <c r="W33" i="5"/>
  <c r="X33" i="5"/>
  <c r="Y33" i="5"/>
  <c r="Z33" i="5"/>
  <c r="Q33" i="5"/>
  <c r="R32" i="5"/>
  <c r="S32" i="5"/>
  <c r="T32" i="5"/>
  <c r="U32" i="5"/>
  <c r="V32" i="5"/>
  <c r="W32" i="5"/>
  <c r="X32" i="5"/>
  <c r="Y32" i="5"/>
  <c r="Z32" i="5"/>
  <c r="Q32" i="5"/>
  <c r="R31" i="5"/>
  <c r="S31" i="5"/>
  <c r="T31" i="5"/>
  <c r="U31" i="5"/>
  <c r="V31" i="5"/>
  <c r="W31" i="5"/>
  <c r="X31" i="5"/>
  <c r="Y31" i="5"/>
  <c r="Z31" i="5"/>
  <c r="Q31" i="5"/>
  <c r="R30" i="5"/>
  <c r="S30" i="5"/>
  <c r="T30" i="5"/>
  <c r="U30" i="5"/>
  <c r="V30" i="5"/>
  <c r="W30" i="5"/>
  <c r="X30" i="5"/>
  <c r="Y30" i="5"/>
  <c r="Z30" i="5"/>
  <c r="E34" i="5"/>
  <c r="F34" i="5"/>
  <c r="G34" i="5"/>
  <c r="H34" i="5"/>
  <c r="I34" i="5"/>
  <c r="J34" i="5"/>
  <c r="K34" i="5"/>
  <c r="L34" i="5"/>
  <c r="M34" i="5"/>
  <c r="D34" i="5"/>
  <c r="E33" i="5"/>
  <c r="F33" i="5"/>
  <c r="G33" i="5"/>
  <c r="H33" i="5"/>
  <c r="I33" i="5"/>
  <c r="J33" i="5"/>
  <c r="K33" i="5"/>
  <c r="L33" i="5"/>
  <c r="M33" i="5"/>
  <c r="D33" i="5"/>
  <c r="D32" i="5"/>
  <c r="E31" i="5"/>
  <c r="F31" i="5"/>
  <c r="G31" i="5"/>
  <c r="H31" i="5"/>
  <c r="I31" i="5"/>
  <c r="J31" i="5"/>
  <c r="K31" i="5"/>
  <c r="L31" i="5"/>
  <c r="M31" i="5"/>
  <c r="D31" i="5"/>
  <c r="E30" i="5"/>
  <c r="F30" i="5"/>
  <c r="G30" i="5"/>
  <c r="H30" i="5"/>
  <c r="I30" i="5"/>
  <c r="J30" i="5"/>
  <c r="K30" i="5"/>
  <c r="L30" i="5"/>
  <c r="M30" i="5"/>
  <c r="D30" i="5"/>
  <c r="L112" i="4"/>
  <c r="L113" i="4"/>
  <c r="K112" i="4"/>
  <c r="K113" i="4"/>
  <c r="J112" i="4"/>
  <c r="J113" i="4"/>
  <c r="I112" i="4"/>
  <c r="I113" i="4"/>
  <c r="H112" i="4"/>
  <c r="H113" i="4"/>
  <c r="G112" i="4"/>
  <c r="G113" i="4"/>
  <c r="F112" i="4"/>
  <c r="F113" i="4"/>
  <c r="E112" i="4"/>
  <c r="E113" i="4"/>
  <c r="D112" i="4"/>
  <c r="D113" i="4"/>
  <c r="L111" i="4"/>
  <c r="K111" i="4"/>
  <c r="J111" i="4"/>
  <c r="I111" i="4"/>
  <c r="H111" i="4"/>
  <c r="G111" i="4"/>
  <c r="F111" i="4"/>
  <c r="E111" i="4"/>
  <c r="D111" i="4"/>
  <c r="C112" i="4"/>
  <c r="C113" i="4"/>
  <c r="C111" i="4"/>
  <c r="C78" i="10"/>
  <c r="B78" i="10"/>
  <c r="C77" i="10"/>
  <c r="B77" i="10"/>
  <c r="C76" i="10"/>
  <c r="B76" i="10"/>
  <c r="C75" i="10"/>
  <c r="B75" i="10"/>
  <c r="C74" i="10"/>
  <c r="B74" i="10"/>
  <c r="C73" i="10"/>
  <c r="B73" i="10"/>
  <c r="C72" i="10"/>
  <c r="B72" i="10"/>
  <c r="C71" i="10"/>
  <c r="B71" i="10"/>
  <c r="C70" i="10"/>
  <c r="B70" i="10"/>
  <c r="C69" i="10"/>
  <c r="B69" i="10"/>
  <c r="C68" i="10"/>
  <c r="B68" i="10"/>
  <c r="C67" i="10"/>
  <c r="B67" i="10"/>
  <c r="C66" i="10"/>
  <c r="B66" i="10"/>
  <c r="C65" i="10"/>
  <c r="B65" i="10"/>
  <c r="C64" i="10"/>
  <c r="B64" i="10"/>
  <c r="C63" i="10"/>
  <c r="B63" i="10"/>
  <c r="C62" i="10"/>
  <c r="B62" i="10"/>
  <c r="C61" i="10"/>
  <c r="B61" i="10"/>
  <c r="C60" i="10"/>
  <c r="B60" i="10"/>
  <c r="C59" i="10"/>
  <c r="B59" i="10"/>
  <c r="C58" i="10"/>
  <c r="B58" i="10"/>
  <c r="C57" i="10"/>
  <c r="B57" i="10"/>
  <c r="C56" i="10"/>
  <c r="B56" i="10"/>
  <c r="C55" i="10"/>
  <c r="B55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C10" i="10"/>
  <c r="B10" i="10"/>
  <c r="C9" i="10"/>
  <c r="B9" i="10"/>
  <c r="C8" i="10"/>
  <c r="B8" i="10"/>
  <c r="C7" i="10"/>
  <c r="B7" i="10"/>
  <c r="C6" i="10"/>
  <c r="B6" i="10"/>
  <c r="C5" i="10"/>
  <c r="B5" i="10"/>
  <c r="C4" i="10"/>
  <c r="B4" i="10"/>
  <c r="C3" i="10"/>
  <c r="B3" i="10"/>
  <c r="M2" i="10"/>
  <c r="L2" i="10"/>
  <c r="K2" i="10"/>
  <c r="J2" i="10"/>
  <c r="I2" i="10"/>
  <c r="H2" i="10"/>
  <c r="G2" i="10"/>
  <c r="F2" i="10"/>
  <c r="E2" i="10"/>
  <c r="D2" i="10"/>
  <c r="C2" i="10"/>
  <c r="B2" i="10"/>
  <c r="L92" i="4"/>
  <c r="L93" i="4"/>
  <c r="L94" i="4"/>
  <c r="L91" i="4"/>
  <c r="K92" i="4"/>
  <c r="K93" i="4"/>
  <c r="K94" i="4"/>
  <c r="K91" i="4"/>
  <c r="J92" i="4"/>
  <c r="J93" i="4"/>
  <c r="J94" i="4"/>
  <c r="J91" i="4"/>
  <c r="I92" i="4"/>
  <c r="I93" i="4"/>
  <c r="I94" i="4"/>
  <c r="I91" i="4"/>
  <c r="H92" i="4"/>
  <c r="H93" i="4"/>
  <c r="H94" i="4"/>
  <c r="H91" i="4"/>
  <c r="L82" i="4"/>
  <c r="L83" i="4"/>
  <c r="L84" i="4"/>
  <c r="K82" i="4"/>
  <c r="K83" i="4"/>
  <c r="K84" i="4"/>
  <c r="K81" i="4"/>
  <c r="J82" i="4"/>
  <c r="J83" i="4"/>
  <c r="J84" i="4"/>
  <c r="J81" i="4"/>
  <c r="I82" i="4"/>
  <c r="I83" i="4"/>
  <c r="I84" i="4"/>
  <c r="I81" i="4"/>
  <c r="H82" i="4"/>
  <c r="H83" i="4"/>
  <c r="H84" i="4"/>
  <c r="H81" i="4"/>
  <c r="L71" i="4"/>
  <c r="L72" i="4"/>
  <c r="L73" i="4"/>
  <c r="L74" i="4"/>
  <c r="L70" i="4"/>
  <c r="K71" i="4"/>
  <c r="K72" i="4"/>
  <c r="K73" i="4"/>
  <c r="K74" i="4"/>
  <c r="K70" i="4"/>
  <c r="J71" i="4"/>
  <c r="J72" i="4"/>
  <c r="J73" i="4"/>
  <c r="J74" i="4"/>
  <c r="J70" i="4"/>
  <c r="I71" i="4"/>
  <c r="I72" i="4"/>
  <c r="I73" i="4"/>
  <c r="I74" i="4"/>
  <c r="I70" i="4"/>
  <c r="H71" i="4"/>
  <c r="H72" i="4"/>
  <c r="H73" i="4"/>
  <c r="H74" i="4"/>
  <c r="H70" i="4"/>
  <c r="L60" i="4"/>
  <c r="L61" i="4"/>
  <c r="L62" i="4"/>
  <c r="L63" i="4"/>
  <c r="L59" i="4"/>
  <c r="K60" i="4"/>
  <c r="K61" i="4"/>
  <c r="K62" i="4"/>
  <c r="K63" i="4"/>
  <c r="K59" i="4"/>
  <c r="J60" i="4"/>
  <c r="J61" i="4"/>
  <c r="J62" i="4"/>
  <c r="J63" i="4"/>
  <c r="J59" i="4"/>
  <c r="I60" i="4"/>
  <c r="I61" i="4"/>
  <c r="I62" i="4"/>
  <c r="I63" i="4"/>
  <c r="I59" i="4"/>
  <c r="H60" i="4"/>
  <c r="H61" i="4"/>
  <c r="H62" i="4"/>
  <c r="H63" i="4"/>
  <c r="H59" i="4"/>
  <c r="L42" i="4"/>
  <c r="L43" i="4"/>
  <c r="L44" i="4"/>
  <c r="L45" i="4"/>
  <c r="L46" i="4"/>
  <c r="L47" i="4"/>
  <c r="L48" i="4"/>
  <c r="L49" i="4"/>
  <c r="L50" i="4"/>
  <c r="L51" i="4"/>
  <c r="L52" i="4"/>
  <c r="L41" i="4"/>
  <c r="K42" i="4"/>
  <c r="K43" i="4"/>
  <c r="K44" i="4"/>
  <c r="K45" i="4"/>
  <c r="K46" i="4"/>
  <c r="K47" i="4"/>
  <c r="K48" i="4"/>
  <c r="K49" i="4"/>
  <c r="K50" i="4"/>
  <c r="K51" i="4"/>
  <c r="K52" i="4"/>
  <c r="K41" i="4"/>
  <c r="J42" i="4"/>
  <c r="J43" i="4"/>
  <c r="J44" i="4"/>
  <c r="J45" i="4"/>
  <c r="J46" i="4"/>
  <c r="J47" i="4"/>
  <c r="J48" i="4"/>
  <c r="J49" i="4"/>
  <c r="J50" i="4"/>
  <c r="J51" i="4"/>
  <c r="J52" i="4"/>
  <c r="J41" i="4"/>
  <c r="I42" i="4"/>
  <c r="I43" i="4"/>
  <c r="I44" i="4"/>
  <c r="I45" i="4"/>
  <c r="I46" i="4"/>
  <c r="I47" i="4"/>
  <c r="I48" i="4"/>
  <c r="I49" i="4"/>
  <c r="I50" i="4"/>
  <c r="I51" i="4"/>
  <c r="I52" i="4"/>
  <c r="I41" i="4"/>
  <c r="H42" i="4"/>
  <c r="H43" i="4"/>
  <c r="H44" i="4"/>
  <c r="H45" i="4"/>
  <c r="H46" i="4"/>
  <c r="H47" i="4"/>
  <c r="H48" i="4"/>
  <c r="H49" i="4"/>
  <c r="H50" i="4"/>
  <c r="H51" i="4"/>
  <c r="H52" i="4"/>
  <c r="H41" i="4"/>
  <c r="L25" i="4"/>
  <c r="L26" i="4"/>
  <c r="L27" i="4"/>
  <c r="L28" i="4"/>
  <c r="L29" i="4"/>
  <c r="L30" i="4"/>
  <c r="L31" i="4"/>
  <c r="L32" i="4"/>
  <c r="L33" i="4"/>
  <c r="L34" i="4"/>
  <c r="L35" i="4"/>
  <c r="L24" i="4"/>
  <c r="K25" i="4"/>
  <c r="K26" i="4"/>
  <c r="K27" i="4"/>
  <c r="K28" i="4"/>
  <c r="K29" i="4"/>
  <c r="K30" i="4"/>
  <c r="K31" i="4"/>
  <c r="K32" i="4"/>
  <c r="K33" i="4"/>
  <c r="K34" i="4"/>
  <c r="K35" i="4"/>
  <c r="K24" i="4"/>
  <c r="J25" i="4"/>
  <c r="J26" i="4"/>
  <c r="J27" i="4"/>
  <c r="J28" i="4"/>
  <c r="J29" i="4"/>
  <c r="J30" i="4"/>
  <c r="J31" i="4"/>
  <c r="J32" i="4"/>
  <c r="J33" i="4"/>
  <c r="J34" i="4"/>
  <c r="J35" i="4"/>
  <c r="J24" i="4"/>
  <c r="I25" i="4"/>
  <c r="I26" i="4"/>
  <c r="I27" i="4"/>
  <c r="I28" i="4"/>
  <c r="I29" i="4"/>
  <c r="I30" i="4"/>
  <c r="I31" i="4"/>
  <c r="I32" i="4"/>
  <c r="I33" i="4"/>
  <c r="I34" i="4"/>
  <c r="I35" i="4"/>
  <c r="I24" i="4"/>
  <c r="H25" i="4"/>
  <c r="H26" i="4"/>
  <c r="H27" i="4"/>
  <c r="H28" i="4"/>
  <c r="H29" i="4"/>
  <c r="H30" i="4"/>
  <c r="H31" i="4"/>
  <c r="H32" i="4"/>
  <c r="H33" i="4"/>
  <c r="H34" i="4"/>
  <c r="H35" i="4"/>
  <c r="H24" i="4"/>
  <c r="J82" i="3"/>
  <c r="J83" i="3"/>
  <c r="J84" i="3"/>
  <c r="J85" i="3"/>
  <c r="J86" i="3"/>
  <c r="J87" i="3"/>
  <c r="J88" i="3"/>
  <c r="J89" i="3"/>
  <c r="J90" i="3"/>
  <c r="J91" i="3"/>
  <c r="J92" i="3"/>
  <c r="J93" i="3"/>
  <c r="J81" i="3"/>
  <c r="I82" i="3"/>
  <c r="I83" i="3"/>
  <c r="I84" i="3"/>
  <c r="I85" i="3"/>
  <c r="I86" i="3"/>
  <c r="I87" i="3"/>
  <c r="I88" i="3"/>
  <c r="I89" i="3"/>
  <c r="I90" i="3"/>
  <c r="I91" i="3"/>
  <c r="I92" i="3"/>
  <c r="I93" i="3"/>
  <c r="I81" i="3"/>
  <c r="H82" i="3"/>
  <c r="H83" i="3"/>
  <c r="H84" i="3"/>
  <c r="H85" i="3"/>
  <c r="H86" i="3"/>
  <c r="H87" i="3"/>
  <c r="H88" i="3"/>
  <c r="H89" i="3"/>
  <c r="H90" i="3"/>
  <c r="H91" i="3"/>
  <c r="H92" i="3"/>
  <c r="H93" i="3"/>
  <c r="H81" i="3"/>
  <c r="G82" i="3"/>
  <c r="G83" i="3"/>
  <c r="G84" i="3"/>
  <c r="G85" i="3"/>
  <c r="G86" i="3"/>
  <c r="G87" i="3"/>
  <c r="G88" i="3"/>
  <c r="G89" i="3"/>
  <c r="G90" i="3"/>
  <c r="G91" i="3"/>
  <c r="G92" i="3"/>
  <c r="G93" i="3"/>
  <c r="G81" i="3"/>
  <c r="F82" i="3"/>
  <c r="F83" i="3"/>
  <c r="F84" i="3"/>
  <c r="F85" i="3"/>
  <c r="F86" i="3"/>
  <c r="F87" i="3"/>
  <c r="F88" i="3"/>
  <c r="F89" i="3"/>
  <c r="F90" i="3"/>
  <c r="F91" i="3"/>
  <c r="F92" i="3"/>
  <c r="F93" i="3"/>
  <c r="F81" i="3"/>
  <c r="E82" i="3"/>
  <c r="E83" i="3"/>
  <c r="E84" i="3"/>
  <c r="E85" i="3"/>
  <c r="E86" i="3"/>
  <c r="E87" i="3"/>
  <c r="E88" i="3"/>
  <c r="E89" i="3"/>
  <c r="E90" i="3"/>
  <c r="E91" i="3"/>
  <c r="E92" i="3"/>
  <c r="E93" i="3"/>
  <c r="E81" i="3"/>
  <c r="D82" i="3"/>
  <c r="D83" i="3"/>
  <c r="D84" i="3"/>
  <c r="D85" i="3"/>
  <c r="D86" i="3"/>
  <c r="D87" i="3"/>
  <c r="D88" i="3"/>
  <c r="D89" i="3"/>
  <c r="D90" i="3"/>
  <c r="D91" i="3"/>
  <c r="D92" i="3"/>
  <c r="D93" i="3"/>
  <c r="D81" i="3"/>
  <c r="C82" i="3"/>
  <c r="C83" i="3"/>
  <c r="C84" i="3"/>
  <c r="C85" i="3"/>
  <c r="C86" i="3"/>
  <c r="C87" i="3"/>
  <c r="C88" i="3"/>
  <c r="C89" i="3"/>
  <c r="C90" i="3"/>
  <c r="C91" i="3"/>
  <c r="C92" i="3"/>
  <c r="C93" i="3"/>
  <c r="C81" i="3"/>
  <c r="L64" i="3"/>
  <c r="L65" i="3"/>
  <c r="L66" i="3"/>
  <c r="L67" i="3"/>
  <c r="L68" i="3"/>
  <c r="L69" i="3"/>
  <c r="L70" i="3"/>
  <c r="L72" i="3"/>
  <c r="L73" i="3"/>
  <c r="L74" i="3"/>
  <c r="L75" i="3"/>
  <c r="L63" i="3"/>
  <c r="K64" i="3"/>
  <c r="K65" i="3"/>
  <c r="K66" i="3"/>
  <c r="K67" i="3"/>
  <c r="K68" i="3"/>
  <c r="K69" i="3"/>
  <c r="K70" i="3"/>
  <c r="K72" i="3"/>
  <c r="K73" i="3"/>
  <c r="K74" i="3"/>
  <c r="K75" i="3"/>
  <c r="K63" i="3"/>
  <c r="J64" i="3"/>
  <c r="J65" i="3"/>
  <c r="J66" i="3"/>
  <c r="J67" i="3"/>
  <c r="J68" i="3"/>
  <c r="J69" i="3"/>
  <c r="J70" i="3"/>
  <c r="J71" i="3"/>
  <c r="J72" i="3"/>
  <c r="J73" i="3"/>
  <c r="J74" i="3"/>
  <c r="J75" i="3"/>
  <c r="J63" i="3"/>
  <c r="I64" i="3"/>
  <c r="I65" i="3"/>
  <c r="I66" i="3"/>
  <c r="I67" i="3"/>
  <c r="I68" i="3"/>
  <c r="I69" i="3"/>
  <c r="I70" i="3"/>
  <c r="I72" i="3"/>
  <c r="I73" i="3"/>
  <c r="I74" i="3"/>
  <c r="I75" i="3"/>
  <c r="I63" i="3"/>
  <c r="H64" i="3"/>
  <c r="H65" i="3"/>
  <c r="H66" i="3"/>
  <c r="H69" i="3"/>
  <c r="H70" i="3"/>
  <c r="H71" i="3"/>
  <c r="H72" i="3"/>
  <c r="H73" i="3"/>
  <c r="H74" i="3"/>
  <c r="H75" i="3"/>
  <c r="H63" i="3"/>
  <c r="G64" i="3"/>
  <c r="G65" i="3"/>
  <c r="G66" i="3"/>
  <c r="G67" i="3"/>
  <c r="G68" i="3"/>
  <c r="G69" i="3"/>
  <c r="G70" i="3"/>
  <c r="G71" i="3"/>
  <c r="G72" i="3"/>
  <c r="G73" i="3"/>
  <c r="G74" i="3"/>
  <c r="G75" i="3"/>
  <c r="G63" i="3"/>
  <c r="F64" i="3"/>
  <c r="F65" i="3"/>
  <c r="F66" i="3"/>
  <c r="F67" i="3"/>
  <c r="F68" i="3"/>
  <c r="F69" i="3"/>
  <c r="F70" i="3"/>
  <c r="F71" i="3"/>
  <c r="F72" i="3"/>
  <c r="F73" i="3"/>
  <c r="F74" i="3"/>
  <c r="F75" i="3"/>
  <c r="F63" i="3"/>
  <c r="E64" i="3"/>
  <c r="E65" i="3"/>
  <c r="E66" i="3"/>
  <c r="E67" i="3"/>
  <c r="E68" i="3"/>
  <c r="E69" i="3"/>
  <c r="E70" i="3"/>
  <c r="E72" i="3"/>
  <c r="E73" i="3"/>
  <c r="E74" i="3"/>
  <c r="E75" i="3"/>
  <c r="E63" i="3"/>
  <c r="D64" i="3"/>
  <c r="D65" i="3"/>
  <c r="D66" i="3"/>
  <c r="D67" i="3"/>
  <c r="D68" i="3"/>
  <c r="D69" i="3"/>
  <c r="D70" i="3"/>
  <c r="D72" i="3"/>
  <c r="D73" i="3"/>
  <c r="D74" i="3"/>
  <c r="D75" i="3"/>
  <c r="D63" i="3"/>
  <c r="C64" i="3"/>
  <c r="C65" i="3"/>
  <c r="C66" i="3"/>
  <c r="C67" i="3"/>
  <c r="C68" i="3"/>
  <c r="C69" i="3"/>
  <c r="C70" i="3"/>
  <c r="C71" i="3"/>
  <c r="C72" i="3"/>
  <c r="C73" i="3"/>
  <c r="C74" i="3"/>
  <c r="C75" i="3"/>
  <c r="C63" i="3"/>
  <c r="L32" i="3"/>
  <c r="K32" i="3"/>
  <c r="J32" i="3"/>
  <c r="I32" i="3"/>
  <c r="H32" i="3"/>
  <c r="G32" i="3"/>
  <c r="F32" i="3"/>
  <c r="E32" i="3"/>
  <c r="D32" i="3"/>
  <c r="C32" i="3"/>
  <c r="D33" i="2"/>
  <c r="E33" i="2"/>
  <c r="F33" i="2"/>
  <c r="G33" i="2"/>
  <c r="H33" i="2"/>
  <c r="I33" i="2"/>
  <c r="J33" i="2"/>
  <c r="K33" i="2"/>
  <c r="L33" i="2"/>
  <c r="C33" i="2"/>
</calcChain>
</file>

<file path=xl/sharedStrings.xml><?xml version="1.0" encoding="utf-8"?>
<sst xmlns="http://schemas.openxmlformats.org/spreadsheetml/2006/main" count="749" uniqueCount="223">
  <si>
    <t>Položky</t>
  </si>
  <si>
    <t xml:space="preserve">PASIVA CELKEM  </t>
  </si>
  <si>
    <t xml:space="preserve">Vlastní kapitál </t>
  </si>
  <si>
    <t xml:space="preserve">Základní kapitál </t>
  </si>
  <si>
    <t>Základní kapitál</t>
  </si>
  <si>
    <t xml:space="preserve">Ážio a kapitálové fondy  </t>
  </si>
  <si>
    <t>Oceňovací rozdíly z přecenění majetku a závazků (+/-)</t>
  </si>
  <si>
    <t xml:space="preserve">Fondy ze zisku  </t>
  </si>
  <si>
    <t>Ostatní rezervní fondy</t>
  </si>
  <si>
    <t xml:space="preserve">Výsledek hospodáření minulých let  (+/-) </t>
  </si>
  <si>
    <t xml:space="preserve">Nerozdělený zisk minulých let </t>
  </si>
  <si>
    <t>Neuhrazená ztráta minulých let (-)</t>
  </si>
  <si>
    <t>Jiný výsledek hospodaření minulých let (+/-)</t>
  </si>
  <si>
    <t xml:space="preserve">Výsledek hospodaření běžného účetního období (+/-) </t>
  </si>
  <si>
    <t xml:space="preserve">Cizí zdroje  </t>
  </si>
  <si>
    <t xml:space="preserve">Rezervy   </t>
  </si>
  <si>
    <t>Rezerva na daň z příjmů</t>
  </si>
  <si>
    <t>Ostatní rezervy</t>
  </si>
  <si>
    <t xml:space="preserve">Závazky  </t>
  </si>
  <si>
    <t xml:space="preserve">Dlouhodobé závazky  </t>
  </si>
  <si>
    <t>Závazky k úvěrovým institucím</t>
  </si>
  <si>
    <t>Závazky z obchodních vztahů</t>
  </si>
  <si>
    <t>Odložený daňový závazek</t>
  </si>
  <si>
    <t xml:space="preserve">Závazky - ostatní </t>
  </si>
  <si>
    <t>Jiné závazky</t>
  </si>
  <si>
    <t xml:space="preserve">Krátkodobé závazky </t>
  </si>
  <si>
    <t>Krátkodobé přijaté zálohy</t>
  </si>
  <si>
    <t>Závazky k zaměstnancům</t>
  </si>
  <si>
    <t>Závazky ze sociálního zabezpečení a zdravotního pojištění</t>
  </si>
  <si>
    <t>Stát - daňové závazky a dotace</t>
  </si>
  <si>
    <t xml:space="preserve">Dohadné účty pasivní </t>
  </si>
  <si>
    <t xml:space="preserve">Časové rozlišení pasiv </t>
  </si>
  <si>
    <t>Výdaje příštích období</t>
  </si>
  <si>
    <t xml:space="preserve">Výnosy příštích období </t>
  </si>
  <si>
    <t>Podkladová data v tis. Kč</t>
  </si>
  <si>
    <t>Absolutní změna</t>
  </si>
  <si>
    <t>Procentuální změna</t>
  </si>
  <si>
    <t>Položka</t>
  </si>
  <si>
    <t>2016/2015</t>
  </si>
  <si>
    <t>2017/2016</t>
  </si>
  <si>
    <t>2018/2017</t>
  </si>
  <si>
    <t>2019/2018</t>
  </si>
  <si>
    <t xml:space="preserve">PASIVA CELKEM   </t>
  </si>
  <si>
    <t xml:space="preserve">Vlastní kapitál   </t>
  </si>
  <si>
    <t xml:space="preserve">Dlouhodobé závazky </t>
  </si>
  <si>
    <t>2011/2010</t>
  </si>
  <si>
    <t>2012/2011</t>
  </si>
  <si>
    <t>2013/2012</t>
  </si>
  <si>
    <t>2014/2013</t>
  </si>
  <si>
    <t>2015/2014</t>
  </si>
  <si>
    <t>Vertikální analýza (%)</t>
  </si>
  <si>
    <t>Základna: pasiva celkem</t>
  </si>
  <si>
    <t>Základna: Vlastní kapitál</t>
  </si>
  <si>
    <t>Základna: Pasiva celkem</t>
  </si>
  <si>
    <t>Základna: Cizí zdroje</t>
  </si>
  <si>
    <t>Odvětví nápojů</t>
  </si>
  <si>
    <t>Pasiva celkem</t>
  </si>
  <si>
    <t>Vlastní kapitál</t>
  </si>
  <si>
    <t>Cizí zdroje</t>
  </si>
  <si>
    <t>Časové rozlišení</t>
  </si>
  <si>
    <t>Položka - vlastní kapitál</t>
  </si>
  <si>
    <t>Rodinný pivovar BERNARD, a.s.</t>
  </si>
  <si>
    <t>Zdroj: Vlastní zpracování na základě výročních zpráv společnosti Rodinný pivovar Bernard, a.s. a finančních analýz pro podnikovou sféru MPO</t>
  </si>
  <si>
    <t>Položka - cizí zdroje</t>
  </si>
  <si>
    <t>Srovnání poměru cizího kapitálu na celkových pasivech společnosti Rodinný pivovar Bernard, a.s. s odvětvím nápojů v letech 2010 - 2019</t>
  </si>
  <si>
    <t>Srovnání poměru vlastního kapitálu na celkových pasivech společnosti Rodinný pivovar BERNARD, a.s. s odvětvím nápojů v letech 2010 - 2019</t>
  </si>
  <si>
    <t>Ukazatele zadluženosti</t>
  </si>
  <si>
    <t>Vlastní kapitál (v tis. Kč)</t>
  </si>
  <si>
    <t>Cizí zdroje (v tis. Kč)</t>
  </si>
  <si>
    <t>Aktiva celkem (v tis. Kč)</t>
  </si>
  <si>
    <t>Nákladové úroky (v tis. Kč)</t>
  </si>
  <si>
    <t>EBIT (v tis. Kč)</t>
  </si>
  <si>
    <t>Dlouhodobý majetek (v tis. Kč)</t>
  </si>
  <si>
    <t>Dlouhodobé závazky (v tis. Kč)</t>
  </si>
  <si>
    <t>Celková zadluženost</t>
  </si>
  <si>
    <t>Poměr cizího a vlastního kapitálu</t>
  </si>
  <si>
    <t>Úrokové krytí</t>
  </si>
  <si>
    <t>Krytí dlouhodobého majetku VK</t>
  </si>
  <si>
    <t>Krytí dlouhodobého majetku dlouhodobými zdroji</t>
  </si>
  <si>
    <t xml:space="preserve">Odvětví nápojů </t>
  </si>
  <si>
    <t xml:space="preserve">Rodinný pivovar BERNARD, a.s. </t>
  </si>
  <si>
    <t>Poměr cizího a vlasntího kapitálu</t>
  </si>
  <si>
    <t>Rodinný pvovar BERNARD, a.s.</t>
  </si>
  <si>
    <t>Ukazatele likvidity</t>
  </si>
  <si>
    <t>Oběžná aktiva (v tis. Kč)</t>
  </si>
  <si>
    <t>Zásoby (v tis. Kč)</t>
  </si>
  <si>
    <t>Krátkodobé závazky (v tis. Kč)</t>
  </si>
  <si>
    <t>Peněžní prostředky (v tis. Kč)</t>
  </si>
  <si>
    <t>Okamžitá likvidita (L1)</t>
  </si>
  <si>
    <t>Pohotová likvidita (L2)</t>
  </si>
  <si>
    <t>Běžná likvidita (L3)</t>
  </si>
  <si>
    <t>Čistý pracovní kapitál (ČPK)</t>
  </si>
  <si>
    <t>Ukazatel</t>
  </si>
  <si>
    <t>Běžné likvidita (L3)</t>
  </si>
  <si>
    <t>Pivovar</t>
  </si>
  <si>
    <t>Ukazatele rentability</t>
  </si>
  <si>
    <t>EAT (v tis. Kč)</t>
  </si>
  <si>
    <t>ROE</t>
  </si>
  <si>
    <t>ROCE</t>
  </si>
  <si>
    <t>Bezriziková sazba (rf)</t>
  </si>
  <si>
    <t>pananorama zpracovávatelského průmyslu - bezriziková sazba státních dluhopisů (rf)</t>
  </si>
  <si>
    <t>XL1 - odvětví</t>
  </si>
  <si>
    <t>XL2 - odvětví</t>
  </si>
  <si>
    <t>Riziková přirážka za finanční stabilitu (rFINSTAB)</t>
  </si>
  <si>
    <t>Bankovní úvěry (v tis. Kč)</t>
  </si>
  <si>
    <t>Dluhopisy (v tis. Kč)</t>
  </si>
  <si>
    <t>Úplatné zdroje (v tis. Kč)</t>
  </si>
  <si>
    <t>Riziková přirážka za velikost podniku (rLA)</t>
  </si>
  <si>
    <t>převod UZ na mld. Kč</t>
  </si>
  <si>
    <t>výpočet čitatele vzorce (rLA)</t>
  </si>
  <si>
    <t>rLA v %</t>
  </si>
  <si>
    <t>rLA v jednotkách</t>
  </si>
  <si>
    <t>pomocný výpočet vzorce (rLA)</t>
  </si>
  <si>
    <t>Aktiva (v tis. Kč)</t>
  </si>
  <si>
    <t>Úplatné zdroje</t>
  </si>
  <si>
    <t>EBIT/Aktiva</t>
  </si>
  <si>
    <t>Úplatné zdroje/Aktiva</t>
  </si>
  <si>
    <t>Úroková míra</t>
  </si>
  <si>
    <t>X1</t>
  </si>
  <si>
    <t>Riziková přirážka za podnikatelské riziko (rPOD)</t>
  </si>
  <si>
    <t>EBIT (v tis. Kč)</t>
  </si>
  <si>
    <t>Nákladové úroky (v tis. Kč)</t>
  </si>
  <si>
    <t>EBIT/Nákladové úroky</t>
  </si>
  <si>
    <t>Riziková přirážka za finanční strukturu (rFINSTRU)</t>
  </si>
  <si>
    <t xml:space="preserve">NÁKLADY NA VLASTNÍ KAPITÁL </t>
  </si>
  <si>
    <t>Rodinný pivovar BERNARD, a.s</t>
  </si>
  <si>
    <t>Bezriziková sazba státních dluhopisů  (rf)</t>
  </si>
  <si>
    <t>riziková přirážka za podnikatelské riziko (rPOD)</t>
  </si>
  <si>
    <t>riziková přirážka za finanční strukturu (rFINSTRU)</t>
  </si>
  <si>
    <t>Náklady na vlastní kapitál - součet všech přirážek</t>
  </si>
  <si>
    <t>NÁKLADY NA CIZÍ KAPITÁL</t>
  </si>
  <si>
    <t xml:space="preserve">Nákladové úroky/Bankovní úvěry </t>
  </si>
  <si>
    <t>PRŮMĚRNÉ NÁKLADY KAPITÁLU (WACC)</t>
  </si>
  <si>
    <t xml:space="preserve">Náklady na cizí kapitál </t>
  </si>
  <si>
    <t xml:space="preserve">Náklady na vlastní kapitál </t>
  </si>
  <si>
    <t xml:space="preserve">Sazba daně z příjmu </t>
  </si>
  <si>
    <t>Úročený cizí kapitál D (v tis. Kč)</t>
  </si>
  <si>
    <t>Vlastní kapitál E (v tis. Kč)</t>
  </si>
  <si>
    <t>Celkový zpoplatněný kapitál (v tis. Kč)</t>
  </si>
  <si>
    <t xml:space="preserve">Průměrné náklady kapitálu </t>
  </si>
  <si>
    <t>WACC</t>
  </si>
  <si>
    <t>Náklady na vlastní kapitál (re)</t>
  </si>
  <si>
    <t>hodnota 1</t>
  </si>
  <si>
    <t>hodnota 2</t>
  </si>
  <si>
    <t>rFINSTRU --&gt;</t>
  </si>
  <si>
    <t>Základní data pro simulaci WACC</t>
  </si>
  <si>
    <t>Průměrná výnosnost trhu - rm</t>
  </si>
  <si>
    <t>Bezriziková výnosnost trhu - rf</t>
  </si>
  <si>
    <t>Riziková prémie - (rm-rf)</t>
  </si>
  <si>
    <t>Nezadlužený koeficient β</t>
  </si>
  <si>
    <t>Úročený cizí kapitál - D (v tis. Kč)</t>
  </si>
  <si>
    <t>Vlastní kapitál - E (v tis. Kč)</t>
  </si>
  <si>
    <t>Sazba daně z příjmu - t</t>
  </si>
  <si>
    <t>Citlivost výnosové míry CP - βz(1-t)</t>
  </si>
  <si>
    <t>Náklady na cizí kapitál - rd(1-t)</t>
  </si>
  <si>
    <t>PRŮMĚR</t>
  </si>
  <si>
    <t>pro podnikové sféry MPO a dat profesora Damodarana</t>
  </si>
  <si>
    <t>Citlivost výnosové míry cenných papírů i náklady kapitálu do modelu vstupují jako</t>
  </si>
  <si>
    <t>průměrné hodnoty. Samotný výpočet průměrných nákladů kapitálu WACC byl potom</t>
  </si>
  <si>
    <t>proveden na základě vzorce:</t>
  </si>
  <si>
    <t>WACC=rd*(D/C)+re*(E/C)</t>
  </si>
  <si>
    <t>http://pages.stern.nyu.edu/~adamodar/New_Home_Page/dataarchived.html#capstru</t>
  </si>
  <si>
    <t>Damodaran</t>
  </si>
  <si>
    <t>rf odvětví</t>
  </si>
  <si>
    <t>(rm - rf)</t>
  </si>
  <si>
    <t xml:space="preserve">Podnik </t>
  </si>
  <si>
    <t>βz(1-t) = nezadlužená β × ( 1 +( 1 – t)*D/E)</t>
  </si>
  <si>
    <t>re= rf + βz(1-t) × ( rm−rf )</t>
  </si>
  <si>
    <t>-</t>
  </si>
  <si>
    <t>Simulace WACC pro jednotlivé úrovně zadlužení</t>
  </si>
  <si>
    <t>Úroveň zadlužení</t>
  </si>
  <si>
    <t>rd(1-t)</t>
  </si>
  <si>
    <t>re</t>
  </si>
  <si>
    <t>βz(1-t)</t>
  </si>
  <si>
    <t>Úročený cizí kapitál</t>
  </si>
  <si>
    <t>Celkový zpoplatněný kapitál</t>
  </si>
  <si>
    <t xml:space="preserve">WACC </t>
  </si>
  <si>
    <t>Zdroj: Vlastní zpracování dle výročních zpráv společnosti Rodinného pivovaru BERNARD, a.s., finančních analýz</t>
  </si>
  <si>
    <t>Úroková míra cizího kapitálu (i) v %</t>
  </si>
  <si>
    <t>EBIT</t>
  </si>
  <si>
    <t>EBIT v bodě indiference</t>
  </si>
  <si>
    <t>Podmínka:</t>
  </si>
  <si>
    <t>EBIT &gt; EBIT v bodě indiference</t>
  </si>
  <si>
    <t>Celkový kapitál (v tis. Kč)</t>
  </si>
  <si>
    <t>EBIT/A</t>
  </si>
  <si>
    <t>INDEX FINANČNÍ PÁKY</t>
  </si>
  <si>
    <t>Aktiva</t>
  </si>
  <si>
    <t>Rentabilita celkového kapitálu</t>
  </si>
  <si>
    <t>Působení finanční páky:</t>
  </si>
  <si>
    <t>EBIT/A &gt; úroková míra</t>
  </si>
  <si>
    <t>finanční páka působí pozitivně</t>
  </si>
  <si>
    <t>EBIT/A = úroková míra</t>
  </si>
  <si>
    <t>EBIT/A &lt; úroková míra</t>
  </si>
  <si>
    <t>finanční páka nepůsobí</t>
  </si>
  <si>
    <t>finanční páka působí negativně</t>
  </si>
  <si>
    <t>index finanční páky = rentabilita vlastního kapitálu/Rentabilita celkového kapitálu &gt;= 1</t>
  </si>
  <si>
    <t xml:space="preserve">Rentabilita vlastního kapitálu </t>
  </si>
  <si>
    <t xml:space="preserve">Úroková míra cizího kapitálu (i) </t>
  </si>
  <si>
    <t>Dlouhodobý kapitál (v tis. Kč)</t>
  </si>
  <si>
    <t>Poměr dlouhodobého kapitálu a majetku</t>
  </si>
  <si>
    <t>Zlaté bilanční pravidlo</t>
  </si>
  <si>
    <t xml:space="preserve">1) </t>
  </si>
  <si>
    <t>2)</t>
  </si>
  <si>
    <t>Zlaté pari pravidlo</t>
  </si>
  <si>
    <t>3)</t>
  </si>
  <si>
    <t>Zlaté pravidlo vyrovnání rizika</t>
  </si>
  <si>
    <t>Poměr vlastního kapitálu a dlouhodobého majetku</t>
  </si>
  <si>
    <t xml:space="preserve">Rozvaha - pasiva </t>
  </si>
  <si>
    <t>Položky (v tis. Kč)</t>
  </si>
  <si>
    <t>Nejlepší podniky v odvětví (TH)</t>
  </si>
  <si>
    <t>Velmi dobré podniky v odvětví (RF)</t>
  </si>
  <si>
    <t>Ziskové podniky v odvětví (ZI)</t>
  </si>
  <si>
    <t>Odvětví výroby nápojů</t>
  </si>
  <si>
    <t>Ztrátové podniky v odvětví (ZT)</t>
  </si>
  <si>
    <t>úrokový daňový štít</t>
  </si>
  <si>
    <t>Sazba daně (v %)</t>
  </si>
  <si>
    <t>Úrokový daňový štít (v tis. Kč)</t>
  </si>
  <si>
    <t>Míra zadlužení</t>
  </si>
  <si>
    <t>Náklady na vlastní kapitál - re</t>
  </si>
  <si>
    <t>PASIVA (v tis. Kč)</t>
  </si>
  <si>
    <t>Vlastní kapitál / Pasiva celkem</t>
  </si>
  <si>
    <t>Cizí kapitál/ Pasiva celkem</t>
  </si>
  <si>
    <t xml:space="preserve"> re dle INFA, MPO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</si>
</sst>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43" formatCode="_-* #,##0.00_-;\-* #,##0.00_-;_-* &quot;-&quot;??_-;_-@_-"/>
    <numFmt numFmtId="164" formatCode="0.000"/>
    <numFmt numFmtId="165" formatCode="0.0000"/>
    <numFmt numFmtId="166" formatCode="#,##0\ &quot;Kč&quot;"/>
    <numFmt numFmtId="167" formatCode="#,##0.000000"/>
  </numFmts>
  <fonts count="22" x14ac:knownFonts="1">
    <font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1"/>
      <color theme="2" tint="-9.9978637043366805E-2"/>
      <name val="Calibri"/>
      <family val="2"/>
      <charset val="238"/>
      <scheme val="minor"/>
    </font>
    <font>
      <sz val="12"/>
      <color theme="2" tint="-9.9978637043366805E-2"/>
      <name val="Calibri"/>
      <family val="2"/>
      <charset val="238"/>
      <scheme val="minor"/>
    </font>
    <font>
      <b/>
      <sz val="12"/>
      <color theme="2" tint="-9.9978637043366805E-2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4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10" borderId="0" applyNumberFormat="0" applyBorder="0" applyAlignment="0" applyProtection="0"/>
  </cellStyleXfs>
  <cellXfs count="291">
    <xf numFmtId="0" fontId="0" fillId="0" borderId="0" xfId="0"/>
    <xf numFmtId="0" fontId="0" fillId="0" borderId="4" xfId="0" applyBorder="1"/>
    <xf numFmtId="0" fontId="1" fillId="4" borderId="4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vertical="center"/>
    </xf>
    <xf numFmtId="3" fontId="1" fillId="6" borderId="8" xfId="0" applyNumberFormat="1" applyFont="1" applyFill="1" applyBorder="1" applyAlignment="1">
      <alignment vertical="center"/>
    </xf>
    <xf numFmtId="3" fontId="1" fillId="6" borderId="4" xfId="0" applyNumberFormat="1" applyFont="1" applyFill="1" applyBorder="1" applyAlignment="1">
      <alignment vertical="center"/>
    </xf>
    <xf numFmtId="3" fontId="2" fillId="2" borderId="4" xfId="0" applyNumberFormat="1" applyFont="1" applyFill="1" applyBorder="1"/>
    <xf numFmtId="0" fontId="1" fillId="5" borderId="4" xfId="0" applyFont="1" applyFill="1" applyBorder="1" applyAlignment="1">
      <alignment vertical="center"/>
    </xf>
    <xf numFmtId="0" fontId="3" fillId="5" borderId="4" xfId="0" applyFont="1" applyFill="1" applyBorder="1" applyAlignment="1">
      <alignment vertical="center"/>
    </xf>
    <xf numFmtId="3" fontId="3" fillId="6" borderId="4" xfId="0" applyNumberFormat="1" applyFont="1" applyFill="1" applyBorder="1" applyAlignment="1">
      <alignment vertical="center"/>
    </xf>
    <xf numFmtId="3" fontId="3" fillId="6" borderId="4" xfId="0" applyNumberFormat="1" applyFont="1" applyFill="1" applyBorder="1" applyAlignment="1" applyProtection="1">
      <alignment vertical="center"/>
      <protection locked="0"/>
    </xf>
    <xf numFmtId="3" fontId="4" fillId="2" borderId="4" xfId="0" applyNumberFormat="1" applyFont="1" applyFill="1" applyBorder="1"/>
    <xf numFmtId="0" fontId="3" fillId="5" borderId="4" xfId="0" applyFont="1" applyFill="1" applyBorder="1" applyAlignment="1">
      <alignment vertical="center" wrapText="1"/>
    </xf>
    <xf numFmtId="3" fontId="3" fillId="6" borderId="4" xfId="0" applyNumberFormat="1" applyFont="1" applyFill="1" applyBorder="1" applyAlignment="1">
      <alignment vertical="center" wrapText="1"/>
    </xf>
    <xf numFmtId="0" fontId="1" fillId="5" borderId="12" xfId="0" applyFont="1" applyFill="1" applyBorder="1" applyAlignment="1">
      <alignment vertical="center"/>
    </xf>
    <xf numFmtId="3" fontId="1" fillId="2" borderId="4" xfId="0" applyNumberFormat="1" applyFont="1" applyFill="1" applyBorder="1" applyAlignment="1">
      <alignment horizontal="right" vertical="center"/>
    </xf>
    <xf numFmtId="3" fontId="3" fillId="2" borderId="4" xfId="0" applyNumberFormat="1" applyFont="1" applyFill="1" applyBorder="1" applyAlignment="1">
      <alignment horizontal="right" vertical="center"/>
    </xf>
    <xf numFmtId="0" fontId="3" fillId="5" borderId="13" xfId="0" applyFont="1" applyFill="1" applyBorder="1" applyAlignment="1">
      <alignment vertical="center"/>
    </xf>
    <xf numFmtId="3" fontId="4" fillId="0" borderId="4" xfId="0" applyNumberFormat="1" applyFont="1" applyBorder="1"/>
    <xf numFmtId="0" fontId="1" fillId="4" borderId="14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1" fillId="8" borderId="8" xfId="0" applyFont="1" applyFill="1" applyBorder="1" applyAlignment="1">
      <alignment vertical="center"/>
    </xf>
    <xf numFmtId="3" fontId="4" fillId="0" borderId="3" xfId="0" applyNumberFormat="1" applyFont="1" applyBorder="1"/>
    <xf numFmtId="3" fontId="4" fillId="0" borderId="14" xfId="0" applyNumberFormat="1" applyFont="1" applyBorder="1"/>
    <xf numFmtId="10" fontId="4" fillId="0" borderId="3" xfId="0" applyNumberFormat="1" applyFont="1" applyBorder="1"/>
    <xf numFmtId="10" fontId="4" fillId="0" borderId="4" xfId="0" applyNumberFormat="1" applyFont="1" applyBorder="1"/>
    <xf numFmtId="0" fontId="1" fillId="8" borderId="4" xfId="0" applyFont="1" applyFill="1" applyBorder="1" applyAlignment="1">
      <alignment vertical="center"/>
    </xf>
    <xf numFmtId="0" fontId="6" fillId="8" borderId="4" xfId="0" applyFont="1" applyFill="1" applyBorder="1" applyAlignment="1">
      <alignment vertical="center"/>
    </xf>
    <xf numFmtId="0" fontId="6" fillId="8" borderId="12" xfId="0" applyFont="1" applyFill="1" applyBorder="1" applyAlignment="1">
      <alignment vertical="center"/>
    </xf>
    <xf numFmtId="3" fontId="3" fillId="6" borderId="8" xfId="0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6" fillId="8" borderId="1" xfId="0" applyFont="1" applyFill="1" applyBorder="1" applyAlignment="1">
      <alignment vertical="center"/>
    </xf>
    <xf numFmtId="0" fontId="6" fillId="8" borderId="9" xfId="0" applyFont="1" applyFill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10" fontId="4" fillId="0" borderId="4" xfId="1" applyNumberFormat="1" applyFont="1" applyBorder="1"/>
    <xf numFmtId="9" fontId="2" fillId="0" borderId="4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10" fontId="4" fillId="0" borderId="4" xfId="0" applyNumberFormat="1" applyFont="1" applyBorder="1" applyAlignment="1">
      <alignment horizontal="center" vertical="center"/>
    </xf>
    <xf numFmtId="3" fontId="3" fillId="6" borderId="8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center" vertical="center"/>
    </xf>
    <xf numFmtId="3" fontId="4" fillId="2" borderId="4" xfId="0" applyNumberFormat="1" applyFont="1" applyFill="1" applyBorder="1" applyAlignment="1">
      <alignment horizontal="center"/>
    </xf>
    <xf numFmtId="3" fontId="3" fillId="2" borderId="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3" fontId="4" fillId="2" borderId="4" xfId="0" applyNumberFormat="1" applyFont="1" applyFill="1" applyBorder="1" applyAlignment="1">
      <alignment horizontal="right"/>
    </xf>
    <xf numFmtId="0" fontId="4" fillId="0" borderId="4" xfId="0" applyFont="1" applyBorder="1"/>
    <xf numFmtId="10" fontId="4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10" fontId="0" fillId="0" borderId="4" xfId="0" applyNumberFormat="1" applyBorder="1" applyAlignment="1">
      <alignment horizontal="center" vertical="center"/>
    </xf>
    <xf numFmtId="10" fontId="0" fillId="0" borderId="4" xfId="1" applyNumberFormat="1" applyFont="1" applyBorder="1" applyAlignment="1">
      <alignment horizontal="center" vertical="center"/>
    </xf>
    <xf numFmtId="3" fontId="0" fillId="0" borderId="0" xfId="0" applyNumberFormat="1"/>
    <xf numFmtId="10" fontId="0" fillId="0" borderId="0" xfId="0" applyNumberFormat="1"/>
    <xf numFmtId="0" fontId="9" fillId="0" borderId="0" xfId="0" applyFont="1" applyAlignment="1"/>
    <xf numFmtId="0" fontId="0" fillId="9" borderId="4" xfId="0" applyFill="1" applyBorder="1"/>
    <xf numFmtId="0" fontId="10" fillId="3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/>
    </xf>
    <xf numFmtId="0" fontId="4" fillId="9" borderId="4" xfId="0" applyFont="1" applyFill="1" applyBorder="1"/>
    <xf numFmtId="3" fontId="3" fillId="0" borderId="4" xfId="0" applyNumberFormat="1" applyFont="1" applyBorder="1"/>
    <xf numFmtId="0" fontId="1" fillId="7" borderId="4" xfId="0" applyFont="1" applyFill="1" applyBorder="1" applyAlignment="1">
      <alignment horizontal="center"/>
    </xf>
    <xf numFmtId="9" fontId="4" fillId="0" borderId="4" xfId="1" applyFont="1" applyBorder="1" applyAlignment="1">
      <alignment horizontal="center" vertical="center"/>
    </xf>
    <xf numFmtId="10" fontId="4" fillId="0" borderId="4" xfId="1" applyNumberFormat="1" applyFont="1" applyBorder="1" applyAlignment="1">
      <alignment horizontal="center" vertical="center"/>
    </xf>
    <xf numFmtId="0" fontId="3" fillId="8" borderId="4" xfId="0" applyFont="1" applyFill="1" applyBorder="1" applyAlignment="1">
      <alignment vertical="center"/>
    </xf>
    <xf numFmtId="0" fontId="4" fillId="0" borderId="0" xfId="0" applyFont="1"/>
    <xf numFmtId="10" fontId="0" fillId="0" borderId="4" xfId="0" applyNumberFormat="1" applyFont="1" applyBorder="1" applyAlignment="1">
      <alignment horizontal="center" vertical="center"/>
    </xf>
    <xf numFmtId="0" fontId="0" fillId="2" borderId="0" xfId="0" applyFill="1"/>
    <xf numFmtId="0" fontId="4" fillId="7" borderId="4" xfId="0" applyFont="1" applyFill="1" applyBorder="1"/>
    <xf numFmtId="0" fontId="2" fillId="7" borderId="4" xfId="0" applyFont="1" applyFill="1" applyBorder="1"/>
    <xf numFmtId="3" fontId="4" fillId="0" borderId="4" xfId="0" applyNumberFormat="1" applyFont="1" applyBorder="1" applyAlignment="1">
      <alignment horizontal="center"/>
    </xf>
    <xf numFmtId="3" fontId="4" fillId="0" borderId="13" xfId="0" applyNumberFormat="1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vertical="center"/>
    </xf>
    <xf numFmtId="10" fontId="2" fillId="2" borderId="4" xfId="1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/>
    </xf>
    <xf numFmtId="10" fontId="0" fillId="0" borderId="4" xfId="0" applyNumberFormat="1" applyBorder="1" applyAlignment="1">
      <alignment horizontal="center"/>
    </xf>
    <xf numFmtId="2" fontId="4" fillId="2" borderId="4" xfId="0" applyNumberFormat="1" applyFont="1" applyFill="1" applyBorder="1" applyAlignment="1">
      <alignment horizontal="center" vertical="center"/>
    </xf>
    <xf numFmtId="10" fontId="4" fillId="2" borderId="4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0" fontId="4" fillId="2" borderId="4" xfId="1" applyNumberFormat="1" applyFont="1" applyFill="1" applyBorder="1" applyAlignment="1">
      <alignment horizontal="center" vertical="center"/>
    </xf>
    <xf numFmtId="10" fontId="9" fillId="0" borderId="4" xfId="0" applyNumberFormat="1" applyFont="1" applyBorder="1" applyAlignment="1">
      <alignment horizontal="center"/>
    </xf>
    <xf numFmtId="3" fontId="4" fillId="0" borderId="4" xfId="0" applyNumberFormat="1" applyFont="1" applyBorder="1" applyAlignment="1">
      <alignment horizontal="center" vertical="center"/>
    </xf>
    <xf numFmtId="0" fontId="9" fillId="0" borderId="0" xfId="0" applyFont="1"/>
    <xf numFmtId="2" fontId="2" fillId="2" borderId="4" xfId="1" applyNumberFormat="1" applyFont="1" applyFill="1" applyBorder="1" applyAlignment="1">
      <alignment horizontal="center" vertical="center"/>
    </xf>
    <xf numFmtId="1" fontId="2" fillId="2" borderId="4" xfId="1" applyNumberFormat="1" applyFont="1" applyFill="1" applyBorder="1" applyAlignment="1">
      <alignment horizontal="center" vertical="center"/>
    </xf>
    <xf numFmtId="2" fontId="4" fillId="0" borderId="4" xfId="0" applyNumberFormat="1" applyFont="1" applyBorder="1" applyAlignment="1">
      <alignment horizontal="center" vertical="center"/>
    </xf>
    <xf numFmtId="0" fontId="3" fillId="7" borderId="8" xfId="0" applyFont="1" applyFill="1" applyBorder="1" applyAlignment="1">
      <alignment horizontal="left" vertical="center"/>
    </xf>
    <xf numFmtId="3" fontId="4" fillId="2" borderId="4" xfId="0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0" fontId="0" fillId="0" borderId="0" xfId="0" applyFont="1"/>
    <xf numFmtId="3" fontId="0" fillId="0" borderId="4" xfId="0" applyNumberFormat="1" applyBorder="1" applyAlignment="1">
      <alignment horizontal="center" vertical="center"/>
    </xf>
    <xf numFmtId="5" fontId="2" fillId="2" borderId="4" xfId="2" applyNumberFormat="1" applyFont="1" applyFill="1" applyBorder="1" applyAlignment="1">
      <alignment horizontal="center" vertical="center"/>
    </xf>
    <xf numFmtId="5" fontId="4" fillId="2" borderId="21" xfId="2" applyNumberFormat="1" applyFont="1" applyFill="1" applyBorder="1" applyAlignment="1">
      <alignment horizontal="center" vertical="center"/>
    </xf>
    <xf numFmtId="0" fontId="2" fillId="7" borderId="4" xfId="0" applyFont="1" applyFill="1" applyBorder="1" applyAlignment="1">
      <alignment vertical="center"/>
    </xf>
    <xf numFmtId="0" fontId="0" fillId="0" borderId="0" xfId="0" applyBorder="1"/>
    <xf numFmtId="0" fontId="0" fillId="2" borderId="0" xfId="0" applyFill="1" applyBorder="1" applyAlignment="1">
      <alignment horizontal="center"/>
    </xf>
    <xf numFmtId="0" fontId="4" fillId="7" borderId="3" xfId="0" applyFont="1" applyFill="1" applyBorder="1"/>
    <xf numFmtId="0" fontId="4" fillId="7" borderId="22" xfId="0" applyFont="1" applyFill="1" applyBorder="1"/>
    <xf numFmtId="0" fontId="4" fillId="7" borderId="7" xfId="0" applyFont="1" applyFill="1" applyBorder="1"/>
    <xf numFmtId="0" fontId="1" fillId="7" borderId="4" xfId="0" applyFont="1" applyFill="1" applyBorder="1" applyAlignment="1">
      <alignment vertical="center"/>
    </xf>
    <xf numFmtId="0" fontId="3" fillId="7" borderId="4" xfId="0" applyFont="1" applyFill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0" fontId="9" fillId="0" borderId="4" xfId="1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0" fontId="9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Fill="1" applyBorder="1" applyAlignment="1">
      <alignment horizontal="center"/>
    </xf>
    <xf numFmtId="0" fontId="14" fillId="7" borderId="4" xfId="0" applyFont="1" applyFill="1" applyBorder="1" applyAlignment="1">
      <alignment horizontal="center" vertical="center"/>
    </xf>
    <xf numFmtId="0" fontId="14" fillId="9" borderId="4" xfId="0" applyFont="1" applyFill="1" applyBorder="1" applyAlignment="1">
      <alignment horizontal="left" vertical="center"/>
    </xf>
    <xf numFmtId="0" fontId="15" fillId="9" borderId="4" xfId="0" applyFont="1" applyFill="1" applyBorder="1" applyAlignment="1">
      <alignment horizontal="left" vertical="center"/>
    </xf>
    <xf numFmtId="2" fontId="2" fillId="2" borderId="12" xfId="0" applyNumberFormat="1" applyFont="1" applyFill="1" applyBorder="1" applyAlignment="1">
      <alignment horizontal="center" vertical="center"/>
    </xf>
    <xf numFmtId="9" fontId="1" fillId="7" borderId="8" xfId="0" applyNumberFormat="1" applyFont="1" applyFill="1" applyBorder="1" applyAlignment="1">
      <alignment horizontal="center" vertical="center"/>
    </xf>
    <xf numFmtId="2" fontId="2" fillId="2" borderId="13" xfId="0" applyNumberFormat="1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justify" vertical="center"/>
    </xf>
    <xf numFmtId="0" fontId="15" fillId="9" borderId="4" xfId="0" applyFont="1" applyFill="1" applyBorder="1" applyAlignment="1">
      <alignment vertical="center"/>
    </xf>
    <xf numFmtId="3" fontId="15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4" fillId="7" borderId="4" xfId="0" applyFont="1" applyFill="1" applyBorder="1" applyAlignment="1">
      <alignment vertical="center"/>
    </xf>
    <xf numFmtId="0" fontId="4" fillId="9" borderId="4" xfId="0" applyFont="1" applyFill="1" applyBorder="1" applyAlignment="1">
      <alignment horizontal="left"/>
    </xf>
    <xf numFmtId="167" fontId="15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/>
    </xf>
    <xf numFmtId="10" fontId="2" fillId="7" borderId="4" xfId="1" applyNumberFormat="1" applyFont="1" applyFill="1" applyBorder="1" applyAlignment="1">
      <alignment horizontal="center"/>
    </xf>
    <xf numFmtId="167" fontId="15" fillId="0" borderId="13" xfId="0" applyNumberFormat="1" applyFont="1" applyFill="1" applyBorder="1" applyAlignment="1">
      <alignment horizontal="center" vertical="center"/>
    </xf>
    <xf numFmtId="3" fontId="0" fillId="9" borderId="4" xfId="0" applyNumberForma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/>
    </xf>
    <xf numFmtId="0" fontId="15" fillId="9" borderId="1" xfId="0" applyFont="1" applyFill="1" applyBorder="1" applyAlignment="1">
      <alignment vertical="center"/>
    </xf>
    <xf numFmtId="10" fontId="2" fillId="7" borderId="4" xfId="0" applyNumberFormat="1" applyFont="1" applyFill="1" applyBorder="1" applyAlignment="1">
      <alignment horizontal="center" vertical="center"/>
    </xf>
    <xf numFmtId="10" fontId="2" fillId="7" borderId="4" xfId="1" applyNumberFormat="1" applyFont="1" applyFill="1" applyBorder="1" applyAlignment="1">
      <alignment horizontal="center" vertical="center"/>
    </xf>
    <xf numFmtId="3" fontId="15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9" fontId="2" fillId="7" borderId="4" xfId="0" applyNumberFormat="1" applyFont="1" applyFill="1" applyBorder="1" applyAlignment="1">
      <alignment horizontal="center"/>
    </xf>
    <xf numFmtId="0" fontId="15" fillId="9" borderId="4" xfId="0" applyFont="1" applyFill="1" applyBorder="1" applyAlignment="1">
      <alignment vertical="center" wrapText="1"/>
    </xf>
    <xf numFmtId="10" fontId="15" fillId="2" borderId="4" xfId="0" applyNumberFormat="1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vertical="center"/>
    </xf>
    <xf numFmtId="10" fontId="4" fillId="7" borderId="4" xfId="1" applyNumberFormat="1" applyFont="1" applyFill="1" applyBorder="1" applyAlignment="1">
      <alignment horizontal="center" vertical="center"/>
    </xf>
    <xf numFmtId="0" fontId="4" fillId="9" borderId="1" xfId="0" applyFont="1" applyFill="1" applyBorder="1"/>
    <xf numFmtId="9" fontId="4" fillId="0" borderId="8" xfId="0" applyNumberFormat="1" applyFont="1" applyBorder="1" applyAlignment="1">
      <alignment horizontal="center" vertical="center"/>
    </xf>
    <xf numFmtId="10" fontId="4" fillId="2" borderId="4" xfId="1" applyNumberFormat="1" applyFont="1" applyFill="1" applyBorder="1" applyAlignment="1">
      <alignment horizontal="center"/>
    </xf>
    <xf numFmtId="9" fontId="3" fillId="2" borderId="8" xfId="0" applyNumberFormat="1" applyFont="1" applyFill="1" applyBorder="1" applyAlignment="1">
      <alignment horizontal="center" vertical="center"/>
    </xf>
    <xf numFmtId="9" fontId="4" fillId="2" borderId="4" xfId="0" applyNumberFormat="1" applyFont="1" applyFill="1" applyBorder="1" applyAlignment="1">
      <alignment horizontal="center"/>
    </xf>
    <xf numFmtId="165" fontId="15" fillId="0" borderId="8" xfId="0" applyNumberFormat="1" applyFont="1" applyBorder="1" applyAlignment="1">
      <alignment horizontal="center" vertical="center"/>
    </xf>
    <xf numFmtId="165" fontId="15" fillId="0" borderId="4" xfId="1" applyNumberFormat="1" applyFont="1" applyFill="1" applyBorder="1" applyAlignment="1">
      <alignment horizontal="center" vertical="center"/>
    </xf>
    <xf numFmtId="165" fontId="4" fillId="2" borderId="4" xfId="1" applyNumberFormat="1" applyFont="1" applyFill="1" applyBorder="1" applyAlignment="1">
      <alignment horizontal="center" vertical="center"/>
    </xf>
    <xf numFmtId="1" fontId="4" fillId="2" borderId="4" xfId="1" applyNumberFormat="1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left" vertical="center"/>
    </xf>
    <xf numFmtId="0" fontId="4" fillId="9" borderId="4" xfId="0" applyFont="1" applyFill="1" applyBorder="1" applyAlignment="1">
      <alignment horizontal="left" vertical="center"/>
    </xf>
    <xf numFmtId="10" fontId="15" fillId="0" borderId="4" xfId="0" applyNumberFormat="1" applyFont="1" applyBorder="1" applyAlignment="1">
      <alignment horizontal="center" vertical="center"/>
    </xf>
    <xf numFmtId="0" fontId="17" fillId="2" borderId="23" xfId="0" applyFont="1" applyFill="1" applyBorder="1"/>
    <xf numFmtId="0" fontId="0" fillId="0" borderId="24" xfId="0" applyBorder="1"/>
    <xf numFmtId="0" fontId="18" fillId="2" borderId="23" xfId="0" applyFont="1" applyFill="1" applyBorder="1" applyAlignment="1">
      <alignment horizontal="center" vertical="center"/>
    </xf>
    <xf numFmtId="0" fontId="16" fillId="0" borderId="23" xfId="0" applyFont="1" applyBorder="1"/>
    <xf numFmtId="10" fontId="17" fillId="2" borderId="23" xfId="0" applyNumberFormat="1" applyFont="1" applyFill="1" applyBorder="1" applyAlignment="1">
      <alignment horizontal="center" vertical="center"/>
    </xf>
    <xf numFmtId="10" fontId="17" fillId="2" borderId="23" xfId="1" applyNumberFormat="1" applyFont="1" applyFill="1" applyBorder="1" applyAlignment="1">
      <alignment horizontal="center" vertical="center"/>
    </xf>
    <xf numFmtId="10" fontId="17" fillId="2" borderId="23" xfId="1" applyNumberFormat="1" applyFont="1" applyFill="1" applyBorder="1"/>
    <xf numFmtId="0" fontId="2" fillId="7" borderId="1" xfId="0" applyFont="1" applyFill="1" applyBorder="1"/>
    <xf numFmtId="165" fontId="15" fillId="0" borderId="12" xfId="1" applyNumberFormat="1" applyFont="1" applyFill="1" applyBorder="1" applyAlignment="1">
      <alignment horizontal="center" vertical="center"/>
    </xf>
    <xf numFmtId="1" fontId="15" fillId="0" borderId="12" xfId="1" applyNumberFormat="1" applyFont="1" applyFill="1" applyBorder="1" applyAlignment="1">
      <alignment horizontal="center" vertical="center"/>
    </xf>
    <xf numFmtId="9" fontId="4" fillId="2" borderId="4" xfId="1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left" vertical="center"/>
    </xf>
    <xf numFmtId="10" fontId="3" fillId="0" borderId="4" xfId="1" applyNumberFormat="1" applyFont="1" applyBorder="1" applyAlignment="1">
      <alignment horizontal="center" vertical="center"/>
    </xf>
    <xf numFmtId="0" fontId="3" fillId="9" borderId="4" xfId="0" applyFont="1" applyFill="1" applyBorder="1"/>
    <xf numFmtId="10" fontId="3" fillId="0" borderId="4" xfId="1" applyNumberFormat="1" applyFont="1" applyBorder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center"/>
    </xf>
    <xf numFmtId="10" fontId="3" fillId="0" borderId="4" xfId="0" applyNumberFormat="1" applyFont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10" fontId="1" fillId="0" borderId="4" xfId="1" applyNumberFormat="1" applyFont="1" applyBorder="1" applyAlignment="1">
      <alignment horizontal="center" vertical="center"/>
    </xf>
    <xf numFmtId="10" fontId="3" fillId="0" borderId="4" xfId="1" applyNumberFormat="1" applyFont="1" applyBorder="1" applyAlignment="1">
      <alignment horizontal="center"/>
    </xf>
    <xf numFmtId="10" fontId="3" fillId="2" borderId="4" xfId="1" applyNumberFormat="1" applyFont="1" applyFill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10" fontId="1" fillId="0" borderId="4" xfId="0" applyNumberFormat="1" applyFont="1" applyFill="1" applyBorder="1" applyAlignment="1">
      <alignment horizontal="center" vertical="center"/>
    </xf>
    <xf numFmtId="10" fontId="2" fillId="0" borderId="4" xfId="0" applyNumberFormat="1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right"/>
    </xf>
    <xf numFmtId="1" fontId="4" fillId="0" borderId="4" xfId="1" applyNumberFormat="1" applyFont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10" fontId="2" fillId="0" borderId="0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9" fontId="9" fillId="9" borderId="4" xfId="0" applyNumberFormat="1" applyFont="1" applyFill="1" applyBorder="1" applyAlignment="1">
      <alignment horizontal="center" vertical="center"/>
    </xf>
    <xf numFmtId="9" fontId="9" fillId="9" borderId="12" xfId="0" applyNumberFormat="1" applyFont="1" applyFill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9" fontId="0" fillId="7" borderId="4" xfId="0" applyNumberForma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9" fontId="0" fillId="2" borderId="23" xfId="0" applyNumberFormat="1" applyFill="1" applyBorder="1" applyAlignment="1">
      <alignment horizontal="center" vertical="center"/>
    </xf>
    <xf numFmtId="0" fontId="0" fillId="0" borderId="25" xfId="0" applyBorder="1"/>
    <xf numFmtId="0" fontId="0" fillId="0" borderId="26" xfId="0" applyBorder="1"/>
    <xf numFmtId="0" fontId="0" fillId="2" borderId="23" xfId="0" applyFill="1" applyBorder="1" applyAlignment="1">
      <alignment horizontal="center" vertical="center"/>
    </xf>
    <xf numFmtId="0" fontId="4" fillId="9" borderId="4" xfId="0" applyFont="1" applyFill="1" applyBorder="1" applyAlignment="1">
      <alignment wrapText="1"/>
    </xf>
    <xf numFmtId="165" fontId="4" fillId="0" borderId="4" xfId="0" applyNumberFormat="1" applyFont="1" applyBorder="1" applyAlignment="1">
      <alignment horizontal="center" vertical="center"/>
    </xf>
    <xf numFmtId="166" fontId="2" fillId="7" borderId="4" xfId="0" applyNumberFormat="1" applyFont="1" applyFill="1" applyBorder="1" applyAlignment="1">
      <alignment horizontal="center"/>
    </xf>
    <xf numFmtId="0" fontId="9" fillId="9" borderId="4" xfId="0" applyFont="1" applyFill="1" applyBorder="1"/>
    <xf numFmtId="10" fontId="2" fillId="0" borderId="4" xfId="1" applyNumberFormat="1" applyFont="1" applyBorder="1" applyAlignment="1">
      <alignment horizontal="center" vertical="center"/>
    </xf>
    <xf numFmtId="2" fontId="2" fillId="7" borderId="4" xfId="1" applyNumberFormat="1" applyFont="1" applyFill="1" applyBorder="1" applyAlignment="1">
      <alignment horizontal="center" vertical="center"/>
    </xf>
    <xf numFmtId="0" fontId="2" fillId="9" borderId="4" xfId="0" applyFont="1" applyFill="1" applyBorder="1"/>
    <xf numFmtId="0" fontId="9" fillId="0" borderId="0" xfId="0" applyFont="1" applyAlignment="1">
      <alignment horizontal="right"/>
    </xf>
    <xf numFmtId="0" fontId="20" fillId="0" borderId="0" xfId="0" applyFont="1"/>
    <xf numFmtId="3" fontId="2" fillId="0" borderId="4" xfId="0" applyNumberFormat="1" applyFont="1" applyBorder="1" applyAlignment="1">
      <alignment horizontal="center" vertical="center"/>
    </xf>
    <xf numFmtId="10" fontId="2" fillId="0" borderId="4" xfId="1" applyNumberFormat="1" applyFont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2" fontId="2" fillId="0" borderId="4" xfId="1" applyNumberFormat="1" applyFont="1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2" borderId="23" xfId="0" applyFill="1" applyBorder="1"/>
    <xf numFmtId="0" fontId="0" fillId="0" borderId="23" xfId="0" applyBorder="1"/>
    <xf numFmtId="3" fontId="3" fillId="6" borderId="23" xfId="0" applyNumberFormat="1" applyFont="1" applyFill="1" applyBorder="1" applyAlignment="1">
      <alignment horizontal="center" vertical="center"/>
    </xf>
    <xf numFmtId="3" fontId="4" fillId="2" borderId="23" xfId="0" applyNumberFormat="1" applyFont="1" applyFill="1" applyBorder="1" applyAlignment="1">
      <alignment horizontal="center"/>
    </xf>
    <xf numFmtId="3" fontId="3" fillId="2" borderId="23" xfId="0" applyNumberFormat="1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4" fillId="2" borderId="23" xfId="0" applyFont="1" applyFill="1" applyBorder="1"/>
    <xf numFmtId="0" fontId="2" fillId="2" borderId="23" xfId="0" applyFont="1" applyFill="1" applyBorder="1"/>
    <xf numFmtId="10" fontId="2" fillId="2" borderId="23" xfId="0" applyNumberFormat="1" applyFont="1" applyFill="1" applyBorder="1" applyAlignment="1">
      <alignment horizontal="center" vertical="center"/>
    </xf>
    <xf numFmtId="2" fontId="2" fillId="2" borderId="23" xfId="0" applyNumberFormat="1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vertical="center"/>
    </xf>
    <xf numFmtId="0" fontId="5" fillId="2" borderId="23" xfId="0" applyFont="1" applyFill="1" applyBorder="1" applyAlignment="1"/>
    <xf numFmtId="0" fontId="9" fillId="7" borderId="4" xfId="0" applyFont="1" applyFill="1" applyBorder="1" applyAlignment="1">
      <alignment horizontal="center"/>
    </xf>
    <xf numFmtId="0" fontId="9" fillId="7" borderId="4" xfId="0" applyFont="1" applyFill="1" applyBorder="1"/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9" fontId="11" fillId="10" borderId="4" xfId="3" applyNumberFormat="1" applyFont="1" applyBorder="1" applyAlignment="1">
      <alignment horizontal="center" vertical="center"/>
    </xf>
    <xf numFmtId="2" fontId="11" fillId="10" borderId="4" xfId="3" applyNumberFormat="1" applyFont="1" applyBorder="1" applyAlignment="1">
      <alignment horizontal="center" vertical="center"/>
    </xf>
    <xf numFmtId="4" fontId="11" fillId="10" borderId="4" xfId="3" applyNumberFormat="1" applyFont="1" applyBorder="1" applyAlignment="1">
      <alignment horizontal="center" vertical="center"/>
    </xf>
    <xf numFmtId="164" fontId="11" fillId="10" borderId="4" xfId="3" applyNumberFormat="1" applyFont="1" applyBorder="1" applyAlignment="1">
      <alignment horizontal="center" vertical="center"/>
    </xf>
    <xf numFmtId="9" fontId="9" fillId="7" borderId="4" xfId="0" applyNumberFormat="1" applyFont="1" applyFill="1" applyBorder="1" applyAlignment="1">
      <alignment horizontal="center" vertical="center"/>
    </xf>
    <xf numFmtId="9" fontId="9" fillId="2" borderId="23" xfId="0" applyNumberFormat="1" applyFont="1" applyFill="1" applyBorder="1" applyAlignment="1">
      <alignment horizontal="center" vertical="center"/>
    </xf>
    <xf numFmtId="9" fontId="9" fillId="2" borderId="27" xfId="0" applyNumberFormat="1" applyFont="1" applyFill="1" applyBorder="1" applyAlignment="1">
      <alignment horizontal="center" vertical="center"/>
    </xf>
    <xf numFmtId="0" fontId="0" fillId="2" borderId="27" xfId="0" applyFill="1" applyBorder="1"/>
    <xf numFmtId="2" fontId="0" fillId="2" borderId="4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4" fontId="0" fillId="2" borderId="4" xfId="0" applyNumberFormat="1" applyFill="1" applyBorder="1" applyAlignment="1">
      <alignment horizontal="center" vertical="center"/>
    </xf>
    <xf numFmtId="2" fontId="0" fillId="2" borderId="23" xfId="0" applyNumberFormat="1" applyFill="1" applyBorder="1" applyAlignment="1">
      <alignment horizontal="center" vertical="center"/>
    </xf>
    <xf numFmtId="164" fontId="0" fillId="0" borderId="4" xfId="0" applyNumberFormat="1" applyBorder="1" applyAlignment="1">
      <alignment horizontal="center"/>
    </xf>
    <xf numFmtId="0" fontId="9" fillId="2" borderId="23" xfId="0" applyFont="1" applyFill="1" applyBorder="1" applyAlignment="1">
      <alignment horizontal="center" vertical="center"/>
    </xf>
    <xf numFmtId="0" fontId="19" fillId="2" borderId="23" xfId="0" applyFont="1" applyFill="1" applyBorder="1"/>
    <xf numFmtId="1" fontId="4" fillId="2" borderId="23" xfId="1" applyNumberFormat="1" applyFont="1" applyFill="1" applyBorder="1" applyAlignment="1">
      <alignment horizontal="center" vertical="center"/>
    </xf>
    <xf numFmtId="2" fontId="4" fillId="2" borderId="23" xfId="0" applyNumberFormat="1" applyFont="1" applyFill="1" applyBorder="1" applyAlignment="1">
      <alignment horizontal="center" vertical="center"/>
    </xf>
    <xf numFmtId="2" fontId="9" fillId="2" borderId="23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3" fontId="9" fillId="2" borderId="23" xfId="0" applyNumberFormat="1" applyFont="1" applyFill="1" applyBorder="1" applyAlignment="1">
      <alignment horizontal="center" vertical="center"/>
    </xf>
    <xf numFmtId="165" fontId="9" fillId="2" borderId="23" xfId="0" applyNumberFormat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textRotation="90"/>
    </xf>
    <xf numFmtId="0" fontId="5" fillId="3" borderId="4" xfId="0" applyFont="1" applyFill="1" applyBorder="1" applyAlignment="1">
      <alignment horizontal="center" vertical="center" textRotation="90"/>
    </xf>
    <xf numFmtId="0" fontId="5" fillId="3" borderId="4" xfId="0" applyFont="1" applyFill="1" applyBorder="1" applyAlignment="1">
      <alignment horizontal="center" vertical="center" textRotation="90" wrapText="1"/>
    </xf>
    <xf numFmtId="0" fontId="10" fillId="3" borderId="4" xfId="0" applyFont="1" applyFill="1" applyBorder="1" applyAlignment="1">
      <alignment horizontal="center" vertical="center" textRotation="90" wrapText="1"/>
    </xf>
    <xf numFmtId="0" fontId="5" fillId="3" borderId="4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 wrapText="1"/>
    </xf>
  </cellXfs>
  <cellStyles count="4">
    <cellStyle name="Čárka" xfId="2" builtinId="3"/>
    <cellStyle name="Normální" xfId="0" builtinId="0"/>
    <cellStyle name="Procenta" xfId="1" builtinId="5"/>
    <cellStyle name="Zvýraznění 1" xfId="3" builtinId="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'Vertikální analýza'!$U$21</c:f>
              <c:strCache>
                <c:ptCount val="1"/>
                <c:pt idx="0">
                  <c:v>Vlastní kapitál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analýza'!$V$20:$Z$20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analýza'!$V$21:$Z$21</c:f>
              <c:numCache>
                <c:formatCode>0.00%</c:formatCode>
                <c:ptCount val="5"/>
                <c:pt idx="0">
                  <c:v>0.61941543936847387</c:v>
                </c:pt>
                <c:pt idx="1">
                  <c:v>0.69382441495082059</c:v>
                </c:pt>
                <c:pt idx="2">
                  <c:v>0.72440998082210295</c:v>
                </c:pt>
                <c:pt idx="3">
                  <c:v>0.68428206419491922</c:v>
                </c:pt>
                <c:pt idx="4">
                  <c:v>0.67767185802245566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F-4FAB-90BF-2FBED067D646}"/>
            </c:ext>
          </c:extLst>
        </c:ser>
        <c:ser>
          <c:idx val="1"/>
          <c:order val="1"/>
          <c:tx>
            <c:strRef>
              <c:f>'Vertikální analýza'!$U$22</c:f>
              <c:strCache>
                <c:ptCount val="1"/>
                <c:pt idx="0">
                  <c:v>Cizí zdroje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analýza'!$V$20:$Z$20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analýza'!$V$22:$Z$22</c:f>
              <c:numCache>
                <c:formatCode>0.00%</c:formatCode>
                <c:ptCount val="5"/>
                <c:pt idx="0">
                  <c:v>0.31090259495308387</c:v>
                </c:pt>
                <c:pt idx="1">
                  <c:v>0.24226522716359103</c:v>
                </c:pt>
                <c:pt idx="2">
                  <c:v>0.21683323891640549</c:v>
                </c:pt>
                <c:pt idx="3">
                  <c:v>0.2554558270439245</c:v>
                </c:pt>
                <c:pt idx="4">
                  <c:v>0.26098370155740674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4F-4FAB-90BF-2FBED067D646}"/>
            </c:ext>
          </c:extLst>
        </c:ser>
        <c:ser>
          <c:idx val="2"/>
          <c:order val="2"/>
          <c:tx>
            <c:strRef>
              <c:f>'Vertikální analýza'!$U$23</c:f>
              <c:strCache>
                <c:ptCount val="1"/>
                <c:pt idx="0">
                  <c:v>Časové rozlišení pasiv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analýza'!$V$20:$Z$20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analýza'!$V$23:$Z$23</c:f>
              <c:numCache>
                <c:formatCode>0.00%</c:formatCode>
                <c:ptCount val="5"/>
                <c:pt idx="0">
                  <c:v>6.9681965678442273E-2</c:v>
                </c:pt>
                <c:pt idx="1">
                  <c:v>6.3910357885588354E-2</c:v>
                </c:pt>
                <c:pt idx="2">
                  <c:v>5.875678026149158E-2</c:v>
                </c:pt>
                <c:pt idx="3">
                  <c:v>5.6893534527043758E-2</c:v>
                </c:pt>
                <c:pt idx="4">
                  <c:v>6.1344440420137633E-2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4F-4FAB-90BF-2FBED067D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7867551"/>
        <c:axId val="1107888767"/>
      </c:barChart>
      <c:catAx>
        <c:axId val="1107867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7888767"/>
        <c:crosses val="autoZero"/>
        <c:auto val="1"/>
        <c:lblAlgn val="ctr"/>
        <c:lblOffset val="100"/>
        <c:noMultiLvlLbl val="0"/>
      </c:catAx>
      <c:valAx>
        <c:axId val="1107888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7867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cap="all" baseline="0">
                <a:solidFill>
                  <a:sysClr val="windowText" lastClr="000000"/>
                </a:solidFill>
                <a:effectLst/>
              </a:rPr>
              <a:t>Srovnání poměru cizího a vlastního kapitálu v letech 2010 - 2019</a:t>
            </a:r>
            <a:endParaRPr lang="cs-CZ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Zadluženost!$C$60</c:f>
              <c:strCache>
                <c:ptCount val="1"/>
                <c:pt idx="0">
                  <c:v>Rodinný pivovar BERNARD, a.s.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640684027839134E-2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6F-4605-ABFD-C44528166C84}"/>
                </c:ext>
              </c:extLst>
            </c:dLbl>
            <c:dLbl>
              <c:idx val="1"/>
              <c:layout>
                <c:manualLayout>
                  <c:x val="-8.0346307200386047E-2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6F-4605-ABFD-C44528166C84}"/>
                </c:ext>
              </c:extLst>
            </c:dLbl>
            <c:dLbl>
              <c:idx val="2"/>
              <c:layout>
                <c:manualLayout>
                  <c:x val="-5.5411246345093874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6F-4605-ABFD-C44528166C84}"/>
                </c:ext>
              </c:extLst>
            </c:dLbl>
            <c:dLbl>
              <c:idx val="3"/>
              <c:layout>
                <c:manualLayout>
                  <c:x val="-5.8181808662348518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6F-4605-ABFD-C44528166C84}"/>
                </c:ext>
              </c:extLst>
            </c:dLbl>
            <c:dLbl>
              <c:idx val="4"/>
              <c:layout>
                <c:manualLayout>
                  <c:x val="-6.3722933296857895E-2"/>
                  <c:y val="-4.166666666666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6F-4605-ABFD-C44528166C84}"/>
                </c:ext>
              </c:extLst>
            </c:dLbl>
            <c:dLbl>
              <c:idx val="5"/>
              <c:layout>
                <c:manualLayout>
                  <c:x val="-6.9264057931367279E-2"/>
                  <c:y val="3.7037037037036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6F-4605-ABFD-C44528166C84}"/>
                </c:ext>
              </c:extLst>
            </c:dLbl>
            <c:dLbl>
              <c:idx val="6"/>
              <c:layout>
                <c:manualLayout>
                  <c:x val="-6.0952370979603307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6F-4605-ABFD-C44528166C84}"/>
                </c:ext>
              </c:extLst>
            </c:dLbl>
            <c:dLbl>
              <c:idx val="7"/>
              <c:layout>
                <c:manualLayout>
                  <c:x val="-6.3722933296858006E-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6F-4605-ABFD-C44528166C84}"/>
                </c:ext>
              </c:extLst>
            </c:dLbl>
            <c:dLbl>
              <c:idx val="8"/>
              <c:layout>
                <c:manualLayout>
                  <c:x val="-5.8181808662348518E-2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6F-4605-ABFD-C44528166C84}"/>
                </c:ext>
              </c:extLst>
            </c:dLbl>
            <c:dLbl>
              <c:idx val="9"/>
              <c:layout>
                <c:manualLayout>
                  <c:x val="0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6F-4605-ABFD-C44528166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Zadluženost!$D$59:$M$59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Zadluženost!$D$60:$M$60</c:f>
              <c:numCache>
                <c:formatCode>0.00%</c:formatCode>
                <c:ptCount val="10"/>
                <c:pt idx="0">
                  <c:v>0.50192903694823165</c:v>
                </c:pt>
                <c:pt idx="1">
                  <c:v>0.3491736842105263</c:v>
                </c:pt>
                <c:pt idx="2">
                  <c:v>0.29932392520369533</c:v>
                </c:pt>
                <c:pt idx="3">
                  <c:v>0.37331948389510528</c:v>
                </c:pt>
                <c:pt idx="4">
                  <c:v>0.38511810468121677</c:v>
                </c:pt>
                <c:pt idx="5">
                  <c:v>0.38350964847883073</c:v>
                </c:pt>
                <c:pt idx="6">
                  <c:v>0.31653893791035853</c:v>
                </c:pt>
                <c:pt idx="7">
                  <c:v>0.32828625133902406</c:v>
                </c:pt>
                <c:pt idx="8">
                  <c:v>0.36440673983032923</c:v>
                </c:pt>
                <c:pt idx="9">
                  <c:v>0.35479154079802189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F-4605-ABFD-C44528166C84}"/>
            </c:ext>
          </c:extLst>
        </c:ser>
        <c:ser>
          <c:idx val="1"/>
          <c:order val="1"/>
          <c:tx>
            <c:strRef>
              <c:f>Zadluženost!$C$61</c:f>
              <c:strCache>
                <c:ptCount val="1"/>
                <c:pt idx="0">
                  <c:v>Odvětví nápojů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411246345093854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F-4605-ABFD-C44528166C84}"/>
                </c:ext>
              </c:extLst>
            </c:dLbl>
            <c:dLbl>
              <c:idx val="1"/>
              <c:layout>
                <c:manualLayout>
                  <c:x val="-5.818180866234849E-2"/>
                  <c:y val="3.703703703703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F-4605-ABFD-C44528166C84}"/>
                </c:ext>
              </c:extLst>
            </c:dLbl>
            <c:dLbl>
              <c:idx val="2"/>
              <c:layout>
                <c:manualLayout>
                  <c:x val="-6.095237097960321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F-4605-ABFD-C44528166C84}"/>
                </c:ext>
              </c:extLst>
            </c:dLbl>
            <c:dLbl>
              <c:idx val="3"/>
              <c:layout>
                <c:manualLayout>
                  <c:x val="-6.649349561411259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F-4605-ABFD-C44528166C84}"/>
                </c:ext>
              </c:extLst>
            </c:dLbl>
            <c:dLbl>
              <c:idx val="4"/>
              <c:layout>
                <c:manualLayout>
                  <c:x val="-6.3722933296857895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F-4605-ABFD-C44528166C84}"/>
                </c:ext>
              </c:extLst>
            </c:dLbl>
            <c:dLbl>
              <c:idx val="5"/>
              <c:layout>
                <c:manualLayout>
                  <c:x val="-7.2034620248622075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F-4605-ABFD-C44528166C84}"/>
                </c:ext>
              </c:extLst>
            </c:dLbl>
            <c:dLbl>
              <c:idx val="6"/>
              <c:layout>
                <c:manualLayout>
                  <c:x val="-6.6493495614112691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F-4605-ABFD-C44528166C84}"/>
                </c:ext>
              </c:extLst>
            </c:dLbl>
            <c:dLbl>
              <c:idx val="7"/>
              <c:layout>
                <c:manualLayout>
                  <c:x val="-6.0952370979603307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F-4605-ABFD-C44528166C84}"/>
                </c:ext>
              </c:extLst>
            </c:dLbl>
            <c:dLbl>
              <c:idx val="8"/>
              <c:layout>
                <c:manualLayout>
                  <c:x val="-2.2164498538037529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6F-4605-ABFD-C44528166C84}"/>
                </c:ext>
              </c:extLst>
            </c:dLbl>
            <c:dLbl>
              <c:idx val="9"/>
              <c:layout>
                <c:manualLayout>
                  <c:x val="-5.5555555555556572E-3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6F-4605-ABFD-C44528166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Zadluženost!$D$59:$M$59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Zadluženost!$D$61:$M$61</c:f>
              <c:numCache>
                <c:formatCode>0.00%</c:formatCode>
                <c:ptCount val="10"/>
                <c:pt idx="0">
                  <c:v>1.1096999999999999</c:v>
                </c:pt>
                <c:pt idx="1">
                  <c:v>1.2053</c:v>
                </c:pt>
                <c:pt idx="2">
                  <c:v>1.7572000000000001</c:v>
                </c:pt>
                <c:pt idx="3">
                  <c:v>1.2914000000000001</c:v>
                </c:pt>
                <c:pt idx="4">
                  <c:v>1.4182999999999999</c:v>
                </c:pt>
                <c:pt idx="5">
                  <c:v>1.0430999999999999</c:v>
                </c:pt>
                <c:pt idx="6">
                  <c:v>1.0833999999999999</c:v>
                </c:pt>
                <c:pt idx="7">
                  <c:v>1.1296999999999999</c:v>
                </c:pt>
                <c:pt idx="8">
                  <c:v>1.0921000000000001</c:v>
                </c:pt>
                <c:pt idx="9">
                  <c:v>1.0488999999999999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F-4605-ABFD-C4452816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668511"/>
        <c:axId val="1049655615"/>
      </c:lineChart>
      <c:catAx>
        <c:axId val="1049668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49655615"/>
        <c:crosses val="autoZero"/>
        <c:auto val="1"/>
        <c:lblAlgn val="ctr"/>
        <c:lblOffset val="100"/>
        <c:noMultiLvlLbl val="0"/>
      </c:catAx>
      <c:valAx>
        <c:axId val="1049655615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49668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cap="all" baseline="0">
                <a:solidFill>
                  <a:sysClr val="windowText" lastClr="000000"/>
                </a:solidFill>
                <a:effectLst/>
              </a:rPr>
              <a:t>Krytí dlouhodobého majetku VK v letech 2010 - 2019</a:t>
            </a:r>
            <a:endParaRPr lang="cs-CZ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Zadluženost!$C$82</c:f>
              <c:strCache>
                <c:ptCount val="1"/>
                <c:pt idx="0">
                  <c:v>Rodinný pivovar BERNARD, a.s.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1252909184341002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3-4C7F-A423-C08FBB5CF267}"/>
                </c:ext>
              </c:extLst>
            </c:dLbl>
            <c:dLbl>
              <c:idx val="1"/>
              <c:layout>
                <c:manualLayout>
                  <c:x val="-2.5058008302684981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3-4C7F-A423-C08FBB5CF267}"/>
                </c:ext>
              </c:extLst>
            </c:dLbl>
            <c:dLbl>
              <c:idx val="2"/>
              <c:layout>
                <c:manualLayout>
                  <c:x val="-4.4547570315884417E-2"/>
                  <c:y val="-4.6296296296296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3-4C7F-A423-C08FBB5CF267}"/>
                </c:ext>
              </c:extLst>
            </c:dLbl>
            <c:dLbl>
              <c:idx val="3"/>
              <c:layout>
                <c:manualLayout>
                  <c:x val="-5.5684462894855458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3-4C7F-A423-C08FBB5CF267}"/>
                </c:ext>
              </c:extLst>
            </c:dLbl>
            <c:dLbl>
              <c:idx val="4"/>
              <c:layout>
                <c:manualLayout>
                  <c:x val="-3.6194900881656049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3-4C7F-A423-C08FBB5CF267}"/>
                </c:ext>
              </c:extLst>
            </c:dLbl>
            <c:dLbl>
              <c:idx val="5"/>
              <c:layout>
                <c:manualLayout>
                  <c:x val="-4.7331793460627138E-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3-4C7F-A423-C08FBB5CF267}"/>
                </c:ext>
              </c:extLst>
            </c:dLbl>
            <c:dLbl>
              <c:idx val="6"/>
              <c:layout>
                <c:manualLayout>
                  <c:x val="-4.7331793460627242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3-4C7F-A423-C08FBB5CF267}"/>
                </c:ext>
              </c:extLst>
            </c:dLbl>
            <c:dLbl>
              <c:idx val="7"/>
              <c:layout>
                <c:manualLayout>
                  <c:x val="-4.1763347171141593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3-4C7F-A423-C08FBB5CF267}"/>
                </c:ext>
              </c:extLst>
            </c:dLbl>
            <c:dLbl>
              <c:idx val="8"/>
              <c:layout>
                <c:manualLayout>
                  <c:x val="-5.011601660537001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3-4C7F-A423-C08FBB5CF267}"/>
                </c:ext>
              </c:extLst>
            </c:dLbl>
            <c:dLbl>
              <c:idx val="9"/>
              <c:layout>
                <c:manualLayout>
                  <c:x val="-3.6194900881656146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3-4C7F-A423-C08FBB5CF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Zadluženost!$D$81:$M$81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Zadluženost!$D$82:$M$82</c:f>
              <c:numCache>
                <c:formatCode>0.00</c:formatCode>
                <c:ptCount val="10"/>
                <c:pt idx="0">
                  <c:v>1.1004838749293837</c:v>
                </c:pt>
                <c:pt idx="1">
                  <c:v>1.4987595792429687</c:v>
                </c:pt>
                <c:pt idx="2">
                  <c:v>1.6766064426107248</c:v>
                </c:pt>
                <c:pt idx="3">
                  <c:v>1.2073808589803026</c:v>
                </c:pt>
                <c:pt idx="4">
                  <c:v>1.118028500270088</c:v>
                </c:pt>
                <c:pt idx="5">
                  <c:v>1.0965325127603223</c:v>
                </c:pt>
                <c:pt idx="6">
                  <c:v>1.1191799515748122</c:v>
                </c:pt>
                <c:pt idx="7">
                  <c:v>1.1207314439660705</c:v>
                </c:pt>
                <c:pt idx="8">
                  <c:v>1.232302288069085</c:v>
                </c:pt>
                <c:pt idx="9">
                  <c:v>1.2448539656329016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3-4C7F-A423-C08FBB5CF267}"/>
            </c:ext>
          </c:extLst>
        </c:ser>
        <c:ser>
          <c:idx val="1"/>
          <c:order val="1"/>
          <c:tx>
            <c:strRef>
              <c:f>Zadluženost!$C$83</c:f>
              <c:strCache>
                <c:ptCount val="1"/>
                <c:pt idx="0">
                  <c:v>Odvětví nápojů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63347171141607E-2"/>
                  <c:y val="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3-4C7F-A423-C08FBB5CF267}"/>
                </c:ext>
              </c:extLst>
            </c:dLbl>
            <c:dLbl>
              <c:idx val="1"/>
              <c:layout>
                <c:manualLayout>
                  <c:x val="-4.7331793460627165E-2"/>
                  <c:y val="-6.0185185185185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3-4C7F-A423-C08FBB5CF267}"/>
                </c:ext>
              </c:extLst>
            </c:dLbl>
            <c:dLbl>
              <c:idx val="2"/>
              <c:layout>
                <c:manualLayout>
                  <c:x val="-5.2900239750112737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3-4C7F-A423-C08FBB5CF267}"/>
                </c:ext>
              </c:extLst>
            </c:dLbl>
            <c:dLbl>
              <c:idx val="3"/>
              <c:layout>
                <c:manualLayout>
                  <c:x val="-3.8979124026398818E-2"/>
                  <c:y val="-6.0185185185185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33-4C7F-A423-C08FBB5CF267}"/>
                </c:ext>
              </c:extLst>
            </c:dLbl>
            <c:dLbl>
              <c:idx val="4"/>
              <c:layout>
                <c:manualLayout>
                  <c:x val="-5.5684462894855458E-2"/>
                  <c:y val="3.703703703703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33-4C7F-A423-C08FBB5CF267}"/>
                </c:ext>
              </c:extLst>
            </c:dLbl>
            <c:dLbl>
              <c:idx val="5"/>
              <c:layout>
                <c:manualLayout>
                  <c:x val="-4.1763347171141593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3-4C7F-A423-C08FBB5CF267}"/>
                </c:ext>
              </c:extLst>
            </c:dLbl>
            <c:dLbl>
              <c:idx val="6"/>
              <c:layout>
                <c:manualLayout>
                  <c:x val="-4.4547570315884466E-2"/>
                  <c:y val="-6.0185185185185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33-4C7F-A423-C08FBB5CF267}"/>
                </c:ext>
              </c:extLst>
            </c:dLbl>
            <c:dLbl>
              <c:idx val="7"/>
              <c:layout>
                <c:manualLayout>
                  <c:x val="-5.2900239750112786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33-4C7F-A423-C08FBB5CF267}"/>
                </c:ext>
              </c:extLst>
            </c:dLbl>
            <c:dLbl>
              <c:idx val="8"/>
              <c:layout>
                <c:manualLayout>
                  <c:x val="-3.8979124026399026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33-4C7F-A423-C08FBB5CF267}"/>
                </c:ext>
              </c:extLst>
            </c:dLbl>
            <c:dLbl>
              <c:idx val="9"/>
              <c:layout>
                <c:manualLayout>
                  <c:x val="-3.3410677736913273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33-4C7F-A423-C08FBB5CF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Zadluženost!$D$81:$M$81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Zadluženost!$D$83:$M$83</c:f>
              <c:numCache>
                <c:formatCode>0.00</c:formatCode>
                <c:ptCount val="10"/>
                <c:pt idx="0">
                  <c:v>0.73</c:v>
                </c:pt>
                <c:pt idx="1">
                  <c:v>0.71</c:v>
                </c:pt>
                <c:pt idx="2">
                  <c:v>0.6</c:v>
                </c:pt>
                <c:pt idx="3">
                  <c:v>0.61</c:v>
                </c:pt>
                <c:pt idx="4">
                  <c:v>0.59</c:v>
                </c:pt>
                <c:pt idx="5" formatCode="General">
                  <c:v>0.69</c:v>
                </c:pt>
                <c:pt idx="6" formatCode="General">
                  <c:v>0.68</c:v>
                </c:pt>
                <c:pt idx="7" formatCode="General">
                  <c:v>0.68</c:v>
                </c:pt>
                <c:pt idx="8" formatCode="General">
                  <c:v>0.7</c:v>
                </c:pt>
                <c:pt idx="9" formatCode="General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3-4C7F-A423-C08FBB5CF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855903"/>
        <c:axId val="1083858815"/>
      </c:lineChart>
      <c:catAx>
        <c:axId val="1083855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83858815"/>
        <c:crosses val="autoZero"/>
        <c:auto val="1"/>
        <c:lblAlgn val="ctr"/>
        <c:lblOffset val="100"/>
        <c:noMultiLvlLbl val="0"/>
      </c:catAx>
      <c:valAx>
        <c:axId val="108385881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838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 i="0" cap="all" baseline="0">
                <a:solidFill>
                  <a:sysClr val="windowText" lastClr="000000"/>
                </a:solidFill>
                <a:effectLst/>
              </a:rPr>
              <a:t>Srovnání úrokového krytí v letech 2010 - 2019</a:t>
            </a:r>
            <a:endParaRPr lang="cs-CZ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Zadluženost!$P$39</c:f>
              <c:strCache>
                <c:ptCount val="1"/>
                <c:pt idx="0">
                  <c:v>Rodinný pivovar BERNARD, a.s.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C7-402D-8213-C386E2A9194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7-402D-8213-C386E2A9194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C7-402D-8213-C386E2A9194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C7-402D-8213-C386E2A919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C7-402D-8213-C386E2A9194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C7-402D-8213-C386E2A9194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C7-402D-8213-C386E2A9194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C7-402D-8213-C386E2A9194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C7-402D-8213-C386E2A91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Zadluženost!$Q$38:$Z$38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Zadluženost!$Q$39:$Z$39</c:f>
              <c:numCache>
                <c:formatCode>0</c:formatCode>
                <c:ptCount val="10"/>
                <c:pt idx="0" formatCode="0.00">
                  <c:v>39.92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7-402D-8213-C386E2A91947}"/>
            </c:ext>
          </c:extLst>
        </c:ser>
        <c:ser>
          <c:idx val="1"/>
          <c:order val="1"/>
          <c:tx>
            <c:strRef>
              <c:f>Zadluženost!$P$40</c:f>
              <c:strCache>
                <c:ptCount val="1"/>
                <c:pt idx="0">
                  <c:v>Odvětví nápojů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863184105700867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7-402D-8213-C386E2A91947}"/>
                </c:ext>
              </c:extLst>
            </c:dLbl>
            <c:dLbl>
              <c:idx val="1"/>
              <c:layout>
                <c:manualLayout>
                  <c:x val="-3.3311300662029315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7-402D-8213-C386E2A91947}"/>
                </c:ext>
              </c:extLst>
            </c:dLbl>
            <c:dLbl>
              <c:idx val="2"/>
              <c:layout>
                <c:manualLayout>
                  <c:x val="-4.1639125827536642E-2"/>
                  <c:y val="-6.4814814814814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7-402D-8213-C386E2A91947}"/>
                </c:ext>
              </c:extLst>
            </c:dLbl>
            <c:dLbl>
              <c:idx val="3"/>
              <c:layout>
                <c:manualLayout>
                  <c:x val="-4.4415067549372418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7-402D-8213-C386E2A91947}"/>
                </c:ext>
              </c:extLst>
            </c:dLbl>
            <c:dLbl>
              <c:idx val="4"/>
              <c:layout>
                <c:manualLayout>
                  <c:x val="-4.7191009271208298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C7-402D-8213-C386E2A91947}"/>
                </c:ext>
              </c:extLst>
            </c:dLbl>
            <c:dLbl>
              <c:idx val="5"/>
              <c:layout>
                <c:manualLayout>
                  <c:x val="-5.2742892714879745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7-402D-8213-C386E2A91947}"/>
                </c:ext>
              </c:extLst>
            </c:dLbl>
            <c:dLbl>
              <c:idx val="6"/>
              <c:layout>
                <c:manualLayout>
                  <c:x val="-6.3846659602222855E-2"/>
                  <c:y val="-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7-402D-8213-C386E2A91947}"/>
                </c:ext>
              </c:extLst>
            </c:dLbl>
            <c:dLbl>
              <c:idx val="7"/>
              <c:layout>
                <c:manualLayout>
                  <c:x val="-4.9966950993044074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7-402D-8213-C386E2A91947}"/>
                </c:ext>
              </c:extLst>
            </c:dLbl>
            <c:dLbl>
              <c:idx val="8"/>
              <c:layout>
                <c:manualLayout>
                  <c:x val="-5.2742892714879849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7-402D-8213-C386E2A91947}"/>
                </c:ext>
              </c:extLst>
            </c:dLbl>
            <c:dLbl>
              <c:idx val="9"/>
              <c:layout>
                <c:manualLayout>
                  <c:x val="-4.4415067549372418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7-402D-8213-C386E2A91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Zadluženost!$Q$38:$Z$38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Zadluženost!$Q$40:$Z$40</c:f>
              <c:numCache>
                <c:formatCode>0.00</c:formatCode>
                <c:ptCount val="10"/>
                <c:pt idx="0">
                  <c:v>4.9122383395519078</c:v>
                </c:pt>
                <c:pt idx="1">
                  <c:v>4.6378540151790748</c:v>
                </c:pt>
                <c:pt idx="2">
                  <c:v>4.683487916482461</c:v>
                </c:pt>
                <c:pt idx="3">
                  <c:v>3.369071701295355</c:v>
                </c:pt>
                <c:pt idx="4">
                  <c:v>2.2196068127945927</c:v>
                </c:pt>
                <c:pt idx="5">
                  <c:v>5.3383823373996675</c:v>
                </c:pt>
                <c:pt idx="6">
                  <c:v>5.5992514641274713</c:v>
                </c:pt>
                <c:pt idx="7">
                  <c:v>6.617901192796797</c:v>
                </c:pt>
                <c:pt idx="8">
                  <c:v>5.245860803232854</c:v>
                </c:pt>
                <c:pt idx="9">
                  <c:v>5.8961845474444772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C7-402D-8213-C386E2A91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937439"/>
        <c:axId val="1083930783"/>
      </c:lineChart>
      <c:catAx>
        <c:axId val="1083937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83930783"/>
        <c:crosses val="autoZero"/>
        <c:auto val="1"/>
        <c:lblAlgn val="ctr"/>
        <c:lblOffset val="100"/>
        <c:noMultiLvlLbl val="0"/>
      </c:catAx>
      <c:valAx>
        <c:axId val="108393078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83937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 i="0" cap="all" baseline="0">
                <a:solidFill>
                  <a:sysClr val="windowText" lastClr="000000"/>
                </a:solidFill>
                <a:effectLst/>
              </a:rPr>
              <a:t>Krytí dlouhodobého majetku dlouhodobými zdroji v letech 2010 - 2019</a:t>
            </a:r>
            <a:endParaRPr lang="cs-CZ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Zadluženost!$P$60</c:f>
              <c:strCache>
                <c:ptCount val="1"/>
                <c:pt idx="0">
                  <c:v>Rodinný pivovar BERNARD, a.s.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159847856520491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E2-415D-8040-D934CDB8390C}"/>
                </c:ext>
              </c:extLst>
            </c:dLbl>
            <c:dLbl>
              <c:idx val="1"/>
              <c:layout>
                <c:manualLayout>
                  <c:x val="-4.9933956553962856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E2-415D-8040-D934CDB8390C}"/>
                </c:ext>
              </c:extLst>
            </c:dLbl>
            <c:dLbl>
              <c:idx val="2"/>
              <c:layout>
                <c:manualLayout>
                  <c:x val="-4.7159847856520477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2-415D-8040-D934CDB8390C}"/>
                </c:ext>
              </c:extLst>
            </c:dLbl>
            <c:dLbl>
              <c:idx val="3"/>
              <c:layout>
                <c:manualLayout>
                  <c:x val="-3.6063413066750954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E2-415D-8040-D934CDB8390C}"/>
                </c:ext>
              </c:extLst>
            </c:dLbl>
            <c:dLbl>
              <c:idx val="4"/>
              <c:layout>
                <c:manualLayout>
                  <c:x val="-4.9933956553962856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E2-415D-8040-D934CDB8390C}"/>
                </c:ext>
              </c:extLst>
            </c:dLbl>
            <c:dLbl>
              <c:idx val="5"/>
              <c:layout>
                <c:manualLayout>
                  <c:x val="-5.2708065251405242E-2"/>
                  <c:y val="-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E2-415D-8040-D934CDB8390C}"/>
                </c:ext>
              </c:extLst>
            </c:dLbl>
            <c:dLbl>
              <c:idx val="6"/>
              <c:layout>
                <c:manualLayout>
                  <c:x val="-4.9933956553962856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E2-415D-8040-D934CDB8390C}"/>
                </c:ext>
              </c:extLst>
            </c:dLbl>
            <c:dLbl>
              <c:idx val="7"/>
              <c:layout>
                <c:manualLayout>
                  <c:x val="-4.9933956553962856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E2-415D-8040-D934CDB8390C}"/>
                </c:ext>
              </c:extLst>
            </c:dLbl>
            <c:dLbl>
              <c:idx val="8"/>
              <c:layout>
                <c:manualLayout>
                  <c:x val="-4.4385739159078196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E2-415D-8040-D934CDB8390C}"/>
                </c:ext>
              </c:extLst>
            </c:dLbl>
            <c:dLbl>
              <c:idx val="9"/>
              <c:layout>
                <c:manualLayout>
                  <c:x val="-1.9418760882096667E-2"/>
                  <c:y val="-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E2-415D-8040-D934CDB839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Zadluženost!$Q$59:$Z$59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Zadluženost!$Q$60:$Z$60</c:f>
              <c:numCache>
                <c:formatCode>General</c:formatCode>
                <c:ptCount val="10"/>
                <c:pt idx="0">
                  <c:v>1.18</c:v>
                </c:pt>
                <c:pt idx="1">
                  <c:v>1.52</c:v>
                </c:pt>
                <c:pt idx="2">
                  <c:v>1.7</c:v>
                </c:pt>
                <c:pt idx="3">
                  <c:v>1.22</c:v>
                </c:pt>
                <c:pt idx="4">
                  <c:v>1.1399999999999999</c:v>
                </c:pt>
                <c:pt idx="5">
                  <c:v>1.1299999999999999</c:v>
                </c:pt>
                <c:pt idx="6">
                  <c:v>1.1499999999999999</c:v>
                </c:pt>
                <c:pt idx="7">
                  <c:v>1.1599999999999999</c:v>
                </c:pt>
                <c:pt idx="8">
                  <c:v>1.27</c:v>
                </c:pt>
                <c:pt idx="9">
                  <c:v>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2-415D-8040-D934CDB8390C}"/>
            </c:ext>
          </c:extLst>
        </c:ser>
        <c:ser>
          <c:idx val="1"/>
          <c:order val="1"/>
          <c:tx>
            <c:strRef>
              <c:f>Zadluženost!$P$61</c:f>
              <c:strCache>
                <c:ptCount val="1"/>
                <c:pt idx="0">
                  <c:v>Odvětví nápojů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289304369308596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E2-415D-8040-D934CDB8390C}"/>
                </c:ext>
              </c:extLst>
            </c:dLbl>
            <c:dLbl>
              <c:idx val="1"/>
              <c:layout>
                <c:manualLayout>
                  <c:x val="-4.9933956553962856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E2-415D-8040-D934CDB8390C}"/>
                </c:ext>
              </c:extLst>
            </c:dLbl>
            <c:dLbl>
              <c:idx val="2"/>
              <c:layout>
                <c:manualLayout>
                  <c:x val="-4.4385739159078098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E2-415D-8040-D934CDB8390C}"/>
                </c:ext>
              </c:extLst>
            </c:dLbl>
            <c:dLbl>
              <c:idx val="3"/>
              <c:layout>
                <c:manualLayout>
                  <c:x val="-4.4385739159078098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E2-415D-8040-D934CDB8390C}"/>
                </c:ext>
              </c:extLst>
            </c:dLbl>
            <c:dLbl>
              <c:idx val="4"/>
              <c:layout>
                <c:manualLayout>
                  <c:x val="-3.8837521764193333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E2-415D-8040-D934CDB8390C}"/>
                </c:ext>
              </c:extLst>
            </c:dLbl>
            <c:dLbl>
              <c:idx val="5"/>
              <c:layout>
                <c:manualLayout>
                  <c:x val="-3.8837521764193438E-2"/>
                  <c:y val="4.1666666666666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E2-415D-8040-D934CDB8390C}"/>
                </c:ext>
              </c:extLst>
            </c:dLbl>
            <c:dLbl>
              <c:idx val="6"/>
              <c:layout>
                <c:manualLayout>
                  <c:x val="-4.7159847856520477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E2-415D-8040-D934CDB8390C}"/>
                </c:ext>
              </c:extLst>
            </c:dLbl>
            <c:dLbl>
              <c:idx val="7"/>
              <c:layout>
                <c:manualLayout>
                  <c:x val="-3.3289304369308569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E2-415D-8040-D934CDB8390C}"/>
                </c:ext>
              </c:extLst>
            </c:dLbl>
            <c:dLbl>
              <c:idx val="8"/>
              <c:layout>
                <c:manualLayout>
                  <c:x val="-4.1611630461635712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E2-415D-8040-D934CDB8390C}"/>
                </c:ext>
              </c:extLst>
            </c:dLbl>
            <c:dLbl>
              <c:idx val="9"/>
              <c:layout>
                <c:manualLayout>
                  <c:x val="-2.7741086974423811E-2"/>
                  <c:y val="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E2-415D-8040-D934CDB839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Zadluženost!$Q$59:$Z$59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Zadluženost!$Q$61:$Z$61</c:f>
              <c:numCache>
                <c:formatCode>0.00</c:formatCode>
                <c:ptCount val="10"/>
                <c:pt idx="0">
                  <c:v>1.0456043924598657</c:v>
                </c:pt>
                <c:pt idx="1">
                  <c:v>1.0182100134630543</c:v>
                </c:pt>
                <c:pt idx="2">
                  <c:v>1.03892233734367</c:v>
                </c:pt>
                <c:pt idx="3">
                  <c:v>1.0846335825402842</c:v>
                </c:pt>
                <c:pt idx="4">
                  <c:v>1.0662286075611005</c:v>
                </c:pt>
                <c:pt idx="5">
                  <c:v>1.0359230676490854</c:v>
                </c:pt>
                <c:pt idx="6">
                  <c:v>1.0516785307505896</c:v>
                </c:pt>
                <c:pt idx="7">
                  <c:v>1.0640475222537655</c:v>
                </c:pt>
                <c:pt idx="8">
                  <c:v>1.0959304263744081</c:v>
                </c:pt>
                <c:pt idx="9">
                  <c:v>1.1131441756364142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2-415D-8040-D934CDB83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842591"/>
        <c:axId val="1083835935"/>
      </c:lineChart>
      <c:catAx>
        <c:axId val="10838425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83835935"/>
        <c:crosses val="autoZero"/>
        <c:auto val="1"/>
        <c:lblAlgn val="ctr"/>
        <c:lblOffset val="100"/>
        <c:noMultiLvlLbl val="0"/>
      </c:catAx>
      <c:valAx>
        <c:axId val="10838359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83842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>
                <a:solidFill>
                  <a:sysClr val="windowText" lastClr="000000"/>
                </a:solidFill>
              </a:rPr>
              <a:t>Srovnání okamžité likvidity v letech 2010 - 2019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Likvidita!$C$49</c:f>
              <c:strCache>
                <c:ptCount val="1"/>
                <c:pt idx="0">
                  <c:v>Rodinný pivovar BERNARD, a.s.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790038344607839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F-4D61-BE09-8091E36147B8}"/>
                </c:ext>
              </c:extLst>
            </c:dLbl>
            <c:dLbl>
              <c:idx val="1"/>
              <c:layout>
                <c:manualLayout>
                  <c:x val="-8.1348046013529421E-2"/>
                  <c:y val="-3.2407407407407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F-4D61-BE09-8091E36147B8}"/>
                </c:ext>
              </c:extLst>
            </c:dLbl>
            <c:dLbl>
              <c:idx val="2"/>
              <c:layout>
                <c:manualLayout>
                  <c:x val="-4.0674023006764697E-2"/>
                  <c:y val="-5.5555555555555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F-4D61-BE09-8091E36147B8}"/>
                </c:ext>
              </c:extLst>
            </c:dLbl>
            <c:dLbl>
              <c:idx val="3"/>
              <c:layout>
                <c:manualLayout>
                  <c:x val="-1.8981210736490242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F-4D61-BE09-8091E36147B8}"/>
                </c:ext>
              </c:extLst>
            </c:dLbl>
            <c:dLbl>
              <c:idx val="4"/>
              <c:layout>
                <c:manualLayout>
                  <c:x val="-2.4404413804058819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F-4D61-BE09-8091E36147B8}"/>
                </c:ext>
              </c:extLst>
            </c:dLbl>
            <c:dLbl>
              <c:idx val="6"/>
              <c:layout>
                <c:manualLayout>
                  <c:x val="-4.8808827608117639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F-4D61-BE09-8091E36147B8}"/>
                </c:ext>
              </c:extLst>
            </c:dLbl>
            <c:dLbl>
              <c:idx val="7"/>
              <c:layout>
                <c:manualLayout>
                  <c:x val="-4.8808827608117736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F-4D61-BE09-8091E36147B8}"/>
                </c:ext>
              </c:extLst>
            </c:dLbl>
            <c:dLbl>
              <c:idx val="8"/>
              <c:layout>
                <c:manualLayout>
                  <c:x val="-4.8808827608117639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F-4D61-BE09-8091E36147B8}"/>
                </c:ext>
              </c:extLst>
            </c:dLbl>
            <c:dLbl>
              <c:idx val="9"/>
              <c:layout>
                <c:manualLayout>
                  <c:x val="-2.9827616871627445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DF-4D61-BE09-8091E3614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Likvidita!$D$48:$M$48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Likvidita!$D$49:$M$49</c:f>
              <c:numCache>
                <c:formatCode>0.00</c:formatCode>
                <c:ptCount val="10"/>
                <c:pt idx="0">
                  <c:v>0.38451804119419886</c:v>
                </c:pt>
                <c:pt idx="1">
                  <c:v>1.2563484556335722</c:v>
                </c:pt>
                <c:pt idx="2">
                  <c:v>1.7468037869701687</c:v>
                </c:pt>
                <c:pt idx="3">
                  <c:v>0.83778122957329715</c:v>
                </c:pt>
                <c:pt idx="4">
                  <c:v>0.58640977221763246</c:v>
                </c:pt>
                <c:pt idx="5">
                  <c:v>0.42465182897717463</c:v>
                </c:pt>
                <c:pt idx="6">
                  <c:v>0.69910052041696891</c:v>
                </c:pt>
                <c:pt idx="7">
                  <c:v>0.70920645355685208</c:v>
                </c:pt>
                <c:pt idx="8">
                  <c:v>1.0931944241122986</c:v>
                </c:pt>
                <c:pt idx="9">
                  <c:v>1.0265065766008401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F-4D61-BE09-8091E36147B8}"/>
            </c:ext>
          </c:extLst>
        </c:ser>
        <c:ser>
          <c:idx val="1"/>
          <c:order val="1"/>
          <c:tx>
            <c:strRef>
              <c:f>Likvidita!$C$50</c:f>
              <c:strCache>
                <c:ptCount val="1"/>
                <c:pt idx="0">
                  <c:v>Odvětví nápojů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85624540549013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F-4D61-BE09-8091E36147B8}"/>
                </c:ext>
              </c:extLst>
            </c:dLbl>
            <c:dLbl>
              <c:idx val="1"/>
              <c:layout>
                <c:manualLayout>
                  <c:x val="-4.8808827608117666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F-4D61-BE09-8091E36147B8}"/>
                </c:ext>
              </c:extLst>
            </c:dLbl>
            <c:dLbl>
              <c:idx val="2"/>
              <c:layout>
                <c:manualLayout>
                  <c:x val="-4.8808827608117639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F-4D61-BE09-8091E36147B8}"/>
                </c:ext>
              </c:extLst>
            </c:dLbl>
            <c:dLbl>
              <c:idx val="3"/>
              <c:layout>
                <c:manualLayout>
                  <c:x val="-4.0674023006764745E-2"/>
                  <c:y val="-4.166666666666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F-4D61-BE09-8091E36147B8}"/>
                </c:ext>
              </c:extLst>
            </c:dLbl>
            <c:dLbl>
              <c:idx val="4"/>
              <c:layout>
                <c:manualLayout>
                  <c:x val="-4.8808827608117639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DF-4D61-BE09-8091E36147B8}"/>
                </c:ext>
              </c:extLst>
            </c:dLbl>
            <c:dLbl>
              <c:idx val="5"/>
              <c:layout>
                <c:manualLayout>
                  <c:x val="-4.6097226074333322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F-4D61-BE09-8091E36147B8}"/>
                </c:ext>
              </c:extLst>
            </c:dLbl>
            <c:dLbl>
              <c:idx val="6"/>
              <c:layout>
                <c:manualLayout>
                  <c:x val="-4.8808827608117639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F-4D61-BE09-8091E36147B8}"/>
                </c:ext>
              </c:extLst>
            </c:dLbl>
            <c:dLbl>
              <c:idx val="7"/>
              <c:layout>
                <c:manualLayout>
                  <c:x val="-4.338562454054911E-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F-4D61-BE09-8091E36147B8}"/>
                </c:ext>
              </c:extLst>
            </c:dLbl>
            <c:dLbl>
              <c:idx val="8"/>
              <c:layout>
                <c:manualLayout>
                  <c:x val="-4.8808827608117639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DF-4D61-BE09-8091E36147B8}"/>
                </c:ext>
              </c:extLst>
            </c:dLbl>
            <c:dLbl>
              <c:idx val="9"/>
              <c:layout>
                <c:manualLayout>
                  <c:x val="-4.6097226074333322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DF-4D61-BE09-8091E3614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Likvidita!$D$48:$M$48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Likvidita!$D$50:$M$50</c:f>
              <c:numCache>
                <c:formatCode>General</c:formatCode>
                <c:ptCount val="10"/>
                <c:pt idx="0">
                  <c:v>0.22</c:v>
                </c:pt>
                <c:pt idx="1">
                  <c:v>0.19</c:v>
                </c:pt>
                <c:pt idx="2">
                  <c:v>0.21</c:v>
                </c:pt>
                <c:pt idx="3">
                  <c:v>0.25</c:v>
                </c:pt>
                <c:pt idx="4">
                  <c:v>0.23</c:v>
                </c:pt>
                <c:pt idx="5">
                  <c:v>0.22</c:v>
                </c:pt>
                <c:pt idx="6">
                  <c:v>0.25</c:v>
                </c:pt>
                <c:pt idx="7">
                  <c:v>0.22</c:v>
                </c:pt>
                <c:pt idx="8">
                  <c:v>0.27</c:v>
                </c:pt>
                <c:pt idx="9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F-4D61-BE09-8091E3614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21663"/>
        <c:axId val="1105302527"/>
      </c:lineChart>
      <c:catAx>
        <c:axId val="11053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5302527"/>
        <c:crosses val="autoZero"/>
        <c:auto val="1"/>
        <c:lblAlgn val="ctr"/>
        <c:lblOffset val="100"/>
        <c:noMultiLvlLbl val="0"/>
      </c:catAx>
      <c:valAx>
        <c:axId val="1105302527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532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>
                <a:solidFill>
                  <a:sysClr val="windowText" lastClr="000000"/>
                </a:solidFill>
              </a:rPr>
              <a:t>Srovnání Pohotové likvidity v letech 2010 - 2019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Likvidita!$C$69</c:f>
              <c:strCache>
                <c:ptCount val="1"/>
                <c:pt idx="0">
                  <c:v>Rodinný pivovar BERNARD, a.s.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5321724125149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0-4DDA-B877-01E15D877729}"/>
                </c:ext>
              </c:extLst>
            </c:dLbl>
            <c:dLbl>
              <c:idx val="1"/>
              <c:layout>
                <c:manualLayout>
                  <c:x val="-6.6865669546263343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0-4DDA-B877-01E15D877729}"/>
                </c:ext>
              </c:extLst>
            </c:dLbl>
            <c:dLbl>
              <c:idx val="2"/>
              <c:layout>
                <c:manualLayout>
                  <c:x val="-4.1791043466414643E-2"/>
                  <c:y val="-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0-4DDA-B877-01E15D877729}"/>
                </c:ext>
              </c:extLst>
            </c:dLbl>
            <c:dLbl>
              <c:idx val="3"/>
              <c:layout>
                <c:manualLayout>
                  <c:x val="-2.5074626079848804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0-4DDA-B877-01E15D877729}"/>
                </c:ext>
              </c:extLst>
            </c:dLbl>
            <c:dLbl>
              <c:idx val="4"/>
              <c:layout>
                <c:manualLayout>
                  <c:x val="-3.3432834773131671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0-4DDA-B877-01E15D877729}"/>
                </c:ext>
              </c:extLst>
            </c:dLbl>
            <c:dLbl>
              <c:idx val="5"/>
              <c:layout>
                <c:manualLayout>
                  <c:x val="-5.014925215969751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0-4DDA-B877-01E15D877729}"/>
                </c:ext>
              </c:extLst>
            </c:dLbl>
            <c:dLbl>
              <c:idx val="6"/>
              <c:layout>
                <c:manualLayout>
                  <c:x val="-5.8507460852980531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0-4DDA-B877-01E15D877729}"/>
                </c:ext>
              </c:extLst>
            </c:dLbl>
            <c:dLbl>
              <c:idx val="7"/>
              <c:layout>
                <c:manualLayout>
                  <c:x val="-4.7363182595269865E-2"/>
                  <c:y val="-5.092592592592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0-4DDA-B877-01E15D877729}"/>
                </c:ext>
              </c:extLst>
            </c:dLbl>
            <c:dLbl>
              <c:idx val="8"/>
              <c:layout>
                <c:manualLayout>
                  <c:x val="-5.0149252159697608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0-4DDA-B877-01E15D877729}"/>
                </c:ext>
              </c:extLst>
            </c:dLbl>
            <c:dLbl>
              <c:idx val="9"/>
              <c:layout>
                <c:manualLayout>
                  <c:x val="-5.5721391288552885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0-4DDA-B877-01E15D877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Likvidita!$D$68:$M$68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Likvidita!$D$69:$M$69</c:f>
              <c:numCache>
                <c:formatCode>0.00</c:formatCode>
                <c:ptCount val="10"/>
                <c:pt idx="0">
                  <c:v>1.0818139434204173</c:v>
                </c:pt>
                <c:pt idx="1">
                  <c:v>1.9212991596027214</c:v>
                </c:pt>
                <c:pt idx="2">
                  <c:v>2.135180884817244</c:v>
                </c:pt>
                <c:pt idx="3">
                  <c:v>1.2537795989513414</c:v>
                </c:pt>
                <c:pt idx="4">
                  <c:v>1.1050926472323852</c:v>
                </c:pt>
                <c:pt idx="5">
                  <c:v>1.0309620795790457</c:v>
                </c:pt>
                <c:pt idx="6">
                  <c:v>1.1217341585180558</c:v>
                </c:pt>
                <c:pt idx="7">
                  <c:v>1.1162836351019438</c:v>
                </c:pt>
                <c:pt idx="8">
                  <c:v>1.5018624245677386</c:v>
                </c:pt>
                <c:pt idx="9">
                  <c:v>1.4898530364460878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0-4DDA-B877-01E15D877729}"/>
            </c:ext>
          </c:extLst>
        </c:ser>
        <c:ser>
          <c:idx val="1"/>
          <c:order val="1"/>
          <c:tx>
            <c:strRef>
              <c:f>Likvidita!$C$70</c:f>
              <c:strCache>
                <c:ptCount val="1"/>
                <c:pt idx="0">
                  <c:v>Odvětví nápojů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1043466414601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90-4DDA-B877-01E15D877729}"/>
                </c:ext>
              </c:extLst>
            </c:dLbl>
            <c:dLbl>
              <c:idx val="1"/>
              <c:layout>
                <c:manualLayout>
                  <c:x val="-3.0646765208704033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90-4DDA-B877-01E15D877729}"/>
                </c:ext>
              </c:extLst>
            </c:dLbl>
            <c:dLbl>
              <c:idx val="2"/>
              <c:layout>
                <c:manualLayout>
                  <c:x val="-2.7860695644276394E-2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0-4DDA-B877-01E15D877729}"/>
                </c:ext>
              </c:extLst>
            </c:dLbl>
            <c:dLbl>
              <c:idx val="3"/>
              <c:layout>
                <c:manualLayout>
                  <c:x val="-4.1791043466414587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0-4DDA-B877-01E15D877729}"/>
                </c:ext>
              </c:extLst>
            </c:dLbl>
            <c:dLbl>
              <c:idx val="4"/>
              <c:layout>
                <c:manualLayout>
                  <c:x val="-3.9004973901986949E-2"/>
                  <c:y val="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90-4DDA-B877-01E15D877729}"/>
                </c:ext>
              </c:extLst>
            </c:dLbl>
            <c:dLbl>
              <c:idx val="5"/>
              <c:layout>
                <c:manualLayout>
                  <c:x val="-4.1791043466414587E-2"/>
                  <c:y val="5.0925925925925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0-4DDA-B877-01E15D877729}"/>
                </c:ext>
              </c:extLst>
            </c:dLbl>
            <c:dLbl>
              <c:idx val="6"/>
              <c:layout>
                <c:manualLayout>
                  <c:x val="-3.9004973901986949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0-4DDA-B877-01E15D877729}"/>
                </c:ext>
              </c:extLst>
            </c:dLbl>
            <c:dLbl>
              <c:idx val="7"/>
              <c:layout>
                <c:manualLayout>
                  <c:x val="-4.1791043466414692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0-4DDA-B877-01E15D877729}"/>
                </c:ext>
              </c:extLst>
            </c:dLbl>
            <c:dLbl>
              <c:idx val="8"/>
              <c:layout>
                <c:manualLayout>
                  <c:x val="-3.3432834773131775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90-4DDA-B877-01E15D877729}"/>
                </c:ext>
              </c:extLst>
            </c:dLbl>
            <c:dLbl>
              <c:idx val="9"/>
              <c:layout>
                <c:manualLayout>
                  <c:x val="-4.1791043466414692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0-4DDA-B877-01E15D877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Likvidita!$D$68:$M$68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Likvidita!$D$70:$M$70</c:f>
              <c:numCache>
                <c:formatCode>General</c:formatCode>
                <c:ptCount val="10"/>
                <c:pt idx="0">
                  <c:v>0.74</c:v>
                </c:pt>
                <c:pt idx="1">
                  <c:v>0.67</c:v>
                </c:pt>
                <c:pt idx="2">
                  <c:v>0.7</c:v>
                </c:pt>
                <c:pt idx="3">
                  <c:v>0.82</c:v>
                </c:pt>
                <c:pt idx="4">
                  <c:v>0.8</c:v>
                </c:pt>
                <c:pt idx="5">
                  <c:v>0.72</c:v>
                </c:pt>
                <c:pt idx="6">
                  <c:v>0.76</c:v>
                </c:pt>
                <c:pt idx="7">
                  <c:v>0.79</c:v>
                </c:pt>
                <c:pt idx="8">
                  <c:v>0.84</c:v>
                </c:pt>
                <c:pt idx="9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0-4DDA-B877-01E15D877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26239"/>
        <c:axId val="1105333727"/>
      </c:lineChart>
      <c:catAx>
        <c:axId val="1105326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5333727"/>
        <c:crosses val="autoZero"/>
        <c:auto val="1"/>
        <c:lblAlgn val="ctr"/>
        <c:lblOffset val="100"/>
        <c:noMultiLvlLbl val="0"/>
      </c:catAx>
      <c:valAx>
        <c:axId val="1105333727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532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>
                <a:solidFill>
                  <a:sysClr val="windowText" lastClr="000000"/>
                </a:solidFill>
              </a:rPr>
              <a:t>Srovnání běžné likvidity v letech 2010 - 2019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Likvidita!$C$91</c:f>
              <c:strCache>
                <c:ptCount val="1"/>
                <c:pt idx="0">
                  <c:v>Rodinný pivovar BERNARD, a.s.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721391288552788E-2"/>
                  <c:y val="-5.092592592592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4-4C83-93DA-49DA553BD2F1}"/>
                </c:ext>
              </c:extLst>
            </c:dLbl>
            <c:dLbl>
              <c:idx val="1"/>
              <c:layout>
                <c:manualLayout>
                  <c:x val="-6.6865669546263343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4-4C83-93DA-49DA553BD2F1}"/>
                </c:ext>
              </c:extLst>
            </c:dLbl>
            <c:dLbl>
              <c:idx val="2"/>
              <c:layout>
                <c:manualLayout>
                  <c:x val="-5.2935321724125149E-2"/>
                  <c:y val="-5.5555555555555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64-4C83-93DA-49DA553BD2F1}"/>
                </c:ext>
              </c:extLst>
            </c:dLbl>
            <c:dLbl>
              <c:idx val="3"/>
              <c:layout>
                <c:manualLayout>
                  <c:x val="-3.3432834773131671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4-4C83-93DA-49DA553BD2F1}"/>
                </c:ext>
              </c:extLst>
            </c:dLbl>
            <c:dLbl>
              <c:idx val="4"/>
              <c:layout>
                <c:manualLayout>
                  <c:x val="-3.3432834773131671E-2"/>
                  <c:y val="-6.4814814814814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4-4C83-93DA-49DA553BD2F1}"/>
                </c:ext>
              </c:extLst>
            </c:dLbl>
            <c:dLbl>
              <c:idx val="5"/>
              <c:layout>
                <c:manualLayout>
                  <c:x val="-4.1791043466414587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4-4C83-93DA-49DA553BD2F1}"/>
                </c:ext>
              </c:extLst>
            </c:dLbl>
            <c:dLbl>
              <c:idx val="6"/>
              <c:layout>
                <c:manualLayout>
                  <c:x val="-5.014925215969751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64-4C83-93DA-49DA553BD2F1}"/>
                </c:ext>
              </c:extLst>
            </c:dLbl>
            <c:dLbl>
              <c:idx val="7"/>
              <c:layout>
                <c:manualLayout>
                  <c:x val="-5.014925215969751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4-4C83-93DA-49DA553BD2F1}"/>
                </c:ext>
              </c:extLst>
            </c:dLbl>
            <c:dLbl>
              <c:idx val="8"/>
              <c:layout>
                <c:manualLayout>
                  <c:x val="-5.014925215969760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4-4C83-93DA-49DA553BD2F1}"/>
                </c:ext>
              </c:extLst>
            </c:dLbl>
            <c:dLbl>
              <c:idx val="9"/>
              <c:layout>
                <c:manualLayout>
                  <c:x val="-3.6218904337559414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4-4C83-93DA-49DA553BD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Likvidita!$D$90:$M$90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Likvidita!$D$91:$M$91</c:f>
              <c:numCache>
                <c:formatCode>0.00</c:formatCode>
                <c:ptCount val="10"/>
                <c:pt idx="0">
                  <c:v>1.3837354513212448</c:v>
                </c:pt>
                <c:pt idx="1">
                  <c:v>2.3271273693018517</c:v>
                </c:pt>
                <c:pt idx="2">
                  <c:v>2.5008548753413122</c:v>
                </c:pt>
                <c:pt idx="3">
                  <c:v>1.5971168916971823</c:v>
                </c:pt>
                <c:pt idx="4">
                  <c:v>1.444264133128762</c:v>
                </c:pt>
                <c:pt idx="5">
                  <c:v>1.3989770730270308</c:v>
                </c:pt>
                <c:pt idx="6">
                  <c:v>1.5486719573078083</c:v>
                </c:pt>
                <c:pt idx="7">
                  <c:v>1.5098154691794268</c:v>
                </c:pt>
                <c:pt idx="8">
                  <c:v>1.9135111176173978</c:v>
                </c:pt>
                <c:pt idx="9">
                  <c:v>1.9368071276231793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4-4C83-93DA-49DA553BD2F1}"/>
            </c:ext>
          </c:extLst>
        </c:ser>
        <c:ser>
          <c:idx val="1"/>
          <c:order val="1"/>
          <c:tx>
            <c:strRef>
              <c:f>Likvidita!$C$92</c:f>
              <c:strCache>
                <c:ptCount val="1"/>
                <c:pt idx="0">
                  <c:v>Odvětví nápojů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32834773131671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64-4C83-93DA-49DA553BD2F1}"/>
                </c:ext>
              </c:extLst>
            </c:dLbl>
            <c:dLbl>
              <c:idx val="1"/>
              <c:layout>
                <c:manualLayout>
                  <c:x val="-4.7363182595269865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64-4C83-93DA-49DA553BD2F1}"/>
                </c:ext>
              </c:extLst>
            </c:dLbl>
            <c:dLbl>
              <c:idx val="2"/>
              <c:layout>
                <c:manualLayout>
                  <c:x val="-4.4577113030842226E-2"/>
                  <c:y val="5.5555555555555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64-4C83-93DA-49DA553BD2F1}"/>
                </c:ext>
              </c:extLst>
            </c:dLbl>
            <c:dLbl>
              <c:idx val="3"/>
              <c:layout>
                <c:manualLayout>
                  <c:x val="-5.0149252159697559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64-4C83-93DA-49DA553BD2F1}"/>
                </c:ext>
              </c:extLst>
            </c:dLbl>
            <c:dLbl>
              <c:idx val="4"/>
              <c:layout>
                <c:manualLayout>
                  <c:x val="-4.7363182595269865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64-4C83-93DA-49DA553BD2F1}"/>
                </c:ext>
              </c:extLst>
            </c:dLbl>
            <c:dLbl>
              <c:idx val="5"/>
              <c:layout>
                <c:manualLayout>
                  <c:x val="-4.457711303084233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64-4C83-93DA-49DA553BD2F1}"/>
                </c:ext>
              </c:extLst>
            </c:dLbl>
            <c:dLbl>
              <c:idx val="6"/>
              <c:layout>
                <c:manualLayout>
                  <c:x val="-3.3432834773131775E-2"/>
                  <c:y val="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64-4C83-93DA-49DA553BD2F1}"/>
                </c:ext>
              </c:extLst>
            </c:dLbl>
            <c:dLbl>
              <c:idx val="7"/>
              <c:layout>
                <c:manualLayout>
                  <c:x val="-2.7860695644276394E-2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64-4C83-93DA-49DA553BD2F1}"/>
                </c:ext>
              </c:extLst>
            </c:dLbl>
            <c:dLbl>
              <c:idx val="8"/>
              <c:layout>
                <c:manualLayout>
                  <c:x val="-3.3432834773131775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64-4C83-93DA-49DA553BD2F1}"/>
                </c:ext>
              </c:extLst>
            </c:dLbl>
            <c:dLbl>
              <c:idx val="9"/>
              <c:layout>
                <c:manualLayout>
                  <c:x val="-2.5074626079848856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64-4C83-93DA-49DA553BD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Likvidita!$D$90:$M$90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Likvidita!$D$92:$M$92</c:f>
              <c:numCache>
                <c:formatCode>0.00</c:formatCode>
                <c:ptCount val="10"/>
                <c:pt idx="0">
                  <c:v>1.0280433234553776</c:v>
                </c:pt>
                <c:pt idx="1">
                  <c:v>0.97403826009706496</c:v>
                </c:pt>
                <c:pt idx="2">
                  <c:v>1.0201612116229182</c:v>
                </c:pt>
                <c:pt idx="3">
                  <c:v>1.2104575578495591</c:v>
                </c:pt>
                <c:pt idx="4">
                  <c:v>1.1336254480323844</c:v>
                </c:pt>
                <c:pt idx="5">
                  <c:v>1.0443780182783655</c:v>
                </c:pt>
                <c:pt idx="6">
                  <c:v>1.0966960641462629</c:v>
                </c:pt>
                <c:pt idx="7">
                  <c:v>1.1506951928742715</c:v>
                </c:pt>
                <c:pt idx="8">
                  <c:v>1.2516702967176261</c:v>
                </c:pt>
                <c:pt idx="9">
                  <c:v>1.3045706612605426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4-4C83-93DA-49DA553BD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375679"/>
        <c:axId val="1096383583"/>
      </c:lineChart>
      <c:catAx>
        <c:axId val="10963756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96383583"/>
        <c:crosses val="autoZero"/>
        <c:auto val="1"/>
        <c:lblAlgn val="ctr"/>
        <c:lblOffset val="100"/>
        <c:noMultiLvlLbl val="0"/>
      </c:catAx>
      <c:valAx>
        <c:axId val="109638358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9637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cap="all" baseline="0">
                <a:solidFill>
                  <a:sysClr val="windowText" lastClr="000000"/>
                </a:solidFill>
                <a:effectLst/>
              </a:rPr>
              <a:t>V</a:t>
            </a:r>
            <a:r>
              <a:rPr lang="cs-CZ" sz="1800" b="1" i="0" cap="all" baseline="0">
                <a:solidFill>
                  <a:sysClr val="windowText" lastClr="000000"/>
                </a:solidFill>
                <a:effectLst/>
              </a:rPr>
              <a:t>ývoj čistého pracovního kapitálu v letech 2010 - 2019</a:t>
            </a:r>
            <a:endParaRPr lang="cs-CZ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17131889763779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Likvidita!$C$116</c:f>
              <c:strCache>
                <c:ptCount val="1"/>
                <c:pt idx="0">
                  <c:v>Rodinný pivovar BERNARD, a.s.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0.13373133909252669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D-4EA9-BEFD-8F58BCBBF5CB}"/>
                </c:ext>
              </c:extLst>
            </c:dLbl>
            <c:dLbl>
              <c:idx val="2"/>
              <c:layout>
                <c:manualLayout>
                  <c:x val="-5.8507460852980427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D-4EA9-BEFD-8F58BCBBF5CB}"/>
                </c:ext>
              </c:extLst>
            </c:dLbl>
            <c:dLbl>
              <c:idx val="3"/>
              <c:layout>
                <c:manualLayout>
                  <c:x val="-1.6716417386565888E-2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D-4EA9-BEFD-8F58BCBBF5CB}"/>
                </c:ext>
              </c:extLst>
            </c:dLbl>
            <c:dLbl>
              <c:idx val="4"/>
              <c:layout>
                <c:manualLayout>
                  <c:x val="-6.6865669546263343E-2"/>
                  <c:y val="6.481481481481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D-4EA9-BEFD-8F58BCBBF5CB}"/>
                </c:ext>
              </c:extLst>
            </c:dLbl>
            <c:dLbl>
              <c:idx val="5"/>
              <c:layout>
                <c:manualLayout>
                  <c:x val="-1.6716417386565936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D-4EA9-BEFD-8F58BCBBF5CB}"/>
                </c:ext>
              </c:extLst>
            </c:dLbl>
            <c:dLbl>
              <c:idx val="6"/>
              <c:layout>
                <c:manualLayout>
                  <c:x val="-0.11144278257710558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D-4EA9-BEFD-8F58BCBBF5CB}"/>
                </c:ext>
              </c:extLst>
            </c:dLbl>
            <c:dLbl>
              <c:idx val="7"/>
              <c:layout>
                <c:manualLayout>
                  <c:x val="1.6716417386565836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0D-4EA9-BEFD-8F58BCBBF5CB}"/>
                </c:ext>
              </c:extLst>
            </c:dLbl>
            <c:dLbl>
              <c:idx val="8"/>
              <c:layout>
                <c:manualLayout>
                  <c:x val="-0.15601989560794779"/>
                  <c:y val="-3.7037037037037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0D-4EA9-BEFD-8F58BCBBF5CB}"/>
                </c:ext>
              </c:extLst>
            </c:dLbl>
            <c:dLbl>
              <c:idx val="9"/>
              <c:layout>
                <c:manualLayout>
                  <c:x val="-1.6716417386565936E-2"/>
                  <c:y val="-7.870370370370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0D-4EA9-BEFD-8F58BCBBF5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Likvidita!$D$113:$M$113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Likvidita!$D$116:$M$116</c:f>
              <c:numCache>
                <c:formatCode>"Kč"#,##0_);\("Kč"#,##0\)</c:formatCode>
                <c:ptCount val="10"/>
                <c:pt idx="0">
                  <c:v>46092</c:v>
                </c:pt>
                <c:pt idx="1">
                  <c:v>145915</c:v>
                </c:pt>
                <c:pt idx="2">
                  <c:v>176442</c:v>
                </c:pt>
                <c:pt idx="3">
                  <c:v>84956</c:v>
                </c:pt>
                <c:pt idx="4">
                  <c:v>75285</c:v>
                </c:pt>
                <c:pt idx="5">
                  <c:v>78553</c:v>
                </c:pt>
                <c:pt idx="6">
                  <c:v>103637</c:v>
                </c:pt>
                <c:pt idx="7">
                  <c:v>111671</c:v>
                </c:pt>
                <c:pt idx="8">
                  <c:v>224647</c:v>
                </c:pt>
                <c:pt idx="9">
                  <c:v>257399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D-4EA9-BEFD-8F58BCBBF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272095"/>
        <c:axId val="1096265855"/>
      </c:lineChart>
      <c:catAx>
        <c:axId val="109627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96265855"/>
        <c:crosses val="autoZero"/>
        <c:auto val="1"/>
        <c:lblAlgn val="ctr"/>
        <c:lblOffset val="100"/>
        <c:noMultiLvlLbl val="0"/>
      </c:catAx>
      <c:valAx>
        <c:axId val="1096265855"/>
        <c:scaling>
          <c:orientation val="minMax"/>
        </c:scaling>
        <c:delete val="0"/>
        <c:axPos val="l"/>
        <c:numFmt formatCode="&quot;Kč&quot;#,##0_);\(&quot;Kč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96272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 i="0" cap="all" baseline="0">
                <a:solidFill>
                  <a:sysClr val="windowText" lastClr="000000"/>
                </a:solidFill>
                <a:effectLst/>
              </a:rPr>
              <a:t>Srovnání ukazatele roe v letech 2010 - 2019</a:t>
            </a:r>
            <a:endParaRPr lang="cs-CZ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Rentabilita!$C$33</c:f>
              <c:strCache>
                <c:ptCount val="1"/>
                <c:pt idx="0">
                  <c:v>Rodinný pivovar BERNARD, a.s.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888888888888898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06-4D28-897F-8229BF24B8FF}"/>
                </c:ext>
              </c:extLst>
            </c:dLbl>
            <c:dLbl>
              <c:idx val="1"/>
              <c:layout>
                <c:manualLayout>
                  <c:x val="-6.6666666666666666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06-4D28-897F-8229BF24B8FF}"/>
                </c:ext>
              </c:extLst>
            </c:dLbl>
            <c:dLbl>
              <c:idx val="2"/>
              <c:layout>
                <c:manualLayout>
                  <c:x val="-7.4999999999999997E-2"/>
                  <c:y val="6.0185185185185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06-4D28-897F-8229BF24B8FF}"/>
                </c:ext>
              </c:extLst>
            </c:dLbl>
            <c:dLbl>
              <c:idx val="3"/>
              <c:layout>
                <c:manualLayout>
                  <c:x val="-5.8333333333333383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06-4D28-897F-8229BF24B8FF}"/>
                </c:ext>
              </c:extLst>
            </c:dLbl>
            <c:dLbl>
              <c:idx val="4"/>
              <c:layout>
                <c:manualLayout>
                  <c:x val="-5.5555555555555552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06-4D28-897F-8229BF24B8FF}"/>
                </c:ext>
              </c:extLst>
            </c:dLbl>
            <c:dLbl>
              <c:idx val="5"/>
              <c:layout>
                <c:manualLayout>
                  <c:x val="-5.2777777777777778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06-4D28-897F-8229BF24B8FF}"/>
                </c:ext>
              </c:extLst>
            </c:dLbl>
            <c:dLbl>
              <c:idx val="6"/>
              <c:layout>
                <c:manualLayout>
                  <c:x val="-3.3333333333333333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06-4D28-897F-8229BF24B8FF}"/>
                </c:ext>
              </c:extLst>
            </c:dLbl>
            <c:dLbl>
              <c:idx val="7"/>
              <c:layout>
                <c:manualLayout>
                  <c:x val="-5.2777777777777882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06-4D28-897F-8229BF24B8FF}"/>
                </c:ext>
              </c:extLst>
            </c:dLbl>
            <c:dLbl>
              <c:idx val="8"/>
              <c:layout>
                <c:manualLayout>
                  <c:x val="-6.1111111111111213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06-4D28-897F-8229BF24B8FF}"/>
                </c:ext>
              </c:extLst>
            </c:dLbl>
            <c:dLbl>
              <c:idx val="9"/>
              <c:layout>
                <c:manualLayout>
                  <c:x val="-5.5555555555556572E-3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06-4D28-897F-8229BF24B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Rentabilita!$D$32:$M$32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Rentabilita!$D$33:$M$33</c:f>
              <c:numCache>
                <c:formatCode>0.00%</c:formatCode>
                <c:ptCount val="10"/>
                <c:pt idx="0">
                  <c:v>0.10965219942097007</c:v>
                </c:pt>
                <c:pt idx="1">
                  <c:v>0.12173947368421052</c:v>
                </c:pt>
                <c:pt idx="2">
                  <c:v>0.12566573159328373</c:v>
                </c:pt>
                <c:pt idx="3">
                  <c:v>0.15063479326759774</c:v>
                </c:pt>
                <c:pt idx="4">
                  <c:v>0.13942744509505883</c:v>
                </c:pt>
                <c:pt idx="5">
                  <c:v>0.16744041111445609</c:v>
                </c:pt>
                <c:pt idx="6">
                  <c:v>0.16137772444031426</c:v>
                </c:pt>
                <c:pt idx="7">
                  <c:v>0.14008852717460873</c:v>
                </c:pt>
                <c:pt idx="8">
                  <c:v>0.16802340610532748</c:v>
                </c:pt>
                <c:pt idx="9">
                  <c:v>0.17029185635481642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6-4D28-897F-8229BF24B8FF}"/>
            </c:ext>
          </c:extLst>
        </c:ser>
        <c:ser>
          <c:idx val="1"/>
          <c:order val="1"/>
          <c:tx>
            <c:strRef>
              <c:f>Rentabilita!$C$34</c:f>
              <c:strCache>
                <c:ptCount val="1"/>
                <c:pt idx="0">
                  <c:v>Odvětví nápojů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222222222222229E-2"/>
                  <c:y val="6.0185185185185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6-4D28-897F-8229BF24B8FF}"/>
                </c:ext>
              </c:extLst>
            </c:dLbl>
            <c:dLbl>
              <c:idx val="1"/>
              <c:layout>
                <c:manualLayout>
                  <c:x val="-7.4999999999999997E-2"/>
                  <c:y val="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6-4D28-897F-8229BF24B8FF}"/>
                </c:ext>
              </c:extLst>
            </c:dLbl>
            <c:dLbl>
              <c:idx val="2"/>
              <c:layout>
                <c:manualLayout>
                  <c:x val="-6.6666666666666666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6-4D28-897F-8229BF24B8FF}"/>
                </c:ext>
              </c:extLst>
            </c:dLbl>
            <c:dLbl>
              <c:idx val="3"/>
              <c:layout>
                <c:manualLayout>
                  <c:x val="-0.10277777777777783"/>
                  <c:y val="5.092592592592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6-4D28-897F-8229BF24B8FF}"/>
                </c:ext>
              </c:extLst>
            </c:dLbl>
            <c:dLbl>
              <c:idx val="4"/>
              <c:layout>
                <c:manualLayout>
                  <c:x val="-6.9444444444444448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06-4D28-897F-8229BF24B8FF}"/>
                </c:ext>
              </c:extLst>
            </c:dLbl>
            <c:dLbl>
              <c:idx val="5"/>
              <c:layout>
                <c:manualLayout>
                  <c:x val="-3.888888888888889E-2"/>
                  <c:y val="7.4074074074073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06-4D28-897F-8229BF24B8FF}"/>
                </c:ext>
              </c:extLst>
            </c:dLbl>
            <c:dLbl>
              <c:idx val="6"/>
              <c:layout>
                <c:manualLayout>
                  <c:x val="-5.00000000000001E-2"/>
                  <c:y val="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06-4D28-897F-8229BF24B8FF}"/>
                </c:ext>
              </c:extLst>
            </c:dLbl>
            <c:dLbl>
              <c:idx val="7"/>
              <c:layout>
                <c:manualLayout>
                  <c:x val="-5.8333333333333334E-2"/>
                  <c:y val="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06-4D28-897F-8229BF24B8FF}"/>
                </c:ext>
              </c:extLst>
            </c:dLbl>
            <c:dLbl>
              <c:idx val="8"/>
              <c:layout>
                <c:manualLayout>
                  <c:x val="-6.3888888888888995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06-4D28-897F-8229BF24B8FF}"/>
                </c:ext>
              </c:extLst>
            </c:dLbl>
            <c:dLbl>
              <c:idx val="9"/>
              <c:layout>
                <c:manualLayout>
                  <c:x val="-1.6666666666666666E-2"/>
                  <c:y val="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06-4D28-897F-8229BF24B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Rentabilita!$D$32:$M$32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Rentabilita!$D$34:$M$34</c:f>
              <c:numCache>
                <c:formatCode>0.00%</c:formatCode>
                <c:ptCount val="10"/>
                <c:pt idx="0">
                  <c:v>0.10295236576814094</c:v>
                </c:pt>
                <c:pt idx="1">
                  <c:v>0.12150789911693971</c:v>
                </c:pt>
                <c:pt idx="2">
                  <c:v>0.13621036729310909</c:v>
                </c:pt>
                <c:pt idx="3">
                  <c:v>8.3436795683580395E-2</c:v>
                </c:pt>
                <c:pt idx="4">
                  <c:v>3.6595480209328519E-2</c:v>
                </c:pt>
                <c:pt idx="5">
                  <c:v>0.12523996317844477</c:v>
                </c:pt>
                <c:pt idx="6">
                  <c:v>0.10153513289350441</c:v>
                </c:pt>
                <c:pt idx="7">
                  <c:v>0.12715015818482336</c:v>
                </c:pt>
                <c:pt idx="8">
                  <c:v>0.10253579341702286</c:v>
                </c:pt>
                <c:pt idx="9">
                  <c:v>0.11679313272426711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6-4D28-897F-8229BF24B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37055"/>
        <c:axId val="1105336639"/>
      </c:lineChart>
      <c:catAx>
        <c:axId val="110533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5336639"/>
        <c:crosses val="autoZero"/>
        <c:auto val="1"/>
        <c:lblAlgn val="ctr"/>
        <c:lblOffset val="100"/>
        <c:noMultiLvlLbl val="0"/>
      </c:catAx>
      <c:valAx>
        <c:axId val="1105336639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5337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 i="0" cap="all" baseline="0">
                <a:solidFill>
                  <a:sysClr val="windowText" lastClr="000000"/>
                </a:solidFill>
                <a:effectLst/>
              </a:rPr>
              <a:t>Srovnání ukazatele roCe v letech 2010 - 2019</a:t>
            </a:r>
            <a:endParaRPr lang="cs-CZ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Rentabilita!$C$54</c:f>
              <c:strCache>
                <c:ptCount val="1"/>
                <c:pt idx="0">
                  <c:v>Rodinný pivovar BERNARD, a.s.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9444444444444448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0C-48C6-B247-043B2F6DA759}"/>
                </c:ext>
              </c:extLst>
            </c:dLbl>
            <c:dLbl>
              <c:idx val="1"/>
              <c:layout>
                <c:manualLayout>
                  <c:x val="-6.1111111111111109E-2"/>
                  <c:y val="-6.4814814814814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0C-48C6-B247-043B2F6DA759}"/>
                </c:ext>
              </c:extLst>
            </c:dLbl>
            <c:dLbl>
              <c:idx val="2"/>
              <c:layout>
                <c:manualLayout>
                  <c:x val="-5.8333333333333383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0C-48C6-B247-043B2F6DA759}"/>
                </c:ext>
              </c:extLst>
            </c:dLbl>
            <c:dLbl>
              <c:idx val="3"/>
              <c:layout>
                <c:manualLayout>
                  <c:x val="-6.3888888888888939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0C-48C6-B247-043B2F6DA759}"/>
                </c:ext>
              </c:extLst>
            </c:dLbl>
            <c:dLbl>
              <c:idx val="4"/>
              <c:layout>
                <c:manualLayout>
                  <c:x val="-5.8333333333333383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0C-48C6-B247-043B2F6DA759}"/>
                </c:ext>
              </c:extLst>
            </c:dLbl>
            <c:dLbl>
              <c:idx val="5"/>
              <c:layout>
                <c:manualLayout>
                  <c:x val="-5.8333333333333334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0C-48C6-B247-043B2F6DA759}"/>
                </c:ext>
              </c:extLst>
            </c:dLbl>
            <c:dLbl>
              <c:idx val="6"/>
              <c:layout>
                <c:manualLayout>
                  <c:x val="-6.6666666666666763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0C-48C6-B247-043B2F6DA759}"/>
                </c:ext>
              </c:extLst>
            </c:dLbl>
            <c:dLbl>
              <c:idx val="7"/>
              <c:layout>
                <c:manualLayout>
                  <c:x val="-5.2777777777777882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0C-48C6-B247-043B2F6DA759}"/>
                </c:ext>
              </c:extLst>
            </c:dLbl>
            <c:dLbl>
              <c:idx val="8"/>
              <c:layout>
                <c:manualLayout>
                  <c:x val="-5.2777777777777882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0C-48C6-B247-043B2F6DA759}"/>
                </c:ext>
              </c:extLst>
            </c:dLbl>
            <c:dLbl>
              <c:idx val="9"/>
              <c:layout>
                <c:manualLayout>
                  <c:x val="-1.6666666666666666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0C-48C6-B247-043B2F6DA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Rentabilita!$D$53:$M$53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Rentabilita!$D$54:$M$54</c:f>
              <c:numCache>
                <c:formatCode>0.00%</c:formatCode>
                <c:ptCount val="10"/>
                <c:pt idx="0">
                  <c:v>0.14584867124231127</c:v>
                </c:pt>
                <c:pt idx="1">
                  <c:v>0.15482488933502705</c:v>
                </c:pt>
                <c:pt idx="2">
                  <c:v>0.16049205144045536</c:v>
                </c:pt>
                <c:pt idx="3">
                  <c:v>0.19045210858386316</c:v>
                </c:pt>
                <c:pt idx="4">
                  <c:v>0.17528434467364951</c:v>
                </c:pt>
                <c:pt idx="5">
                  <c:v>0.20804689965559353</c:v>
                </c:pt>
                <c:pt idx="6">
                  <c:v>0.19468963022092561</c:v>
                </c:pt>
                <c:pt idx="7">
                  <c:v>0.16994481429343752</c:v>
                </c:pt>
                <c:pt idx="8">
                  <c:v>0.20284744572398611</c:v>
                </c:pt>
                <c:pt idx="9">
                  <c:v>0.20592427415588133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C-48C6-B247-043B2F6DA759}"/>
            </c:ext>
          </c:extLst>
        </c:ser>
        <c:ser>
          <c:idx val="1"/>
          <c:order val="1"/>
          <c:tx>
            <c:strRef>
              <c:f>Rentabilita!$C$55</c:f>
              <c:strCache>
                <c:ptCount val="1"/>
                <c:pt idx="0">
                  <c:v>Odvětví nápojů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1111111111111123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C-48C6-B247-043B2F6DA759}"/>
                </c:ext>
              </c:extLst>
            </c:dLbl>
            <c:dLbl>
              <c:idx val="1"/>
              <c:layout>
                <c:manualLayout>
                  <c:x val="-5.5555555555555552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C-48C6-B247-043B2F6DA759}"/>
                </c:ext>
              </c:extLst>
            </c:dLbl>
            <c:dLbl>
              <c:idx val="2"/>
              <c:layout>
                <c:manualLayout>
                  <c:x val="-5.8333333333333383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C-48C6-B247-043B2F6DA759}"/>
                </c:ext>
              </c:extLst>
            </c:dLbl>
            <c:dLbl>
              <c:idx val="3"/>
              <c:layout>
                <c:manualLayout>
                  <c:x val="-6.9444444444444489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C-48C6-B247-043B2F6DA759}"/>
                </c:ext>
              </c:extLst>
            </c:dLbl>
            <c:dLbl>
              <c:idx val="4"/>
              <c:layout>
                <c:manualLayout>
                  <c:x val="-5.5555555555555552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C-48C6-B247-043B2F6DA759}"/>
                </c:ext>
              </c:extLst>
            </c:dLbl>
            <c:dLbl>
              <c:idx val="5"/>
              <c:layout>
                <c:manualLayout>
                  <c:x val="-0.05"/>
                  <c:y val="6.0185185185185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C-48C6-B247-043B2F6DA759}"/>
                </c:ext>
              </c:extLst>
            </c:dLbl>
            <c:dLbl>
              <c:idx val="6"/>
              <c:layout>
                <c:manualLayout>
                  <c:x val="-6.6666666666666763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C-48C6-B247-043B2F6DA759}"/>
                </c:ext>
              </c:extLst>
            </c:dLbl>
            <c:dLbl>
              <c:idx val="7"/>
              <c:layout>
                <c:manualLayout>
                  <c:x val="-5.8333333333333334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C-48C6-B247-043B2F6DA759}"/>
                </c:ext>
              </c:extLst>
            </c:dLbl>
            <c:dLbl>
              <c:idx val="8"/>
              <c:layout>
                <c:manualLayout>
                  <c:x val="-6.9444444444444545E-2"/>
                  <c:y val="6.0185185185185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C-48C6-B247-043B2F6DA759}"/>
                </c:ext>
              </c:extLst>
            </c:dLbl>
            <c:dLbl>
              <c:idx val="9"/>
              <c:layout>
                <c:manualLayout>
                  <c:x val="-2.2222222222222223E-2"/>
                  <c:y val="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C-48C6-B247-043B2F6DA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Rentabilita!$D$53:$M$53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Rentabilita!$D$55:$M$55</c:f>
              <c:numCache>
                <c:formatCode>0.00%</c:formatCode>
                <c:ptCount val="10"/>
                <c:pt idx="0">
                  <c:v>0.11814772990771742</c:v>
                </c:pt>
                <c:pt idx="1">
                  <c:v>0.11537170384467499</c:v>
                </c:pt>
                <c:pt idx="2">
                  <c:v>0.13209531950202077</c:v>
                </c:pt>
                <c:pt idx="3">
                  <c:v>9.0065367366392549E-2</c:v>
                </c:pt>
                <c:pt idx="4">
                  <c:v>6.3663227537877246E-2</c:v>
                </c:pt>
                <c:pt idx="5">
                  <c:v>0.12746362410235237</c:v>
                </c:pt>
                <c:pt idx="6">
                  <c:v>0.10148533421378418</c:v>
                </c:pt>
                <c:pt idx="7">
                  <c:v>0.12174857794228787</c:v>
                </c:pt>
                <c:pt idx="8">
                  <c:v>0.10009347819067953</c:v>
                </c:pt>
                <c:pt idx="9">
                  <c:v>0.11237240367861405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C-48C6-B247-043B2F6DA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702207"/>
        <c:axId val="1049699295"/>
      </c:lineChart>
      <c:catAx>
        <c:axId val="1049702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49699295"/>
        <c:crosses val="autoZero"/>
        <c:auto val="1"/>
        <c:lblAlgn val="ctr"/>
        <c:lblOffset val="100"/>
        <c:noMultiLvlLbl val="0"/>
      </c:catAx>
      <c:valAx>
        <c:axId val="1049699295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49702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'Vertikální analýza'!$U$38</c:f>
              <c:strCache>
                <c:ptCount val="1"/>
                <c:pt idx="0">
                  <c:v>Vlastní kapitál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analýza'!$V$37:$Z$37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analýza'!$V$38:$Z$38</c:f>
              <c:numCache>
                <c:formatCode>0.00%</c:formatCode>
                <c:ptCount val="5"/>
                <c:pt idx="0">
                  <c:v>0.69400788555077286</c:v>
                </c:pt>
                <c:pt idx="1">
                  <c:v>0.73600858228868293</c:v>
                </c:pt>
                <c:pt idx="2">
                  <c:v>0.73219375468014214</c:v>
                </c:pt>
                <c:pt idx="3">
                  <c:v>0.73291927605426144</c:v>
                </c:pt>
                <c:pt idx="4">
                  <c:v>0.73812093586808447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0-419E-A348-ABC8A8397A7A}"/>
            </c:ext>
          </c:extLst>
        </c:ser>
        <c:ser>
          <c:idx val="1"/>
          <c:order val="1"/>
          <c:tx>
            <c:strRef>
              <c:f>'Vertikální analýza'!$U$39</c:f>
              <c:strCache>
                <c:ptCount val="1"/>
                <c:pt idx="0">
                  <c:v>Cizí zdroje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analýza'!$V$37:$Z$37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analýza'!$V$39:$Z$39</c:f>
              <c:numCache>
                <c:formatCode>0.00%</c:formatCode>
                <c:ptCount val="5"/>
                <c:pt idx="0">
                  <c:v>0.26615872022911347</c:v>
                </c:pt>
                <c:pt idx="1">
                  <c:v>0.23297537493056841</c:v>
                </c:pt>
                <c:pt idx="2">
                  <c:v>0.24036914297778886</c:v>
                </c:pt>
                <c:pt idx="3">
                  <c:v>0.26708072394573851</c:v>
                </c:pt>
                <c:pt idx="4">
                  <c:v>0.26187906413191558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0-419E-A348-ABC8A8397A7A}"/>
            </c:ext>
          </c:extLst>
        </c:ser>
        <c:ser>
          <c:idx val="2"/>
          <c:order val="2"/>
          <c:tx>
            <c:strRef>
              <c:f>'Vertikální analýza'!$U$40</c:f>
              <c:strCache>
                <c:ptCount val="1"/>
                <c:pt idx="0">
                  <c:v>Časové rozlišení pasiv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analýza'!$V$37:$Z$37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analýza'!$V$40:$Z$40</c:f>
              <c:numCache>
                <c:formatCode>0.00%</c:formatCode>
                <c:ptCount val="5"/>
                <c:pt idx="0">
                  <c:v>3.9833394220113651E-2</c:v>
                </c:pt>
                <c:pt idx="1">
                  <c:v>3.1016042780748664E-2</c:v>
                </c:pt>
                <c:pt idx="2">
                  <c:v>2.7437102342068941E-2</c:v>
                </c:pt>
                <c:pt idx="3">
                  <c:v>2.371959159208813E-2</c:v>
                </c:pt>
                <c:pt idx="4">
                  <c:v>2.0569546423563914E-2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0-419E-A348-ABC8A8397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0940175"/>
        <c:axId val="1380933935"/>
      </c:barChart>
      <c:catAx>
        <c:axId val="1380940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33935"/>
        <c:crosses val="autoZero"/>
        <c:auto val="1"/>
        <c:lblAlgn val="ctr"/>
        <c:lblOffset val="100"/>
        <c:noMultiLvlLbl val="0"/>
      </c:catAx>
      <c:valAx>
        <c:axId val="1380933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40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INDEX FINANČNÍ PÁKY</a:t>
            </a:r>
            <a:r>
              <a:rPr lang="cs-CZ">
                <a:solidFill>
                  <a:sysClr val="windowText" lastClr="000000"/>
                </a:solidFill>
              </a:rPr>
              <a:t> za období 2010 - 2019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'Finanční páka'!$B$6</c:f>
              <c:strCache>
                <c:ptCount val="1"/>
                <c:pt idx="0">
                  <c:v>INDEX FINANČNÍ PÁKY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777777777777792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19-45A5-A9A5-EE9A26220794}"/>
                </c:ext>
              </c:extLst>
            </c:dLbl>
            <c:dLbl>
              <c:idx val="1"/>
              <c:layout>
                <c:manualLayout>
                  <c:x val="-8.3333333333333835E-3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19-45A5-A9A5-EE9A26220794}"/>
                </c:ext>
              </c:extLst>
            </c:dLbl>
            <c:dLbl>
              <c:idx val="2"/>
              <c:layout>
                <c:manualLayout>
                  <c:x val="-4.7222222222222221E-2"/>
                  <c:y val="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7-4F7E-97B3-F71641BBA05A}"/>
                </c:ext>
              </c:extLst>
            </c:dLbl>
            <c:dLbl>
              <c:idx val="3"/>
              <c:layout>
                <c:manualLayout>
                  <c:x val="-0.1055555555555555"/>
                  <c:y val="-3.7037037037036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7-4F7E-97B3-F71641BBA05A}"/>
                </c:ext>
              </c:extLst>
            </c:dLbl>
            <c:dLbl>
              <c:idx val="4"/>
              <c:layout>
                <c:manualLayout>
                  <c:x val="-5.2777777777777729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7-4F7E-97B3-F71641BBA05A}"/>
                </c:ext>
              </c:extLst>
            </c:dLbl>
            <c:dLbl>
              <c:idx val="5"/>
              <c:layout>
                <c:manualLayout>
                  <c:x val="-1.1111111111111112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7-4F7E-97B3-F71641BBA05A}"/>
                </c:ext>
              </c:extLst>
            </c:dLbl>
            <c:dLbl>
              <c:idx val="6"/>
              <c:layout>
                <c:manualLayout>
                  <c:x val="-6.1111111111111109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7-4F7E-97B3-F71641BBA05A}"/>
                </c:ext>
              </c:extLst>
            </c:dLbl>
            <c:dLbl>
              <c:idx val="7"/>
              <c:layout>
                <c:manualLayout>
                  <c:x val="-4.7222222222222221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7-4F7E-97B3-F71641BBA05A}"/>
                </c:ext>
              </c:extLst>
            </c:dLbl>
            <c:dLbl>
              <c:idx val="8"/>
              <c:layout>
                <c:manualLayout>
                  <c:x val="-2.7777777777777676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7-4F7E-97B3-F71641BBA05A}"/>
                </c:ext>
              </c:extLst>
            </c:dLbl>
            <c:dLbl>
              <c:idx val="9"/>
              <c:layout>
                <c:manualLayout>
                  <c:x val="-4.1666666666666664E-2"/>
                  <c:y val="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7-4F7E-97B3-F71641BBA0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'Finanční páka'!$C$3:$L$3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'Finanční páka'!$C$6:$L$6</c:f>
              <c:numCache>
                <c:formatCode>0.00</c:formatCode>
                <c:ptCount val="10"/>
                <c:pt idx="0">
                  <c:v>1.1300648988524395</c:v>
                </c:pt>
                <c:pt idx="1">
                  <c:v>1.1141550087244378</c:v>
                </c:pt>
                <c:pt idx="2">
                  <c:v>1.0657115000425532</c:v>
                </c:pt>
                <c:pt idx="3">
                  <c:v>1.14174719607846</c:v>
                </c:pt>
                <c:pt idx="4">
                  <c:v>1.1485695835694092</c:v>
                </c:pt>
                <c:pt idx="5">
                  <c:v>1.1298052023967966</c:v>
                </c:pt>
                <c:pt idx="6">
                  <c:v>1.0926668823603922</c:v>
                </c:pt>
                <c:pt idx="7">
                  <c:v>1.0910747683067377</c:v>
                </c:pt>
                <c:pt idx="8">
                  <c:v>1.0965712237305461</c:v>
                </c:pt>
                <c:pt idx="9">
                  <c:v>1.0859228038575244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7-4F7E-97B3-F71641BB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8640911"/>
        <c:axId val="688641327"/>
      </c:lineChart>
      <c:catAx>
        <c:axId val="688640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88641327"/>
        <c:crosses val="autoZero"/>
        <c:auto val="1"/>
        <c:lblAlgn val="ctr"/>
        <c:lblOffset val="100"/>
        <c:noMultiLvlLbl val="0"/>
      </c:catAx>
      <c:valAx>
        <c:axId val="688641327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88640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cap="all" baseline="0">
                <a:solidFill>
                  <a:sysClr val="windowText" lastClr="000000"/>
                </a:solidFill>
                <a:effectLst/>
              </a:rPr>
              <a:t>Vývoj wacc v letech 2010 - 2019 v porovnání s odvětvím</a:t>
            </a:r>
            <a:endParaRPr lang="cs-CZ" sz="16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Náklady!$B$82</c:f>
              <c:strCache>
                <c:ptCount val="1"/>
                <c:pt idx="0">
                  <c:v>Rodinný pivovar BERNARD, a.s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95804195804196E-2"/>
                  <c:y val="5.4794520547945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BD-41F3-9F4C-75BA49C04241}"/>
                </c:ext>
              </c:extLst>
            </c:dLbl>
            <c:dLbl>
              <c:idx val="1"/>
              <c:layout>
                <c:manualLayout>
                  <c:x val="-6.7132867132867133E-2"/>
                  <c:y val="-5.4794520547945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BD-41F3-9F4C-75BA49C04241}"/>
                </c:ext>
              </c:extLst>
            </c:dLbl>
            <c:dLbl>
              <c:idx val="2"/>
              <c:layout>
                <c:manualLayout>
                  <c:x val="-5.5944055944055993E-2"/>
                  <c:y val="-5.479452054794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BD-41F3-9F4C-75BA49C04241}"/>
                </c:ext>
              </c:extLst>
            </c:dLbl>
            <c:dLbl>
              <c:idx val="3"/>
              <c:layout>
                <c:manualLayout>
                  <c:x val="-3.9160839160839164E-2"/>
                  <c:y val="-5.479452054794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BD-41F3-9F4C-75BA49C04241}"/>
                </c:ext>
              </c:extLst>
            </c:dLbl>
            <c:dLbl>
              <c:idx val="4"/>
              <c:layout>
                <c:manualLayout>
                  <c:x val="-5.3146853146853253E-2"/>
                  <c:y val="4.109589041095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BD-41F3-9F4C-75BA49C04241}"/>
                </c:ext>
              </c:extLst>
            </c:dLbl>
            <c:dLbl>
              <c:idx val="5"/>
              <c:layout>
                <c:manualLayout>
                  <c:x val="-5.034965034965045E-2"/>
                  <c:y val="-5.479452054794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BD-41F3-9F4C-75BA49C04241}"/>
                </c:ext>
              </c:extLst>
            </c:dLbl>
            <c:dLbl>
              <c:idx val="6"/>
              <c:layout>
                <c:manualLayout>
                  <c:x val="-5.5944055944056048E-2"/>
                  <c:y val="-4.109589041095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BD-41F3-9F4C-75BA49C04241}"/>
                </c:ext>
              </c:extLst>
            </c:dLbl>
            <c:dLbl>
              <c:idx val="7"/>
              <c:layout>
                <c:manualLayout>
                  <c:x val="-5.5944055944055944E-2"/>
                  <c:y val="5.0228310502283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BD-41F3-9F4C-75BA49C04241}"/>
                </c:ext>
              </c:extLst>
            </c:dLbl>
            <c:dLbl>
              <c:idx val="8"/>
              <c:layout>
                <c:manualLayout>
                  <c:x val="-5.0349650349650353E-2"/>
                  <c:y val="-5.479452054794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BD-41F3-9F4C-75BA49C04241}"/>
                </c:ext>
              </c:extLst>
            </c:dLbl>
            <c:dLbl>
              <c:idx val="9"/>
              <c:layout>
                <c:manualLayout>
                  <c:x val="-5.5944055944056967E-3"/>
                  <c:y val="5.0228310502283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BD-41F3-9F4C-75BA49C04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Náklady!$C$81:$L$81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Náklady!$C$82:$L$82</c:f>
              <c:numCache>
                <c:formatCode>0.00%</c:formatCode>
                <c:ptCount val="10"/>
                <c:pt idx="0">
                  <c:v>9.8299999999999998E-2</c:v>
                </c:pt>
                <c:pt idx="1">
                  <c:v>0.19969999999999999</c:v>
                </c:pt>
                <c:pt idx="2">
                  <c:v>0.18590000000000001</c:v>
                </c:pt>
                <c:pt idx="3">
                  <c:v>0.18540000000000001</c:v>
                </c:pt>
                <c:pt idx="4">
                  <c:v>0.1774</c:v>
                </c:pt>
                <c:pt idx="5">
                  <c:v>0.185</c:v>
                </c:pt>
                <c:pt idx="6">
                  <c:v>0.1603</c:v>
                </c:pt>
                <c:pt idx="7">
                  <c:v>0.1638</c:v>
                </c:pt>
                <c:pt idx="8">
                  <c:v>0.17350000000000002</c:v>
                </c:pt>
                <c:pt idx="9">
                  <c:v>0.16329999999999997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D-41F3-9F4C-75BA49C04241}"/>
            </c:ext>
          </c:extLst>
        </c:ser>
        <c:ser>
          <c:idx val="1"/>
          <c:order val="1"/>
          <c:tx>
            <c:strRef>
              <c:f>Náklady!$B$83</c:f>
              <c:strCache>
                <c:ptCount val="1"/>
                <c:pt idx="0">
                  <c:v>Odvětví nápojů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1538461538461542E-2"/>
                  <c:y val="-6.8493150684931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D-41F3-9F4C-75BA49C04241}"/>
                </c:ext>
              </c:extLst>
            </c:dLbl>
            <c:dLbl>
              <c:idx val="1"/>
              <c:layout>
                <c:manualLayout>
                  <c:x val="-3.3566433566433566E-2"/>
                  <c:y val="-4.1095890410958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D-41F3-9F4C-75BA49C04241}"/>
                </c:ext>
              </c:extLst>
            </c:dLbl>
            <c:dLbl>
              <c:idx val="2"/>
              <c:layout>
                <c:manualLayout>
                  <c:x val="-5.8741258741258739E-2"/>
                  <c:y val="5.479452054794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D-41F3-9F4C-75BA49C04241}"/>
                </c:ext>
              </c:extLst>
            </c:dLbl>
            <c:dLbl>
              <c:idx val="3"/>
              <c:layout>
                <c:manualLayout>
                  <c:x val="-5.8741258741258739E-2"/>
                  <c:y val="4.5662100456621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BD-41F3-9F4C-75BA49C04241}"/>
                </c:ext>
              </c:extLst>
            </c:dLbl>
            <c:dLbl>
              <c:idx val="4"/>
              <c:layout>
                <c:manualLayout>
                  <c:x val="-5.5944055944055993E-2"/>
                  <c:y val="5.0228310502283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BD-41F3-9F4C-75BA49C04241}"/>
                </c:ext>
              </c:extLst>
            </c:dLbl>
            <c:dLbl>
              <c:idx val="5"/>
              <c:layout>
                <c:manualLayout>
                  <c:x val="-8.39160839160839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BD-41F3-9F4C-75BA49C04241}"/>
                </c:ext>
              </c:extLst>
            </c:dLbl>
            <c:dLbl>
              <c:idx val="6"/>
              <c:layout>
                <c:manualLayout>
                  <c:x val="-6.1538461538461542E-2"/>
                  <c:y val="5.479452054794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BD-41F3-9F4C-75BA49C04241}"/>
                </c:ext>
              </c:extLst>
            </c:dLbl>
            <c:dLbl>
              <c:idx val="7"/>
              <c:layout>
                <c:manualLayout>
                  <c:x val="-5.8741258741258739E-2"/>
                  <c:y val="5.0228310502283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BD-41F3-9F4C-75BA49C04241}"/>
                </c:ext>
              </c:extLst>
            </c:dLbl>
            <c:dLbl>
              <c:idx val="8"/>
              <c:layout>
                <c:manualLayout>
                  <c:x val="-5.8741258741258844E-2"/>
                  <c:y val="4.1095890410958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BD-41F3-9F4C-75BA49C04241}"/>
                </c:ext>
              </c:extLst>
            </c:dLbl>
            <c:dLbl>
              <c:idx val="9"/>
              <c:layout>
                <c:manualLayout>
                  <c:x val="-1.3986013986013986E-2"/>
                  <c:y val="5.479452054794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BD-41F3-9F4C-75BA49C04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Náklady!$C$81:$L$81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Náklady!$C$83:$L$83</c:f>
              <c:numCache>
                <c:formatCode>0.00%</c:formatCode>
                <c:ptCount val="10"/>
                <c:pt idx="0">
                  <c:v>0.1323</c:v>
                </c:pt>
                <c:pt idx="1">
                  <c:v>0.1384</c:v>
                </c:pt>
                <c:pt idx="2">
                  <c:v>0.122</c:v>
                </c:pt>
                <c:pt idx="3">
                  <c:v>0.13689999999999999</c:v>
                </c:pt>
                <c:pt idx="4">
                  <c:v>0.12620000000000001</c:v>
                </c:pt>
                <c:pt idx="5">
                  <c:v>0.1275</c:v>
                </c:pt>
                <c:pt idx="6">
                  <c:v>6.6000000000000003E-2</c:v>
                </c:pt>
                <c:pt idx="7">
                  <c:v>0.1028</c:v>
                </c:pt>
                <c:pt idx="8">
                  <c:v>0.11650000000000001</c:v>
                </c:pt>
                <c:pt idx="9">
                  <c:v>0.1027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D-41F3-9F4C-75BA49C0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87631"/>
        <c:axId val="1201590127"/>
      </c:lineChart>
      <c:catAx>
        <c:axId val="1201587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1590127"/>
        <c:crosses val="autoZero"/>
        <c:auto val="1"/>
        <c:lblAlgn val="ctr"/>
        <c:lblOffset val="100"/>
        <c:noMultiLvlLbl val="0"/>
      </c:catAx>
      <c:valAx>
        <c:axId val="1201590127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1587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 i="0" cap="all" baseline="0">
                <a:solidFill>
                  <a:sysClr val="windowText" lastClr="000000"/>
                </a:solidFill>
                <a:effectLst/>
              </a:rPr>
              <a:t>Vývoj nákladů na vlastní kapitál v letech 2010 - 2019 v porovnání s odvětvím</a:t>
            </a:r>
            <a:endParaRPr lang="cs-CZ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Náklady!$B$105</c:f>
              <c:strCache>
                <c:ptCount val="1"/>
                <c:pt idx="0">
                  <c:v>Rodinný pivovar BERNARD, a.s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741258741258739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D-4961-82C6-3A20443FFE33}"/>
                </c:ext>
              </c:extLst>
            </c:dLbl>
            <c:dLbl>
              <c:idx val="1"/>
              <c:layout>
                <c:manualLayout>
                  <c:x val="-6.7132867132867133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D-4961-82C6-3A20443FFE33}"/>
                </c:ext>
              </c:extLst>
            </c:dLbl>
            <c:dLbl>
              <c:idx val="2"/>
              <c:layout>
                <c:manualLayout>
                  <c:x val="-5.0349650349650353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D-4961-82C6-3A20443FFE33}"/>
                </c:ext>
              </c:extLst>
            </c:dLbl>
            <c:dLbl>
              <c:idx val="3"/>
              <c:layout>
                <c:manualLayout>
                  <c:x val="-5.3146853146853149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D-4961-82C6-3A20443FFE33}"/>
                </c:ext>
              </c:extLst>
            </c:dLbl>
            <c:dLbl>
              <c:idx val="4"/>
              <c:layout>
                <c:manualLayout>
                  <c:x val="-5.034965034965045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D-4961-82C6-3A20443FFE33}"/>
                </c:ext>
              </c:extLst>
            </c:dLbl>
            <c:dLbl>
              <c:idx val="5"/>
              <c:layout>
                <c:manualLayout>
                  <c:x val="-3.3566433566433566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D-4961-82C6-3A20443FFE33}"/>
                </c:ext>
              </c:extLst>
            </c:dLbl>
            <c:dLbl>
              <c:idx val="6"/>
              <c:layout>
                <c:manualLayout>
                  <c:x val="-2.5174825174825177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D-4961-82C6-3A20443FFE33}"/>
                </c:ext>
              </c:extLst>
            </c:dLbl>
            <c:dLbl>
              <c:idx val="7"/>
              <c:layout>
                <c:manualLayout>
                  <c:x val="-4.7552447552447551E-2"/>
                  <c:y val="-0.10185185185185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D-4961-82C6-3A20443FFE33}"/>
                </c:ext>
              </c:extLst>
            </c:dLbl>
            <c:dLbl>
              <c:idx val="8"/>
              <c:layout>
                <c:manualLayout>
                  <c:x val="-6.1538461538461639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D-4961-82C6-3A20443FFE33}"/>
                </c:ext>
              </c:extLst>
            </c:dLbl>
            <c:dLbl>
              <c:idx val="9"/>
              <c:layout>
                <c:manualLayout>
                  <c:x val="-1.025629177485247E-16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D-4961-82C6-3A20443FF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Náklady!$C$104:$L$104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Náklady!$C$105:$L$105</c:f>
              <c:numCache>
                <c:formatCode>0.00%</c:formatCode>
                <c:ptCount val="10"/>
                <c:pt idx="0">
                  <c:v>0.1008</c:v>
                </c:pt>
                <c:pt idx="1">
                  <c:v>0.19969999999999999</c:v>
                </c:pt>
                <c:pt idx="2">
                  <c:v>0.18590000000000001</c:v>
                </c:pt>
                <c:pt idx="3">
                  <c:v>0.18540000000000001</c:v>
                </c:pt>
                <c:pt idx="4">
                  <c:v>0.1774</c:v>
                </c:pt>
                <c:pt idx="5">
                  <c:v>0.185</c:v>
                </c:pt>
                <c:pt idx="6">
                  <c:v>0.1603</c:v>
                </c:pt>
                <c:pt idx="7">
                  <c:v>0.1638</c:v>
                </c:pt>
                <c:pt idx="8">
                  <c:v>0.17350000000000002</c:v>
                </c:pt>
                <c:pt idx="9">
                  <c:v>0.16329999999999997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D-4961-82C6-3A20443FFE33}"/>
            </c:ext>
          </c:extLst>
        </c:ser>
        <c:ser>
          <c:idx val="1"/>
          <c:order val="1"/>
          <c:tx>
            <c:strRef>
              <c:f>Náklady!$B$106</c:f>
              <c:strCache>
                <c:ptCount val="1"/>
                <c:pt idx="0">
                  <c:v>Odvětví nápojů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49650349650374E-2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D-4961-82C6-3A20443FFE33}"/>
                </c:ext>
              </c:extLst>
            </c:dLbl>
            <c:dLbl>
              <c:idx val="1"/>
              <c:layout>
                <c:manualLayout>
                  <c:x val="-5.5944055944055972E-2"/>
                  <c:y val="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1D-4961-82C6-3A20443FFE33}"/>
                </c:ext>
              </c:extLst>
            </c:dLbl>
            <c:dLbl>
              <c:idx val="2"/>
              <c:layout>
                <c:manualLayout>
                  <c:x val="-6.1538461538461542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1D-4961-82C6-3A20443FFE33}"/>
                </c:ext>
              </c:extLst>
            </c:dLbl>
            <c:dLbl>
              <c:idx val="3"/>
              <c:layout>
                <c:manualLayout>
                  <c:x val="-8.951048951048951E-2"/>
                  <c:y val="6.0185185185185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1D-4961-82C6-3A20443FFE33}"/>
                </c:ext>
              </c:extLst>
            </c:dLbl>
            <c:dLbl>
              <c:idx val="4"/>
              <c:layout>
                <c:manualLayout>
                  <c:x val="-7.8321678321678329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1D-4961-82C6-3A20443FFE33}"/>
                </c:ext>
              </c:extLst>
            </c:dLbl>
            <c:dLbl>
              <c:idx val="5"/>
              <c:layout>
                <c:manualLayout>
                  <c:x val="-6.9930069930070032E-2"/>
                  <c:y val="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1D-4961-82C6-3A20443FFE33}"/>
                </c:ext>
              </c:extLst>
            </c:dLbl>
            <c:dLbl>
              <c:idx val="6"/>
              <c:layout>
                <c:manualLayout>
                  <c:x val="-5.3146853146853253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1D-4961-82C6-3A20443FFE33}"/>
                </c:ext>
              </c:extLst>
            </c:dLbl>
            <c:dLbl>
              <c:idx val="7"/>
              <c:layout>
                <c:manualLayout>
                  <c:x val="-5.0349650349650353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1D-4961-82C6-3A20443FFE33}"/>
                </c:ext>
              </c:extLst>
            </c:dLbl>
            <c:dLbl>
              <c:idx val="8"/>
              <c:layout>
                <c:manualLayout>
                  <c:x val="-5.8741258741258844E-2"/>
                  <c:y val="3.2407407407407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1D-4961-82C6-3A20443FFE33}"/>
                </c:ext>
              </c:extLst>
            </c:dLbl>
            <c:dLbl>
              <c:idx val="9"/>
              <c:layout>
                <c:manualLayout>
                  <c:x val="-8.3916083916083916E-3"/>
                  <c:y val="5.5555555555555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1D-4961-82C6-3A20443FF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Náklady!$C$104:$L$104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Náklady!$C$106:$L$106</c:f>
              <c:numCache>
                <c:formatCode>0.00%</c:formatCode>
                <c:ptCount val="10"/>
                <c:pt idx="0">
                  <c:v>0.15659999999999999</c:v>
                </c:pt>
                <c:pt idx="1">
                  <c:v>0.15029999999999999</c:v>
                </c:pt>
                <c:pt idx="2">
                  <c:v>0.18179999999999999</c:v>
                </c:pt>
                <c:pt idx="3">
                  <c:v>0.1469</c:v>
                </c:pt>
                <c:pt idx="4">
                  <c:v>0.13519999999999999</c:v>
                </c:pt>
                <c:pt idx="5">
                  <c:v>0.14299999999999999</c:v>
                </c:pt>
                <c:pt idx="6">
                  <c:v>8.5500000000000007E-2</c:v>
                </c:pt>
                <c:pt idx="7">
                  <c:v>0.12</c:v>
                </c:pt>
                <c:pt idx="8">
                  <c:v>0.13789999999999999</c:v>
                </c:pt>
                <c:pt idx="9">
                  <c:v>0.1245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D-4961-82C6-3A20443FF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617583"/>
        <c:axId val="1201618415"/>
      </c:lineChart>
      <c:catAx>
        <c:axId val="12016175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1618415"/>
        <c:crosses val="autoZero"/>
        <c:auto val="1"/>
        <c:lblAlgn val="ctr"/>
        <c:lblOffset val="100"/>
        <c:noMultiLvlLbl val="0"/>
      </c:catAx>
      <c:valAx>
        <c:axId val="1201618415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1617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'Benchmarking - re'!$B$3</c:f>
              <c:strCache>
                <c:ptCount val="1"/>
                <c:pt idx="0">
                  <c:v>Rodinný pivovar BERNARD, a.s.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05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4-4B38-8362-7B7E805C5472}"/>
                </c:ext>
              </c:extLst>
            </c:dLbl>
            <c:dLbl>
              <c:idx val="1"/>
              <c:layout>
                <c:manualLayout>
                  <c:x val="-6.1111111111111109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04-4B38-8362-7B7E805C5472}"/>
                </c:ext>
              </c:extLst>
            </c:dLbl>
            <c:dLbl>
              <c:idx val="2"/>
              <c:layout>
                <c:manualLayout>
                  <c:x val="-0.05"/>
                  <c:y val="3.703703703703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04-4B38-8362-7B7E805C5472}"/>
                </c:ext>
              </c:extLst>
            </c:dLbl>
            <c:dLbl>
              <c:idx val="3"/>
              <c:layout>
                <c:manualLayout>
                  <c:x val="-5.2777777777777826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04-4B38-8362-7B7E805C5472}"/>
                </c:ext>
              </c:extLst>
            </c:dLbl>
            <c:dLbl>
              <c:idx val="4"/>
              <c:layout>
                <c:manualLayout>
                  <c:x val="-5.8333333333333383E-2"/>
                  <c:y val="3.2407407407407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04-4B38-8362-7B7E805C5472}"/>
                </c:ext>
              </c:extLst>
            </c:dLbl>
            <c:dLbl>
              <c:idx val="5"/>
              <c:layout>
                <c:manualLayout>
                  <c:x val="-6.388888888888888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04-4B38-8362-7B7E805C5472}"/>
                </c:ext>
              </c:extLst>
            </c:dLbl>
            <c:dLbl>
              <c:idx val="6"/>
              <c:layout>
                <c:manualLayout>
                  <c:x val="-5.833333333333333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04-4B38-8362-7B7E805C5472}"/>
                </c:ext>
              </c:extLst>
            </c:dLbl>
            <c:dLbl>
              <c:idx val="7"/>
              <c:layout>
                <c:manualLayout>
                  <c:x val="-4.4444444444444543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04-4B38-8362-7B7E805C5472}"/>
                </c:ext>
              </c:extLst>
            </c:dLbl>
            <c:dLbl>
              <c:idx val="8"/>
              <c:layout>
                <c:manualLayout>
                  <c:x val="-5.2777777777777882E-2"/>
                  <c:y val="4.166666666666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04-4B38-8362-7B7E805C5472}"/>
                </c:ext>
              </c:extLst>
            </c:dLbl>
            <c:dLbl>
              <c:idx val="9"/>
              <c:layout>
                <c:manualLayout>
                  <c:x val="-2.5000000000000102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04-4B38-8362-7B7E805C54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'Benchmarking - re'!$C$2:$L$2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'Benchmarking - re'!$C$3:$L$3</c:f>
              <c:numCache>
                <c:formatCode>0.00%</c:formatCode>
                <c:ptCount val="10"/>
                <c:pt idx="0">
                  <c:v>0.14849999999999999</c:v>
                </c:pt>
                <c:pt idx="1">
                  <c:v>0.1008</c:v>
                </c:pt>
                <c:pt idx="2">
                  <c:v>8.5900000000000004E-2</c:v>
                </c:pt>
                <c:pt idx="3">
                  <c:v>0.10440000000000001</c:v>
                </c:pt>
                <c:pt idx="4">
                  <c:v>0.1084</c:v>
                </c:pt>
                <c:pt idx="5">
                  <c:v>0.1211</c:v>
                </c:pt>
                <c:pt idx="6">
                  <c:v>8.1199999999999994E-2</c:v>
                </c:pt>
                <c:pt idx="7">
                  <c:v>8.7800000000000003E-2</c:v>
                </c:pt>
                <c:pt idx="8">
                  <c:v>7.4200000000000002E-2</c:v>
                </c:pt>
                <c:pt idx="9">
                  <c:v>6.3700000000000007E-2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4-4B38-8362-7B7E805C5472}"/>
            </c:ext>
          </c:extLst>
        </c:ser>
        <c:ser>
          <c:idx val="1"/>
          <c:order val="1"/>
          <c:tx>
            <c:strRef>
              <c:f>'Benchmarking - re'!$B$4</c:f>
              <c:strCache>
                <c:ptCount val="1"/>
                <c:pt idx="0">
                  <c:v>Odvětví výroby nápojů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cat>
            <c:numRef>
              <c:f>'Benchmarking - re'!$C$2:$L$2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'Benchmarking - re'!$C$4:$L$4</c:f>
              <c:numCache>
                <c:formatCode>0.00%</c:formatCode>
                <c:ptCount val="10"/>
                <c:pt idx="0">
                  <c:v>0.15609999999999999</c:v>
                </c:pt>
                <c:pt idx="1">
                  <c:v>0.15110000000000001</c:v>
                </c:pt>
                <c:pt idx="2">
                  <c:v>0.18179999999999999</c:v>
                </c:pt>
                <c:pt idx="3">
                  <c:v>0.13739999999999999</c:v>
                </c:pt>
                <c:pt idx="4">
                  <c:v>0.13370000000000001</c:v>
                </c:pt>
                <c:pt idx="5">
                  <c:v>0.14729999999999999</c:v>
                </c:pt>
                <c:pt idx="6">
                  <c:v>7.8200000000000006E-2</c:v>
                </c:pt>
                <c:pt idx="7">
                  <c:v>0.1182</c:v>
                </c:pt>
                <c:pt idx="8">
                  <c:v>0.13869999999999999</c:v>
                </c:pt>
                <c:pt idx="9">
                  <c:v>0.1245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4-4B38-8362-7B7E805C5472}"/>
            </c:ext>
          </c:extLst>
        </c:ser>
        <c:ser>
          <c:idx val="2"/>
          <c:order val="2"/>
          <c:tx>
            <c:strRef>
              <c:f>'Benchmarking - re'!$B$5</c:f>
              <c:strCache>
                <c:ptCount val="1"/>
                <c:pt idx="0">
                  <c:v>Nejlepší podniky v odvětví (TH)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cat>
            <c:numRef>
              <c:f>'Benchmarking - re'!$C$2:$L$2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'Benchmarking - re'!$C$5:$L$5</c:f>
              <c:numCache>
                <c:formatCode>0.00%</c:formatCode>
                <c:ptCount val="10"/>
                <c:pt idx="0">
                  <c:v>0.16109999999999999</c:v>
                </c:pt>
                <c:pt idx="1">
                  <c:v>0.16059999999999999</c:v>
                </c:pt>
                <c:pt idx="2">
                  <c:v>0.12529999999999999</c:v>
                </c:pt>
                <c:pt idx="3">
                  <c:v>0.10580000000000001</c:v>
                </c:pt>
                <c:pt idx="4">
                  <c:v>8.6599999999999996E-2</c:v>
                </c:pt>
                <c:pt idx="5">
                  <c:v>0.1033</c:v>
                </c:pt>
                <c:pt idx="6">
                  <c:v>9.0899999999999995E-2</c:v>
                </c:pt>
                <c:pt idx="7">
                  <c:v>8.7300000000000003E-2</c:v>
                </c:pt>
                <c:pt idx="8">
                  <c:v>0.1232</c:v>
                </c:pt>
                <c:pt idx="9">
                  <c:v>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4-4B38-8362-7B7E805C5472}"/>
            </c:ext>
          </c:extLst>
        </c:ser>
        <c:ser>
          <c:idx val="3"/>
          <c:order val="3"/>
          <c:tx>
            <c:strRef>
              <c:f>'Benchmarking - re'!$B$6</c:f>
              <c:strCache>
                <c:ptCount val="1"/>
                <c:pt idx="0">
                  <c:v>Velmi dobré podniky v odvětví (RF)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  <a:round/>
              </a:ln>
              <a:effectLst/>
            </c:spPr>
          </c:marker>
          <c:cat>
            <c:numRef>
              <c:f>'Benchmarking - re'!$C$2:$L$2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'Benchmarking - re'!$C$6:$L$6</c:f>
              <c:numCache>
                <c:formatCode>0.00%</c:formatCode>
                <c:ptCount val="10"/>
                <c:pt idx="0">
                  <c:v>0.1487</c:v>
                </c:pt>
                <c:pt idx="1">
                  <c:v>0.1401</c:v>
                </c:pt>
                <c:pt idx="2">
                  <c:v>0.1104</c:v>
                </c:pt>
                <c:pt idx="3">
                  <c:v>0.12089999999999999</c:v>
                </c:pt>
                <c:pt idx="4">
                  <c:v>0.15659999999999999</c:v>
                </c:pt>
                <c:pt idx="5">
                  <c:v>0.1593</c:v>
                </c:pt>
                <c:pt idx="6">
                  <c:v>0.15440000000000001</c:v>
                </c:pt>
                <c:pt idx="7">
                  <c:v>0.1852</c:v>
                </c:pt>
                <c:pt idx="8">
                  <c:v>0.1356</c:v>
                </c:pt>
                <c:pt idx="9">
                  <c:v>0.1474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04-4B38-8362-7B7E805C5472}"/>
            </c:ext>
          </c:extLst>
        </c:ser>
        <c:ser>
          <c:idx val="4"/>
          <c:order val="4"/>
          <c:tx>
            <c:strRef>
              <c:f>'Benchmarking - re'!$B$7</c:f>
              <c:strCache>
                <c:ptCount val="1"/>
                <c:pt idx="0">
                  <c:v>Ziskové podniky v odvětví (ZI)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5"/>
                </a:solidFill>
                <a:round/>
              </a:ln>
              <a:effectLst/>
            </c:spPr>
          </c:marker>
          <c:cat>
            <c:numRef>
              <c:f>'Benchmarking - re'!$C$2:$L$2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'Benchmarking - re'!$C$7:$L$7</c:f>
              <c:numCache>
                <c:formatCode>0.00%</c:formatCode>
                <c:ptCount val="10"/>
                <c:pt idx="0">
                  <c:v>9.69E-2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04-4B38-8362-7B7E805C5472}"/>
            </c:ext>
          </c:extLst>
        </c:ser>
        <c:ser>
          <c:idx val="5"/>
          <c:order val="5"/>
          <c:tx>
            <c:strRef>
              <c:f>'Benchmarking - re'!$B$8</c:f>
              <c:strCache>
                <c:ptCount val="1"/>
                <c:pt idx="0">
                  <c:v>Ztrátové podniky v odvětví (ZT)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cat>
            <c:numRef>
              <c:f>'Benchmarking - re'!$C$2:$L$2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'Benchmarking - re'!$C$8:$L$8</c:f>
              <c:numCache>
                <c:formatCode>0.00%</c:formatCode>
                <c:ptCount val="10"/>
                <c:pt idx="0">
                  <c:v>0.21160000000000001</c:v>
                </c:pt>
                <c:pt idx="1">
                  <c:v>0.19719999999999999</c:v>
                </c:pt>
                <c:pt idx="2">
                  <c:v>0.26695999999999998</c:v>
                </c:pt>
                <c:pt idx="3">
                  <c:v>0.1757</c:v>
                </c:pt>
                <c:pt idx="4">
                  <c:v>0.19939999999999999</c:v>
                </c:pt>
                <c:pt idx="5">
                  <c:v>0.19289999999999999</c:v>
                </c:pt>
                <c:pt idx="7">
                  <c:v>0.23219999999999999</c:v>
                </c:pt>
                <c:pt idx="8">
                  <c:v>0.24790000000000001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04-4B38-8362-7B7E805C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346304"/>
        <c:axId val="1273354208"/>
      </c:lineChart>
      <c:catAx>
        <c:axId val="1273346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3354208"/>
        <c:crosses val="autoZero"/>
        <c:auto val="1"/>
        <c:lblAlgn val="ctr"/>
        <c:lblOffset val="100"/>
        <c:noMultiLvlLbl val="0"/>
      </c:catAx>
      <c:valAx>
        <c:axId val="12733542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334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'U-křivka'!$B$28</c:f>
              <c:strCache>
                <c:ptCount val="1"/>
                <c:pt idx="0">
                  <c:v>WACC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44444444444446E-2"/>
                  <c:y val="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96-4CDC-A736-AD4F5379378E}"/>
                </c:ext>
              </c:extLst>
            </c:dLbl>
            <c:dLbl>
              <c:idx val="1"/>
              <c:layout>
                <c:manualLayout>
                  <c:x val="-4.7222222222222249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96-4CDC-A736-AD4F5379378E}"/>
                </c:ext>
              </c:extLst>
            </c:dLbl>
            <c:dLbl>
              <c:idx val="2"/>
              <c:layout>
                <c:manualLayout>
                  <c:x val="-5.5555555555555552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96-4CDC-A736-AD4F5379378E}"/>
                </c:ext>
              </c:extLst>
            </c:dLbl>
            <c:dLbl>
              <c:idx val="3"/>
              <c:layout>
                <c:manualLayout>
                  <c:x val="-4.1666666666666664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96-4CDC-A736-AD4F5379378E}"/>
                </c:ext>
              </c:extLst>
            </c:dLbl>
            <c:dLbl>
              <c:idx val="4"/>
              <c:layout>
                <c:manualLayout>
                  <c:x val="-5.5555555555555608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96-4CDC-A736-AD4F5379378E}"/>
                </c:ext>
              </c:extLst>
            </c:dLbl>
            <c:dLbl>
              <c:idx val="5"/>
              <c:layout>
                <c:manualLayout>
                  <c:x val="-4.4444444444444446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96-4CDC-A736-AD4F5379378E}"/>
                </c:ext>
              </c:extLst>
            </c:dLbl>
            <c:dLbl>
              <c:idx val="6"/>
              <c:layout>
                <c:manualLayout>
                  <c:x val="-0.05"/>
                  <c:y val="6.01851851851850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96-4CDC-A736-AD4F5379378E}"/>
                </c:ext>
              </c:extLst>
            </c:dLbl>
            <c:dLbl>
              <c:idx val="7"/>
              <c:layout>
                <c:manualLayout>
                  <c:x val="-6.1111111111111109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96-4CDC-A736-AD4F5379378E}"/>
                </c:ext>
              </c:extLst>
            </c:dLbl>
            <c:dLbl>
              <c:idx val="8"/>
              <c:layout>
                <c:manualLayout>
                  <c:x val="-2.2222222222222424E-2"/>
                  <c:y val="6.0185185185185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96-4CDC-A736-AD4F5379378E}"/>
                </c:ext>
              </c:extLst>
            </c:dLbl>
            <c:dLbl>
              <c:idx val="9"/>
              <c:layout>
                <c:manualLayout>
                  <c:x val="-9.166666666666666E-2"/>
                  <c:y val="-9.25925925925930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96-4CDC-A736-AD4F53793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'U-křivka'!$C$27:$L$27</c:f>
              <c:numCache>
                <c:formatCode>0%</c:formatCode>
                <c:ptCount val="1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</c:numCache>
            </c:numRef>
          </c:cat>
          <c:val>
            <c:numRef>
              <c:f>'U-křivka'!$C$28:$L$28</c:f>
              <c:numCache>
                <c:formatCode>General</c:formatCode>
                <c:ptCount val="10"/>
                <c:pt idx="0">
                  <c:v>4.5110000000000001</c:v>
                </c:pt>
                <c:pt idx="1">
                  <c:v>4.2770000000000001</c:v>
                </c:pt>
                <c:pt idx="2">
                  <c:v>4.0570000000000004</c:v>
                </c:pt>
                <c:pt idx="3">
                  <c:v>3.86</c:v>
                </c:pt>
                <c:pt idx="4">
                  <c:v>3.6949999999999998</c:v>
                </c:pt>
                <c:pt idx="5">
                  <c:v>3.5830000000000002</c:v>
                </c:pt>
                <c:pt idx="6">
                  <c:v>3.5630000000000002</c:v>
                </c:pt>
                <c:pt idx="7">
                  <c:v>3.7280000000000002</c:v>
                </c:pt>
                <c:pt idx="8">
                  <c:v>4.3540000000000001</c:v>
                </c:pt>
                <c:pt idx="9">
                  <c:v>6.8239999999999998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6-4CDC-A736-AD4F53793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36463"/>
        <c:axId val="1209043119"/>
      </c:lineChart>
      <c:catAx>
        <c:axId val="1209036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ÚROVEŇ</a:t>
                </a:r>
                <a:r>
                  <a:rPr lang="cs-CZ" baseline="0"/>
                  <a:t> </a:t>
                </a:r>
                <a:r>
                  <a:rPr lang="cs-CZ"/>
                  <a:t>zadlužení</a:t>
                </a:r>
              </a:p>
            </c:rich>
          </c:tx>
          <c:layout>
            <c:manualLayout>
              <c:xMode val="edge"/>
              <c:yMode val="edge"/>
              <c:x val="0.42359433735903385"/>
              <c:y val="0.89821741032370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9043119"/>
        <c:crosses val="autoZero"/>
        <c:auto val="1"/>
        <c:lblAlgn val="ctr"/>
        <c:lblOffset val="100"/>
        <c:noMultiLvlLbl val="0"/>
      </c:catAx>
      <c:valAx>
        <c:axId val="120904311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WACC</a:t>
                </a:r>
                <a:r>
                  <a:rPr lang="cs-CZ" baseline="0"/>
                  <a:t> (v %)</a:t>
                </a: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9036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'U-křivka'!$AD$5</c:f>
              <c:strCache>
                <c:ptCount val="1"/>
                <c:pt idx="0">
                  <c:v>WACC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151615893205125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F7-4F6F-BE19-5F9D00CC16AA}"/>
                </c:ext>
              </c:extLst>
            </c:dLbl>
            <c:dLbl>
              <c:idx val="1"/>
              <c:layout>
                <c:manualLayout>
                  <c:x val="-9.1381110689322351E-2"/>
                  <c:y val="4.1666666666666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F7-4F6F-BE19-5F9D00CC16AA}"/>
                </c:ext>
              </c:extLst>
            </c:dLbl>
            <c:dLbl>
              <c:idx val="2"/>
              <c:layout>
                <c:manualLayout>
                  <c:x val="-0.10245760895469475"/>
                  <c:y val="3.703703703703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F7-4F6F-BE19-5F9D00CC16AA}"/>
                </c:ext>
              </c:extLst>
            </c:dLbl>
            <c:dLbl>
              <c:idx val="3"/>
              <c:layout>
                <c:manualLayout>
                  <c:x val="-0.1024576089546947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F7-4F6F-BE19-5F9D00CC16AA}"/>
                </c:ext>
              </c:extLst>
            </c:dLbl>
            <c:dLbl>
              <c:idx val="4"/>
              <c:layout>
                <c:manualLayout>
                  <c:x val="-9.6919359822008569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F7-4F6F-BE19-5F9D00CC16AA}"/>
                </c:ext>
              </c:extLst>
            </c:dLbl>
            <c:dLbl>
              <c:idx val="5"/>
              <c:layout>
                <c:manualLayout>
                  <c:x val="-7.4766363291263724E-2"/>
                  <c:y val="5.55555555555555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F7-4F6F-BE19-5F9D00CC16AA}"/>
                </c:ext>
              </c:extLst>
            </c:dLbl>
            <c:dLbl>
              <c:idx val="6"/>
              <c:layout>
                <c:manualLayout>
                  <c:x val="-4.4305993061489711E-2"/>
                  <c:y val="5.55555555555555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F7-4F6F-BE19-5F9D00CC16AA}"/>
                </c:ext>
              </c:extLst>
            </c:dLbl>
            <c:dLbl>
              <c:idx val="7"/>
              <c:layout>
                <c:manualLayout>
                  <c:x val="-1.1076498265372402E-2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F7-4F6F-BE19-5F9D00CC16AA}"/>
                </c:ext>
              </c:extLst>
            </c:dLbl>
            <c:dLbl>
              <c:idx val="8"/>
              <c:layout>
                <c:manualLayout>
                  <c:x val="-1.0153339451014279E-16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F7-4F6F-BE19-5F9D00CC16AA}"/>
                </c:ext>
              </c:extLst>
            </c:dLbl>
            <c:dLbl>
              <c:idx val="9"/>
              <c:layout>
                <c:manualLayout>
                  <c:x val="-2.769124566342999E-3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F7-4F6F-BE19-5F9D00CC16AA}"/>
                </c:ext>
              </c:extLst>
            </c:dLbl>
            <c:dLbl>
              <c:idx val="11"/>
              <c:layout>
                <c:manualLayout>
                  <c:x val="-1.9383871964401805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F7-4F6F-BE19-5F9D00CC1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'U-křivka'!$AE$4:$AP$4</c:f>
              <c:numCache>
                <c:formatCode>0%</c:formatCode>
                <c:ptCount val="12"/>
                <c:pt idx="0">
                  <c:v>0.51</c:v>
                </c:pt>
                <c:pt idx="1">
                  <c:v>0.52</c:v>
                </c:pt>
                <c:pt idx="2">
                  <c:v>0.53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0.56000000000000005</c:v>
                </c:pt>
                <c:pt idx="6">
                  <c:v>0.56999999999999995</c:v>
                </c:pt>
                <c:pt idx="7">
                  <c:v>0.57999999999999996</c:v>
                </c:pt>
                <c:pt idx="8">
                  <c:v>0.59</c:v>
                </c:pt>
                <c:pt idx="9">
                  <c:v>0.6</c:v>
                </c:pt>
                <c:pt idx="10">
                  <c:v>0.61</c:v>
                </c:pt>
                <c:pt idx="11">
                  <c:v>0.62</c:v>
                </c:pt>
              </c:numCache>
            </c:numRef>
          </c:cat>
          <c:val>
            <c:numRef>
              <c:f>'U-křivka'!$AE$5:$AP$5</c:f>
              <c:numCache>
                <c:formatCode>0.000</c:formatCode>
                <c:ptCount val="12"/>
                <c:pt idx="0" formatCode="General">
                  <c:v>3.5760000000000001</c:v>
                </c:pt>
                <c:pt idx="1">
                  <c:v>3.57</c:v>
                </c:pt>
                <c:pt idx="2" formatCode="General">
                  <c:v>3.5649999999999999</c:v>
                </c:pt>
                <c:pt idx="3" formatCode="General">
                  <c:v>3.5609999999999999</c:v>
                </c:pt>
                <c:pt idx="4" formatCode="General">
                  <c:v>3.5579999999999998</c:v>
                </c:pt>
                <c:pt idx="5" formatCode="General">
                  <c:v>3.556</c:v>
                </c:pt>
                <c:pt idx="6" formatCode="General">
                  <c:v>3.556</c:v>
                </c:pt>
                <c:pt idx="7" formatCode="General">
                  <c:v>3.5569999999999999</c:v>
                </c:pt>
                <c:pt idx="8" formatCode="General">
                  <c:v>3.5590000000000002</c:v>
                </c:pt>
                <c:pt idx="9" formatCode="General">
                  <c:v>3.5630000000000002</c:v>
                </c:pt>
                <c:pt idx="10" formatCode="General">
                  <c:v>3.569</c:v>
                </c:pt>
                <c:pt idx="11" formatCode="General">
                  <c:v>3.577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7-4F6F-BE19-5F9D00CC1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939248"/>
        <c:axId val="1191952976"/>
      </c:lineChart>
      <c:catAx>
        <c:axId val="1191939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>
                    <a:solidFill>
                      <a:sysClr val="windowText" lastClr="000000"/>
                    </a:solidFill>
                  </a:rPr>
                  <a:t>úROVEŇ</a:t>
                </a:r>
                <a:r>
                  <a:rPr lang="cs-CZ" baseline="0">
                    <a:solidFill>
                      <a:sysClr val="windowText" lastClr="000000"/>
                    </a:solidFill>
                  </a:rPr>
                  <a:t> ZADLUŽENÍ</a:t>
                </a:r>
                <a:endParaRPr lang="cs-CZ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91952976"/>
        <c:crosses val="autoZero"/>
        <c:auto val="1"/>
        <c:lblAlgn val="ctr"/>
        <c:lblOffset val="100"/>
        <c:noMultiLvlLbl val="0"/>
      </c:catAx>
      <c:valAx>
        <c:axId val="11919529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>
                    <a:solidFill>
                      <a:sysClr val="windowText" lastClr="000000"/>
                    </a:solidFill>
                  </a:rPr>
                  <a:t>wacc</a:t>
                </a:r>
                <a:r>
                  <a:rPr lang="cs-CZ" baseline="0">
                    <a:solidFill>
                      <a:sysClr val="windowText" lastClr="000000"/>
                    </a:solidFill>
                  </a:rPr>
                  <a:t>  (V %)</a:t>
                </a:r>
                <a:endParaRPr lang="cs-CZ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9193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'Vertikální analýza'!$U$55</c:f>
              <c:strCache>
                <c:ptCount val="1"/>
                <c:pt idx="0">
                  <c:v>Základní kapitál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analýza'!$V$54:$Z$54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analýza'!$V$55:$Z$55</c:f>
              <c:numCache>
                <c:formatCode>0.00%</c:formatCode>
                <c:ptCount val="5"/>
                <c:pt idx="0">
                  <c:v>0.82900761411608659</c:v>
                </c:pt>
                <c:pt idx="1">
                  <c:v>0.68421052631578949</c:v>
                </c:pt>
                <c:pt idx="2">
                  <c:v>0.62178792726994447</c:v>
                </c:pt>
                <c:pt idx="3">
                  <c:v>0.63996219300275181</c:v>
                </c:pt>
                <c:pt idx="4">
                  <c:v>0.5558370371320519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A-4B77-AFD8-00D6D678ACD1}"/>
            </c:ext>
          </c:extLst>
        </c:ser>
        <c:ser>
          <c:idx val="1"/>
          <c:order val="1"/>
          <c:tx>
            <c:strRef>
              <c:f>'Vertikální analýza'!$U$56</c:f>
              <c:strCache>
                <c:ptCount val="1"/>
                <c:pt idx="0">
                  <c:v>Ážio a kapitálové fondy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3414635585305051E-3"/>
                  <c:y val="1.458967263704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DA-4B77-AFD8-00D6D678ACD1}"/>
                </c:ext>
              </c:extLst>
            </c:dLbl>
            <c:dLbl>
              <c:idx val="1"/>
              <c:layout>
                <c:manualLayout>
                  <c:x val="-4.2926336017695867E-17"/>
                  <c:y val="1.0942254477780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A-4B77-AFD8-00D6D678ACD1}"/>
                </c:ext>
              </c:extLst>
            </c:dLbl>
            <c:dLbl>
              <c:idx val="2"/>
              <c:layout>
                <c:manualLayout>
                  <c:x val="0"/>
                  <c:y val="1.458967263704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DA-4B77-AFD8-00D6D678ACD1}"/>
                </c:ext>
              </c:extLst>
            </c:dLbl>
            <c:dLbl>
              <c:idx val="4"/>
              <c:layout>
                <c:manualLayout>
                  <c:x val="-1.7170534407078347E-16"/>
                  <c:y val="7.29483631852012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DA-4B77-AFD8-00D6D678A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analýza'!$V$54:$Z$54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analýza'!$V$56:$Z$56</c:f>
              <c:numCache>
                <c:formatCode>0.00%</c:formatCode>
                <c:ptCount val="5"/>
                <c:pt idx="0">
                  <c:v>5.8763885877536441E-2</c:v>
                </c:pt>
                <c:pt idx="1">
                  <c:v>6.5510526315789477E-2</c:v>
                </c:pt>
                <c:pt idx="2">
                  <c:v>7.2930940884708556E-2</c:v>
                </c:pt>
                <c:pt idx="3">
                  <c:v>9.7033036817517238E-2</c:v>
                </c:pt>
                <c:pt idx="4">
                  <c:v>9.3404138420524918E-2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A-4B77-AFD8-00D6D678ACD1}"/>
            </c:ext>
          </c:extLst>
        </c:ser>
        <c:ser>
          <c:idx val="2"/>
          <c:order val="2"/>
          <c:tx>
            <c:strRef>
              <c:f>'Vertikální analýza'!$U$57</c:f>
              <c:strCache>
                <c:ptCount val="1"/>
                <c:pt idx="0">
                  <c:v>Fondy ze zisku 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analýza'!$V$54:$Z$54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analýza'!$V$57:$Z$57</c:f>
              <c:numCache>
                <c:formatCode>0.00%</c:formatCode>
                <c:ptCount val="5"/>
                <c:pt idx="0">
                  <c:v>9.0329945030418208E-3</c:v>
                </c:pt>
                <c:pt idx="1">
                  <c:v>1.8097368421052633E-2</c:v>
                </c:pt>
                <c:pt idx="2">
                  <c:v>2.1977811736964576E-2</c:v>
                </c:pt>
                <c:pt idx="3">
                  <c:v>2.9086281671975071E-2</c:v>
                </c:pt>
                <c:pt idx="4">
                  <c:v>3.1804567697744368E-2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DA-4B77-AFD8-00D6D678ACD1}"/>
            </c:ext>
          </c:extLst>
        </c:ser>
        <c:ser>
          <c:idx val="3"/>
          <c:order val="3"/>
          <c:tx>
            <c:strRef>
              <c:f>'Vertikální analýza'!$U$58</c:f>
              <c:strCache>
                <c:ptCount val="1"/>
                <c:pt idx="0">
                  <c:v>Výsledek hospodáření minulých let  (+/-)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analýza'!$V$54:$Z$54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analýza'!$V$58:$Z$58</c:f>
              <c:numCache>
                <c:formatCode>0.00%</c:formatCode>
                <c:ptCount val="5"/>
                <c:pt idx="0">
                  <c:v>-8.1784789623375459E-3</c:v>
                </c:pt>
                <c:pt idx="1">
                  <c:v>0.1104421052631579</c:v>
                </c:pt>
                <c:pt idx="2">
                  <c:v>0.15763758851509868</c:v>
                </c:pt>
                <c:pt idx="3">
                  <c:v>8.8206481340179291E-2</c:v>
                </c:pt>
                <c:pt idx="4">
                  <c:v>0.17952681165461998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DA-4B77-AFD8-00D6D678ACD1}"/>
            </c:ext>
          </c:extLst>
        </c:ser>
        <c:ser>
          <c:idx val="4"/>
          <c:order val="4"/>
          <c:tx>
            <c:strRef>
              <c:f>'Vertikální analýza'!$U$59</c:f>
              <c:strCache>
                <c:ptCount val="1"/>
                <c:pt idx="0">
                  <c:v>Výsledek hospodaření běžného účetního období (+/-)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analýza'!$V$54:$Z$54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analýza'!$V$59:$Z$59</c:f>
              <c:numCache>
                <c:formatCode>0.00%</c:formatCode>
                <c:ptCount val="5"/>
                <c:pt idx="0">
                  <c:v>0.10965219942097007</c:v>
                </c:pt>
                <c:pt idx="1">
                  <c:v>0.12173947368421052</c:v>
                </c:pt>
                <c:pt idx="2">
                  <c:v>0.12566573159328373</c:v>
                </c:pt>
                <c:pt idx="3">
                  <c:v>0.15063479326759774</c:v>
                </c:pt>
                <c:pt idx="4">
                  <c:v>0.13942744509505883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DA-4B77-AFD8-00D6D678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0918543"/>
        <c:axId val="1380912303"/>
      </c:barChart>
      <c:catAx>
        <c:axId val="1380918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12303"/>
        <c:crosses val="autoZero"/>
        <c:auto val="1"/>
        <c:lblAlgn val="ctr"/>
        <c:lblOffset val="100"/>
        <c:noMultiLvlLbl val="0"/>
      </c:catAx>
      <c:valAx>
        <c:axId val="138091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'Vertikální analýza'!$U$66</c:f>
              <c:strCache>
                <c:ptCount val="1"/>
                <c:pt idx="0">
                  <c:v>Základní kapitál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analýza'!$V$65:$Z$65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analýza'!$V$66:$Z$66</c:f>
              <c:numCache>
                <c:formatCode>0.00%</c:formatCode>
                <c:ptCount val="5"/>
                <c:pt idx="0">
                  <c:v>0.45773277912456845</c:v>
                </c:pt>
                <c:pt idx="1">
                  <c:v>0.38474002672463414</c:v>
                </c:pt>
                <c:pt idx="2">
                  <c:v>0.35033585081082536</c:v>
                </c:pt>
                <c:pt idx="3">
                  <c:v>0.30550137475618638</c:v>
                </c:pt>
                <c:pt idx="4">
                  <c:v>0.26944094113648115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C-48B3-9BCC-C0ADFB6678AB}"/>
            </c:ext>
          </c:extLst>
        </c:ser>
        <c:ser>
          <c:idx val="1"/>
          <c:order val="1"/>
          <c:tx>
            <c:strRef>
              <c:f>'Vertikální analýza'!$U$67</c:f>
              <c:strCache>
                <c:ptCount val="1"/>
                <c:pt idx="0">
                  <c:v>Ážio a kapitálové fondy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analýza'!$V$65:$Z$65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analýza'!$V$67:$Z$67</c:f>
              <c:numCache>
                <c:formatCode>0.00%</c:formatCode>
                <c:ptCount val="5"/>
                <c:pt idx="0">
                  <c:v>8.5976300005105477E-2</c:v>
                </c:pt>
                <c:pt idx="1">
                  <c:v>8.5501072092882158E-2</c:v>
                </c:pt>
                <c:pt idx="2">
                  <c:v>8.5671937424627267E-2</c:v>
                </c:pt>
                <c:pt idx="3">
                  <c:v>8.1131765092942912E-2</c:v>
                </c:pt>
                <c:pt idx="4">
                  <c:v>7.4985413918282715E-2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C-48B3-9BCC-C0ADFB6678AB}"/>
            </c:ext>
          </c:extLst>
        </c:ser>
        <c:ser>
          <c:idx val="2"/>
          <c:order val="2"/>
          <c:tx>
            <c:strRef>
              <c:f>'Vertikální analýza'!$U$68</c:f>
              <c:strCache>
                <c:ptCount val="1"/>
                <c:pt idx="0">
                  <c:v>Fondy ze zisku 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analýza'!$V$65:$Z$65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analýza'!$V$68:$Z$68</c:f>
              <c:numCache>
                <c:formatCode>0.00%</c:formatCode>
                <c:ptCount val="5"/>
                <c:pt idx="0">
                  <c:v>3.1932142876005473E-2</c:v>
                </c:pt>
                <c:pt idx="1">
                  <c:v>3.3877839122437595E-2</c:v>
                </c:pt>
                <c:pt idx="2">
                  <c:v>3.8194692411860215E-2</c:v>
                </c:pt>
                <c:pt idx="3">
                  <c:v>3.941437736469814E-2</c:v>
                </c:pt>
                <c:pt idx="4">
                  <c:v>4.2171652533107555E-2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C-48B3-9BCC-C0ADFB6678AB}"/>
            </c:ext>
          </c:extLst>
        </c:ser>
        <c:ser>
          <c:idx val="3"/>
          <c:order val="3"/>
          <c:tx>
            <c:strRef>
              <c:f>'Vertikální analýza'!$U$69</c:f>
              <c:strCache>
                <c:ptCount val="1"/>
                <c:pt idx="0">
                  <c:v>Výsledek hospodáření minulých let  (+/-)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analýza'!$V$65:$Z$65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analýza'!$V$69:$Z$69</c:f>
              <c:numCache>
                <c:formatCode>0.00%</c:formatCode>
                <c:ptCount val="5"/>
                <c:pt idx="0">
                  <c:v>0.25691836687986452</c:v>
                </c:pt>
                <c:pt idx="1">
                  <c:v>0.33450333761973183</c:v>
                </c:pt>
                <c:pt idx="2">
                  <c:v>0.38570899217807841</c:v>
                </c:pt>
                <c:pt idx="3">
                  <c:v>0.40592907668084505</c:v>
                </c:pt>
                <c:pt idx="4">
                  <c:v>0.44311013605731214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C-48B3-9BCC-C0ADFB6678AB}"/>
            </c:ext>
          </c:extLst>
        </c:ser>
        <c:ser>
          <c:idx val="4"/>
          <c:order val="4"/>
          <c:tx>
            <c:strRef>
              <c:f>'Vertikální analýza'!$U$70</c:f>
              <c:strCache>
                <c:ptCount val="1"/>
                <c:pt idx="0">
                  <c:v>Výsledek hospodaření běžného účetního období (+/-)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analýza'!$V$65:$Z$65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analýza'!$V$70:$Z$70</c:f>
              <c:numCache>
                <c:formatCode>0.00%</c:formatCode>
                <c:ptCount val="5"/>
                <c:pt idx="0">
                  <c:v>0.16744041111445609</c:v>
                </c:pt>
                <c:pt idx="1">
                  <c:v>0.16137772444031426</c:v>
                </c:pt>
                <c:pt idx="2">
                  <c:v>0.14008852717460873</c:v>
                </c:pt>
                <c:pt idx="3">
                  <c:v>0.16802340610532748</c:v>
                </c:pt>
                <c:pt idx="4">
                  <c:v>0.17029185635481642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8C-48B3-9BCC-C0ADFB667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0939759"/>
        <c:axId val="1380936015"/>
      </c:barChart>
      <c:catAx>
        <c:axId val="13809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36015"/>
        <c:crosses val="autoZero"/>
        <c:auto val="1"/>
        <c:lblAlgn val="ctr"/>
        <c:lblOffset val="100"/>
        <c:noMultiLvlLbl val="0"/>
      </c:catAx>
      <c:valAx>
        <c:axId val="1380936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397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'Vertikální analýza'!$U$77</c:f>
              <c:strCache>
                <c:ptCount val="1"/>
                <c:pt idx="0">
                  <c:v>Rezervy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analýza'!$V$76:$Z$76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analýza'!$V$77:$Z$77</c:f>
              <c:numCache>
                <c:formatCode>0.00%</c:formatCode>
                <c:ptCount val="5"/>
                <c:pt idx="0">
                  <c:v>7.6718820472751068E-2</c:v>
                </c:pt>
                <c:pt idx="1">
                  <c:v>0.12217566284310327</c:v>
                </c:pt>
                <c:pt idx="2">
                  <c:v>1.3166935651395791E-2</c:v>
                </c:pt>
                <c:pt idx="3">
                  <c:v>2.8825740093624316E-2</c:v>
                </c:pt>
                <c:pt idx="4">
                  <c:v>2.3203659294786395E-3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0-4F94-8F4F-0C42FC512971}"/>
            </c:ext>
          </c:extLst>
        </c:ser>
        <c:ser>
          <c:idx val="1"/>
          <c:order val="1"/>
          <c:tx>
            <c:strRef>
              <c:f>'Vertikální analýza'!$U$78</c:f>
              <c:strCache>
                <c:ptCount val="1"/>
                <c:pt idx="0">
                  <c:v>Dlouhodobé závazky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analýza'!$V$76:$Z$76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analýza'!$V$78:$Z$78</c:f>
              <c:numCache>
                <c:formatCode>0.00%</c:formatCode>
                <c:ptCount val="5"/>
                <c:pt idx="0">
                  <c:v>0.14755525063683544</c:v>
                </c:pt>
                <c:pt idx="1">
                  <c:v>4.9191323877424899E-2</c:v>
                </c:pt>
                <c:pt idx="2">
                  <c:v>4.7562359182499479E-2</c:v>
                </c:pt>
                <c:pt idx="3">
                  <c:v>3.3104766928199379E-2</c:v>
                </c:pt>
                <c:pt idx="4">
                  <c:v>5.6987743138822274E-2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0-4F94-8F4F-0C42FC512971}"/>
            </c:ext>
          </c:extLst>
        </c:ser>
        <c:ser>
          <c:idx val="2"/>
          <c:order val="2"/>
          <c:tx>
            <c:strRef>
              <c:f>'Vertikální analýza'!$U$79</c:f>
              <c:strCache>
                <c:ptCount val="1"/>
                <c:pt idx="0">
                  <c:v>Krátkodobé závazky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analýza'!$V$76:$Z$76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'Vertikální analýza'!$V$79:$Z$79</c:f>
              <c:numCache>
                <c:formatCode>0.00%</c:formatCode>
                <c:ptCount val="5"/>
                <c:pt idx="0">
                  <c:v>0.76302098221942716</c:v>
                </c:pt>
                <c:pt idx="1">
                  <c:v>0.82863301327947181</c:v>
                </c:pt>
                <c:pt idx="2">
                  <c:v>0.93927070516610478</c:v>
                </c:pt>
                <c:pt idx="3">
                  <c:v>0.93806949297817632</c:v>
                </c:pt>
                <c:pt idx="4">
                  <c:v>0.94069189093169914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80-4F94-8F4F-0C42FC512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0950575"/>
        <c:axId val="1380946415"/>
      </c:barChart>
      <c:catAx>
        <c:axId val="1380950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46415"/>
        <c:crosses val="autoZero"/>
        <c:auto val="1"/>
        <c:lblAlgn val="ctr"/>
        <c:lblOffset val="100"/>
        <c:noMultiLvlLbl val="0"/>
      </c:catAx>
      <c:valAx>
        <c:axId val="13809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50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'Vertikální analýza'!$U$87</c:f>
              <c:strCache>
                <c:ptCount val="1"/>
                <c:pt idx="0">
                  <c:v>Rezervy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analýza'!$V$86:$Z$86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analýza'!$V$87:$Z$87</c:f>
              <c:numCache>
                <c:formatCode>0.00%</c:formatCode>
                <c:ptCount val="5"/>
                <c:pt idx="0">
                  <c:v>2.7263128901946383E-2</c:v>
                </c:pt>
                <c:pt idx="1">
                  <c:v>2.0012996059108695E-2</c:v>
                </c:pt>
                <c:pt idx="2">
                  <c:v>3.9444088722520483E-3</c:v>
                </c:pt>
                <c:pt idx="3">
                  <c:v>3.4166097016754153E-2</c:v>
                </c:pt>
                <c:pt idx="4">
                  <c:v>2.9509872648673909E-2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4-4669-8120-79C29AEDDD3B}"/>
            </c:ext>
          </c:extLst>
        </c:ser>
        <c:ser>
          <c:idx val="1"/>
          <c:order val="1"/>
          <c:tx>
            <c:strRef>
              <c:f>'Vertikální analýza'!$U$88</c:f>
              <c:strCache>
                <c:ptCount val="1"/>
                <c:pt idx="0">
                  <c:v>Dlouhodobé závazky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analýza'!$V$86:$Z$86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analýza'!$V$88:$Z$88</c:f>
              <c:numCache>
                <c:formatCode>0.00%</c:formatCode>
                <c:ptCount val="5"/>
                <c:pt idx="0">
                  <c:v>6.8926735218508992E-2</c:v>
                </c:pt>
                <c:pt idx="1">
                  <c:v>9.6970235284767961E-2</c:v>
                </c:pt>
                <c:pt idx="2">
                  <c:v>9.7001264180991309E-2</c:v>
                </c:pt>
                <c:pt idx="3">
                  <c:v>8.408355151999794E-2</c:v>
                </c:pt>
                <c:pt idx="4">
                  <c:v>8.9391284028508003E-2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4-4669-8120-79C29AEDDD3B}"/>
            </c:ext>
          </c:extLst>
        </c:ser>
        <c:ser>
          <c:idx val="2"/>
          <c:order val="2"/>
          <c:tx>
            <c:strRef>
              <c:f>'Vertikální analýza'!$U$89</c:f>
              <c:strCache>
                <c:ptCount val="1"/>
                <c:pt idx="0">
                  <c:v>Krátkodobé závazky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analýza'!$V$86:$Z$86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'Vertikální analýza'!$V$89:$Z$89</c:f>
              <c:numCache>
                <c:formatCode>0.00%</c:formatCode>
                <c:ptCount val="5"/>
                <c:pt idx="0">
                  <c:v>0.90381013587954462</c:v>
                </c:pt>
                <c:pt idx="1">
                  <c:v>0.88301676865612333</c:v>
                </c:pt>
                <c:pt idx="2">
                  <c:v>0.89905432694675669</c:v>
                </c:pt>
                <c:pt idx="3">
                  <c:v>0.79293978048056957</c:v>
                </c:pt>
                <c:pt idx="4">
                  <c:v>0.80255286832573902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F4-4669-8120-79C29AEDD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8545439"/>
        <c:axId val="1278541695"/>
      </c:barChart>
      <c:catAx>
        <c:axId val="127854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8541695"/>
        <c:crosses val="autoZero"/>
        <c:auto val="1"/>
        <c:lblAlgn val="ctr"/>
        <c:lblOffset val="100"/>
        <c:noMultiLvlLbl val="0"/>
      </c:catAx>
      <c:valAx>
        <c:axId val="127854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8545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'Vertikální analýza'!$B$142</c:f>
              <c:strCache>
                <c:ptCount val="1"/>
                <c:pt idx="0">
                  <c:v>Rodinný pivovar BERNARD, a.s.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analýza'!$C$141:$L$141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'Vertikální analýza'!$C$142:$L$142</c:f>
              <c:numCache>
                <c:formatCode>0.00%</c:formatCode>
                <c:ptCount val="10"/>
                <c:pt idx="0">
                  <c:v>0.31090000000000001</c:v>
                </c:pt>
                <c:pt idx="1">
                  <c:v>0.24229999999999999</c:v>
                </c:pt>
                <c:pt idx="2">
                  <c:v>0.21679999999999999</c:v>
                </c:pt>
                <c:pt idx="3">
                  <c:v>0.2555</c:v>
                </c:pt>
                <c:pt idx="4">
                  <c:v>0.26100000000000001</c:v>
                </c:pt>
                <c:pt idx="5">
                  <c:v>0.26619999999999999</c:v>
                </c:pt>
                <c:pt idx="6">
                  <c:v>0.23300000000000001</c:v>
                </c:pt>
                <c:pt idx="7">
                  <c:v>0.2404</c:v>
                </c:pt>
                <c:pt idx="8">
                  <c:v>0.2671</c:v>
                </c:pt>
                <c:pt idx="9">
                  <c:v>0.26190000000000002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9-46D0-83C8-F8D64549CFDF}"/>
            </c:ext>
          </c:extLst>
        </c:ser>
        <c:ser>
          <c:idx val="1"/>
          <c:order val="1"/>
          <c:tx>
            <c:strRef>
              <c:f>'Vertikální analýza'!$B$143</c:f>
              <c:strCache>
                <c:ptCount val="1"/>
                <c:pt idx="0">
                  <c:v>Odvětví nápojů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analýza'!$C$141:$L$141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'Vertikální analýza'!$C$143:$L$143</c:f>
              <c:numCache>
                <c:formatCode>0.00%</c:formatCode>
                <c:ptCount val="10"/>
                <c:pt idx="0">
                  <c:v>0.52329999999999999</c:v>
                </c:pt>
                <c:pt idx="1">
                  <c:v>0.54379999999999995</c:v>
                </c:pt>
                <c:pt idx="2">
                  <c:v>0.63580000000000003</c:v>
                </c:pt>
                <c:pt idx="3">
                  <c:v>0.56320000000000003</c:v>
                </c:pt>
                <c:pt idx="4">
                  <c:v>0.58520000000000005</c:v>
                </c:pt>
                <c:pt idx="5">
                  <c:v>0.51039999999999996</c:v>
                </c:pt>
                <c:pt idx="6">
                  <c:v>0.51939999999999997</c:v>
                </c:pt>
                <c:pt idx="7">
                  <c:v>0.52939999999999998</c:v>
                </c:pt>
                <c:pt idx="8">
                  <c:v>0.52100000000000002</c:v>
                </c:pt>
                <c:pt idx="9">
                  <c:v>0.51090000000000002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9-46D0-83C8-F8D64549C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0906063"/>
        <c:axId val="1380908143"/>
      </c:barChart>
      <c:catAx>
        <c:axId val="1380906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08143"/>
        <c:crosses val="autoZero"/>
        <c:auto val="1"/>
        <c:lblAlgn val="ctr"/>
        <c:lblOffset val="100"/>
        <c:noMultiLvlLbl val="0"/>
      </c:catAx>
      <c:valAx>
        <c:axId val="1380908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0906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'Vertikální analýza'!$B$116</c:f>
              <c:strCache>
                <c:ptCount val="1"/>
                <c:pt idx="0">
                  <c:v>Rodinný pivovar BERNARD, a.s.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analýza'!$C$115:$L$115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'Vertikální analýza'!$C$116:$L$116</c:f>
              <c:numCache>
                <c:formatCode>0.00%</c:formatCode>
                <c:ptCount val="10"/>
                <c:pt idx="0">
                  <c:v>0.61939999999999995</c:v>
                </c:pt>
                <c:pt idx="1">
                  <c:v>0.69379999999999997</c:v>
                </c:pt>
                <c:pt idx="2">
                  <c:v>0.72440000000000004</c:v>
                </c:pt>
                <c:pt idx="3">
                  <c:v>0.68430000000000002</c:v>
                </c:pt>
                <c:pt idx="4">
                  <c:v>0.67769999999999997</c:v>
                </c:pt>
                <c:pt idx="5">
                  <c:v>0.69399999999999995</c:v>
                </c:pt>
                <c:pt idx="6">
                  <c:v>0.73599999999999999</c:v>
                </c:pt>
                <c:pt idx="7">
                  <c:v>0.73219999999999996</c:v>
                </c:pt>
                <c:pt idx="8">
                  <c:v>0.7329</c:v>
                </c:pt>
                <c:pt idx="9">
                  <c:v>0.73809999999999998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B-46F1-8D72-05C474F252DB}"/>
            </c:ext>
          </c:extLst>
        </c:ser>
        <c:ser>
          <c:idx val="1"/>
          <c:order val="1"/>
          <c:tx>
            <c:strRef>
              <c:f>'Vertikální analýza'!$B$117</c:f>
              <c:strCache>
                <c:ptCount val="1"/>
                <c:pt idx="0">
                  <c:v>Odvětví nápojů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'Vertikální analýza'!$C$115:$L$115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'Vertikální analýza'!$C$117:$L$117</c:f>
              <c:numCache>
                <c:formatCode>0.00%</c:formatCode>
                <c:ptCount val="10"/>
                <c:pt idx="0">
                  <c:v>0.47160000000000002</c:v>
                </c:pt>
                <c:pt idx="1">
                  <c:v>0.45119999999999999</c:v>
                </c:pt>
                <c:pt idx="2">
                  <c:v>0.36180000000000001</c:v>
                </c:pt>
                <c:pt idx="3">
                  <c:v>0.43609999999999999</c:v>
                </c:pt>
                <c:pt idx="4">
                  <c:v>0.41260000000000002</c:v>
                </c:pt>
                <c:pt idx="5">
                  <c:v>0.48930000000000001</c:v>
                </c:pt>
                <c:pt idx="6">
                  <c:v>0.47939999999999999</c:v>
                </c:pt>
                <c:pt idx="7">
                  <c:v>0.46860000000000002</c:v>
                </c:pt>
                <c:pt idx="8">
                  <c:v>0.47699999999999998</c:v>
                </c:pt>
                <c:pt idx="9">
                  <c:v>0.48709999999999998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B-46F1-8D72-05C474F25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85383743"/>
        <c:axId val="985384159"/>
      </c:barChart>
      <c:catAx>
        <c:axId val="985383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85384159"/>
        <c:crosses val="autoZero"/>
        <c:auto val="1"/>
        <c:lblAlgn val="ctr"/>
        <c:lblOffset val="100"/>
        <c:noMultiLvlLbl val="0"/>
      </c:catAx>
      <c:valAx>
        <c:axId val="98538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985383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cap="all" baseline="0">
                <a:solidFill>
                  <a:sysClr val="windowText" lastClr="000000"/>
                </a:solidFill>
                <a:effectLst/>
              </a:rPr>
              <a:t>Srovnání Celkové zadluženosti v letech 2010 - 2019</a:t>
            </a:r>
            <a:endParaRPr lang="cs-CZ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Zadluženost!$C$39</c:f>
              <c:strCache>
                <c:ptCount val="1"/>
                <c:pt idx="0">
                  <c:v>Rodinný pivovar BERNARD, a.s.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65921787709494E-2"/>
                  <c:y val="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79-49B0-A266-8339E7E32D0B}"/>
                </c:ext>
              </c:extLst>
            </c:dLbl>
            <c:dLbl>
              <c:idx val="1"/>
              <c:layout>
                <c:manualLayout>
                  <c:x val="-5.0279329608938571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79-49B0-A266-8339E7E32D0B}"/>
                </c:ext>
              </c:extLst>
            </c:dLbl>
            <c:dLbl>
              <c:idx val="2"/>
              <c:layout>
                <c:manualLayout>
                  <c:x val="-5.5865921787709549E-2"/>
                  <c:y val="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79-49B0-A266-8339E7E32D0B}"/>
                </c:ext>
              </c:extLst>
            </c:dLbl>
            <c:dLbl>
              <c:idx val="3"/>
              <c:layout>
                <c:manualLayout>
                  <c:x val="-5.8659217877095021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79-49B0-A266-8339E7E32D0B}"/>
                </c:ext>
              </c:extLst>
            </c:dLbl>
            <c:dLbl>
              <c:idx val="4"/>
              <c:layout>
                <c:manualLayout>
                  <c:x val="-5.8659217877095021E-2"/>
                  <c:y val="4.1666666666666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79-49B0-A266-8339E7E32D0B}"/>
                </c:ext>
              </c:extLst>
            </c:dLbl>
            <c:dLbl>
              <c:idx val="5"/>
              <c:layout>
                <c:manualLayout>
                  <c:x val="-4.7486033519553071E-2"/>
                  <c:y val="-5.092592592592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79-49B0-A266-8339E7E32D0B}"/>
                </c:ext>
              </c:extLst>
            </c:dLbl>
            <c:dLbl>
              <c:idx val="6"/>
              <c:layout>
                <c:manualLayout>
                  <c:x val="-5.027932960893855E-2"/>
                  <c:y val="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79-49B0-A266-8339E7E32D0B}"/>
                </c:ext>
              </c:extLst>
            </c:dLbl>
            <c:dLbl>
              <c:idx val="7"/>
              <c:layout>
                <c:manualLayout>
                  <c:x val="-7.5418994413407825E-2"/>
                  <c:y val="-4.166666666666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79-49B0-A266-8339E7E32D0B}"/>
                </c:ext>
              </c:extLst>
            </c:dLbl>
            <c:dLbl>
              <c:idx val="8"/>
              <c:layout>
                <c:manualLayout>
                  <c:x val="-5.5865921787709598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79-49B0-A266-8339E7E32D0B}"/>
                </c:ext>
              </c:extLst>
            </c:dLbl>
            <c:dLbl>
              <c:idx val="9"/>
              <c:layout>
                <c:manualLayout>
                  <c:x val="-3.3519553072625802E-2"/>
                  <c:y val="-4.166666666666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79-49B0-A266-8339E7E32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Zadluženost!$D$38:$M$38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Zadluženost!$D$39:$M$39</c:f>
              <c:numCache>
                <c:formatCode>0.00%</c:formatCode>
                <c:ptCount val="10"/>
                <c:pt idx="0">
                  <c:v>0.31090000000000001</c:v>
                </c:pt>
                <c:pt idx="1">
                  <c:v>0.24229999999999999</c:v>
                </c:pt>
                <c:pt idx="2">
                  <c:v>0.21679999999999999</c:v>
                </c:pt>
                <c:pt idx="3">
                  <c:v>0.2555</c:v>
                </c:pt>
                <c:pt idx="4">
                  <c:v>0.26100000000000001</c:v>
                </c:pt>
                <c:pt idx="5">
                  <c:v>0.26619999999999999</c:v>
                </c:pt>
                <c:pt idx="6">
                  <c:v>0.23300000000000001</c:v>
                </c:pt>
                <c:pt idx="7">
                  <c:v>0.2404</c:v>
                </c:pt>
                <c:pt idx="8">
                  <c:v>0.2671</c:v>
                </c:pt>
                <c:pt idx="9">
                  <c:v>0.26190000000000002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9-49B0-A266-8339E7E32D0B}"/>
            </c:ext>
          </c:extLst>
        </c:ser>
        <c:ser>
          <c:idx val="1"/>
          <c:order val="1"/>
          <c:tx>
            <c:strRef>
              <c:f>Zadluženost!$C$40</c:f>
              <c:strCache>
                <c:ptCount val="1"/>
                <c:pt idx="0">
                  <c:v>Odvětví nápojů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279329608938571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9-49B0-A266-8339E7E32D0B}"/>
                </c:ext>
              </c:extLst>
            </c:dLbl>
            <c:dLbl>
              <c:idx val="1"/>
              <c:layout>
                <c:manualLayout>
                  <c:x val="-5.8659217877094973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9-49B0-A266-8339E7E32D0B}"/>
                </c:ext>
              </c:extLst>
            </c:dLbl>
            <c:dLbl>
              <c:idx val="2"/>
              <c:layout>
                <c:manualLayout>
                  <c:x val="-6.4245810055865923E-2"/>
                  <c:y val="-4.6296296296296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79-49B0-A266-8339E7E32D0B}"/>
                </c:ext>
              </c:extLst>
            </c:dLbl>
            <c:dLbl>
              <c:idx val="3"/>
              <c:layout>
                <c:manualLayout>
                  <c:x val="-7.2625698324022395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79-49B0-A266-8339E7E32D0B}"/>
                </c:ext>
              </c:extLst>
            </c:dLbl>
            <c:dLbl>
              <c:idx val="4"/>
              <c:layout>
                <c:manualLayout>
                  <c:x val="-5.586592178770959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79-49B0-A266-8339E7E32D0B}"/>
                </c:ext>
              </c:extLst>
            </c:dLbl>
            <c:dLbl>
              <c:idx val="5"/>
              <c:layout>
                <c:manualLayout>
                  <c:x val="-7.5418994413407825E-2"/>
                  <c:y val="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79-49B0-A266-8339E7E32D0B}"/>
                </c:ext>
              </c:extLst>
            </c:dLbl>
            <c:dLbl>
              <c:idx val="6"/>
              <c:layout>
                <c:manualLayout>
                  <c:x val="-7.2625698324022353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79-49B0-A266-8339E7E32D0B}"/>
                </c:ext>
              </c:extLst>
            </c:dLbl>
            <c:dLbl>
              <c:idx val="7"/>
              <c:layout>
                <c:manualLayout>
                  <c:x val="-6.7039106145251395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79-49B0-A266-8339E7E32D0B}"/>
                </c:ext>
              </c:extLst>
            </c:dLbl>
            <c:dLbl>
              <c:idx val="8"/>
              <c:layout>
                <c:manualLayout>
                  <c:x val="-6.1452513966480549E-2"/>
                  <c:y val="-5.092592592592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79-49B0-A266-8339E7E32D0B}"/>
                </c:ext>
              </c:extLst>
            </c:dLbl>
            <c:dLbl>
              <c:idx val="9"/>
              <c:layout>
                <c:manualLayout>
                  <c:x val="-2.23463687150838E-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79-49B0-A266-8339E7E32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Zadluženost!$D$38:$M$38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Zadluženost!$D$40:$M$40</c:f>
              <c:numCache>
                <c:formatCode>0.00%</c:formatCode>
                <c:ptCount val="10"/>
                <c:pt idx="0">
                  <c:v>0.52329999999999999</c:v>
                </c:pt>
                <c:pt idx="1">
                  <c:v>0.54379999999999995</c:v>
                </c:pt>
                <c:pt idx="2">
                  <c:v>0.63580000000000003</c:v>
                </c:pt>
                <c:pt idx="3">
                  <c:v>0.56320000000000003</c:v>
                </c:pt>
                <c:pt idx="4">
                  <c:v>0.58520000000000005</c:v>
                </c:pt>
                <c:pt idx="5">
                  <c:v>0.51039999999999996</c:v>
                </c:pt>
                <c:pt idx="6">
                  <c:v>0.51939999999999997</c:v>
                </c:pt>
                <c:pt idx="7">
                  <c:v>0.52939999999999998</c:v>
                </c:pt>
                <c:pt idx="8">
                  <c:v>0.52100000000000002</c:v>
                </c:pt>
                <c:pt idx="9">
                  <c:v>0.51090000000000002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9-49B0-A266-8339E7E32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671423"/>
        <c:axId val="1049651871"/>
      </c:lineChart>
      <c:catAx>
        <c:axId val="10496714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49651871"/>
        <c:crosses val="autoZero"/>
        <c:auto val="1"/>
        <c:lblAlgn val="ctr"/>
        <c:lblOffset val="100"/>
        <c:noMultiLvlLbl val="0"/>
      </c:catAx>
      <c:valAx>
        <c:axId val="1049651871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4967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chart" Target="../charts/chart21.xml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595312</xdr:colOff>
      <xdr:row>16</xdr:row>
      <xdr:rowOff>80962</xdr:rowOff>
    </xdr:from>
    <xdr:to>
      <xdr:col>34</xdr:col>
      <xdr:colOff>341312</xdr:colOff>
      <xdr:row>29</xdr:row>
      <xdr:rowOff>204787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AC34B01-B8EC-4FDE-9D32-325368DE38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587373</xdr:colOff>
      <xdr:row>31</xdr:row>
      <xdr:rowOff>46567</xdr:rowOff>
    </xdr:from>
    <xdr:to>
      <xdr:col>34</xdr:col>
      <xdr:colOff>248707</xdr:colOff>
      <xdr:row>44</xdr:row>
      <xdr:rowOff>186267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712B1F8-069D-4DEE-90B7-48BC080F30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334887</xdr:colOff>
      <xdr:row>53</xdr:row>
      <xdr:rowOff>13608</xdr:rowOff>
    </xdr:from>
    <xdr:to>
      <xdr:col>34</xdr:col>
      <xdr:colOff>381000</xdr:colOff>
      <xdr:row>70</xdr:row>
      <xdr:rowOff>3024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D5FF8FF-6CF0-4BA0-8BDC-F29E8B61CB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462643</xdr:colOff>
      <xdr:row>52</xdr:row>
      <xdr:rowOff>200025</xdr:rowOff>
    </xdr:from>
    <xdr:to>
      <xdr:col>43</xdr:col>
      <xdr:colOff>544285</xdr:colOff>
      <xdr:row>69</xdr:row>
      <xdr:rowOff>176893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E3B58CCB-1090-4577-B8AA-BB7F219BF6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346981</xdr:colOff>
      <xdr:row>75</xdr:row>
      <xdr:rowOff>23131</xdr:rowOff>
    </xdr:from>
    <xdr:to>
      <xdr:col>34</xdr:col>
      <xdr:colOff>20410</xdr:colOff>
      <xdr:row>88</xdr:row>
      <xdr:rowOff>112939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4DC4CD5-A9E5-488C-BCB9-52686C8130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496661</xdr:colOff>
      <xdr:row>75</xdr:row>
      <xdr:rowOff>23131</xdr:rowOff>
    </xdr:from>
    <xdr:to>
      <xdr:col>43</xdr:col>
      <xdr:colOff>170089</xdr:colOff>
      <xdr:row>88</xdr:row>
      <xdr:rowOff>112939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431FDA39-DF96-4D3F-84D9-35B9C88056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2320018</xdr:colOff>
      <xdr:row>144</xdr:row>
      <xdr:rowOff>145596</xdr:rowOff>
    </xdr:from>
    <xdr:to>
      <xdr:col>6</xdr:col>
      <xdr:colOff>142875</xdr:colOff>
      <xdr:row>159</xdr:row>
      <xdr:rowOff>31296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A9C6FC6D-EC75-4382-9669-BC4299F47B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2450522</xdr:colOff>
      <xdr:row>118</xdr:row>
      <xdr:rowOff>117764</xdr:rowOff>
    </xdr:from>
    <xdr:to>
      <xdr:col>6</xdr:col>
      <xdr:colOff>285749</xdr:colOff>
      <xdr:row>133</xdr:row>
      <xdr:rowOff>3464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427EEC7C-177C-4CC3-B501-BB46E56908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292096</xdr:colOff>
      <xdr:row>1</xdr:row>
      <xdr:rowOff>188384</xdr:rowOff>
    </xdr:from>
    <xdr:to>
      <xdr:col>6</xdr:col>
      <xdr:colOff>380999</xdr:colOff>
      <xdr:row>4</xdr:row>
      <xdr:rowOff>142875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>
              <a:extLst>
                <a:ext uri="{FF2B5EF4-FFF2-40B4-BE49-F238E27FC236}">
                  <a16:creationId xmlns:a16="http://schemas.microsoft.com/office/drawing/2014/main" id="{65677EBF-605A-4028-A9EB-A062DF203D7F}"/>
                </a:ext>
              </a:extLst>
            </xdr:cNvPr>
            <xdr:cNvSpPr txBox="1"/>
          </xdr:nvSpPr>
          <xdr:spPr>
            <a:xfrm>
              <a:off x="895346" y="378884"/>
              <a:ext cx="3105153" cy="525991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/>
                <a:t>Ukazatel</a:t>
              </a:r>
              <a:r>
                <a:rPr lang="cs-CZ" sz="1100" b="1" baseline="0"/>
                <a:t> věřitelského rizika </a:t>
              </a:r>
              <a14:m>
                <m:oMath xmlns:m="http://schemas.openxmlformats.org/officeDocument/2006/math">
                  <m:r>
                    <a:rPr lang="cs-CZ" sz="11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𝑐𝑖𝑧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í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𝑧𝑑𝑟𝑜𝑗𝑒</m:t>
                      </m:r>
                    </m:num>
                    <m:den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𝑎𝑘𝑡𝑖𝑣𝑎</m:t>
                      </m:r>
                    </m:den>
                  </m:f>
                </m:oMath>
              </a14:m>
              <a:r>
                <a:rPr lang="cs-CZ" sz="1100"/>
                <a:t> * 100</a:t>
              </a:r>
            </a:p>
            <a:p>
              <a:endParaRPr lang="cs-CZ" sz="1100"/>
            </a:p>
          </xdr:txBody>
        </xdr:sp>
      </mc:Choice>
      <mc:Fallback xmlns="">
        <xdr:sp macro="" textlink="">
          <xdr:nvSpPr>
            <xdr:cNvPr id="2" name="TextovéPole 1">
              <a:extLst>
                <a:ext uri="{FF2B5EF4-FFF2-40B4-BE49-F238E27FC236}">
                  <a16:creationId xmlns:a16="http://schemas.microsoft.com/office/drawing/2014/main" id="{65677EBF-605A-4028-A9EB-A062DF203D7F}"/>
                </a:ext>
              </a:extLst>
            </xdr:cNvPr>
            <xdr:cNvSpPr txBox="1"/>
          </xdr:nvSpPr>
          <xdr:spPr>
            <a:xfrm>
              <a:off x="895346" y="378884"/>
              <a:ext cx="3105153" cy="525991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/>
                <a:t>Ukazatel</a:t>
              </a:r>
              <a:r>
                <a:rPr lang="cs-CZ" sz="1100" b="1" baseline="0"/>
                <a:t> věřitelského rizika </a:t>
              </a:r>
              <a:r>
                <a:rPr lang="cs-CZ" sz="1100" i="0">
                  <a:latin typeface="Cambria Math" panose="02040503050406030204" pitchFamily="18" charset="0"/>
                </a:rPr>
                <a:t>=(</a:t>
              </a:r>
              <a:r>
                <a:rPr lang="cs-CZ" sz="1100" b="0" i="0">
                  <a:latin typeface="Cambria Math" panose="02040503050406030204" pitchFamily="18" charset="0"/>
                </a:rPr>
                <a:t>𝑐𝑖𝑧í 𝑧𝑑𝑟𝑜𝑗𝑒)/𝑎𝑘𝑡𝑖𝑣𝑎</a:t>
              </a:r>
              <a:r>
                <a:rPr lang="cs-CZ" sz="1100"/>
                <a:t> * 100</a:t>
              </a:r>
            </a:p>
            <a:p>
              <a:endParaRPr lang="cs-CZ" sz="1100"/>
            </a:p>
          </xdr:txBody>
        </xdr:sp>
      </mc:Fallback>
    </mc:AlternateContent>
    <xdr:clientData/>
  </xdr:twoCellAnchor>
  <xdr:twoCellAnchor>
    <xdr:from>
      <xdr:col>6</xdr:col>
      <xdr:colOff>571499</xdr:colOff>
      <xdr:row>8</xdr:row>
      <xdr:rowOff>79375</xdr:rowOff>
    </xdr:from>
    <xdr:to>
      <xdr:col>12</xdr:col>
      <xdr:colOff>587374</xdr:colOff>
      <xdr:row>11</xdr:row>
      <xdr:rowOff>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>
              <a:extLst>
                <a:ext uri="{FF2B5EF4-FFF2-40B4-BE49-F238E27FC236}">
                  <a16:creationId xmlns:a16="http://schemas.microsoft.com/office/drawing/2014/main" id="{43ABCB07-1EEF-4FC3-9300-E3972A6A121F}"/>
                </a:ext>
              </a:extLst>
            </xdr:cNvPr>
            <xdr:cNvSpPr txBox="1"/>
          </xdr:nvSpPr>
          <xdr:spPr>
            <a:xfrm>
              <a:off x="4190999" y="1603375"/>
              <a:ext cx="3635375" cy="492126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 i="0">
                  <a:latin typeface="+mn-lt"/>
                </a:rPr>
                <a:t>Úrokové krytí</a:t>
              </a:r>
              <a14:m>
                <m:oMath xmlns:m="http://schemas.openxmlformats.org/officeDocument/2006/math">
                  <m:r>
                    <a:rPr lang="cs-CZ" sz="1100" b="1" i="0">
                      <a:latin typeface="Cambria Math" panose="02040503050406030204" pitchFamily="18" charset="0"/>
                    </a:rPr>
                    <m:t> </m:t>
                  </m:r>
                  <m:r>
                    <a:rPr lang="cs-CZ" sz="11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𝐸𝐵𝐼𝑇</m:t>
                      </m:r>
                    </m:num>
                    <m:den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𝑛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𝑘𝑙𝑎𝑑𝑜𝑣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é ú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𝑟𝑜𝑘𝑦</m:t>
                      </m:r>
                    </m:den>
                  </m:f>
                </m:oMath>
              </a14:m>
              <a:endParaRPr lang="cs-CZ" sz="1100"/>
            </a:p>
            <a:p>
              <a:r>
                <a:rPr lang="cs-CZ" sz="1100"/>
                <a:t> </a:t>
              </a:r>
            </a:p>
          </xdr:txBody>
        </xdr:sp>
      </mc:Choice>
      <mc:Fallback xmlns="">
        <xdr:sp macro="" textlink="">
          <xdr:nvSpPr>
            <xdr:cNvPr id="3" name="TextovéPole 2">
              <a:extLst>
                <a:ext uri="{FF2B5EF4-FFF2-40B4-BE49-F238E27FC236}">
                  <a16:creationId xmlns:a16="http://schemas.microsoft.com/office/drawing/2014/main" id="{43ABCB07-1EEF-4FC3-9300-E3972A6A121F}"/>
                </a:ext>
              </a:extLst>
            </xdr:cNvPr>
            <xdr:cNvSpPr txBox="1"/>
          </xdr:nvSpPr>
          <xdr:spPr>
            <a:xfrm>
              <a:off x="4190999" y="1603375"/>
              <a:ext cx="3635375" cy="492126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 i="0">
                  <a:latin typeface="+mn-lt"/>
                </a:rPr>
                <a:t>Úrokové krytí</a:t>
              </a:r>
              <a:r>
                <a:rPr lang="cs-CZ" sz="1100" b="1" i="0">
                  <a:latin typeface="Cambria Math" panose="02040503050406030204" pitchFamily="18" charset="0"/>
                </a:rPr>
                <a:t> </a:t>
              </a:r>
              <a:r>
                <a:rPr lang="cs-CZ" sz="1100" i="0">
                  <a:latin typeface="Cambria Math" panose="02040503050406030204" pitchFamily="18" charset="0"/>
                </a:rPr>
                <a:t>=</a:t>
              </a:r>
              <a:r>
                <a:rPr lang="cs-CZ" sz="1100" b="0" i="0">
                  <a:latin typeface="Cambria Math" panose="02040503050406030204" pitchFamily="18" charset="0"/>
                </a:rPr>
                <a:t>𝐸𝐵𝐼𝑇/(𝑛á𝑘𝑙𝑎𝑑𝑜𝑣é ú𝑟𝑜𝑘𝑦)</a:t>
              </a:r>
              <a:endParaRPr lang="cs-CZ" sz="1100"/>
            </a:p>
            <a:p>
              <a:r>
                <a:rPr lang="cs-CZ" sz="1100"/>
                <a:t> </a:t>
              </a:r>
            </a:p>
          </xdr:txBody>
        </xdr:sp>
      </mc:Fallback>
    </mc:AlternateContent>
    <xdr:clientData/>
  </xdr:twoCellAnchor>
  <xdr:twoCellAnchor>
    <xdr:from>
      <xdr:col>6</xdr:col>
      <xdr:colOff>571973</xdr:colOff>
      <xdr:row>5</xdr:row>
      <xdr:rowOff>10729</xdr:rowOff>
    </xdr:from>
    <xdr:to>
      <xdr:col>12</xdr:col>
      <xdr:colOff>587374</xdr:colOff>
      <xdr:row>7</xdr:row>
      <xdr:rowOff>133350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>
              <a:extLst>
                <a:ext uri="{FF2B5EF4-FFF2-40B4-BE49-F238E27FC236}">
                  <a16:creationId xmlns:a16="http://schemas.microsoft.com/office/drawing/2014/main" id="{BCD6A344-15D4-45EB-9B69-8098CA9D92B2}"/>
                </a:ext>
              </a:extLst>
            </xdr:cNvPr>
            <xdr:cNvSpPr txBox="1"/>
          </xdr:nvSpPr>
          <xdr:spPr>
            <a:xfrm>
              <a:off x="4191473" y="963229"/>
              <a:ext cx="3634901" cy="503621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 i="0">
                  <a:latin typeface="+mn-lt"/>
                </a:rPr>
                <a:t>Poměr</a:t>
              </a:r>
              <a:r>
                <a:rPr lang="cs-CZ" sz="1100" b="1" i="0" baseline="0">
                  <a:latin typeface="+mn-lt"/>
                </a:rPr>
                <a:t> cizího a vlastního kapitálu</a:t>
              </a:r>
              <a14:m>
                <m:oMath xmlns:m="http://schemas.openxmlformats.org/officeDocument/2006/math">
                  <m:r>
                    <a:rPr lang="cs-CZ" sz="1100" b="1" i="0">
                      <a:latin typeface="Cambria Math" panose="02040503050406030204" pitchFamily="18" charset="0"/>
                    </a:rPr>
                    <m:t> </m:t>
                  </m:r>
                  <m:r>
                    <a:rPr lang="cs-CZ" sz="11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𝑐𝑖𝑧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í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𝑘𝑎𝑝𝑖𝑡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𝑙</m:t>
                      </m:r>
                    </m:num>
                    <m:den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𝑣𝑙𝑎𝑠𝑡𝑛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í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𝑘𝑎𝑝𝑖𝑡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𝑙</m:t>
                      </m:r>
                    </m:den>
                  </m:f>
                </m:oMath>
              </a14:m>
              <a:r>
                <a:rPr lang="cs-CZ" sz="1100"/>
                <a:t>*100</a:t>
              </a:r>
            </a:p>
            <a:p>
              <a:r>
                <a:rPr lang="cs-CZ" sz="1100"/>
                <a:t> </a:t>
              </a:r>
            </a:p>
          </xdr:txBody>
        </xdr:sp>
      </mc:Choice>
      <mc:Fallback xmlns="">
        <xdr:sp macro="" textlink="">
          <xdr:nvSpPr>
            <xdr:cNvPr id="4" name="TextovéPole 3">
              <a:extLst>
                <a:ext uri="{FF2B5EF4-FFF2-40B4-BE49-F238E27FC236}">
                  <a16:creationId xmlns:a16="http://schemas.microsoft.com/office/drawing/2014/main" id="{BCD6A344-15D4-45EB-9B69-8098CA9D92B2}"/>
                </a:ext>
              </a:extLst>
            </xdr:cNvPr>
            <xdr:cNvSpPr txBox="1"/>
          </xdr:nvSpPr>
          <xdr:spPr>
            <a:xfrm>
              <a:off x="4191473" y="963229"/>
              <a:ext cx="3634901" cy="503621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 i="0">
                  <a:latin typeface="+mn-lt"/>
                </a:rPr>
                <a:t>Poměr</a:t>
              </a:r>
              <a:r>
                <a:rPr lang="cs-CZ" sz="1100" b="1" i="0" baseline="0">
                  <a:latin typeface="+mn-lt"/>
                </a:rPr>
                <a:t> cizího a vlastního kapitálu</a:t>
              </a:r>
              <a:r>
                <a:rPr lang="cs-CZ" sz="1100" b="1" i="0">
                  <a:latin typeface="Cambria Math" panose="02040503050406030204" pitchFamily="18" charset="0"/>
                </a:rPr>
                <a:t> </a:t>
              </a:r>
              <a:r>
                <a:rPr lang="cs-CZ" sz="1100" i="0">
                  <a:latin typeface="Cambria Math" panose="02040503050406030204" pitchFamily="18" charset="0"/>
                </a:rPr>
                <a:t>=(</a:t>
              </a:r>
              <a:r>
                <a:rPr lang="cs-CZ" sz="1100" b="0" i="0">
                  <a:latin typeface="Cambria Math" panose="02040503050406030204" pitchFamily="18" charset="0"/>
                </a:rPr>
                <a:t>𝑐𝑖𝑧í 𝑘𝑎𝑝𝑖𝑡á𝑙)/(𝑣𝑙𝑎𝑠𝑡𝑛í 𝑘𝑎𝑝𝑖𝑡á𝑙)</a:t>
              </a:r>
              <a:r>
                <a:rPr lang="cs-CZ" sz="1100"/>
                <a:t>*100</a:t>
              </a:r>
            </a:p>
            <a:p>
              <a:r>
                <a:rPr lang="cs-CZ" sz="1100"/>
                <a:t> </a:t>
              </a:r>
            </a:p>
          </xdr:txBody>
        </xdr:sp>
      </mc:Fallback>
    </mc:AlternateContent>
    <xdr:clientData/>
  </xdr:twoCellAnchor>
  <xdr:twoCellAnchor>
    <xdr:from>
      <xdr:col>6</xdr:col>
      <xdr:colOff>582082</xdr:colOff>
      <xdr:row>2</xdr:row>
      <xdr:rowOff>3527</xdr:rowOff>
    </xdr:from>
    <xdr:to>
      <xdr:col>12</xdr:col>
      <xdr:colOff>571500</xdr:colOff>
      <xdr:row>4</xdr:row>
      <xdr:rowOff>133350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ovéPole 4">
              <a:extLst>
                <a:ext uri="{FF2B5EF4-FFF2-40B4-BE49-F238E27FC236}">
                  <a16:creationId xmlns:a16="http://schemas.microsoft.com/office/drawing/2014/main" id="{2F0B262F-073F-412C-9920-EE67CBB30D22}"/>
                </a:ext>
              </a:extLst>
            </xdr:cNvPr>
            <xdr:cNvSpPr txBox="1"/>
          </xdr:nvSpPr>
          <xdr:spPr>
            <a:xfrm>
              <a:off x="4201582" y="384527"/>
              <a:ext cx="3608918" cy="510823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 i="0">
                  <a:latin typeface="+mn-lt"/>
                </a:rPr>
                <a:t>Koeficient</a:t>
              </a:r>
              <a:r>
                <a:rPr lang="cs-CZ" sz="1100" b="1" i="0" baseline="0">
                  <a:latin typeface="+mn-lt"/>
                </a:rPr>
                <a:t> samofinancování</a:t>
              </a:r>
              <a14:m>
                <m:oMath xmlns:m="http://schemas.openxmlformats.org/officeDocument/2006/math">
                  <m:r>
                    <a:rPr lang="cs-CZ" sz="1100" b="1" i="0">
                      <a:latin typeface="Cambria Math" panose="02040503050406030204" pitchFamily="18" charset="0"/>
                    </a:rPr>
                    <m:t> </m:t>
                  </m:r>
                  <m:r>
                    <a:rPr lang="cs-CZ" sz="11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𝑣𝑙𝑎𝑠𝑡𝑛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í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𝑘𝑎𝑝𝑖𝑡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𝑙</m:t>
                      </m:r>
                    </m:num>
                    <m:den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𝑎𝑘𝑡𝑖𝑣𝑎</m:t>
                      </m:r>
                    </m:den>
                  </m:f>
                </m:oMath>
              </a14:m>
              <a:r>
                <a:rPr lang="cs-CZ" sz="1100"/>
                <a:t>* 100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</xdr:txBody>
        </xdr:sp>
      </mc:Choice>
      <mc:Fallback xmlns="">
        <xdr:sp macro="" textlink="">
          <xdr:nvSpPr>
            <xdr:cNvPr id="5" name="TextovéPole 4">
              <a:extLst>
                <a:ext uri="{FF2B5EF4-FFF2-40B4-BE49-F238E27FC236}">
                  <a16:creationId xmlns:a16="http://schemas.microsoft.com/office/drawing/2014/main" id="{2F0B262F-073F-412C-9920-EE67CBB30D22}"/>
                </a:ext>
              </a:extLst>
            </xdr:cNvPr>
            <xdr:cNvSpPr txBox="1"/>
          </xdr:nvSpPr>
          <xdr:spPr>
            <a:xfrm>
              <a:off x="4201582" y="384527"/>
              <a:ext cx="3608918" cy="510823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 i="0">
                  <a:latin typeface="+mn-lt"/>
                </a:rPr>
                <a:t>Koeficient</a:t>
              </a:r>
              <a:r>
                <a:rPr lang="cs-CZ" sz="1100" b="1" i="0" baseline="0">
                  <a:latin typeface="+mn-lt"/>
                </a:rPr>
                <a:t> samofinancování</a:t>
              </a:r>
              <a:r>
                <a:rPr lang="cs-CZ" sz="1100" b="1" i="0">
                  <a:latin typeface="Cambria Math" panose="02040503050406030204" pitchFamily="18" charset="0"/>
                </a:rPr>
                <a:t> </a:t>
              </a:r>
              <a:r>
                <a:rPr lang="cs-CZ" sz="1100" i="0">
                  <a:latin typeface="Cambria Math" panose="02040503050406030204" pitchFamily="18" charset="0"/>
                </a:rPr>
                <a:t>=(</a:t>
              </a:r>
              <a:r>
                <a:rPr lang="cs-CZ" sz="1100" b="0" i="0">
                  <a:latin typeface="Cambria Math" panose="02040503050406030204" pitchFamily="18" charset="0"/>
                </a:rPr>
                <a:t>𝑣𝑙𝑎𝑠𝑡𝑛í 𝑘𝑎𝑝𝑖𝑡á𝑙)/𝑎𝑘𝑡𝑖𝑣𝑎</a:t>
              </a:r>
              <a:r>
                <a:rPr lang="cs-CZ" sz="1100"/>
                <a:t>* 100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</xdr:txBody>
        </xdr:sp>
      </mc:Fallback>
    </mc:AlternateContent>
    <xdr:clientData/>
  </xdr:twoCellAnchor>
  <xdr:twoCellAnchor>
    <xdr:from>
      <xdr:col>6</xdr:col>
      <xdr:colOff>571500</xdr:colOff>
      <xdr:row>11</xdr:row>
      <xdr:rowOff>76200</xdr:rowOff>
    </xdr:from>
    <xdr:to>
      <xdr:col>12</xdr:col>
      <xdr:colOff>571500</xdr:colOff>
      <xdr:row>14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ovéPole 5">
              <a:extLst>
                <a:ext uri="{FF2B5EF4-FFF2-40B4-BE49-F238E27FC236}">
                  <a16:creationId xmlns:a16="http://schemas.microsoft.com/office/drawing/2014/main" id="{1A46B88A-8358-448A-A923-A653EFE83AD5}"/>
                </a:ext>
              </a:extLst>
            </xdr:cNvPr>
            <xdr:cNvSpPr txBox="1"/>
          </xdr:nvSpPr>
          <xdr:spPr>
            <a:xfrm>
              <a:off x="4191000" y="2171700"/>
              <a:ext cx="3619500" cy="495300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Úrokové zatížení </a:t>
              </a:r>
              <a14:m>
                <m:oMath xmlns:m="http://schemas.openxmlformats.org/officeDocument/2006/math">
                  <m:r>
                    <a:rPr lang="cs-CZ" sz="110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cs-CZ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𝑛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á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𝑘𝑙𝑎𝑑𝑜𝑣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é ú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𝑟𝑜𝑘𝑦</m:t>
                      </m:r>
                    </m:num>
                    <m:den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𝐸𝐵𝐼𝑇</m:t>
                      </m:r>
                    </m:den>
                  </m:f>
                </m:oMath>
              </a14:m>
              <a:r>
                <a:rPr lang="cs-CZ" sz="1100"/>
                <a:t> *100</a:t>
              </a:r>
            </a:p>
            <a:p>
              <a:endParaRPr lang="cs-CZ" sz="1100"/>
            </a:p>
          </xdr:txBody>
        </xdr:sp>
      </mc:Choice>
      <mc:Fallback xmlns="">
        <xdr:sp macro="" textlink="">
          <xdr:nvSpPr>
            <xdr:cNvPr id="6" name="TextovéPole 5">
              <a:extLst>
                <a:ext uri="{FF2B5EF4-FFF2-40B4-BE49-F238E27FC236}">
                  <a16:creationId xmlns:a16="http://schemas.microsoft.com/office/drawing/2014/main" id="{1A46B88A-8358-448A-A923-A653EFE83AD5}"/>
                </a:ext>
              </a:extLst>
            </xdr:cNvPr>
            <xdr:cNvSpPr txBox="1"/>
          </xdr:nvSpPr>
          <xdr:spPr>
            <a:xfrm>
              <a:off x="4191000" y="2171700"/>
              <a:ext cx="3619500" cy="495300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Úrokové zatížení </a:t>
              </a:r>
              <a:r>
                <a:rPr lang="cs-CZ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=(</a:t>
              </a:r>
              <a:r>
                <a:rPr lang="cs-CZ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𝑛á𝑘𝑙𝑎𝑑𝑜𝑣é ú𝑟𝑜𝑘𝑦)/𝐸𝐵𝐼𝑇</a:t>
              </a:r>
              <a:r>
                <a:rPr lang="cs-CZ" sz="1100"/>
                <a:t> *100</a:t>
              </a:r>
            </a:p>
            <a:p>
              <a:endParaRPr lang="cs-CZ" sz="1100"/>
            </a:p>
          </xdr:txBody>
        </xdr:sp>
      </mc:Fallback>
    </mc:AlternateContent>
    <xdr:clientData/>
  </xdr:twoCellAnchor>
  <xdr:twoCellAnchor>
    <xdr:from>
      <xdr:col>0</xdr:col>
      <xdr:colOff>525640</xdr:colOff>
      <xdr:row>6</xdr:row>
      <xdr:rowOff>95250</xdr:rowOff>
    </xdr:from>
    <xdr:to>
      <xdr:col>6</xdr:col>
      <xdr:colOff>349250</xdr:colOff>
      <xdr:row>12</xdr:row>
      <xdr:rowOff>47625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ovéPole 6">
              <a:extLst>
                <a:ext uri="{FF2B5EF4-FFF2-40B4-BE49-F238E27FC236}">
                  <a16:creationId xmlns:a16="http://schemas.microsoft.com/office/drawing/2014/main" id="{27A80B29-492C-4565-8819-7B47B336864C}"/>
                </a:ext>
              </a:extLst>
            </xdr:cNvPr>
            <xdr:cNvSpPr txBox="1"/>
          </xdr:nvSpPr>
          <xdr:spPr>
            <a:xfrm>
              <a:off x="525640" y="1238250"/>
              <a:ext cx="3443110" cy="1095375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 u="none"/>
                <a:t>Rozložení celkové zadluženosti:</a:t>
              </a:r>
            </a:p>
            <a:p>
              <a:endParaRPr lang="cs-CZ" sz="1100" u="none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/>
                <a:t>K</a:t>
              </a:r>
              <a14:m>
                <m:oMath xmlns:m="http://schemas.openxmlformats.org/officeDocument/2006/math">
                  <m:r>
                    <a:rPr lang="cs-CZ" sz="1100" b="1" i="0">
                      <a:latin typeface="Cambria Math" panose="02040503050406030204" pitchFamily="18" charset="0"/>
                    </a:rPr>
                    <m:t>𝐫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á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𝐭𝐤𝐨𝐝𝐨𝐛</m:t>
                  </m:r>
                  <m:r>
                    <a:rPr lang="cs-CZ" sz="1100" b="0" i="0">
                      <a:latin typeface="Cambria Math" panose="02040503050406030204" pitchFamily="18" charset="0"/>
                    </a:rPr>
                    <m:t>á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 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𝐳𝐚𝐝𝐥𝐮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ž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𝐞𝐧𝐨𝐬𝐭</m:t>
                  </m:r>
                  <m:r>
                    <a:rPr lang="cs-CZ" sz="11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𝑘𝑟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𝑡𝑘𝑜𝑑𝑜𝑏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é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𝑧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𝑣𝑎𝑧𝑘𝑦</m:t>
                      </m:r>
                    </m:num>
                    <m:den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𝑎𝑘𝑡𝑖𝑣𝑎</m:t>
                      </m:r>
                    </m:den>
                  </m:f>
                </m:oMath>
              </a14:m>
              <a:r>
                <a:rPr lang="cs-CZ" sz="1100"/>
                <a:t> * 100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/>
                <a:t>D</a:t>
              </a:r>
              <a14:m>
                <m:oMath xmlns:m="http://schemas.openxmlformats.org/officeDocument/2006/math">
                  <m:r>
                    <a:rPr lang="cs-CZ" sz="1100" b="1" i="0">
                      <a:latin typeface="Cambria Math" panose="02040503050406030204" pitchFamily="18" charset="0"/>
                    </a:rPr>
                    <m:t>𝐥𝐨𝐮𝐡𝐨𝐝𝐨𝐛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á 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𝐳𝐚𝐝𝐥𝐮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ž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𝐞𝐧𝐨𝐬𝐭</m:t>
                  </m:r>
                  <m:r>
                    <a:rPr lang="cs-CZ" sz="11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𝑑𝑙𝑜𝑢h𝑜𝑑𝑜𝑏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é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𝑧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𝑣𝑎𝑧𝑘𝑦</m:t>
                      </m:r>
                    </m:num>
                    <m:den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𝑎𝑘𝑡𝑖𝑣𝑎</m:t>
                      </m:r>
                    </m:den>
                  </m:f>
                </m:oMath>
              </a14:m>
              <a:r>
                <a:rPr lang="cs-CZ" sz="1100"/>
                <a:t> * 100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 b="1"/>
            </a:p>
            <a:p>
              <a:endParaRPr lang="cs-CZ" sz="1100" u="none"/>
            </a:p>
            <a:p>
              <a:endParaRPr lang="cs-CZ" sz="1100" u="none"/>
            </a:p>
          </xdr:txBody>
        </xdr:sp>
      </mc:Choice>
      <mc:Fallback xmlns="">
        <xdr:sp macro="" textlink="">
          <xdr:nvSpPr>
            <xdr:cNvPr id="7" name="TextovéPole 6">
              <a:extLst>
                <a:ext uri="{FF2B5EF4-FFF2-40B4-BE49-F238E27FC236}">
                  <a16:creationId xmlns:a16="http://schemas.microsoft.com/office/drawing/2014/main" id="{27A80B29-492C-4565-8819-7B47B336864C}"/>
                </a:ext>
              </a:extLst>
            </xdr:cNvPr>
            <xdr:cNvSpPr txBox="1"/>
          </xdr:nvSpPr>
          <xdr:spPr>
            <a:xfrm>
              <a:off x="525640" y="1238250"/>
              <a:ext cx="3443110" cy="1095375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 u="none"/>
                <a:t>Rozložení celkové zadluženosti:</a:t>
              </a:r>
            </a:p>
            <a:p>
              <a:endParaRPr lang="cs-CZ" sz="1100" u="none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/>
                <a:t>K</a:t>
              </a:r>
              <a:r>
                <a:rPr lang="cs-CZ" sz="1100" b="1" i="0">
                  <a:latin typeface="Cambria Math" panose="02040503050406030204" pitchFamily="18" charset="0"/>
                </a:rPr>
                <a:t>𝐫á𝐭𝐤𝐨𝐝𝐨𝐛</a:t>
              </a:r>
              <a:r>
                <a:rPr lang="cs-CZ" sz="1100" b="0" i="0">
                  <a:latin typeface="Cambria Math" panose="02040503050406030204" pitchFamily="18" charset="0"/>
                </a:rPr>
                <a:t>á</a:t>
              </a:r>
              <a:r>
                <a:rPr lang="cs-CZ" sz="1100" b="1" i="0">
                  <a:latin typeface="Cambria Math" panose="02040503050406030204" pitchFamily="18" charset="0"/>
                </a:rPr>
                <a:t> 𝐳𝐚𝐝𝐥𝐮ž𝐞𝐧𝐨𝐬𝐭</a:t>
              </a:r>
              <a:r>
                <a:rPr lang="cs-CZ" sz="1100" i="0">
                  <a:latin typeface="Cambria Math" panose="02040503050406030204" pitchFamily="18" charset="0"/>
                </a:rPr>
                <a:t>=(</a:t>
              </a:r>
              <a:r>
                <a:rPr lang="cs-CZ" sz="1100" b="0" i="0">
                  <a:latin typeface="Cambria Math" panose="02040503050406030204" pitchFamily="18" charset="0"/>
                </a:rPr>
                <a:t>𝑘𝑟á𝑡𝑘𝑜𝑑𝑜𝑏é 𝑧á𝑣𝑎𝑧𝑘𝑦)/𝑎𝑘𝑡𝑖𝑣𝑎</a:t>
              </a:r>
              <a:r>
                <a:rPr lang="cs-CZ" sz="1100"/>
                <a:t> * 100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/>
                <a:t>D</a:t>
              </a:r>
              <a:r>
                <a:rPr lang="cs-CZ" sz="1100" b="1" i="0">
                  <a:latin typeface="Cambria Math" panose="02040503050406030204" pitchFamily="18" charset="0"/>
                </a:rPr>
                <a:t>𝐥𝐨𝐮𝐡𝐨𝐝𝐨𝐛á 𝐳𝐚𝐝𝐥𝐮ž𝐞𝐧𝐨𝐬𝐭</a:t>
              </a:r>
              <a:r>
                <a:rPr lang="cs-CZ" sz="1100" i="0">
                  <a:latin typeface="Cambria Math" panose="02040503050406030204" pitchFamily="18" charset="0"/>
                </a:rPr>
                <a:t>=(</a:t>
              </a:r>
              <a:r>
                <a:rPr lang="cs-CZ" sz="1100" b="0" i="0">
                  <a:latin typeface="Cambria Math" panose="02040503050406030204" pitchFamily="18" charset="0"/>
                </a:rPr>
                <a:t>𝑑𝑙𝑜𝑢ℎ𝑜𝑑𝑜𝑏é 𝑧á𝑣𝑎𝑧𝑘𝑦)/𝑎𝑘𝑡𝑖𝑣𝑎</a:t>
              </a:r>
              <a:r>
                <a:rPr lang="cs-CZ" sz="1100"/>
                <a:t> * 100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 b="1"/>
            </a:p>
            <a:p>
              <a:endParaRPr lang="cs-CZ" sz="1100" u="none"/>
            </a:p>
            <a:p>
              <a:endParaRPr lang="cs-CZ" sz="1100" u="none"/>
            </a:p>
          </xdr:txBody>
        </xdr:sp>
      </mc:Fallback>
    </mc:AlternateContent>
    <xdr:clientData/>
  </xdr:twoCellAnchor>
  <xdr:twoCellAnchor>
    <xdr:from>
      <xdr:col>0</xdr:col>
      <xdr:colOff>536573</xdr:colOff>
      <xdr:row>14</xdr:row>
      <xdr:rowOff>120651</xdr:rowOff>
    </xdr:from>
    <xdr:to>
      <xdr:col>4</xdr:col>
      <xdr:colOff>190500</xdr:colOff>
      <xdr:row>17</xdr:row>
      <xdr:rowOff>25401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ovéPole 7">
              <a:extLst>
                <a:ext uri="{FF2B5EF4-FFF2-40B4-BE49-F238E27FC236}">
                  <a16:creationId xmlns:a16="http://schemas.microsoft.com/office/drawing/2014/main" id="{2E3A9048-8945-4264-BA82-E035DD8574D6}"/>
                </a:ext>
              </a:extLst>
            </xdr:cNvPr>
            <xdr:cNvSpPr txBox="1"/>
          </xdr:nvSpPr>
          <xdr:spPr>
            <a:xfrm>
              <a:off x="536573" y="2787651"/>
              <a:ext cx="4860927" cy="476250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M</a:t>
              </a:r>
              <a14:m>
                <m:oMath xmlns:m="http://schemas.openxmlformats.org/officeDocument/2006/math"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í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𝐫𝐚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𝐳𝐚𝐝𝐥𝐮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ž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𝐞𝐧𝐨𝐬𝐭𝐢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𝐛𝐚𝐧𝐤𝐨𝐯𝐧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í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𝐦𝐢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ú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𝐯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ě</m:t>
                  </m:r>
                  <m:r>
                    <a:rPr lang="cs-CZ" sz="1100" b="1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𝐫𝐲</m:t>
                  </m:r>
                  <m:r>
                    <a:rPr lang="cs-CZ" sz="110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cs-CZ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𝑧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á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𝑣𝑎𝑧𝑘𝑦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𝑘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ú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ě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𝑟𝑜𝑣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ý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𝑚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𝑖𝑛𝑠𝑡𝑖𝑡𝑢𝑐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í</m:t>
                      </m:r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𝑚</m:t>
                      </m:r>
                    </m:num>
                    <m:den>
                      <m:r>
                        <a:rPr lang="cs-CZ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𝑎𝑘𝑡𝑖𝑣𝑎</m:t>
                      </m:r>
                    </m:den>
                  </m:f>
                </m:oMath>
              </a14:m>
              <a:r>
                <a:rPr lang="cs-CZ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* 100</a:t>
              </a:r>
              <a:endParaRPr lang="cs-CZ">
                <a:effectLst/>
              </a:endParaRPr>
            </a:p>
            <a:p>
              <a:endParaRPr lang="cs-CZ" sz="1100"/>
            </a:p>
          </xdr:txBody>
        </xdr:sp>
      </mc:Choice>
      <mc:Fallback xmlns="">
        <xdr:sp macro="" textlink="">
          <xdr:nvSpPr>
            <xdr:cNvPr id="8" name="TextovéPole 7">
              <a:extLst>
                <a:ext uri="{FF2B5EF4-FFF2-40B4-BE49-F238E27FC236}">
                  <a16:creationId xmlns:a16="http://schemas.microsoft.com/office/drawing/2014/main" id="{2E3A9048-8945-4264-BA82-E035DD8574D6}"/>
                </a:ext>
              </a:extLst>
            </xdr:cNvPr>
            <xdr:cNvSpPr txBox="1"/>
          </xdr:nvSpPr>
          <xdr:spPr>
            <a:xfrm>
              <a:off x="536573" y="2787651"/>
              <a:ext cx="4860927" cy="476250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M</a:t>
              </a:r>
              <a:r>
                <a:rPr lang="cs-CZ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í𝐫𝐚 𝐳𝐚𝐝𝐥𝐮ž𝐞𝐧𝐨𝐬𝐭𝐢 𝐛𝐚𝐧𝐤𝐨𝐯𝐧í𝐦𝐢 ú𝐯ě𝐫𝐲</a:t>
              </a:r>
              <a:r>
                <a:rPr lang="cs-CZ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=(</a:t>
              </a:r>
              <a:r>
                <a:rPr lang="cs-CZ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𝑧á𝑣𝑎𝑧𝑘𝑦 𝑘 ú𝑣ě𝑟𝑜𝑣ý𝑚 𝑖𝑛𝑠𝑡𝑖𝑡𝑢𝑐í𝑚)/𝑎𝑘𝑡𝑖𝑣𝑎</a:t>
              </a:r>
              <a:r>
                <a:rPr lang="cs-CZ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* 100</a:t>
              </a:r>
              <a:endParaRPr lang="cs-CZ">
                <a:effectLst/>
              </a:endParaRPr>
            </a:p>
            <a:p>
              <a:endParaRPr lang="cs-CZ" sz="1100"/>
            </a:p>
          </xdr:txBody>
        </xdr:sp>
      </mc:Fallback>
    </mc:AlternateContent>
    <xdr:clientData/>
  </xdr:twoCellAnchor>
  <xdr:twoCellAnchor>
    <xdr:from>
      <xdr:col>2</xdr:col>
      <xdr:colOff>2730500</xdr:colOff>
      <xdr:row>42</xdr:row>
      <xdr:rowOff>33337</xdr:rowOff>
    </xdr:from>
    <xdr:to>
      <xdr:col>8</xdr:col>
      <xdr:colOff>238125</xdr:colOff>
      <xdr:row>56</xdr:row>
      <xdr:rowOff>109537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29CCF87B-0F25-4CD3-82B4-88E75407E0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2541984</xdr:colOff>
      <xdr:row>62</xdr:row>
      <xdr:rowOff>122634</xdr:rowOff>
    </xdr:from>
    <xdr:to>
      <xdr:col>8</xdr:col>
      <xdr:colOff>77391</xdr:colOff>
      <xdr:row>77</xdr:row>
      <xdr:rowOff>8334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68F31F96-EDE1-4BCF-A575-21DE196871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2490107</xdr:colOff>
      <xdr:row>84</xdr:row>
      <xdr:rowOff>186417</xdr:rowOff>
    </xdr:from>
    <xdr:to>
      <xdr:col>8</xdr:col>
      <xdr:colOff>13607</xdr:colOff>
      <xdr:row>99</xdr:row>
      <xdr:rowOff>72117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5AC4EA08-351A-4A98-9732-B9B8553B6E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707571</xdr:colOff>
      <xdr:row>41</xdr:row>
      <xdr:rowOff>77560</xdr:rowOff>
    </xdr:from>
    <xdr:to>
      <xdr:col>22</xdr:col>
      <xdr:colOff>435428</xdr:colOff>
      <xdr:row>55</xdr:row>
      <xdr:rowOff>153760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45FB958C-B0E9-486B-910E-98D5B18103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590550</xdr:colOff>
      <xdr:row>63</xdr:row>
      <xdr:rowOff>25853</xdr:rowOff>
    </xdr:from>
    <xdr:to>
      <xdr:col>22</xdr:col>
      <xdr:colOff>312964</xdr:colOff>
      <xdr:row>77</xdr:row>
      <xdr:rowOff>102053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7A811277-EC80-4DF7-88B0-6CF0110704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127000</xdr:colOff>
      <xdr:row>6</xdr:row>
      <xdr:rowOff>98425</xdr:rowOff>
    </xdr:from>
    <xdr:to>
      <xdr:col>8</xdr:col>
      <xdr:colOff>126999</xdr:colOff>
      <xdr:row>8</xdr:row>
      <xdr:rowOff>76200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>
              <a:extLst>
                <a:ext uri="{FF2B5EF4-FFF2-40B4-BE49-F238E27FC236}">
                  <a16:creationId xmlns:a16="http://schemas.microsoft.com/office/drawing/2014/main" id="{9816C023-C87E-4083-8416-CCE70E4A9C88}"/>
                </a:ext>
              </a:extLst>
            </xdr:cNvPr>
            <xdr:cNvSpPr txBox="1"/>
          </xdr:nvSpPr>
          <xdr:spPr>
            <a:xfrm>
              <a:off x="736600" y="1431925"/>
              <a:ext cx="5057774" cy="358775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 i="0">
                  <a:latin typeface="+mn-lt"/>
                </a:rPr>
                <a:t>Běžná</a:t>
              </a:r>
              <a:r>
                <a:rPr lang="cs-CZ" sz="1100" b="1" i="0" baseline="0">
                  <a:latin typeface="+mn-lt"/>
                </a:rPr>
                <a:t> likvidita (L3) </a:t>
              </a:r>
              <a14:m>
                <m:oMath xmlns:m="http://schemas.openxmlformats.org/officeDocument/2006/math">
                  <m:r>
                    <a:rPr lang="cs-CZ" sz="12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200" b="0" i="1">
                          <a:latin typeface="Cambria Math" panose="02040503050406030204" pitchFamily="18" charset="0"/>
                        </a:rPr>
                        <m:t>𝑜𝑏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ěž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𝑛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á 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𝑎𝑘𝑡𝑖𝑣𝑎</m:t>
                      </m:r>
                    </m:num>
                    <m:den>
                      <m:r>
                        <a:rPr lang="cs-CZ" sz="1200" b="0" i="1">
                          <a:latin typeface="Cambria Math" panose="02040503050406030204" pitchFamily="18" charset="0"/>
                        </a:rPr>
                        <m:t>𝑘𝑟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𝑡𝑘𝑜𝑑𝑜𝑏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é 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𝑧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200" b="0" i="1">
                          <a:latin typeface="Cambria Math" panose="02040503050406030204" pitchFamily="18" charset="0"/>
                        </a:rPr>
                        <m:t>𝑣𝑎𝑧𝑘𝑦</m:t>
                      </m:r>
                    </m:den>
                  </m:f>
                </m:oMath>
              </a14:m>
              <a:endParaRPr lang="cs-CZ" sz="1100"/>
            </a:p>
            <a:p>
              <a:endParaRPr lang="cs-CZ" sz="1000"/>
            </a:p>
          </xdr:txBody>
        </xdr:sp>
      </mc:Choice>
      <mc:Fallback xmlns="">
        <xdr:sp macro="" textlink="">
          <xdr:nvSpPr>
            <xdr:cNvPr id="2" name="TextovéPole 1">
              <a:extLst>
                <a:ext uri="{FF2B5EF4-FFF2-40B4-BE49-F238E27FC236}">
                  <a16:creationId xmlns:a16="http://schemas.microsoft.com/office/drawing/2014/main" id="{9816C023-C87E-4083-8416-CCE70E4A9C88}"/>
                </a:ext>
              </a:extLst>
            </xdr:cNvPr>
            <xdr:cNvSpPr txBox="1"/>
          </xdr:nvSpPr>
          <xdr:spPr>
            <a:xfrm>
              <a:off x="736600" y="1431925"/>
              <a:ext cx="5057774" cy="358775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 i="0">
                  <a:latin typeface="+mn-lt"/>
                </a:rPr>
                <a:t>Běžná</a:t>
              </a:r>
              <a:r>
                <a:rPr lang="cs-CZ" sz="1100" b="1" i="0" baseline="0">
                  <a:latin typeface="+mn-lt"/>
                </a:rPr>
                <a:t> likvidita (L3) </a:t>
              </a:r>
              <a:r>
                <a:rPr lang="cs-CZ" sz="1200" i="0">
                  <a:latin typeface="Cambria Math" panose="02040503050406030204" pitchFamily="18" charset="0"/>
                </a:rPr>
                <a:t>=(</a:t>
              </a:r>
              <a:r>
                <a:rPr lang="cs-CZ" sz="1200" b="0" i="0">
                  <a:latin typeface="Cambria Math" panose="02040503050406030204" pitchFamily="18" charset="0"/>
                </a:rPr>
                <a:t>𝑜𝑏ěž𝑛á 𝑎𝑘𝑡𝑖𝑣𝑎)/(𝑘𝑟á𝑡𝑘𝑜𝑑𝑜𝑏é 𝑧á𝑣𝑎𝑧𝑘𝑦)</a:t>
              </a:r>
              <a:endParaRPr lang="cs-CZ" sz="1100"/>
            </a:p>
            <a:p>
              <a:endParaRPr lang="cs-CZ" sz="1000"/>
            </a:p>
          </xdr:txBody>
        </xdr:sp>
      </mc:Fallback>
    </mc:AlternateContent>
    <xdr:clientData/>
  </xdr:twoCellAnchor>
  <xdr:twoCellAnchor>
    <xdr:from>
      <xdr:col>2</xdr:col>
      <xdr:colOff>120649</xdr:colOff>
      <xdr:row>1</xdr:row>
      <xdr:rowOff>196850</xdr:rowOff>
    </xdr:from>
    <xdr:to>
      <xdr:col>8</xdr:col>
      <xdr:colOff>123824</xdr:colOff>
      <xdr:row>3</xdr:row>
      <xdr:rowOff>161926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>
              <a:extLst>
                <a:ext uri="{FF2B5EF4-FFF2-40B4-BE49-F238E27FC236}">
                  <a16:creationId xmlns:a16="http://schemas.microsoft.com/office/drawing/2014/main" id="{25B70E6A-B85F-4225-9DA0-7F2F673907A3}"/>
                </a:ext>
              </a:extLst>
            </xdr:cNvPr>
            <xdr:cNvSpPr txBox="1"/>
          </xdr:nvSpPr>
          <xdr:spPr>
            <a:xfrm>
              <a:off x="730249" y="568325"/>
              <a:ext cx="5060950" cy="355601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/>
                <a:t>Okamžitá likvidita </a:t>
              </a:r>
              <a14:m>
                <m:oMath xmlns:m="http://schemas.openxmlformats.org/officeDocument/2006/math">
                  <m:r>
                    <a:rPr lang="cs-CZ" sz="1100" b="1" i="0">
                      <a:latin typeface="Cambria Math" panose="02040503050406030204" pitchFamily="18" charset="0"/>
                    </a:rPr>
                    <m:t>(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𝐋𝟏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)</m:t>
                  </m:r>
                  <m:r>
                    <a:rPr lang="cs-CZ" sz="1100" b="1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𝑘𝑟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𝑡𝑘𝑜𝑑𝑜𝑏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ý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𝑓𝑖𝑛𝑎𝑛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č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𝑛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í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𝑚𝑎𝑗𝑒𝑡𝑒𝑘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+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𝑝𝑒𝑛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ěž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𝑛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í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𝑝𝑟𝑜𝑠𝑡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ř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𝑒𝑑𝑘𝑦</m:t>
                      </m:r>
                    </m:num>
                    <m:den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𝑘𝑟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𝑡𝑘𝑜𝑑𝑜𝑏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é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𝑧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𝑣𝑎𝑧𝑘𝑦</m:t>
                      </m:r>
                    </m:den>
                  </m:f>
                </m:oMath>
              </a14:m>
              <a:endParaRPr lang="cs-CZ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</xdr:txBody>
        </xdr:sp>
      </mc:Choice>
      <mc:Fallback xmlns="">
        <xdr:sp macro="" textlink="">
          <xdr:nvSpPr>
            <xdr:cNvPr id="3" name="TextovéPole 2">
              <a:extLst>
                <a:ext uri="{FF2B5EF4-FFF2-40B4-BE49-F238E27FC236}">
                  <a16:creationId xmlns:a16="http://schemas.microsoft.com/office/drawing/2014/main" id="{25B70E6A-B85F-4225-9DA0-7F2F673907A3}"/>
                </a:ext>
              </a:extLst>
            </xdr:cNvPr>
            <xdr:cNvSpPr txBox="1"/>
          </xdr:nvSpPr>
          <xdr:spPr>
            <a:xfrm>
              <a:off x="730249" y="568325"/>
              <a:ext cx="5060950" cy="355601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/>
                <a:t>Okamžitá likvidita </a:t>
              </a:r>
              <a:r>
                <a:rPr lang="cs-CZ" sz="1100" b="1" i="0">
                  <a:latin typeface="Cambria Math" panose="02040503050406030204" pitchFamily="18" charset="0"/>
                </a:rPr>
                <a:t>(𝐋𝟏)=</a:t>
              </a:r>
              <a:r>
                <a:rPr lang="cs-CZ" sz="1100" i="0">
                  <a:latin typeface="Cambria Math" panose="02040503050406030204" pitchFamily="18" charset="0"/>
                </a:rPr>
                <a:t>(</a:t>
              </a:r>
              <a:r>
                <a:rPr lang="cs-CZ" sz="1100" b="0" i="0">
                  <a:latin typeface="Cambria Math" panose="02040503050406030204" pitchFamily="18" charset="0"/>
                </a:rPr>
                <a:t>𝑘𝑟á𝑡𝑘𝑜𝑑𝑜𝑏ý 𝑓𝑖𝑛𝑎𝑛č𝑛í 𝑚𝑎𝑗𝑒𝑡𝑒𝑘+𝑝𝑒𝑛ěž𝑛í 𝑝𝑟𝑜𝑠𝑡ř𝑒𝑑𝑘𝑦)/(𝑘𝑟á𝑡𝑘𝑜𝑑𝑜𝑏é 𝑧á𝑣𝑎𝑧𝑘𝑦)</a:t>
              </a:r>
              <a:endParaRPr lang="cs-CZ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</xdr:txBody>
        </xdr:sp>
      </mc:Fallback>
    </mc:AlternateContent>
    <xdr:clientData/>
  </xdr:twoCellAnchor>
  <xdr:twoCellAnchor>
    <xdr:from>
      <xdr:col>2</xdr:col>
      <xdr:colOff>111125</xdr:colOff>
      <xdr:row>4</xdr:row>
      <xdr:rowOff>22224</xdr:rowOff>
    </xdr:from>
    <xdr:to>
      <xdr:col>8</xdr:col>
      <xdr:colOff>104775</xdr:colOff>
      <xdr:row>5</xdr:row>
      <xdr:rowOff>209551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>
              <a:extLst>
                <a:ext uri="{FF2B5EF4-FFF2-40B4-BE49-F238E27FC236}">
                  <a16:creationId xmlns:a16="http://schemas.microsoft.com/office/drawing/2014/main" id="{23F633EB-FC7A-4F2F-B862-B2954B531EE0}"/>
                </a:ext>
              </a:extLst>
            </xdr:cNvPr>
            <xdr:cNvSpPr txBox="1"/>
          </xdr:nvSpPr>
          <xdr:spPr>
            <a:xfrm>
              <a:off x="720725" y="974724"/>
              <a:ext cx="5051425" cy="358777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 i="0">
                  <a:latin typeface="+mn-lt"/>
                </a:rPr>
                <a:t>Pohotová</a:t>
              </a:r>
              <a:r>
                <a:rPr lang="cs-CZ" sz="1100" b="1" i="0" baseline="0">
                  <a:latin typeface="+mn-lt"/>
                </a:rPr>
                <a:t> likvidita (L2) </a:t>
              </a:r>
              <a14:m>
                <m:oMath xmlns:m="http://schemas.openxmlformats.org/officeDocument/2006/math">
                  <m:r>
                    <a:rPr lang="cs-CZ" sz="11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𝑜𝑏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ěž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𝑛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𝑎𝑘𝑡𝑖𝑣𝑎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 −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𝑧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𝑠𝑜𝑏𝑦</m:t>
                      </m:r>
                    </m:num>
                    <m:den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𝑘𝑟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𝑡𝑘𝑜𝑑𝑜𝑏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é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𝑧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𝑣𝑎𝑧𝑘𝑦</m:t>
                      </m:r>
                    </m:den>
                  </m:f>
                </m:oMath>
              </a14:m>
              <a:endParaRPr lang="cs-CZ" sz="1100"/>
            </a:p>
            <a:p>
              <a:endParaRPr lang="cs-CZ" sz="1000" baseline="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  <a:p>
              <a:endParaRPr lang="cs-CZ" sz="1100"/>
            </a:p>
          </xdr:txBody>
        </xdr:sp>
      </mc:Choice>
      <mc:Fallback xmlns="">
        <xdr:sp macro="" textlink="">
          <xdr:nvSpPr>
            <xdr:cNvPr id="4" name="TextovéPole 3">
              <a:extLst>
                <a:ext uri="{FF2B5EF4-FFF2-40B4-BE49-F238E27FC236}">
                  <a16:creationId xmlns:a16="http://schemas.microsoft.com/office/drawing/2014/main" id="{23F633EB-FC7A-4F2F-B862-B2954B531EE0}"/>
                </a:ext>
              </a:extLst>
            </xdr:cNvPr>
            <xdr:cNvSpPr txBox="1"/>
          </xdr:nvSpPr>
          <xdr:spPr>
            <a:xfrm>
              <a:off x="720725" y="974724"/>
              <a:ext cx="5051425" cy="358777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 i="0">
                  <a:latin typeface="+mn-lt"/>
                </a:rPr>
                <a:t>Pohotová</a:t>
              </a:r>
              <a:r>
                <a:rPr lang="cs-CZ" sz="1100" b="1" i="0" baseline="0">
                  <a:latin typeface="+mn-lt"/>
                </a:rPr>
                <a:t> likvidita (L2) </a:t>
              </a:r>
              <a:r>
                <a:rPr lang="cs-CZ" sz="1100" i="0">
                  <a:latin typeface="Cambria Math" panose="02040503050406030204" pitchFamily="18" charset="0"/>
                </a:rPr>
                <a:t>=(</a:t>
              </a:r>
              <a:r>
                <a:rPr lang="cs-CZ" sz="1100" b="0" i="0">
                  <a:latin typeface="Cambria Math" panose="02040503050406030204" pitchFamily="18" charset="0"/>
                </a:rPr>
                <a:t>𝑜𝑏ěž𝑛á 𝑎𝑘𝑡𝑖𝑣𝑎 −𝑧á𝑠𝑜𝑏𝑦)/(𝑘𝑟á𝑡𝑘𝑜𝑑𝑜𝑏é 𝑧á𝑣𝑎𝑧𝑘𝑦)</a:t>
              </a:r>
              <a:endParaRPr lang="cs-CZ" sz="1100"/>
            </a:p>
            <a:p>
              <a:endParaRPr lang="cs-CZ" sz="1000" baseline="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cs-CZ" sz="1100"/>
            </a:p>
            <a:p>
              <a:endParaRPr lang="cs-CZ" sz="1100"/>
            </a:p>
          </xdr:txBody>
        </xdr:sp>
      </mc:Fallback>
    </mc:AlternateContent>
    <xdr:clientData/>
  </xdr:twoCellAnchor>
  <xdr:twoCellAnchor>
    <xdr:from>
      <xdr:col>8</xdr:col>
      <xdr:colOff>292100</xdr:colOff>
      <xdr:row>4</xdr:row>
      <xdr:rowOff>12382</xdr:rowOff>
    </xdr:from>
    <xdr:to>
      <xdr:col>15</xdr:col>
      <xdr:colOff>266700</xdr:colOff>
      <xdr:row>5</xdr:row>
      <xdr:rowOff>185738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ovéPole 4">
              <a:extLst>
                <a:ext uri="{FF2B5EF4-FFF2-40B4-BE49-F238E27FC236}">
                  <a16:creationId xmlns:a16="http://schemas.microsoft.com/office/drawing/2014/main" id="{CCDDE0FD-199E-45A3-BE09-DE3BA000E690}"/>
                </a:ext>
              </a:extLst>
            </xdr:cNvPr>
            <xdr:cNvSpPr txBox="1"/>
          </xdr:nvSpPr>
          <xdr:spPr>
            <a:xfrm>
              <a:off x="5978525" y="774382"/>
              <a:ext cx="4203700" cy="363856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/>
                <a:t>Čistý pracovní kapitál</a:t>
              </a:r>
              <a14:m>
                <m:oMath xmlns:m="http://schemas.openxmlformats.org/officeDocument/2006/math">
                  <m:r>
                    <a:rPr lang="cs-CZ" sz="1100" b="1" i="0">
                      <a:latin typeface="Cambria Math" panose="02040503050406030204" pitchFamily="18" charset="0"/>
                    </a:rPr>
                    <m:t> </m:t>
                  </m:r>
                  <m:r>
                    <a:rPr lang="cs-CZ" sz="1100" i="1">
                      <a:latin typeface="Cambria Math" panose="02040503050406030204" pitchFamily="18" charset="0"/>
                    </a:rPr>
                    <m:t>=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𝑜𝑏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ěž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𝑛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ý 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𝑚𝑎𝑗𝑒𝑡𝑒𝑘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 −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𝑘𝑟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á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𝑡𝑘𝑜𝑑𝑜𝑏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é 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𝑧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á</m:t>
                  </m:r>
                  <m:r>
                    <a:rPr lang="cs-CZ" sz="1100" b="0" i="1">
                      <a:latin typeface="Cambria Math" panose="02040503050406030204" pitchFamily="18" charset="0"/>
                    </a:rPr>
                    <m:t>𝑣𝑎𝑧𝑘</m:t>
                  </m:r>
                  <m:r>
                    <m:rPr>
                      <m:sty m:val="p"/>
                    </m:rPr>
                    <a:rPr lang="cs-CZ" sz="1100" b="0" i="0">
                      <a:latin typeface="Cambria Math" panose="02040503050406030204" pitchFamily="18" charset="0"/>
                    </a:rPr>
                    <m:t>y</m:t>
                  </m:r>
                </m:oMath>
              </a14:m>
              <a:endParaRPr lang="cs-CZ" sz="1100" b="0"/>
            </a:p>
            <a:p>
              <a:endParaRPr lang="cs-CZ" sz="1100" b="0"/>
            </a:p>
          </xdr:txBody>
        </xdr:sp>
      </mc:Choice>
      <mc:Fallback xmlns="">
        <xdr:sp macro="" textlink="">
          <xdr:nvSpPr>
            <xdr:cNvPr id="5" name="TextovéPole 4">
              <a:extLst>
                <a:ext uri="{FF2B5EF4-FFF2-40B4-BE49-F238E27FC236}">
                  <a16:creationId xmlns:a16="http://schemas.microsoft.com/office/drawing/2014/main" id="{CCDDE0FD-199E-45A3-BE09-DE3BA000E690}"/>
                </a:ext>
              </a:extLst>
            </xdr:cNvPr>
            <xdr:cNvSpPr txBox="1"/>
          </xdr:nvSpPr>
          <xdr:spPr>
            <a:xfrm>
              <a:off x="5978525" y="774382"/>
              <a:ext cx="4203700" cy="363856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/>
                <a:t>Čistý pracovní kapitál</a:t>
              </a:r>
              <a:r>
                <a:rPr lang="cs-CZ" sz="1100" b="1" i="0">
                  <a:latin typeface="Cambria Math" panose="02040503050406030204" pitchFamily="18" charset="0"/>
                </a:rPr>
                <a:t> </a:t>
              </a:r>
              <a:r>
                <a:rPr lang="cs-CZ" sz="1100" i="0">
                  <a:latin typeface="Cambria Math" panose="02040503050406030204" pitchFamily="18" charset="0"/>
                </a:rPr>
                <a:t>=</a:t>
              </a:r>
              <a:r>
                <a:rPr lang="cs-CZ" sz="1100" b="0" i="0">
                  <a:latin typeface="Cambria Math" panose="02040503050406030204" pitchFamily="18" charset="0"/>
                </a:rPr>
                <a:t>𝑜𝑏ěž𝑛ý 𝑚𝑎𝑗𝑒𝑡𝑒𝑘 −𝑘𝑟á𝑡𝑘𝑜𝑑𝑜𝑏é 𝑧á𝑣𝑎𝑧𝑘y</a:t>
              </a:r>
              <a:endParaRPr lang="cs-CZ" sz="1100" b="0"/>
            </a:p>
            <a:p>
              <a:endParaRPr lang="cs-CZ" sz="1100" b="0"/>
            </a:p>
          </xdr:txBody>
        </xdr:sp>
      </mc:Fallback>
    </mc:AlternateContent>
    <xdr:clientData/>
  </xdr:twoCellAnchor>
  <xdr:twoCellAnchor>
    <xdr:from>
      <xdr:col>4</xdr:col>
      <xdr:colOff>585107</xdr:colOff>
      <xdr:row>51</xdr:row>
      <xdr:rowOff>63953</xdr:rowOff>
    </xdr:from>
    <xdr:to>
      <xdr:col>10</xdr:col>
      <xdr:colOff>68036</xdr:colOff>
      <xdr:row>65</xdr:row>
      <xdr:rowOff>140153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83CD24EF-B589-4652-AE9A-E10A4E3B30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612322</xdr:colOff>
      <xdr:row>72</xdr:row>
      <xdr:rowOff>172811</xdr:rowOff>
    </xdr:from>
    <xdr:to>
      <xdr:col>9</xdr:col>
      <xdr:colOff>884465</xdr:colOff>
      <xdr:row>87</xdr:row>
      <xdr:rowOff>58511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869104AA-7E13-40F4-BA97-1744A58B83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557892</xdr:colOff>
      <xdr:row>94</xdr:row>
      <xdr:rowOff>77560</xdr:rowOff>
    </xdr:from>
    <xdr:to>
      <xdr:col>9</xdr:col>
      <xdr:colOff>830035</xdr:colOff>
      <xdr:row>108</xdr:row>
      <xdr:rowOff>153760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995F49AE-37DD-4457-9980-859AE9C4FF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95250</xdr:colOff>
      <xdr:row>122</xdr:row>
      <xdr:rowOff>36739</xdr:rowOff>
    </xdr:from>
    <xdr:to>
      <xdr:col>9</xdr:col>
      <xdr:colOff>367393</xdr:colOff>
      <xdr:row>136</xdr:row>
      <xdr:rowOff>112939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CA2F2A5B-4B79-420F-96A7-EBC640A35E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609599</xdr:colOff>
      <xdr:row>2</xdr:row>
      <xdr:rowOff>0</xdr:rowOff>
    </xdr:from>
    <xdr:to>
      <xdr:col>8</xdr:col>
      <xdr:colOff>9525</xdr:colOff>
      <xdr:row>4</xdr:row>
      <xdr:rowOff>140337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>
              <a:extLst>
                <a:ext uri="{FF2B5EF4-FFF2-40B4-BE49-F238E27FC236}">
                  <a16:creationId xmlns:a16="http://schemas.microsoft.com/office/drawing/2014/main" id="{FCB527D0-B2F3-4500-8500-590B940B39DE}"/>
                </a:ext>
              </a:extLst>
            </xdr:cNvPr>
            <xdr:cNvSpPr txBox="1"/>
          </xdr:nvSpPr>
          <xdr:spPr>
            <a:xfrm>
              <a:off x="609599" y="190500"/>
              <a:ext cx="5133976" cy="521337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/>
                <a:t>R</a:t>
              </a:r>
              <a14:m>
                <m:oMath xmlns:m="http://schemas.openxmlformats.org/officeDocument/2006/math">
                  <m:r>
                    <a:rPr lang="cs-CZ" sz="1100" b="1" i="0">
                      <a:latin typeface="Cambria Math" panose="02040503050406030204" pitchFamily="18" charset="0"/>
                    </a:rPr>
                    <m:t>𝐞𝐧𝐭𝐚𝐛𝐢𝐥𝐢𝐭𝐚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 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𝐯𝐥𝐚𝐬𝐭𝐧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í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𝐡𝐨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 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𝐤𝐚𝐩𝐢𝐭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á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𝐥𝐮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 (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𝐑𝐎𝐄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)</m:t>
                  </m:r>
                  <m:r>
                    <a:rPr lang="cs-CZ" sz="1100" b="1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𝐸𝐴𝑇</m:t>
                      </m:r>
                    </m:num>
                    <m:den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𝑣𝑙𝑎𝑠𝑡𝑛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í 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𝑘𝑎𝑝𝑖𝑡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𝑙</m:t>
                      </m:r>
                    </m:den>
                  </m:f>
                </m:oMath>
              </a14:m>
              <a:endParaRPr lang="cs-CZ" sz="1100"/>
            </a:p>
            <a:p>
              <a:endParaRPr lang="cs-CZ" sz="1100"/>
            </a:p>
          </xdr:txBody>
        </xdr:sp>
      </mc:Choice>
      <mc:Fallback xmlns="">
        <xdr:sp macro="" textlink="">
          <xdr:nvSpPr>
            <xdr:cNvPr id="2" name="TextovéPole 1">
              <a:extLst>
                <a:ext uri="{FF2B5EF4-FFF2-40B4-BE49-F238E27FC236}">
                  <a16:creationId xmlns:a16="http://schemas.microsoft.com/office/drawing/2014/main" id="{FCB527D0-B2F3-4500-8500-590B940B39DE}"/>
                </a:ext>
              </a:extLst>
            </xdr:cNvPr>
            <xdr:cNvSpPr txBox="1"/>
          </xdr:nvSpPr>
          <xdr:spPr>
            <a:xfrm>
              <a:off x="609599" y="190500"/>
              <a:ext cx="5133976" cy="521337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cs-CZ" sz="1100" b="1"/>
                <a:t>R</a:t>
              </a:r>
              <a:r>
                <a:rPr lang="cs-CZ" sz="1100" b="1" i="0">
                  <a:latin typeface="Cambria Math" panose="02040503050406030204" pitchFamily="18" charset="0"/>
                </a:rPr>
                <a:t>𝐞𝐧𝐭𝐚𝐛𝐢𝐥𝐢𝐭𝐚 𝐯𝐥𝐚𝐬𝐭𝐧í𝐡𝐨 𝐤𝐚𝐩𝐢𝐭á𝐥𝐮 (𝐑𝐎𝐄)=</a:t>
              </a:r>
              <a:r>
                <a:rPr lang="cs-CZ" sz="1100" b="0" i="0">
                  <a:latin typeface="Cambria Math" panose="02040503050406030204" pitchFamily="18" charset="0"/>
                </a:rPr>
                <a:t>𝐸𝐴𝑇/(𝑣𝑙𝑎𝑠𝑡𝑛í 𝑘𝑎𝑝𝑖𝑡á𝑙)</a:t>
              </a:r>
              <a:endParaRPr lang="cs-CZ" sz="1100"/>
            </a:p>
            <a:p>
              <a:endParaRPr lang="cs-CZ" sz="1100"/>
            </a:p>
          </xdr:txBody>
        </xdr:sp>
      </mc:Fallback>
    </mc:AlternateContent>
    <xdr:clientData/>
  </xdr:twoCellAnchor>
  <xdr:twoCellAnchor>
    <xdr:from>
      <xdr:col>2</xdr:col>
      <xdr:colOff>0</xdr:colOff>
      <xdr:row>6</xdr:row>
      <xdr:rowOff>0</xdr:rowOff>
    </xdr:from>
    <xdr:to>
      <xdr:col>9</xdr:col>
      <xdr:colOff>523875</xdr:colOff>
      <xdr:row>8</xdr:row>
      <xdr:rowOff>76199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>
              <a:extLst>
                <a:ext uri="{FF2B5EF4-FFF2-40B4-BE49-F238E27FC236}">
                  <a16:creationId xmlns:a16="http://schemas.microsoft.com/office/drawing/2014/main" id="{8D2725C6-730B-4EAC-AB7A-A841EFDFDB2B}"/>
                </a:ext>
              </a:extLst>
            </xdr:cNvPr>
            <xdr:cNvSpPr txBox="1"/>
          </xdr:nvSpPr>
          <xdr:spPr>
            <a:xfrm>
              <a:off x="609600" y="952500"/>
              <a:ext cx="6457950" cy="457199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/>
                <a:t>R</a:t>
              </a:r>
              <a14:m>
                <m:oMath xmlns:m="http://schemas.openxmlformats.org/officeDocument/2006/math">
                  <m:r>
                    <a:rPr lang="cs-CZ" sz="1100" b="1" i="0">
                      <a:latin typeface="Cambria Math" panose="02040503050406030204" pitchFamily="18" charset="0"/>
                    </a:rPr>
                    <m:t>𝐞𝐧𝐭𝐚𝐛𝐢𝐥𝐢𝐭𝐚</m:t>
                  </m:r>
                  <m:r>
                    <a:rPr lang="cs-CZ" sz="1100" b="1" i="1">
                      <a:latin typeface="Cambria Math" panose="02040503050406030204" pitchFamily="18" charset="0"/>
                    </a:rPr>
                    <m:t> 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𝐝𝐥𝐨𝐮𝐡𝐨𝐝𝐨𝐛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é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𝐡𝐨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 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𝐤𝐚𝐩𝐢𝐭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á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𝐥𝐮</m:t>
                  </m:r>
                  <m:r>
                    <a:rPr lang="cs-CZ" sz="1100" b="1" i="0">
                      <a:latin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cs-CZ" sz="1100" b="1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cs-CZ" sz="1100" b="1" i="1">
                          <a:latin typeface="Cambria Math" panose="02040503050406030204" pitchFamily="18" charset="0"/>
                        </a:rPr>
                        <m:t>𝑹𝑶𝑪𝑬</m:t>
                      </m:r>
                    </m:e>
                  </m:d>
                  <m:r>
                    <a:rPr lang="cs-CZ" sz="1100" b="1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cs-CZ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cs-CZ" sz="1100" b="0" i="1">
                          <a:latin typeface="Cambria Math" panose="02040503050406030204" pitchFamily="18" charset="0"/>
                        </a:rPr>
                        <m:t>𝐸𝐵𝐼𝑇</m:t>
                      </m:r>
                      <m:r>
                        <a:rPr lang="cs-CZ" sz="1100" b="0" i="1">
                          <a:latin typeface="Cambria Math" panose="02040503050406030204" pitchFamily="18" charset="0"/>
                        </a:rPr>
                        <m:t> </m:t>
                      </m:r>
                    </m:num>
                    <m:den>
                      <m:eqArr>
                        <m:eqArrPr>
                          <m:ctrlPr>
                            <a:rPr lang="cs-CZ" sz="1100" b="0" i="1">
                              <a:latin typeface="Cambria Math" panose="02040503050406030204" pitchFamily="18" charset="0"/>
                            </a:rPr>
                          </m:ctrlPr>
                        </m:eqArrPr>
                        <m:e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𝑣𝑙𝑎𝑠𝑡𝑛</m:t>
                          </m:r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í </m:t>
                          </m:r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𝑘𝑎𝑝𝑖𝑡</m:t>
                          </m:r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á</m:t>
                          </m:r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𝑙</m:t>
                          </m:r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𝑑𝑙𝑜𝑢h𝑜𝑑𝑜𝑏</m:t>
                          </m:r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é </m:t>
                          </m:r>
                        </m:e>
                        <m:e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𝑧</m:t>
                          </m:r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á</m:t>
                          </m:r>
                          <m:r>
                            <a:rPr lang="cs-CZ" sz="1100" b="0" i="1">
                              <a:latin typeface="Cambria Math" panose="02040503050406030204" pitchFamily="18" charset="0"/>
                            </a:rPr>
                            <m:t>𝑣𝑎𝑧𝑘𝑦</m:t>
                          </m:r>
                        </m:e>
                      </m:eqArr>
                    </m:den>
                  </m:f>
                  <m:r>
                    <a:rPr lang="cs-CZ" sz="1100" b="0" i="1">
                      <a:latin typeface="Cambria Math" panose="02040503050406030204" pitchFamily="18" charset="0"/>
                    </a:rPr>
                    <m:t> </m:t>
                  </m:r>
                </m:oMath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>
              <a:extLst>
                <a:ext uri="{FF2B5EF4-FFF2-40B4-BE49-F238E27FC236}">
                  <a16:creationId xmlns:a16="http://schemas.microsoft.com/office/drawing/2014/main" id="{8D2725C6-730B-4EAC-AB7A-A841EFDFDB2B}"/>
                </a:ext>
              </a:extLst>
            </xdr:cNvPr>
            <xdr:cNvSpPr txBox="1"/>
          </xdr:nvSpPr>
          <xdr:spPr>
            <a:xfrm>
              <a:off x="609600" y="952500"/>
              <a:ext cx="6457950" cy="457199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cs-CZ" sz="1100" b="1"/>
                <a:t>R</a:t>
              </a:r>
              <a:r>
                <a:rPr lang="cs-CZ" sz="1100" b="1" i="0">
                  <a:latin typeface="Cambria Math" panose="02040503050406030204" pitchFamily="18" charset="0"/>
                </a:rPr>
                <a:t>𝐞𝐧𝐭𝐚𝐛𝐢𝐥𝐢𝐭𝐚 𝐝𝐥𝐨𝐮𝐡𝐨𝐝𝐨𝐛é𝐡𝐨 𝐤𝐚𝐩𝐢𝐭á𝐥𝐮 (𝑹𝑶𝑪𝑬)=</a:t>
              </a:r>
              <a:r>
                <a:rPr lang="cs-CZ" sz="1100" i="0">
                  <a:latin typeface="Cambria Math" panose="02040503050406030204" pitchFamily="18" charset="0"/>
                </a:rPr>
                <a:t>(</a:t>
              </a:r>
              <a:r>
                <a:rPr lang="cs-CZ" sz="1100" b="0" i="0">
                  <a:latin typeface="Cambria Math" panose="02040503050406030204" pitchFamily="18" charset="0"/>
                </a:rPr>
                <a:t>𝐸𝐵𝐼𝑇 )/█(𝑣𝑙𝑎𝑠𝑡𝑛í 𝑘𝑎𝑝𝑖𝑡á𝑙+𝑑𝑙𝑜𝑢ℎ𝑜𝑑𝑜𝑏é @𝑧á𝑣𝑎𝑧𝑘𝑦)  </a:t>
              </a:r>
              <a:endParaRPr lang="cs-CZ" sz="1100"/>
            </a:p>
          </xdr:txBody>
        </xdr:sp>
      </mc:Fallback>
    </mc:AlternateContent>
    <xdr:clientData/>
  </xdr:twoCellAnchor>
  <xdr:twoCellAnchor>
    <xdr:from>
      <xdr:col>3</xdr:col>
      <xdr:colOff>190500</xdr:colOff>
      <xdr:row>35</xdr:row>
      <xdr:rowOff>147637</xdr:rowOff>
    </xdr:from>
    <xdr:to>
      <xdr:col>10</xdr:col>
      <xdr:colOff>38100</xdr:colOff>
      <xdr:row>50</xdr:row>
      <xdr:rowOff>33337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7681AF4-5164-4B26-988C-A9AB9C9F3E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285750</xdr:colOff>
      <xdr:row>56</xdr:row>
      <xdr:rowOff>138112</xdr:rowOff>
    </xdr:from>
    <xdr:to>
      <xdr:col>10</xdr:col>
      <xdr:colOff>133350</xdr:colOff>
      <xdr:row>71</xdr:row>
      <xdr:rowOff>23812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F1B1C5C-E4F8-4B00-9735-56C763871C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17</xdr:row>
      <xdr:rowOff>57150</xdr:rowOff>
    </xdr:from>
    <xdr:to>
      <xdr:col>6</xdr:col>
      <xdr:colOff>391583</xdr:colOff>
      <xdr:row>31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E27AB86-BBC9-4512-90F7-25AADF7461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7</xdr:row>
      <xdr:rowOff>171450</xdr:rowOff>
    </xdr:from>
    <xdr:to>
      <xdr:col>2</xdr:col>
      <xdr:colOff>529502</xdr:colOff>
      <xdr:row>8</xdr:row>
      <xdr:rowOff>161925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B6BE5D-1084-49D6-A2ED-90960520E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562100"/>
          <a:ext cx="2120177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5</xdr:row>
      <xdr:rowOff>0</xdr:rowOff>
    </xdr:from>
    <xdr:to>
      <xdr:col>14</xdr:col>
      <xdr:colOff>2519904</xdr:colOff>
      <xdr:row>11</xdr:row>
      <xdr:rowOff>131308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C6004F8-9420-4124-AF7D-9564D1D48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47" t="40190" r="73434" b="48327"/>
        <a:stretch/>
      </xdr:blipFill>
      <xdr:spPr>
        <a:xfrm>
          <a:off x="10553700" y="971550"/>
          <a:ext cx="3118619" cy="1321933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12</xdr:row>
      <xdr:rowOff>57150</xdr:rowOff>
    </xdr:from>
    <xdr:to>
      <xdr:col>15</xdr:col>
      <xdr:colOff>174624</xdr:colOff>
      <xdr:row>19</xdr:row>
      <xdr:rowOff>18829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D10BB05-6340-4A56-984E-A7919272B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72" t="45191" r="67183" b="43882"/>
        <a:stretch/>
      </xdr:blipFill>
      <xdr:spPr>
        <a:xfrm>
          <a:off x="10572750" y="2409825"/>
          <a:ext cx="3394075" cy="135232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27</xdr:row>
      <xdr:rowOff>0</xdr:rowOff>
    </xdr:from>
    <xdr:to>
      <xdr:col>16</xdr:col>
      <xdr:colOff>76296</xdr:colOff>
      <xdr:row>36</xdr:row>
      <xdr:rowOff>57150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320B5B3-1A59-4E9E-AF89-4F381B9E9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849" t="55961" r="72396" b="29774"/>
        <a:stretch/>
      </xdr:blipFill>
      <xdr:spPr>
        <a:xfrm>
          <a:off x="10839450" y="5314950"/>
          <a:ext cx="3924397" cy="1857375"/>
        </a:xfrm>
        <a:prstGeom prst="rect">
          <a:avLst/>
        </a:prstGeom>
      </xdr:spPr>
    </xdr:pic>
    <xdr:clientData/>
  </xdr:twoCellAnchor>
  <xdr:twoCellAnchor editAs="oneCell">
    <xdr:from>
      <xdr:col>2</xdr:col>
      <xdr:colOff>488156</xdr:colOff>
      <xdr:row>36</xdr:row>
      <xdr:rowOff>107157</xdr:rowOff>
    </xdr:from>
    <xdr:to>
      <xdr:col>8</xdr:col>
      <xdr:colOff>523707</xdr:colOff>
      <xdr:row>43</xdr:row>
      <xdr:rowOff>63430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FBAB5A4-4268-429D-8ABD-1F4590664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772" t="42482" r="69592" b="45827"/>
        <a:stretch/>
      </xdr:blipFill>
      <xdr:spPr>
        <a:xfrm>
          <a:off x="4429125" y="7286626"/>
          <a:ext cx="4678988" cy="1337398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72</xdr:row>
      <xdr:rowOff>0</xdr:rowOff>
    </xdr:from>
    <xdr:to>
      <xdr:col>14</xdr:col>
      <xdr:colOff>1796143</xdr:colOff>
      <xdr:row>74</xdr:row>
      <xdr:rowOff>22792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60E2D17-D12B-4C17-8163-D4DD60253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4557375"/>
          <a:ext cx="2399393" cy="435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3111500</xdr:colOff>
      <xdr:row>85</xdr:row>
      <xdr:rowOff>128587</xdr:rowOff>
    </xdr:from>
    <xdr:to>
      <xdr:col>7</xdr:col>
      <xdr:colOff>460375</xdr:colOff>
      <xdr:row>100</xdr:row>
      <xdr:rowOff>14287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A06C72E-FC44-4186-99F9-E162675C56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2984500</xdr:colOff>
      <xdr:row>108</xdr:row>
      <xdr:rowOff>96837</xdr:rowOff>
    </xdr:from>
    <xdr:to>
      <xdr:col>7</xdr:col>
      <xdr:colOff>333375</xdr:colOff>
      <xdr:row>122</xdr:row>
      <xdr:rowOff>173037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20C0F22-3B19-4E00-B53D-178FFB151D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571500</xdr:colOff>
      <xdr:row>62</xdr:row>
      <xdr:rowOff>178594</xdr:rowOff>
    </xdr:from>
    <xdr:to>
      <xdr:col>14</xdr:col>
      <xdr:colOff>1059657</xdr:colOff>
      <xdr:row>65</xdr:row>
      <xdr:rowOff>35719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6C6D572-FE6D-455E-A7E3-0CD36C5D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2469" y="12525375"/>
          <a:ext cx="1702594" cy="464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1843087</xdr:colOff>
      <xdr:row>11</xdr:row>
      <xdr:rowOff>166687</xdr:rowOff>
    </xdr:from>
    <xdr:to>
      <xdr:col>8</xdr:col>
      <xdr:colOff>585787</xdr:colOff>
      <xdr:row>26</xdr:row>
      <xdr:rowOff>52387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33899F8-AF8E-418C-BEDB-762A3AD7AA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1494234</xdr:colOff>
      <xdr:row>29</xdr:row>
      <xdr:rowOff>146446</xdr:rowOff>
    </xdr:from>
    <xdr:to>
      <xdr:col>8</xdr:col>
      <xdr:colOff>17859</xdr:colOff>
      <xdr:row>44</xdr:row>
      <xdr:rowOff>32146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F8FF870-2A28-4EB3-A65E-06847E5AE1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142024</xdr:colOff>
      <xdr:row>6</xdr:row>
      <xdr:rowOff>76710</xdr:rowOff>
    </xdr:from>
    <xdr:to>
      <xdr:col>35</xdr:col>
      <xdr:colOff>77389</xdr:colOff>
      <xdr:row>20</xdr:row>
      <xdr:rowOff>44052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69900009-C360-4175-8E7A-F27972C1E6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C41D5-7572-4CBB-9A3D-A5573E52783F}">
  <dimension ref="B3:T41"/>
  <sheetViews>
    <sheetView tabSelected="1" zoomScale="70" zoomScaleNormal="70" workbookViewId="0">
      <selection activeCell="J10" sqref="J10"/>
    </sheetView>
  </sheetViews>
  <sheetFormatPr defaultRowHeight="15" x14ac:dyDescent="0.25"/>
  <cols>
    <col min="2" max="2" width="70" customWidth="1"/>
    <col min="3" max="9" width="9.28515625" bestFit="1" customWidth="1"/>
    <col min="10" max="12" width="10.7109375" bestFit="1" customWidth="1"/>
    <col min="15" max="15" width="58.140625" customWidth="1"/>
    <col min="18" max="18" width="10.42578125" customWidth="1"/>
    <col min="19" max="19" width="10.5703125" customWidth="1"/>
    <col min="20" max="20" width="12.140625" customWidth="1"/>
  </cols>
  <sheetData>
    <row r="3" spans="2:20" ht="15.75" x14ac:dyDescent="0.25">
      <c r="B3" s="261" t="s">
        <v>207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O3" s="256" t="s">
        <v>207</v>
      </c>
      <c r="P3" s="256"/>
      <c r="Q3" s="256"/>
      <c r="R3" s="256"/>
      <c r="S3" s="256"/>
      <c r="T3" s="256"/>
    </row>
    <row r="4" spans="2:20" ht="15.75" x14ac:dyDescent="0.25">
      <c r="B4" s="2" t="s">
        <v>208</v>
      </c>
      <c r="C4" s="2">
        <v>2010</v>
      </c>
      <c r="D4" s="2">
        <v>2011</v>
      </c>
      <c r="E4" s="2">
        <v>2012</v>
      </c>
      <c r="F4" s="2">
        <v>2013</v>
      </c>
      <c r="G4" s="2">
        <v>2014</v>
      </c>
      <c r="H4" s="2">
        <v>2015</v>
      </c>
      <c r="I4" s="2">
        <v>2016</v>
      </c>
      <c r="J4" s="2">
        <v>2017</v>
      </c>
      <c r="K4" s="2">
        <v>2018</v>
      </c>
      <c r="L4" s="2">
        <v>2019</v>
      </c>
      <c r="O4" s="2" t="s">
        <v>208</v>
      </c>
      <c r="P4" s="2">
        <v>2015</v>
      </c>
      <c r="Q4" s="2">
        <v>2016</v>
      </c>
      <c r="R4" s="2">
        <v>2017</v>
      </c>
      <c r="S4" s="2">
        <v>2018</v>
      </c>
      <c r="T4" s="2">
        <v>2019</v>
      </c>
    </row>
    <row r="5" spans="2:20" ht="15.75" x14ac:dyDescent="0.25">
      <c r="B5" s="3" t="s">
        <v>1</v>
      </c>
      <c r="C5" s="4">
        <v>506329</v>
      </c>
      <c r="D5" s="5">
        <v>547689</v>
      </c>
      <c r="E5" s="5">
        <v>577227</v>
      </c>
      <c r="F5" s="5">
        <v>593723</v>
      </c>
      <c r="G5" s="6">
        <v>690250</v>
      </c>
      <c r="H5" s="5">
        <v>818459</v>
      </c>
      <c r="I5" s="5">
        <v>918170</v>
      </c>
      <c r="J5" s="5">
        <v>1013591</v>
      </c>
      <c r="K5" s="5">
        <v>1161192</v>
      </c>
      <c r="L5" s="5">
        <v>1307321</v>
      </c>
      <c r="O5" s="3" t="s">
        <v>1</v>
      </c>
      <c r="P5" s="5">
        <v>818459</v>
      </c>
      <c r="Q5" s="5">
        <v>918170</v>
      </c>
      <c r="R5" s="5">
        <v>1013591</v>
      </c>
      <c r="S5" s="5">
        <v>1161192</v>
      </c>
      <c r="T5" s="5">
        <v>1307321</v>
      </c>
    </row>
    <row r="6" spans="2:20" ht="15.75" x14ac:dyDescent="0.25">
      <c r="B6" s="7" t="s">
        <v>2</v>
      </c>
      <c r="C6" s="5">
        <v>313628</v>
      </c>
      <c r="D6" s="5">
        <v>380000</v>
      </c>
      <c r="E6" s="5">
        <v>418149</v>
      </c>
      <c r="F6" s="5">
        <v>406274</v>
      </c>
      <c r="G6" s="6">
        <v>467763</v>
      </c>
      <c r="H6" s="5">
        <v>568017</v>
      </c>
      <c r="I6" s="5">
        <v>675781</v>
      </c>
      <c r="J6" s="5">
        <v>742145</v>
      </c>
      <c r="K6" s="5">
        <v>851060</v>
      </c>
      <c r="L6" s="5">
        <v>964961</v>
      </c>
      <c r="O6" s="7" t="s">
        <v>2</v>
      </c>
      <c r="P6" s="5">
        <v>568017</v>
      </c>
      <c r="Q6" s="5">
        <v>675781</v>
      </c>
      <c r="R6" s="5">
        <v>742145</v>
      </c>
      <c r="S6" s="5">
        <v>851060</v>
      </c>
      <c r="T6" s="5">
        <v>964961</v>
      </c>
    </row>
    <row r="7" spans="2:20" ht="15.75" x14ac:dyDescent="0.25">
      <c r="B7" s="7" t="s">
        <v>3</v>
      </c>
      <c r="C7" s="5">
        <v>260000</v>
      </c>
      <c r="D7" s="5">
        <v>260000</v>
      </c>
      <c r="E7" s="5">
        <v>260000</v>
      </c>
      <c r="F7" s="5">
        <v>260000</v>
      </c>
      <c r="G7" s="5">
        <v>260000</v>
      </c>
      <c r="H7" s="5">
        <v>260000</v>
      </c>
      <c r="I7" s="5">
        <v>260000</v>
      </c>
      <c r="J7" s="5">
        <v>260000</v>
      </c>
      <c r="K7" s="5">
        <v>260000</v>
      </c>
      <c r="L7" s="5">
        <v>260000</v>
      </c>
      <c r="O7" s="7" t="s">
        <v>3</v>
      </c>
      <c r="P7" s="5">
        <v>260000</v>
      </c>
      <c r="Q7" s="5">
        <v>260000</v>
      </c>
      <c r="R7" s="5">
        <v>260000</v>
      </c>
      <c r="S7" s="5">
        <v>260000</v>
      </c>
      <c r="T7" s="5">
        <v>260000</v>
      </c>
    </row>
    <row r="8" spans="2:20" ht="15.75" x14ac:dyDescent="0.25">
      <c r="B8" s="8" t="s">
        <v>4</v>
      </c>
      <c r="C8" s="9">
        <v>260000</v>
      </c>
      <c r="D8" s="10">
        <v>260000</v>
      </c>
      <c r="E8" s="10">
        <v>260000</v>
      </c>
      <c r="F8" s="10">
        <v>260000</v>
      </c>
      <c r="G8" s="10">
        <v>260000</v>
      </c>
      <c r="H8" s="10">
        <v>260000</v>
      </c>
      <c r="I8" s="10">
        <v>260000</v>
      </c>
      <c r="J8" s="10">
        <v>260000</v>
      </c>
      <c r="K8" s="10">
        <v>260000</v>
      </c>
      <c r="L8" s="10">
        <v>260000</v>
      </c>
      <c r="O8" s="8" t="s">
        <v>4</v>
      </c>
      <c r="P8" s="10">
        <v>260000</v>
      </c>
      <c r="Q8" s="10">
        <v>260000</v>
      </c>
      <c r="R8" s="10">
        <v>260000</v>
      </c>
      <c r="S8" s="10">
        <v>260000</v>
      </c>
      <c r="T8" s="10">
        <v>260000</v>
      </c>
    </row>
    <row r="9" spans="2:20" ht="15.75" x14ac:dyDescent="0.25">
      <c r="B9" s="7" t="s">
        <v>5</v>
      </c>
      <c r="C9" s="5">
        <v>18430</v>
      </c>
      <c r="D9" s="5">
        <v>24894</v>
      </c>
      <c r="E9" s="5">
        <v>30496</v>
      </c>
      <c r="F9" s="5">
        <v>39422</v>
      </c>
      <c r="G9" s="6">
        <v>43691</v>
      </c>
      <c r="H9" s="5">
        <v>48836</v>
      </c>
      <c r="I9" s="5">
        <v>57780</v>
      </c>
      <c r="J9" s="5">
        <v>63581</v>
      </c>
      <c r="K9" s="5">
        <v>69048</v>
      </c>
      <c r="L9" s="5">
        <v>72358</v>
      </c>
      <c r="O9" s="7" t="s">
        <v>5</v>
      </c>
      <c r="P9" s="5">
        <v>48836</v>
      </c>
      <c r="Q9" s="5">
        <v>57780</v>
      </c>
      <c r="R9" s="5">
        <v>63581</v>
      </c>
      <c r="S9" s="5">
        <v>69048</v>
      </c>
      <c r="T9" s="5">
        <v>72358</v>
      </c>
    </row>
    <row r="10" spans="2:20" ht="15.75" x14ac:dyDescent="0.25">
      <c r="B10" s="8" t="s">
        <v>6</v>
      </c>
      <c r="C10" s="9">
        <v>18430</v>
      </c>
      <c r="D10" s="10">
        <v>24894</v>
      </c>
      <c r="E10" s="10">
        <v>30496</v>
      </c>
      <c r="F10" s="10">
        <v>39422</v>
      </c>
      <c r="G10" s="11">
        <v>43691</v>
      </c>
      <c r="H10" s="10">
        <v>48836</v>
      </c>
      <c r="I10" s="10">
        <v>57780</v>
      </c>
      <c r="J10" s="10">
        <v>63581</v>
      </c>
      <c r="K10" s="10">
        <v>69048</v>
      </c>
      <c r="L10" s="10">
        <v>72358</v>
      </c>
      <c r="O10" s="8" t="s">
        <v>6</v>
      </c>
      <c r="P10" s="10">
        <v>48836</v>
      </c>
      <c r="Q10" s="10">
        <v>57780</v>
      </c>
      <c r="R10" s="10">
        <v>63581</v>
      </c>
      <c r="S10" s="10">
        <v>69048</v>
      </c>
      <c r="T10" s="10">
        <v>72358</v>
      </c>
    </row>
    <row r="11" spans="2:20" ht="15.75" x14ac:dyDescent="0.25">
      <c r="B11" s="7" t="s">
        <v>7</v>
      </c>
      <c r="C11" s="5">
        <v>2833</v>
      </c>
      <c r="D11" s="5">
        <v>6877</v>
      </c>
      <c r="E11" s="5">
        <v>9190</v>
      </c>
      <c r="F11" s="5">
        <v>11817</v>
      </c>
      <c r="G11" s="6">
        <v>14877</v>
      </c>
      <c r="H11" s="5">
        <v>18138</v>
      </c>
      <c r="I11" s="5">
        <v>22894</v>
      </c>
      <c r="J11" s="5">
        <v>28346</v>
      </c>
      <c r="K11" s="5">
        <v>33544</v>
      </c>
      <c r="L11" s="5">
        <v>40694</v>
      </c>
      <c r="O11" s="7" t="s">
        <v>7</v>
      </c>
      <c r="P11" s="5">
        <v>18138</v>
      </c>
      <c r="Q11" s="5">
        <v>22894</v>
      </c>
      <c r="R11" s="5">
        <v>28346</v>
      </c>
      <c r="S11" s="5">
        <v>33544</v>
      </c>
      <c r="T11" s="5">
        <v>40694</v>
      </c>
    </row>
    <row r="12" spans="2:20" ht="15.75" x14ac:dyDescent="0.25">
      <c r="B12" s="8" t="s">
        <v>8</v>
      </c>
      <c r="C12" s="9">
        <v>2833</v>
      </c>
      <c r="D12" s="10">
        <v>6877</v>
      </c>
      <c r="E12" s="10">
        <v>9190</v>
      </c>
      <c r="F12" s="10">
        <v>11817</v>
      </c>
      <c r="G12" s="11">
        <v>14877</v>
      </c>
      <c r="H12" s="10">
        <v>18138</v>
      </c>
      <c r="I12" s="10">
        <v>22894</v>
      </c>
      <c r="J12" s="10">
        <v>28346</v>
      </c>
      <c r="K12" s="10">
        <v>33544</v>
      </c>
      <c r="L12" s="10">
        <v>40694</v>
      </c>
      <c r="O12" s="8" t="s">
        <v>8</v>
      </c>
      <c r="P12" s="10">
        <v>18138</v>
      </c>
      <c r="Q12" s="10">
        <v>22894</v>
      </c>
      <c r="R12" s="10">
        <v>28346</v>
      </c>
      <c r="S12" s="10">
        <v>33544</v>
      </c>
      <c r="T12" s="10">
        <v>40694</v>
      </c>
    </row>
    <row r="13" spans="2:20" ht="15.75" x14ac:dyDescent="0.25">
      <c r="B13" s="7" t="s">
        <v>9</v>
      </c>
      <c r="C13" s="5">
        <v>-2565</v>
      </c>
      <c r="D13" s="5">
        <v>41968</v>
      </c>
      <c r="E13" s="5">
        <v>65916</v>
      </c>
      <c r="F13" s="5">
        <v>35836</v>
      </c>
      <c r="G13" s="6">
        <v>83976</v>
      </c>
      <c r="H13" s="5">
        <v>145934</v>
      </c>
      <c r="I13" s="5">
        <v>226051</v>
      </c>
      <c r="J13" s="5">
        <v>286252</v>
      </c>
      <c r="K13" s="5">
        <v>345470</v>
      </c>
      <c r="L13" s="5">
        <v>427584</v>
      </c>
      <c r="O13" s="7" t="s">
        <v>9</v>
      </c>
      <c r="P13" s="5">
        <v>145934</v>
      </c>
      <c r="Q13" s="5">
        <v>226051</v>
      </c>
      <c r="R13" s="5">
        <v>286252</v>
      </c>
      <c r="S13" s="5">
        <v>345470</v>
      </c>
      <c r="T13" s="5">
        <v>427584</v>
      </c>
    </row>
    <row r="14" spans="2:20" ht="15.75" x14ac:dyDescent="0.25">
      <c r="B14" s="8" t="s">
        <v>10</v>
      </c>
      <c r="C14" s="9">
        <v>20998</v>
      </c>
      <c r="D14" s="10">
        <v>65531</v>
      </c>
      <c r="E14" s="10">
        <v>16869</v>
      </c>
      <c r="F14" s="10">
        <v>59399</v>
      </c>
      <c r="G14" s="11">
        <v>107539</v>
      </c>
      <c r="H14" s="10">
        <v>169533</v>
      </c>
      <c r="I14" s="10">
        <v>249650</v>
      </c>
      <c r="J14" s="10">
        <v>309851</v>
      </c>
      <c r="K14" s="10">
        <v>369069</v>
      </c>
      <c r="L14" s="10">
        <v>451183</v>
      </c>
      <c r="O14" s="8" t="s">
        <v>10</v>
      </c>
      <c r="P14" s="10">
        <v>169533</v>
      </c>
      <c r="Q14" s="10">
        <v>249650</v>
      </c>
      <c r="R14" s="10">
        <v>309851</v>
      </c>
      <c r="S14" s="10">
        <v>369069</v>
      </c>
      <c r="T14" s="10">
        <v>451183</v>
      </c>
    </row>
    <row r="15" spans="2:20" ht="15.75" x14ac:dyDescent="0.25">
      <c r="B15" s="8" t="s">
        <v>11</v>
      </c>
      <c r="C15" s="9">
        <v>-23563</v>
      </c>
      <c r="D15" s="10">
        <v>-23563</v>
      </c>
      <c r="E15" s="10">
        <v>-23563</v>
      </c>
      <c r="F15" s="10">
        <v>-23563</v>
      </c>
      <c r="G15" s="11">
        <v>-23563</v>
      </c>
      <c r="H15" s="10">
        <v>-23599</v>
      </c>
      <c r="I15" s="10">
        <v>-23599</v>
      </c>
      <c r="J15" s="10">
        <v>-23599</v>
      </c>
      <c r="K15" s="10">
        <v>-23599</v>
      </c>
      <c r="L15" s="10">
        <v>-23599</v>
      </c>
      <c r="O15" s="8" t="s">
        <v>11</v>
      </c>
      <c r="P15" s="10">
        <v>-23599</v>
      </c>
      <c r="Q15" s="10">
        <v>-23599</v>
      </c>
      <c r="R15" s="10">
        <v>-23599</v>
      </c>
      <c r="S15" s="10">
        <v>-23599</v>
      </c>
      <c r="T15" s="10">
        <v>-23599</v>
      </c>
    </row>
    <row r="16" spans="2:20" ht="15.75" x14ac:dyDescent="0.25">
      <c r="B16" s="8" t="s">
        <v>12</v>
      </c>
      <c r="C16" s="9">
        <v>-27</v>
      </c>
      <c r="D16" s="10">
        <v>0</v>
      </c>
      <c r="E16" s="10">
        <v>0</v>
      </c>
      <c r="F16" s="10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O16" s="8" t="s">
        <v>12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</row>
    <row r="17" spans="2:20" ht="15.75" x14ac:dyDescent="0.25">
      <c r="B17" s="7" t="s">
        <v>13</v>
      </c>
      <c r="C17" s="5">
        <v>34390</v>
      </c>
      <c r="D17" s="5">
        <v>46261</v>
      </c>
      <c r="E17" s="5">
        <v>52547</v>
      </c>
      <c r="F17" s="5">
        <v>61199</v>
      </c>
      <c r="G17" s="11">
        <v>65219</v>
      </c>
      <c r="H17" s="5">
        <v>95109</v>
      </c>
      <c r="I17" s="5">
        <v>109056</v>
      </c>
      <c r="J17" s="5">
        <v>103966</v>
      </c>
      <c r="K17" s="5">
        <v>142998</v>
      </c>
      <c r="L17" s="5">
        <v>164325</v>
      </c>
      <c r="O17" s="7" t="s">
        <v>13</v>
      </c>
      <c r="P17" s="5">
        <v>95109</v>
      </c>
      <c r="Q17" s="5">
        <v>109056</v>
      </c>
      <c r="R17" s="5">
        <v>103966</v>
      </c>
      <c r="S17" s="5">
        <v>142998</v>
      </c>
      <c r="T17" s="5">
        <v>164325</v>
      </c>
    </row>
    <row r="18" spans="2:20" ht="15.75" x14ac:dyDescent="0.25">
      <c r="B18" s="7" t="s">
        <v>14</v>
      </c>
      <c r="C18" s="5">
        <v>157419</v>
      </c>
      <c r="D18" s="5">
        <v>132686</v>
      </c>
      <c r="E18" s="5">
        <v>125162</v>
      </c>
      <c r="F18" s="5">
        <v>151670</v>
      </c>
      <c r="G18" s="6">
        <v>180144</v>
      </c>
      <c r="H18" s="5">
        <v>217840</v>
      </c>
      <c r="I18" s="5">
        <v>213911</v>
      </c>
      <c r="J18" s="5">
        <v>243636</v>
      </c>
      <c r="K18" s="5">
        <v>310132</v>
      </c>
      <c r="L18" s="5">
        <v>342360</v>
      </c>
      <c r="O18" s="7" t="s">
        <v>14</v>
      </c>
      <c r="P18" s="5">
        <v>217840</v>
      </c>
      <c r="Q18" s="5">
        <v>213911</v>
      </c>
      <c r="R18" s="5">
        <v>243636</v>
      </c>
      <c r="S18" s="5">
        <v>310132</v>
      </c>
      <c r="T18" s="5">
        <v>342360</v>
      </c>
    </row>
    <row r="19" spans="2:20" ht="15.75" x14ac:dyDescent="0.25">
      <c r="B19" s="7" t="s">
        <v>15</v>
      </c>
      <c r="C19" s="5">
        <v>12077</v>
      </c>
      <c r="D19" s="5">
        <v>16211</v>
      </c>
      <c r="E19" s="5">
        <v>1648</v>
      </c>
      <c r="F19" s="5">
        <v>4372</v>
      </c>
      <c r="G19" s="6">
        <v>418</v>
      </c>
      <c r="H19" s="5">
        <v>5939</v>
      </c>
      <c r="I19" s="5">
        <v>4281</v>
      </c>
      <c r="J19" s="5">
        <v>961</v>
      </c>
      <c r="K19" s="5">
        <v>10596</v>
      </c>
      <c r="L19" s="5">
        <v>10103</v>
      </c>
      <c r="O19" s="7" t="s">
        <v>15</v>
      </c>
      <c r="P19" s="5">
        <v>5939</v>
      </c>
      <c r="Q19" s="5">
        <v>4281</v>
      </c>
      <c r="R19" s="5">
        <v>961</v>
      </c>
      <c r="S19" s="5">
        <v>10596</v>
      </c>
      <c r="T19" s="5">
        <v>10103</v>
      </c>
    </row>
    <row r="20" spans="2:20" ht="15.75" x14ac:dyDescent="0.25">
      <c r="B20" s="8" t="s">
        <v>16</v>
      </c>
      <c r="C20" s="9">
        <v>11092</v>
      </c>
      <c r="D20" s="10">
        <v>15018</v>
      </c>
      <c r="E20" s="10">
        <v>0</v>
      </c>
      <c r="F20" s="10">
        <v>2895</v>
      </c>
      <c r="G20" s="11">
        <v>0</v>
      </c>
      <c r="H20" s="10">
        <v>5619</v>
      </c>
      <c r="I20" s="10">
        <v>3965</v>
      </c>
      <c r="J20" s="10">
        <v>961</v>
      </c>
      <c r="K20" s="10">
        <v>10596</v>
      </c>
      <c r="L20" s="10">
        <v>10103</v>
      </c>
      <c r="O20" s="8" t="s">
        <v>16</v>
      </c>
      <c r="P20" s="10">
        <v>5619</v>
      </c>
      <c r="Q20" s="10">
        <v>3965</v>
      </c>
      <c r="R20" s="10">
        <v>961</v>
      </c>
      <c r="S20" s="10">
        <v>10596</v>
      </c>
      <c r="T20" s="10">
        <v>10103</v>
      </c>
    </row>
    <row r="21" spans="2:20" ht="15.75" x14ac:dyDescent="0.25">
      <c r="B21" s="8" t="s">
        <v>17</v>
      </c>
      <c r="C21" s="9">
        <v>985</v>
      </c>
      <c r="D21" s="10">
        <v>1193</v>
      </c>
      <c r="E21" s="10">
        <v>1648</v>
      </c>
      <c r="F21" s="10">
        <v>1477</v>
      </c>
      <c r="G21" s="11">
        <v>418</v>
      </c>
      <c r="H21" s="10">
        <v>320</v>
      </c>
      <c r="I21" s="10">
        <v>316</v>
      </c>
      <c r="J21" s="10">
        <v>0</v>
      </c>
      <c r="K21" s="10">
        <v>0</v>
      </c>
      <c r="L21" s="10">
        <v>0</v>
      </c>
      <c r="O21" s="8" t="s">
        <v>17</v>
      </c>
      <c r="P21" s="10">
        <v>320</v>
      </c>
      <c r="Q21" s="10">
        <v>316</v>
      </c>
      <c r="R21" s="10">
        <v>0</v>
      </c>
      <c r="S21" s="10">
        <v>0</v>
      </c>
      <c r="T21" s="10">
        <v>0</v>
      </c>
    </row>
    <row r="22" spans="2:20" ht="15.75" x14ac:dyDescent="0.25">
      <c r="B22" s="7" t="s">
        <v>18</v>
      </c>
      <c r="C22" s="5">
        <v>127342</v>
      </c>
      <c r="D22" s="5">
        <v>116475</v>
      </c>
      <c r="E22" s="5">
        <v>123514</v>
      </c>
      <c r="F22" s="5">
        <v>147298</v>
      </c>
      <c r="G22" s="6">
        <v>179726</v>
      </c>
      <c r="H22" s="5">
        <v>211901</v>
      </c>
      <c r="I22" s="5">
        <v>209630</v>
      </c>
      <c r="J22" s="5">
        <v>242675</v>
      </c>
      <c r="K22" s="5">
        <v>299536</v>
      </c>
      <c r="L22" s="5">
        <v>332257</v>
      </c>
      <c r="O22" s="7" t="s">
        <v>18</v>
      </c>
      <c r="P22" s="5">
        <v>211901</v>
      </c>
      <c r="Q22" s="5">
        <v>209630</v>
      </c>
      <c r="R22" s="5">
        <v>242675</v>
      </c>
      <c r="S22" s="5">
        <v>299536</v>
      </c>
      <c r="T22" s="5">
        <v>332257</v>
      </c>
    </row>
    <row r="23" spans="2:20" ht="15.75" x14ac:dyDescent="0.25">
      <c r="B23" s="7" t="s">
        <v>19</v>
      </c>
      <c r="C23" s="5">
        <v>23228</v>
      </c>
      <c r="D23" s="5">
        <v>6527</v>
      </c>
      <c r="E23" s="5">
        <v>5953</v>
      </c>
      <c r="F23" s="5">
        <v>5021</v>
      </c>
      <c r="G23" s="6">
        <v>10266</v>
      </c>
      <c r="H23" s="5">
        <v>15015</v>
      </c>
      <c r="I23" s="5">
        <v>20743</v>
      </c>
      <c r="J23" s="5">
        <v>23633</v>
      </c>
      <c r="K23" s="5">
        <v>26077</v>
      </c>
      <c r="L23" s="5">
        <v>30604</v>
      </c>
      <c r="O23" s="7" t="s">
        <v>19</v>
      </c>
      <c r="P23" s="5">
        <v>15015</v>
      </c>
      <c r="Q23" s="5">
        <v>20743</v>
      </c>
      <c r="R23" s="5">
        <v>23633</v>
      </c>
      <c r="S23" s="5">
        <v>26077</v>
      </c>
      <c r="T23" s="5">
        <v>30604</v>
      </c>
    </row>
    <row r="24" spans="2:20" ht="15.75" x14ac:dyDescent="0.25">
      <c r="B24" s="8" t="s">
        <v>20</v>
      </c>
      <c r="C24" s="9">
        <v>16000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O24" s="8" t="s">
        <v>20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</row>
    <row r="25" spans="2:20" ht="15.75" x14ac:dyDescent="0.25">
      <c r="B25" s="8" t="s">
        <v>21</v>
      </c>
      <c r="C25" s="9">
        <v>0</v>
      </c>
      <c r="D25" s="10">
        <v>0</v>
      </c>
      <c r="E25" s="10">
        <v>0</v>
      </c>
      <c r="F25" s="10">
        <v>0</v>
      </c>
      <c r="G25" s="11">
        <v>0</v>
      </c>
      <c r="H25" s="10">
        <v>283</v>
      </c>
      <c r="I25" s="10">
        <v>0</v>
      </c>
      <c r="J25" s="10">
        <v>0</v>
      </c>
      <c r="K25" s="10">
        <v>0</v>
      </c>
      <c r="L25" s="10">
        <v>1732</v>
      </c>
      <c r="O25" s="8" t="s">
        <v>21</v>
      </c>
      <c r="P25" s="10">
        <v>283</v>
      </c>
      <c r="Q25" s="10">
        <v>0</v>
      </c>
      <c r="R25" s="10">
        <v>0</v>
      </c>
      <c r="S25" s="10">
        <v>0</v>
      </c>
      <c r="T25" s="10">
        <v>1732</v>
      </c>
    </row>
    <row r="26" spans="2:20" ht="15.75" x14ac:dyDescent="0.25">
      <c r="B26" s="8" t="s">
        <v>22</v>
      </c>
      <c r="C26" s="9">
        <v>7228</v>
      </c>
      <c r="D26" s="10">
        <v>6527</v>
      </c>
      <c r="E26" s="10">
        <v>5953</v>
      </c>
      <c r="F26" s="10">
        <v>5021</v>
      </c>
      <c r="G26" s="11">
        <v>10266</v>
      </c>
      <c r="H26" s="10">
        <v>14732</v>
      </c>
      <c r="I26" s="10">
        <v>19844</v>
      </c>
      <c r="J26" s="10">
        <v>23633</v>
      </c>
      <c r="K26" s="10">
        <v>26077</v>
      </c>
      <c r="L26" s="10">
        <v>28809</v>
      </c>
      <c r="O26" s="8" t="s">
        <v>22</v>
      </c>
      <c r="P26" s="10">
        <v>14732</v>
      </c>
      <c r="Q26" s="10">
        <v>19844</v>
      </c>
      <c r="R26" s="10">
        <v>23633</v>
      </c>
      <c r="S26" s="10">
        <v>26077</v>
      </c>
      <c r="T26" s="10">
        <v>28809</v>
      </c>
    </row>
    <row r="27" spans="2:20" ht="15.75" customHeight="1" x14ac:dyDescent="0.25">
      <c r="B27" s="12" t="s">
        <v>23</v>
      </c>
      <c r="C27" s="13">
        <v>0</v>
      </c>
      <c r="D27" s="9">
        <v>0</v>
      </c>
      <c r="E27" s="9">
        <v>0</v>
      </c>
      <c r="F27" s="9">
        <v>0</v>
      </c>
      <c r="G27" s="11">
        <v>0</v>
      </c>
      <c r="H27" s="11">
        <v>0</v>
      </c>
      <c r="I27" s="11">
        <v>899</v>
      </c>
      <c r="J27" s="11">
        <v>0</v>
      </c>
      <c r="K27" s="11">
        <v>0</v>
      </c>
      <c r="L27" s="11">
        <v>63</v>
      </c>
      <c r="O27" s="12" t="s">
        <v>23</v>
      </c>
      <c r="P27" s="11">
        <v>0</v>
      </c>
      <c r="Q27" s="11">
        <v>899</v>
      </c>
      <c r="R27" s="11">
        <v>0</v>
      </c>
      <c r="S27" s="11">
        <v>0</v>
      </c>
      <c r="T27" s="11">
        <v>63</v>
      </c>
    </row>
    <row r="28" spans="2:20" ht="15.75" x14ac:dyDescent="0.25">
      <c r="B28" s="8" t="s">
        <v>24</v>
      </c>
      <c r="C28" s="9">
        <v>0</v>
      </c>
      <c r="D28" s="10">
        <v>0</v>
      </c>
      <c r="E28" s="10">
        <v>0</v>
      </c>
      <c r="F28" s="10">
        <v>0</v>
      </c>
      <c r="G28" s="11">
        <v>0</v>
      </c>
      <c r="H28" s="10">
        <v>0</v>
      </c>
      <c r="I28" s="10">
        <v>899</v>
      </c>
      <c r="J28" s="10">
        <v>0</v>
      </c>
      <c r="K28" s="10">
        <v>0</v>
      </c>
      <c r="L28" s="10">
        <v>63</v>
      </c>
      <c r="O28" s="8" t="s">
        <v>24</v>
      </c>
      <c r="P28" s="10">
        <v>0</v>
      </c>
      <c r="Q28" s="10">
        <v>899</v>
      </c>
      <c r="R28" s="10">
        <v>0</v>
      </c>
      <c r="S28" s="10">
        <v>0</v>
      </c>
      <c r="T28" s="10">
        <v>63</v>
      </c>
    </row>
    <row r="29" spans="2:20" ht="15.75" x14ac:dyDescent="0.25">
      <c r="B29" s="14" t="s">
        <v>25</v>
      </c>
      <c r="C29" s="15">
        <v>120114</v>
      </c>
      <c r="D29" s="5">
        <v>109948</v>
      </c>
      <c r="E29" s="5">
        <v>117561</v>
      </c>
      <c r="F29" s="5">
        <v>142277</v>
      </c>
      <c r="G29" s="6">
        <v>169460</v>
      </c>
      <c r="H29" s="5">
        <v>196886</v>
      </c>
      <c r="I29" s="5">
        <v>188887</v>
      </c>
      <c r="J29" s="5">
        <v>219042</v>
      </c>
      <c r="K29" s="5">
        <v>245916</v>
      </c>
      <c r="L29" s="5">
        <v>274762</v>
      </c>
      <c r="O29" s="14" t="s">
        <v>25</v>
      </c>
      <c r="P29" s="5">
        <v>196886</v>
      </c>
      <c r="Q29" s="5">
        <v>188887</v>
      </c>
      <c r="R29" s="5">
        <v>219042</v>
      </c>
      <c r="S29" s="5">
        <v>245916</v>
      </c>
      <c r="T29" s="5">
        <v>274762</v>
      </c>
    </row>
    <row r="30" spans="2:20" ht="15.75" x14ac:dyDescent="0.25">
      <c r="B30" s="8" t="s">
        <v>20</v>
      </c>
      <c r="C30" s="16">
        <v>2000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8</v>
      </c>
      <c r="L30" s="10">
        <v>0</v>
      </c>
      <c r="O30" s="8" t="s">
        <v>20</v>
      </c>
      <c r="P30" s="10">
        <v>0</v>
      </c>
      <c r="Q30" s="10">
        <v>0</v>
      </c>
      <c r="R30" s="10">
        <v>0</v>
      </c>
      <c r="S30" s="10">
        <v>8</v>
      </c>
      <c r="T30" s="10">
        <v>0</v>
      </c>
    </row>
    <row r="31" spans="2:20" ht="15.75" x14ac:dyDescent="0.25">
      <c r="B31" s="8" t="s">
        <v>26</v>
      </c>
      <c r="C31" s="16">
        <v>56000</v>
      </c>
      <c r="D31" s="10">
        <v>55043</v>
      </c>
      <c r="E31" s="10">
        <v>60778</v>
      </c>
      <c r="F31" s="10">
        <v>71146</v>
      </c>
      <c r="G31" s="11">
        <v>95067</v>
      </c>
      <c r="H31" s="10">
        <v>115522</v>
      </c>
      <c r="I31" s="10">
        <v>113172</v>
      </c>
      <c r="J31" s="10">
        <v>132627</v>
      </c>
      <c r="K31" s="10">
        <v>146961</v>
      </c>
      <c r="L31" s="10">
        <v>167794</v>
      </c>
      <c r="O31" s="8" t="s">
        <v>26</v>
      </c>
      <c r="P31" s="10">
        <v>115522</v>
      </c>
      <c r="Q31" s="10">
        <v>113172</v>
      </c>
      <c r="R31" s="10">
        <v>132627</v>
      </c>
      <c r="S31" s="10">
        <v>146961</v>
      </c>
      <c r="T31" s="10">
        <v>167794</v>
      </c>
    </row>
    <row r="32" spans="2:20" ht="15.75" x14ac:dyDescent="0.25">
      <c r="B32" s="8" t="s">
        <v>21</v>
      </c>
      <c r="C32" s="16">
        <v>40467</v>
      </c>
      <c r="D32" s="10">
        <v>25898</v>
      </c>
      <c r="E32" s="10">
        <v>25351</v>
      </c>
      <c r="F32" s="10">
        <v>36933</v>
      </c>
      <c r="G32" s="11">
        <v>40107</v>
      </c>
      <c r="H32" s="10">
        <v>49893</v>
      </c>
      <c r="I32" s="10">
        <v>43186</v>
      </c>
      <c r="J32" s="10">
        <v>49005</v>
      </c>
      <c r="K32" s="10">
        <v>56529</v>
      </c>
      <c r="L32" s="10">
        <v>66601</v>
      </c>
      <c r="O32" s="8" t="s">
        <v>21</v>
      </c>
      <c r="P32" s="10">
        <v>49893</v>
      </c>
      <c r="Q32" s="10">
        <v>43186</v>
      </c>
      <c r="R32" s="10">
        <v>49005</v>
      </c>
      <c r="S32" s="10">
        <v>56529</v>
      </c>
      <c r="T32" s="10">
        <v>66601</v>
      </c>
    </row>
    <row r="33" spans="2:20" ht="15.75" x14ac:dyDescent="0.25">
      <c r="B33" s="8" t="s">
        <v>23</v>
      </c>
      <c r="C33" s="18">
        <f>SUM(C$34:C$38)</f>
        <v>23647</v>
      </c>
      <c r="D33" s="18">
        <f t="shared" ref="D33:L33" si="0">SUM(D$34:D$38)</f>
        <v>29007</v>
      </c>
      <c r="E33" s="18">
        <f t="shared" si="0"/>
        <v>31146</v>
      </c>
      <c r="F33" s="18">
        <f t="shared" si="0"/>
        <v>34198</v>
      </c>
      <c r="G33" s="18">
        <f t="shared" si="0"/>
        <v>34284</v>
      </c>
      <c r="H33" s="18">
        <f t="shared" si="0"/>
        <v>31471</v>
      </c>
      <c r="I33" s="18">
        <f t="shared" si="0"/>
        <v>32529</v>
      </c>
      <c r="J33" s="18">
        <f t="shared" si="0"/>
        <v>37410</v>
      </c>
      <c r="K33" s="18">
        <f t="shared" si="0"/>
        <v>42418</v>
      </c>
      <c r="L33" s="18">
        <f t="shared" si="0"/>
        <v>40367</v>
      </c>
      <c r="O33" s="8" t="s">
        <v>23</v>
      </c>
      <c r="P33" s="18">
        <v>31471</v>
      </c>
      <c r="Q33" s="18">
        <v>32529</v>
      </c>
      <c r="R33" s="18">
        <v>37410</v>
      </c>
      <c r="S33" s="18">
        <v>42418</v>
      </c>
      <c r="T33" s="18">
        <v>40367</v>
      </c>
    </row>
    <row r="34" spans="2:20" ht="15.75" x14ac:dyDescent="0.25">
      <c r="B34" s="8" t="s">
        <v>27</v>
      </c>
      <c r="C34" s="16">
        <v>3258</v>
      </c>
      <c r="D34" s="10">
        <v>3432</v>
      </c>
      <c r="E34" s="10">
        <v>5142</v>
      </c>
      <c r="F34" s="10">
        <v>3780</v>
      </c>
      <c r="G34" s="11">
        <v>4855</v>
      </c>
      <c r="H34" s="10">
        <v>5388</v>
      </c>
      <c r="I34" s="10">
        <v>5802</v>
      </c>
      <c r="J34" s="10">
        <v>6146</v>
      </c>
      <c r="K34" s="10">
        <v>7838</v>
      </c>
      <c r="L34" s="10">
        <v>8012</v>
      </c>
      <c r="O34" s="8" t="s">
        <v>27</v>
      </c>
      <c r="P34" s="10">
        <v>5388</v>
      </c>
      <c r="Q34" s="10">
        <v>5802</v>
      </c>
      <c r="R34" s="10">
        <v>6146</v>
      </c>
      <c r="S34" s="10">
        <v>7838</v>
      </c>
      <c r="T34" s="10">
        <v>8012</v>
      </c>
    </row>
    <row r="35" spans="2:20" ht="15.75" x14ac:dyDescent="0.25">
      <c r="B35" s="8" t="s">
        <v>28</v>
      </c>
      <c r="C35" s="16">
        <v>1546</v>
      </c>
      <c r="D35" s="10">
        <v>1983</v>
      </c>
      <c r="E35" s="10">
        <v>2003</v>
      </c>
      <c r="F35" s="10">
        <v>2134</v>
      </c>
      <c r="G35" s="11">
        <v>2593</v>
      </c>
      <c r="H35" s="10">
        <v>2804</v>
      </c>
      <c r="I35" s="10">
        <v>3000</v>
      </c>
      <c r="J35" s="10">
        <v>3341</v>
      </c>
      <c r="K35" s="10">
        <v>4063</v>
      </c>
      <c r="L35" s="10">
        <v>4259</v>
      </c>
      <c r="O35" s="8" t="s">
        <v>28</v>
      </c>
      <c r="P35" s="10">
        <v>2804</v>
      </c>
      <c r="Q35" s="10">
        <v>3000</v>
      </c>
      <c r="R35" s="10">
        <v>3341</v>
      </c>
      <c r="S35" s="10">
        <v>4063</v>
      </c>
      <c r="T35" s="10">
        <v>4259</v>
      </c>
    </row>
    <row r="36" spans="2:20" ht="15.75" x14ac:dyDescent="0.25">
      <c r="B36" s="8" t="s">
        <v>29</v>
      </c>
      <c r="C36" s="16">
        <v>11127</v>
      </c>
      <c r="D36" s="10">
        <v>10394</v>
      </c>
      <c r="E36" s="10">
        <v>10398</v>
      </c>
      <c r="F36" s="10">
        <v>10358</v>
      </c>
      <c r="G36" s="11">
        <v>18179</v>
      </c>
      <c r="H36" s="10">
        <v>17021</v>
      </c>
      <c r="I36" s="10">
        <v>18192</v>
      </c>
      <c r="J36" s="10">
        <v>20537</v>
      </c>
      <c r="K36" s="10">
        <v>21303</v>
      </c>
      <c r="L36" s="10">
        <v>23953</v>
      </c>
      <c r="O36" s="8" t="s">
        <v>29</v>
      </c>
      <c r="P36" s="10">
        <v>17021</v>
      </c>
      <c r="Q36" s="10">
        <v>18192</v>
      </c>
      <c r="R36" s="10">
        <v>20537</v>
      </c>
      <c r="S36" s="10">
        <v>21303</v>
      </c>
      <c r="T36" s="10">
        <v>23953</v>
      </c>
    </row>
    <row r="37" spans="2:20" ht="15.75" x14ac:dyDescent="0.25">
      <c r="B37" s="17" t="s">
        <v>30</v>
      </c>
      <c r="C37" s="16">
        <v>7712</v>
      </c>
      <c r="D37" s="10">
        <v>6584</v>
      </c>
      <c r="E37" s="10">
        <v>6970</v>
      </c>
      <c r="F37" s="10">
        <v>13476</v>
      </c>
      <c r="G37" s="11">
        <v>5366</v>
      </c>
      <c r="H37" s="10">
        <v>4387</v>
      </c>
      <c r="I37" s="10">
        <v>5519</v>
      </c>
      <c r="J37" s="10">
        <v>7189</v>
      </c>
      <c r="K37" s="10">
        <v>9214</v>
      </c>
      <c r="L37" s="10">
        <v>4138</v>
      </c>
      <c r="O37" s="17" t="s">
        <v>30</v>
      </c>
      <c r="P37" s="10">
        <v>4387</v>
      </c>
      <c r="Q37" s="10">
        <v>5519</v>
      </c>
      <c r="R37" s="10">
        <v>7189</v>
      </c>
      <c r="S37" s="10">
        <v>9214</v>
      </c>
      <c r="T37" s="10">
        <v>4138</v>
      </c>
    </row>
    <row r="38" spans="2:20" ht="15.75" x14ac:dyDescent="0.25">
      <c r="B38" s="8" t="s">
        <v>24</v>
      </c>
      <c r="C38" s="16">
        <v>4</v>
      </c>
      <c r="D38" s="10">
        <v>6614</v>
      </c>
      <c r="E38" s="10">
        <v>6633</v>
      </c>
      <c r="F38" s="10">
        <v>4450</v>
      </c>
      <c r="G38" s="11">
        <v>3291</v>
      </c>
      <c r="H38" s="10">
        <v>1871</v>
      </c>
      <c r="I38" s="10">
        <v>16</v>
      </c>
      <c r="J38" s="10">
        <v>197</v>
      </c>
      <c r="K38" s="10">
        <v>0</v>
      </c>
      <c r="L38" s="10">
        <v>5</v>
      </c>
      <c r="O38" s="8" t="s">
        <v>24</v>
      </c>
      <c r="P38" s="10">
        <v>1871</v>
      </c>
      <c r="Q38" s="10">
        <v>16</v>
      </c>
      <c r="R38" s="10">
        <v>197</v>
      </c>
      <c r="S38" s="10">
        <v>0</v>
      </c>
      <c r="T38" s="10">
        <v>5</v>
      </c>
    </row>
    <row r="39" spans="2:20" ht="15.75" x14ac:dyDescent="0.25">
      <c r="B39" s="7" t="s">
        <v>31</v>
      </c>
      <c r="C39" s="15">
        <v>35282</v>
      </c>
      <c r="D39" s="5">
        <v>35003</v>
      </c>
      <c r="E39" s="5">
        <v>33916</v>
      </c>
      <c r="F39" s="5">
        <v>33779</v>
      </c>
      <c r="G39" s="6">
        <v>42343</v>
      </c>
      <c r="H39" s="5">
        <v>32602</v>
      </c>
      <c r="I39" s="5">
        <v>28478</v>
      </c>
      <c r="J39" s="5">
        <v>27810</v>
      </c>
      <c r="K39" s="5">
        <v>27543</v>
      </c>
      <c r="L39" s="5">
        <v>26891</v>
      </c>
      <c r="O39" s="7" t="s">
        <v>31</v>
      </c>
      <c r="P39" s="5">
        <v>32602</v>
      </c>
      <c r="Q39" s="5">
        <v>28478</v>
      </c>
      <c r="R39" s="5">
        <v>27810</v>
      </c>
      <c r="S39" s="5">
        <v>27543</v>
      </c>
      <c r="T39" s="5">
        <v>26891</v>
      </c>
    </row>
    <row r="40" spans="2:20" ht="15.75" x14ac:dyDescent="0.25">
      <c r="B40" s="8" t="s">
        <v>32</v>
      </c>
      <c r="C40" s="16">
        <v>443</v>
      </c>
      <c r="D40" s="10">
        <v>29</v>
      </c>
      <c r="E40" s="10">
        <v>525</v>
      </c>
      <c r="F40" s="10">
        <v>1088</v>
      </c>
      <c r="G40" s="11">
        <v>10500</v>
      </c>
      <c r="H40" s="10">
        <v>1188</v>
      </c>
      <c r="I40" s="10">
        <v>1700</v>
      </c>
      <c r="J40" s="10">
        <v>1700</v>
      </c>
      <c r="K40" s="10">
        <v>1965</v>
      </c>
      <c r="L40" s="10">
        <v>2072</v>
      </c>
      <c r="O40" s="8" t="s">
        <v>32</v>
      </c>
      <c r="P40" s="10">
        <v>1188</v>
      </c>
      <c r="Q40" s="10">
        <v>1700</v>
      </c>
      <c r="R40" s="10">
        <v>1700</v>
      </c>
      <c r="S40" s="10">
        <v>1965</v>
      </c>
      <c r="T40" s="10">
        <v>2072</v>
      </c>
    </row>
    <row r="41" spans="2:20" ht="15.75" x14ac:dyDescent="0.25">
      <c r="B41" s="8" t="s">
        <v>33</v>
      </c>
      <c r="C41" s="16">
        <v>34839</v>
      </c>
      <c r="D41" s="10">
        <v>34974</v>
      </c>
      <c r="E41" s="10">
        <v>33391</v>
      </c>
      <c r="F41" s="10">
        <v>32691</v>
      </c>
      <c r="G41" s="11">
        <v>31843</v>
      </c>
      <c r="H41" s="10">
        <v>31414</v>
      </c>
      <c r="I41" s="10">
        <v>26778</v>
      </c>
      <c r="J41" s="10">
        <v>26778</v>
      </c>
      <c r="K41" s="10">
        <v>25578</v>
      </c>
      <c r="L41" s="10">
        <v>24819</v>
      </c>
      <c r="O41" s="8" t="s">
        <v>33</v>
      </c>
      <c r="P41" s="10">
        <v>31414</v>
      </c>
      <c r="Q41" s="10">
        <v>26778</v>
      </c>
      <c r="R41" s="10">
        <v>26778</v>
      </c>
      <c r="S41" s="10">
        <v>25578</v>
      </c>
      <c r="T41" s="10">
        <v>24819</v>
      </c>
    </row>
  </sheetData>
  <mergeCells count="2">
    <mergeCell ref="O3:T3"/>
    <mergeCell ref="B3:L3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96853-CCA8-4F65-ACB1-674911BFCA0F}">
  <dimension ref="B2:L12"/>
  <sheetViews>
    <sheetView zoomScale="60" zoomScaleNormal="60" workbookViewId="0">
      <selection activeCell="B3" sqref="B3"/>
    </sheetView>
  </sheetViews>
  <sheetFormatPr defaultRowHeight="15" x14ac:dyDescent="0.25"/>
  <cols>
    <col min="2" max="2" width="35.5703125" customWidth="1"/>
    <col min="3" max="3" width="11.42578125" customWidth="1"/>
  </cols>
  <sheetData>
    <row r="2" spans="2:12" ht="15.75" x14ac:dyDescent="0.25">
      <c r="B2" s="37" t="s">
        <v>61</v>
      </c>
      <c r="C2" s="21">
        <v>2010</v>
      </c>
      <c r="D2" s="21">
        <v>2011</v>
      </c>
      <c r="E2" s="21">
        <v>2012</v>
      </c>
      <c r="F2" s="21">
        <v>2013</v>
      </c>
      <c r="G2" s="21">
        <v>2014</v>
      </c>
      <c r="H2" s="21">
        <v>2015</v>
      </c>
      <c r="I2" s="21">
        <v>2016</v>
      </c>
      <c r="J2" s="21">
        <v>2017</v>
      </c>
      <c r="K2" s="21">
        <v>2018</v>
      </c>
      <c r="L2" s="21">
        <v>2019</v>
      </c>
    </row>
    <row r="3" spans="2:12" ht="16.5" customHeight="1" x14ac:dyDescent="0.25">
      <c r="B3" s="200" t="s">
        <v>178</v>
      </c>
      <c r="C3" s="201">
        <v>6.83E-2</v>
      </c>
      <c r="D3" s="135">
        <v>0</v>
      </c>
      <c r="E3" s="135">
        <v>0</v>
      </c>
      <c r="F3" s="135">
        <v>0</v>
      </c>
      <c r="G3" s="135">
        <v>0</v>
      </c>
      <c r="H3" s="135">
        <v>0</v>
      </c>
      <c r="I3" s="135">
        <v>0</v>
      </c>
      <c r="J3" s="135">
        <v>0</v>
      </c>
      <c r="K3" s="135">
        <v>0</v>
      </c>
      <c r="L3" s="135">
        <v>0</v>
      </c>
    </row>
    <row r="4" spans="2:12" ht="15.75" x14ac:dyDescent="0.25">
      <c r="B4" s="59" t="s">
        <v>71</v>
      </c>
      <c r="C4" s="45">
        <v>49130</v>
      </c>
      <c r="D4" s="79">
        <v>59844</v>
      </c>
      <c r="E4" s="70">
        <v>68065</v>
      </c>
      <c r="F4" s="70">
        <v>78332</v>
      </c>
      <c r="G4" s="70">
        <v>83791</v>
      </c>
      <c r="H4" s="70">
        <v>121298</v>
      </c>
      <c r="I4" s="111">
        <v>135606</v>
      </c>
      <c r="J4" s="111">
        <v>130140</v>
      </c>
      <c r="K4" s="70">
        <v>177925</v>
      </c>
      <c r="L4" s="70">
        <v>205011</v>
      </c>
    </row>
    <row r="5" spans="2:12" ht="15.75" x14ac:dyDescent="0.25">
      <c r="B5" s="59" t="s">
        <v>183</v>
      </c>
      <c r="C5" s="70">
        <v>331628</v>
      </c>
      <c r="D5" s="70">
        <v>380000</v>
      </c>
      <c r="E5" s="70">
        <v>418149</v>
      </c>
      <c r="F5" s="70">
        <v>406274</v>
      </c>
      <c r="G5" s="70">
        <v>467763</v>
      </c>
      <c r="H5" s="111">
        <v>568017</v>
      </c>
      <c r="I5" s="111">
        <v>675781</v>
      </c>
      <c r="J5" s="111">
        <v>742145</v>
      </c>
      <c r="K5" s="111">
        <v>851060</v>
      </c>
      <c r="L5" s="111">
        <v>964961</v>
      </c>
    </row>
    <row r="6" spans="2:12" ht="15.75" x14ac:dyDescent="0.25">
      <c r="B6" s="69" t="s">
        <v>180</v>
      </c>
      <c r="C6" s="202">
        <f>C$3*C$5</f>
        <v>22650.1924</v>
      </c>
      <c r="D6" s="202">
        <f t="shared" ref="D6:L6" si="0">D$3*D$5</f>
        <v>0</v>
      </c>
      <c r="E6" s="202">
        <f t="shared" si="0"/>
        <v>0</v>
      </c>
      <c r="F6" s="202">
        <f t="shared" si="0"/>
        <v>0</v>
      </c>
      <c r="G6" s="202">
        <f t="shared" si="0"/>
        <v>0</v>
      </c>
      <c r="H6" s="202">
        <f t="shared" si="0"/>
        <v>0</v>
      </c>
      <c r="I6" s="202">
        <f t="shared" si="0"/>
        <v>0</v>
      </c>
      <c r="J6" s="202">
        <f t="shared" si="0"/>
        <v>0</v>
      </c>
      <c r="K6" s="202">
        <f t="shared" si="0"/>
        <v>0</v>
      </c>
      <c r="L6" s="202">
        <f t="shared" si="0"/>
        <v>0</v>
      </c>
    </row>
    <row r="12" spans="2:12" x14ac:dyDescent="0.25">
      <c r="B12" s="207" t="s">
        <v>181</v>
      </c>
      <c r="C12" t="s">
        <v>182</v>
      </c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8E7C8-5857-4FC7-83FF-7FEAFB421CBD}">
  <dimension ref="B2:Y133"/>
  <sheetViews>
    <sheetView topLeftCell="A7" zoomScale="50" zoomScaleNormal="50" workbookViewId="0">
      <selection activeCell="R94" sqref="R94"/>
    </sheetView>
  </sheetViews>
  <sheetFormatPr defaultRowHeight="15" x14ac:dyDescent="0.25"/>
  <cols>
    <col min="2" max="2" width="50" customWidth="1"/>
    <col min="3" max="9" width="11.5703125" bestFit="1" customWidth="1"/>
    <col min="10" max="10" width="11.140625" customWidth="1"/>
    <col min="11" max="11" width="10.85546875" customWidth="1"/>
    <col min="12" max="12" width="11" customWidth="1"/>
    <col min="15" max="15" width="39.5703125" customWidth="1"/>
    <col min="20" max="20" width="9.140625" customWidth="1"/>
    <col min="21" max="22" width="9.85546875" customWidth="1"/>
    <col min="23" max="25" width="9.140625" customWidth="1"/>
  </cols>
  <sheetData>
    <row r="2" spans="2:14" ht="15.75" x14ac:dyDescent="0.25">
      <c r="B2" s="21" t="s">
        <v>61</v>
      </c>
      <c r="C2" s="112">
        <v>2010</v>
      </c>
      <c r="D2" s="112">
        <v>2011</v>
      </c>
      <c r="E2" s="112">
        <v>2012</v>
      </c>
      <c r="F2" s="112">
        <v>2013</v>
      </c>
      <c r="G2" s="112">
        <v>2014</v>
      </c>
      <c r="H2" s="112">
        <v>2015</v>
      </c>
      <c r="I2" s="112">
        <v>2016</v>
      </c>
      <c r="J2" s="112">
        <v>2017</v>
      </c>
      <c r="K2" s="112">
        <v>2018</v>
      </c>
      <c r="L2" s="112">
        <v>2019</v>
      </c>
    </row>
    <row r="3" spans="2:14" ht="15.75" x14ac:dyDescent="0.25">
      <c r="B3" s="113" t="s">
        <v>99</v>
      </c>
      <c r="C3" s="40">
        <v>3.7100000000000001E-2</v>
      </c>
      <c r="D3" s="40">
        <v>3.7900000000000003E-2</v>
      </c>
      <c r="E3" s="40">
        <v>2.3099999999999999E-2</v>
      </c>
      <c r="F3" s="40">
        <v>2.2599999999999999E-2</v>
      </c>
      <c r="G3" s="40">
        <v>1.5800000000000002E-2</v>
      </c>
      <c r="H3" s="40">
        <v>5.7999999999999996E-3</v>
      </c>
      <c r="I3" s="40">
        <v>4.3E-3</v>
      </c>
      <c r="J3" s="40">
        <v>9.7999999999999997E-3</v>
      </c>
      <c r="K3" s="40">
        <v>1.9800000000000002E-2</v>
      </c>
      <c r="L3" s="40">
        <v>1.55E-2</v>
      </c>
      <c r="N3" t="s">
        <v>100</v>
      </c>
    </row>
    <row r="6" spans="2:14" ht="15.75" x14ac:dyDescent="0.25">
      <c r="B6" s="21" t="s">
        <v>61</v>
      </c>
      <c r="C6" s="112">
        <v>2010</v>
      </c>
      <c r="D6" s="112">
        <v>2011</v>
      </c>
      <c r="E6" s="112">
        <v>2012</v>
      </c>
      <c r="F6" s="112">
        <v>2013</v>
      </c>
      <c r="G6" s="112">
        <v>2014</v>
      </c>
      <c r="H6" s="112">
        <v>2015</v>
      </c>
      <c r="I6" s="112">
        <v>2016</v>
      </c>
      <c r="J6" s="112">
        <v>2017</v>
      </c>
      <c r="K6" s="112">
        <v>2018</v>
      </c>
      <c r="L6" s="112">
        <v>2019</v>
      </c>
    </row>
    <row r="7" spans="2:14" ht="15.75" x14ac:dyDescent="0.25">
      <c r="B7" s="114" t="s">
        <v>90</v>
      </c>
      <c r="C7" s="115">
        <v>1.38</v>
      </c>
      <c r="D7" s="115">
        <v>2.33</v>
      </c>
      <c r="E7" s="115">
        <v>2.5</v>
      </c>
      <c r="F7" s="115">
        <v>1.6</v>
      </c>
      <c r="G7" s="115">
        <v>1.44</v>
      </c>
      <c r="H7" s="117">
        <v>1.4</v>
      </c>
      <c r="I7" s="117">
        <v>1.55</v>
      </c>
      <c r="J7" s="117">
        <v>1.51</v>
      </c>
      <c r="K7" s="117">
        <v>1.91</v>
      </c>
      <c r="L7" s="117">
        <v>1.94</v>
      </c>
    </row>
    <row r="8" spans="2:14" ht="15.75" x14ac:dyDescent="0.25">
      <c r="B8" s="114" t="s">
        <v>101</v>
      </c>
      <c r="C8" s="80">
        <v>0.22</v>
      </c>
      <c r="D8" s="80">
        <v>0.19</v>
      </c>
      <c r="E8" s="80">
        <v>0.21</v>
      </c>
      <c r="F8" s="80">
        <v>0.25</v>
      </c>
      <c r="G8" s="80">
        <v>0.23</v>
      </c>
      <c r="H8" s="80">
        <v>0.22</v>
      </c>
      <c r="I8" s="80">
        <v>0.25</v>
      </c>
      <c r="J8" s="80">
        <v>0.22</v>
      </c>
      <c r="K8" s="80">
        <v>0.27</v>
      </c>
      <c r="L8" s="80">
        <v>0.27</v>
      </c>
    </row>
    <row r="9" spans="2:14" ht="15.75" x14ac:dyDescent="0.25">
      <c r="B9" s="114" t="s">
        <v>102</v>
      </c>
      <c r="C9" s="80">
        <v>0.74</v>
      </c>
      <c r="D9" s="80">
        <v>0.67</v>
      </c>
      <c r="E9" s="80">
        <v>0.7</v>
      </c>
      <c r="F9" s="80">
        <v>0.82</v>
      </c>
      <c r="G9" s="80">
        <v>0.8</v>
      </c>
      <c r="H9" s="80">
        <v>0.72</v>
      </c>
      <c r="I9" s="80">
        <v>0.76</v>
      </c>
      <c r="J9" s="80">
        <v>0.79</v>
      </c>
      <c r="K9" s="80">
        <v>0.84</v>
      </c>
      <c r="L9" s="80">
        <v>0.89</v>
      </c>
    </row>
    <row r="10" spans="2:14" ht="15.75" x14ac:dyDescent="0.25">
      <c r="B10" s="104" t="s">
        <v>103</v>
      </c>
      <c r="C10" s="116">
        <v>0</v>
      </c>
      <c r="D10" s="116">
        <v>0</v>
      </c>
      <c r="E10" s="116">
        <v>0</v>
      </c>
      <c r="F10" s="116">
        <v>0</v>
      </c>
      <c r="G10" s="116">
        <v>0</v>
      </c>
      <c r="H10" s="116">
        <v>0</v>
      </c>
      <c r="I10" s="116">
        <v>0</v>
      </c>
      <c r="J10" s="116">
        <v>0</v>
      </c>
      <c r="K10" s="116">
        <v>0</v>
      </c>
      <c r="L10" s="116">
        <v>0</v>
      </c>
    </row>
    <row r="13" spans="2:14" ht="15.75" x14ac:dyDescent="0.25">
      <c r="B13" s="21" t="s">
        <v>61</v>
      </c>
      <c r="C13" s="112">
        <v>2010</v>
      </c>
      <c r="D13" s="112">
        <v>2011</v>
      </c>
      <c r="E13" s="112">
        <v>2012</v>
      </c>
      <c r="F13" s="112">
        <v>2013</v>
      </c>
      <c r="G13" s="112">
        <v>2014</v>
      </c>
      <c r="H13" s="112">
        <v>2015</v>
      </c>
      <c r="I13" s="112">
        <v>2016</v>
      </c>
      <c r="J13" s="112">
        <v>2017</v>
      </c>
      <c r="K13" s="112">
        <v>2018</v>
      </c>
      <c r="L13" s="112">
        <v>2019</v>
      </c>
    </row>
    <row r="14" spans="2:14" ht="15.75" x14ac:dyDescent="0.25">
      <c r="B14" s="118" t="s">
        <v>67</v>
      </c>
      <c r="C14" s="43">
        <v>313628</v>
      </c>
      <c r="D14" s="43">
        <v>380000</v>
      </c>
      <c r="E14" s="43">
        <v>418149</v>
      </c>
      <c r="F14" s="43">
        <v>406274</v>
      </c>
      <c r="G14" s="44">
        <v>467763</v>
      </c>
      <c r="H14" s="43">
        <v>568017</v>
      </c>
      <c r="I14" s="43">
        <v>675781</v>
      </c>
      <c r="J14" s="43">
        <v>742145</v>
      </c>
      <c r="K14" s="43">
        <v>851060</v>
      </c>
      <c r="L14" s="43">
        <v>964961</v>
      </c>
    </row>
    <row r="15" spans="2:14" ht="15.75" x14ac:dyDescent="0.25">
      <c r="B15" s="119" t="s">
        <v>104</v>
      </c>
      <c r="C15" s="120">
        <v>18000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8</v>
      </c>
      <c r="L15" s="50">
        <v>0</v>
      </c>
    </row>
    <row r="16" spans="2:14" ht="15.75" x14ac:dyDescent="0.25">
      <c r="B16" s="119" t="s">
        <v>105</v>
      </c>
      <c r="C16" s="121">
        <v>0</v>
      </c>
      <c r="D16" s="121">
        <v>0</v>
      </c>
      <c r="E16" s="121"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</row>
    <row r="17" spans="2:15" ht="15.75" x14ac:dyDescent="0.25">
      <c r="B17" s="119" t="s">
        <v>106</v>
      </c>
      <c r="C17" s="120">
        <f>C$14+C$15+C$16</f>
        <v>331628</v>
      </c>
      <c r="D17" s="120">
        <f t="shared" ref="D17:L17" si="0">D$14+D$15+D$16</f>
        <v>380000</v>
      </c>
      <c r="E17" s="120">
        <f t="shared" si="0"/>
        <v>418149</v>
      </c>
      <c r="F17" s="120">
        <f t="shared" si="0"/>
        <v>406274</v>
      </c>
      <c r="G17" s="120">
        <f t="shared" si="0"/>
        <v>467763</v>
      </c>
      <c r="H17" s="120">
        <f t="shared" si="0"/>
        <v>568017</v>
      </c>
      <c r="I17" s="120">
        <f t="shared" si="0"/>
        <v>675781</v>
      </c>
      <c r="J17" s="120">
        <f t="shared" si="0"/>
        <v>742145</v>
      </c>
      <c r="K17" s="120">
        <f t="shared" si="0"/>
        <v>851068</v>
      </c>
      <c r="L17" s="120">
        <f t="shared" si="0"/>
        <v>964961</v>
      </c>
    </row>
    <row r="18" spans="2:15" ht="15.75" x14ac:dyDescent="0.25">
      <c r="B18" s="122" t="s">
        <v>107</v>
      </c>
      <c r="C18" s="126">
        <f>C$25</f>
        <v>4.2331802202045195E-2</v>
      </c>
      <c r="D18" s="126">
        <f t="shared" ref="D18:L18" si="1">D$25</f>
        <v>4.0810939357907264E-2</v>
      </c>
      <c r="E18" s="126">
        <f t="shared" si="1"/>
        <v>3.9631121202146256E-2</v>
      </c>
      <c r="F18" s="126">
        <f t="shared" si="1"/>
        <v>3.9996519399976227E-2</v>
      </c>
      <c r="G18" s="126">
        <f t="shared" si="1"/>
        <v>3.8122617266165275E-2</v>
      </c>
      <c r="H18" s="126">
        <f t="shared" si="1"/>
        <v>3.5163741452372173E-2</v>
      </c>
      <c r="I18" s="126">
        <f t="shared" si="1"/>
        <v>3.2116492033061841E-2</v>
      </c>
      <c r="J18" s="126">
        <f t="shared" si="1"/>
        <v>3.0308615939506546E-2</v>
      </c>
      <c r="K18" s="126">
        <f t="shared" si="1"/>
        <v>2.7454867661260401E-2</v>
      </c>
      <c r="L18" s="126">
        <f t="shared" si="1"/>
        <v>2.4621781994774088E-2</v>
      </c>
    </row>
    <row r="21" spans="2:15" ht="15.75" x14ac:dyDescent="0.25">
      <c r="B21" s="68"/>
      <c r="C21" s="112">
        <v>2010</v>
      </c>
      <c r="D21" s="112">
        <v>2011</v>
      </c>
      <c r="E21" s="112">
        <v>2012</v>
      </c>
      <c r="F21" s="112">
        <v>2013</v>
      </c>
      <c r="G21" s="112">
        <v>2014</v>
      </c>
      <c r="H21" s="112">
        <v>2015</v>
      </c>
      <c r="I21" s="112">
        <v>2016</v>
      </c>
      <c r="J21" s="112">
        <v>2017</v>
      </c>
      <c r="K21" s="112">
        <v>2018</v>
      </c>
      <c r="L21" s="112">
        <v>2019</v>
      </c>
    </row>
    <row r="22" spans="2:15" ht="15.75" x14ac:dyDescent="0.25">
      <c r="B22" s="123" t="s">
        <v>108</v>
      </c>
      <c r="C22" s="124">
        <v>0.33162799999999998</v>
      </c>
      <c r="D22" s="124">
        <v>0.38</v>
      </c>
      <c r="E22" s="124">
        <v>0.41814899999999999</v>
      </c>
      <c r="F22" s="124">
        <v>0.40627400000000002</v>
      </c>
      <c r="G22" s="124">
        <v>0.46776299999999998</v>
      </c>
      <c r="H22" s="127">
        <v>0.56801699999999999</v>
      </c>
      <c r="I22" s="127">
        <v>0.67578099999999997</v>
      </c>
      <c r="J22" s="127">
        <v>0.74214500000000005</v>
      </c>
      <c r="K22" s="127">
        <v>0.85106800000000005</v>
      </c>
      <c r="L22" s="127">
        <v>0.96496099999999996</v>
      </c>
      <c r="O22" t="s">
        <v>112</v>
      </c>
    </row>
    <row r="23" spans="2:15" ht="15.75" x14ac:dyDescent="0.25">
      <c r="B23" s="59" t="s">
        <v>109</v>
      </c>
      <c r="C23" s="125">
        <f>($O$23-C$22)^2</f>
        <v>7.1202091303840014</v>
      </c>
      <c r="D23" s="125">
        <f>($O$23-D$22)^2</f>
        <v>6.8644000000000007</v>
      </c>
      <c r="E23" s="125">
        <f t="shared" ref="E23:L23" si="2">($O$23-E$22)^2</f>
        <v>6.6659545862009999</v>
      </c>
      <c r="F23" s="125">
        <f t="shared" si="2"/>
        <v>6.7274145630760014</v>
      </c>
      <c r="G23" s="125">
        <f t="shared" si="2"/>
        <v>6.4122242241689991</v>
      </c>
      <c r="H23" s="125">
        <f t="shared" si="2"/>
        <v>5.9145413122889989</v>
      </c>
      <c r="I23" s="125">
        <f t="shared" si="2"/>
        <v>5.4019939599610014</v>
      </c>
      <c r="J23" s="125">
        <f t="shared" si="2"/>
        <v>5.0979092010250007</v>
      </c>
      <c r="K23" s="125">
        <f t="shared" si="2"/>
        <v>4.6179087406239994</v>
      </c>
      <c r="L23" s="125">
        <f t="shared" si="2"/>
        <v>4.1413837315210014</v>
      </c>
      <c r="O23" s="128">
        <v>3</v>
      </c>
    </row>
    <row r="24" spans="2:15" ht="15.75" x14ac:dyDescent="0.25">
      <c r="B24" s="69" t="s">
        <v>110</v>
      </c>
      <c r="C24" s="126">
        <f>C$25</f>
        <v>4.2331802202045195E-2</v>
      </c>
      <c r="D24" s="126">
        <f t="shared" ref="D24:L24" si="3">D$25</f>
        <v>4.0810939357907264E-2</v>
      </c>
      <c r="E24" s="126">
        <f t="shared" si="3"/>
        <v>3.9631121202146256E-2</v>
      </c>
      <c r="F24" s="126">
        <f t="shared" si="3"/>
        <v>3.9996519399976227E-2</v>
      </c>
      <c r="G24" s="126">
        <f t="shared" si="3"/>
        <v>3.8122617266165275E-2</v>
      </c>
      <c r="H24" s="126">
        <f t="shared" si="3"/>
        <v>3.5163741452372173E-2</v>
      </c>
      <c r="I24" s="126">
        <f t="shared" si="3"/>
        <v>3.2116492033061841E-2</v>
      </c>
      <c r="J24" s="126">
        <f t="shared" si="3"/>
        <v>3.0308615939506546E-2</v>
      </c>
      <c r="K24" s="126">
        <f t="shared" si="3"/>
        <v>2.7454867661260401E-2</v>
      </c>
      <c r="L24" s="126">
        <f t="shared" si="3"/>
        <v>2.4621781994774088E-2</v>
      </c>
      <c r="O24" s="129">
        <v>168.2</v>
      </c>
    </row>
    <row r="25" spans="2:15" ht="15.75" x14ac:dyDescent="0.25">
      <c r="B25" s="59" t="s">
        <v>111</v>
      </c>
      <c r="C25" s="130">
        <f>C$23/$O$24</f>
        <v>4.2331802202045195E-2</v>
      </c>
      <c r="D25" s="130">
        <f t="shared" ref="D25:L25" si="4">D$23/$O$24</f>
        <v>4.0810939357907264E-2</v>
      </c>
      <c r="E25" s="130">
        <f t="shared" si="4"/>
        <v>3.9631121202146256E-2</v>
      </c>
      <c r="F25" s="130">
        <f t="shared" si="4"/>
        <v>3.9996519399976227E-2</v>
      </c>
      <c r="G25" s="130">
        <f t="shared" si="4"/>
        <v>3.8122617266165275E-2</v>
      </c>
      <c r="H25" s="130">
        <f t="shared" si="4"/>
        <v>3.5163741452372173E-2</v>
      </c>
      <c r="I25" s="130">
        <f t="shared" si="4"/>
        <v>3.2116492033061841E-2</v>
      </c>
      <c r="J25" s="130">
        <f t="shared" si="4"/>
        <v>3.0308615939506546E-2</v>
      </c>
      <c r="K25" s="130">
        <f t="shared" si="4"/>
        <v>2.7454867661260401E-2</v>
      </c>
      <c r="L25" s="130">
        <f t="shared" si="4"/>
        <v>2.4621781994774088E-2</v>
      </c>
    </row>
    <row r="28" spans="2:15" ht="15.75" x14ac:dyDescent="0.25">
      <c r="B28" s="21" t="s">
        <v>61</v>
      </c>
      <c r="C28" s="112">
        <v>2010</v>
      </c>
      <c r="D28" s="112">
        <v>2011</v>
      </c>
      <c r="E28" s="112">
        <v>2012</v>
      </c>
      <c r="F28" s="112">
        <v>2013</v>
      </c>
      <c r="G28" s="112">
        <v>2014</v>
      </c>
      <c r="H28" s="112">
        <v>2015</v>
      </c>
      <c r="I28" s="112">
        <v>2016</v>
      </c>
      <c r="J28" s="112">
        <v>2017</v>
      </c>
      <c r="K28" s="112">
        <v>2018</v>
      </c>
      <c r="L28" s="112">
        <v>2019</v>
      </c>
    </row>
    <row r="29" spans="2:15" ht="15.75" x14ac:dyDescent="0.25">
      <c r="B29" s="119" t="s">
        <v>113</v>
      </c>
      <c r="C29" s="70">
        <v>506329</v>
      </c>
      <c r="D29" s="70">
        <v>547690</v>
      </c>
      <c r="E29" s="70">
        <v>577227</v>
      </c>
      <c r="F29" s="70">
        <v>593723</v>
      </c>
      <c r="G29" s="70">
        <v>690250</v>
      </c>
      <c r="H29" s="70">
        <v>818459</v>
      </c>
      <c r="I29" s="70">
        <v>918170</v>
      </c>
      <c r="J29" s="70">
        <v>1013591</v>
      </c>
      <c r="K29" s="70">
        <v>1161192</v>
      </c>
      <c r="L29" s="70">
        <v>1307321</v>
      </c>
    </row>
    <row r="30" spans="2:15" ht="15.75" x14ac:dyDescent="0.25">
      <c r="B30" s="119" t="s">
        <v>71</v>
      </c>
      <c r="C30" s="45">
        <v>49130</v>
      </c>
      <c r="D30" s="79">
        <v>59844</v>
      </c>
      <c r="E30" s="70">
        <v>68065</v>
      </c>
      <c r="F30" s="70">
        <v>78332</v>
      </c>
      <c r="G30" s="70">
        <v>83791</v>
      </c>
      <c r="H30" s="70">
        <v>121298</v>
      </c>
      <c r="I30" s="111">
        <v>135606</v>
      </c>
      <c r="J30" s="111">
        <v>130140</v>
      </c>
      <c r="K30" s="70">
        <v>177925</v>
      </c>
      <c r="L30" s="70">
        <v>205011</v>
      </c>
    </row>
    <row r="31" spans="2:15" ht="15.75" x14ac:dyDescent="0.25">
      <c r="B31" s="131" t="s">
        <v>114</v>
      </c>
      <c r="C31" s="120">
        <v>331268</v>
      </c>
      <c r="D31" s="120">
        <v>380000</v>
      </c>
      <c r="E31" s="120">
        <v>418149</v>
      </c>
      <c r="F31" s="120">
        <v>406274</v>
      </c>
      <c r="G31" s="120">
        <v>467763</v>
      </c>
      <c r="H31" s="134">
        <v>568017</v>
      </c>
      <c r="I31" s="134">
        <v>675781</v>
      </c>
      <c r="J31" s="134">
        <v>742145</v>
      </c>
      <c r="K31" s="134">
        <v>851068</v>
      </c>
      <c r="L31" s="134">
        <v>964961</v>
      </c>
    </row>
    <row r="32" spans="2:15" ht="15.75" x14ac:dyDescent="0.25">
      <c r="B32" s="119" t="s">
        <v>115</v>
      </c>
      <c r="C32" s="146">
        <f>C$30/C$29</f>
        <v>9.7031771832148658E-2</v>
      </c>
      <c r="D32" s="146">
        <f t="shared" ref="D32:L32" si="5">D$30/D$29</f>
        <v>0.10926619072833173</v>
      </c>
      <c r="E32" s="146">
        <f t="shared" si="5"/>
        <v>0.11791721454471119</v>
      </c>
      <c r="F32" s="146">
        <f t="shared" si="5"/>
        <v>0.13193357845325177</v>
      </c>
      <c r="G32" s="146">
        <f t="shared" si="5"/>
        <v>0.12139224918507786</v>
      </c>
      <c r="H32" s="146">
        <f t="shared" si="5"/>
        <v>0.14820290326088417</v>
      </c>
      <c r="I32" s="146">
        <f t="shared" si="5"/>
        <v>0.14769160395133799</v>
      </c>
      <c r="J32" s="146">
        <f t="shared" si="5"/>
        <v>0.12839498377550709</v>
      </c>
      <c r="K32" s="146">
        <f t="shared" si="5"/>
        <v>0.15322616759330068</v>
      </c>
      <c r="L32" s="146">
        <f t="shared" si="5"/>
        <v>0.15681764463356743</v>
      </c>
    </row>
    <row r="33" spans="2:12" ht="15.75" x14ac:dyDescent="0.25">
      <c r="B33" s="119" t="s">
        <v>116</v>
      </c>
      <c r="C33" s="147">
        <f>C$31/C$29</f>
        <v>0.65425444720725057</v>
      </c>
      <c r="D33" s="147">
        <f t="shared" ref="D33:L33" si="6">D$31/D$29</f>
        <v>0.69382314813124213</v>
      </c>
      <c r="E33" s="147">
        <f t="shared" si="6"/>
        <v>0.72440998082210295</v>
      </c>
      <c r="F33" s="147">
        <f t="shared" si="6"/>
        <v>0.68428206419491922</v>
      </c>
      <c r="G33" s="147">
        <f t="shared" si="6"/>
        <v>0.67767185802245566</v>
      </c>
      <c r="H33" s="147">
        <f t="shared" si="6"/>
        <v>0.69400788555077286</v>
      </c>
      <c r="I33" s="147">
        <f t="shared" si="6"/>
        <v>0.73600858228868293</v>
      </c>
      <c r="J33" s="147">
        <f t="shared" si="6"/>
        <v>0.73219375468014214</v>
      </c>
      <c r="K33" s="147">
        <f t="shared" si="6"/>
        <v>0.73292616552645906</v>
      </c>
      <c r="L33" s="147">
        <f t="shared" si="6"/>
        <v>0.73812093586808447</v>
      </c>
    </row>
    <row r="34" spans="2:12" ht="15.75" x14ac:dyDescent="0.25">
      <c r="B34" s="119" t="s">
        <v>117</v>
      </c>
      <c r="C34" s="148">
        <v>6.83E-2</v>
      </c>
      <c r="D34" s="149">
        <v>0</v>
      </c>
      <c r="E34" s="149">
        <v>0</v>
      </c>
      <c r="F34" s="149">
        <v>0</v>
      </c>
      <c r="G34" s="149">
        <v>0</v>
      </c>
      <c r="H34" s="149">
        <v>0</v>
      </c>
      <c r="I34" s="149">
        <v>0</v>
      </c>
      <c r="J34" s="149">
        <v>0</v>
      </c>
      <c r="K34" s="149">
        <v>0</v>
      </c>
      <c r="L34" s="149">
        <v>0</v>
      </c>
    </row>
    <row r="35" spans="2:12" ht="15.75" x14ac:dyDescent="0.25">
      <c r="B35" s="119" t="s">
        <v>118</v>
      </c>
      <c r="C35" s="161">
        <f>C33*C34</f>
        <v>4.4685578744255217E-2</v>
      </c>
      <c r="D35" s="162">
        <f t="shared" ref="D35:L35" si="7">D33*D34</f>
        <v>0</v>
      </c>
      <c r="E35" s="162">
        <f t="shared" si="7"/>
        <v>0</v>
      </c>
      <c r="F35" s="162">
        <f t="shared" si="7"/>
        <v>0</v>
      </c>
      <c r="G35" s="162">
        <f t="shared" si="7"/>
        <v>0</v>
      </c>
      <c r="H35" s="162">
        <f t="shared" si="7"/>
        <v>0</v>
      </c>
      <c r="I35" s="162">
        <f t="shared" si="7"/>
        <v>0</v>
      </c>
      <c r="J35" s="162">
        <f t="shared" si="7"/>
        <v>0</v>
      </c>
      <c r="K35" s="162">
        <f t="shared" si="7"/>
        <v>0</v>
      </c>
      <c r="L35" s="162">
        <f t="shared" si="7"/>
        <v>0</v>
      </c>
    </row>
    <row r="36" spans="2:12" ht="15.75" x14ac:dyDescent="0.25">
      <c r="B36" s="160" t="s">
        <v>119</v>
      </c>
      <c r="C36" s="132">
        <v>2.1399999999999999E-2</v>
      </c>
      <c r="D36" s="133">
        <v>2.1000000000000001E-2</v>
      </c>
      <c r="E36" s="133">
        <v>2.3199999999999998E-2</v>
      </c>
      <c r="F36" s="133">
        <v>2.2800000000000001E-2</v>
      </c>
      <c r="G36" s="133">
        <v>2.35E-2</v>
      </c>
      <c r="H36" s="133">
        <v>4.4000000000000004E-2</v>
      </c>
      <c r="I36" s="133">
        <v>2.3900000000000001E-2</v>
      </c>
      <c r="J36" s="133">
        <v>2.3700000000000002E-2</v>
      </c>
      <c r="K36" s="133">
        <v>2.6200000000000001E-2</v>
      </c>
      <c r="L36" s="133">
        <v>2.3199999999999998E-2</v>
      </c>
    </row>
    <row r="38" spans="2:12" x14ac:dyDescent="0.25"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</row>
    <row r="39" spans="2:12" ht="15.75" x14ac:dyDescent="0.25">
      <c r="B39" s="153"/>
      <c r="C39" s="155"/>
      <c r="D39" s="155"/>
      <c r="E39" s="155"/>
      <c r="F39" s="155"/>
      <c r="G39" s="155"/>
      <c r="H39" s="155"/>
      <c r="I39" s="155"/>
      <c r="J39" s="155"/>
      <c r="K39" s="155"/>
      <c r="L39" s="155"/>
    </row>
    <row r="40" spans="2:12" ht="15.75" x14ac:dyDescent="0.25">
      <c r="B40" s="181" t="s">
        <v>144</v>
      </c>
      <c r="C40" s="157"/>
      <c r="D40" s="158"/>
      <c r="E40" s="158"/>
      <c r="F40" s="158"/>
      <c r="G40" s="158"/>
      <c r="H40" s="159"/>
      <c r="I40" s="159"/>
      <c r="J40" s="159"/>
      <c r="K40" s="159"/>
      <c r="L40" s="159"/>
    </row>
    <row r="41" spans="2:12" ht="15.75" x14ac:dyDescent="0.25">
      <c r="B41" s="153"/>
      <c r="C41" s="157"/>
      <c r="D41" s="158"/>
      <c r="E41" s="158"/>
      <c r="F41" s="158"/>
      <c r="G41" s="158"/>
      <c r="H41" s="159"/>
      <c r="I41" s="159"/>
      <c r="J41" s="159"/>
      <c r="K41" s="159"/>
      <c r="L41" s="159"/>
    </row>
    <row r="42" spans="2:12" ht="15.75" x14ac:dyDescent="0.25">
      <c r="B42" s="153"/>
      <c r="C42" s="157"/>
      <c r="D42" s="158"/>
      <c r="E42" s="158"/>
      <c r="F42" s="158"/>
      <c r="G42" s="158"/>
      <c r="H42" s="159"/>
      <c r="I42" s="159"/>
      <c r="J42" s="159"/>
      <c r="K42" s="159"/>
      <c r="L42" s="159"/>
    </row>
    <row r="43" spans="2:12" x14ac:dyDescent="0.25">
      <c r="C43" s="154"/>
    </row>
    <row r="45" spans="2:12" ht="15.75" x14ac:dyDescent="0.25">
      <c r="B45" s="21" t="s">
        <v>61</v>
      </c>
      <c r="C45" s="112">
        <v>2010</v>
      </c>
      <c r="D45" s="112">
        <v>2011</v>
      </c>
      <c r="E45" s="112">
        <v>2012</v>
      </c>
      <c r="F45" s="112">
        <v>2013</v>
      </c>
      <c r="G45" s="112">
        <v>2014</v>
      </c>
      <c r="H45" s="112">
        <v>2015</v>
      </c>
      <c r="I45" s="112">
        <v>2016</v>
      </c>
      <c r="J45" s="112">
        <v>2017</v>
      </c>
      <c r="K45" s="112">
        <v>2018</v>
      </c>
      <c r="L45" s="112">
        <v>2019</v>
      </c>
    </row>
    <row r="46" spans="2:12" ht="15.75" x14ac:dyDescent="0.25">
      <c r="B46" s="119" t="s">
        <v>120</v>
      </c>
      <c r="C46" s="45">
        <v>49130</v>
      </c>
      <c r="D46" s="79">
        <v>59844</v>
      </c>
      <c r="E46" s="70">
        <v>68065</v>
      </c>
      <c r="F46" s="70">
        <v>78332</v>
      </c>
      <c r="G46" s="70">
        <v>83791</v>
      </c>
      <c r="H46" s="70">
        <v>121298</v>
      </c>
      <c r="I46" s="111">
        <v>135606</v>
      </c>
      <c r="J46" s="111">
        <v>130140</v>
      </c>
      <c r="K46" s="70">
        <v>177925</v>
      </c>
      <c r="L46" s="70">
        <v>205011</v>
      </c>
    </row>
    <row r="47" spans="2:12" ht="15.75" x14ac:dyDescent="0.25">
      <c r="B47" s="119" t="s">
        <v>121</v>
      </c>
      <c r="C47" s="70">
        <v>1229</v>
      </c>
      <c r="D47" s="70">
        <v>0</v>
      </c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</row>
    <row r="48" spans="2:12" ht="15.75" x14ac:dyDescent="0.25">
      <c r="B48" s="119" t="s">
        <v>122</v>
      </c>
      <c r="C48" s="135">
        <f>C$46/C$47</f>
        <v>39.975589910496339</v>
      </c>
      <c r="D48" s="135">
        <v>0</v>
      </c>
      <c r="E48" s="135">
        <v>0</v>
      </c>
      <c r="F48" s="135">
        <v>0</v>
      </c>
      <c r="G48" s="135">
        <v>0</v>
      </c>
      <c r="H48" s="135">
        <v>0</v>
      </c>
      <c r="I48" s="135">
        <v>0</v>
      </c>
      <c r="J48" s="135">
        <v>0</v>
      </c>
      <c r="K48" s="135">
        <v>0</v>
      </c>
      <c r="L48" s="135">
        <v>0</v>
      </c>
    </row>
    <row r="49" spans="2:12" ht="15.75" x14ac:dyDescent="0.25">
      <c r="B49" s="122" t="s">
        <v>123</v>
      </c>
      <c r="C49" s="136">
        <v>0</v>
      </c>
      <c r="D49" s="136">
        <v>0.1</v>
      </c>
      <c r="E49" s="136">
        <v>0.1</v>
      </c>
      <c r="F49" s="136">
        <v>0.1</v>
      </c>
      <c r="G49" s="136">
        <v>0.1</v>
      </c>
      <c r="H49" s="136">
        <v>0.1</v>
      </c>
      <c r="I49" s="136">
        <v>0.1</v>
      </c>
      <c r="J49" s="136">
        <v>0.1</v>
      </c>
      <c r="K49" s="136">
        <v>0.1</v>
      </c>
      <c r="L49" s="136">
        <v>0.1</v>
      </c>
    </row>
    <row r="52" spans="2:12" ht="15.75" x14ac:dyDescent="0.25">
      <c r="B52" s="258" t="s">
        <v>124</v>
      </c>
      <c r="C52" s="258"/>
      <c r="D52" s="258"/>
      <c r="E52" s="258"/>
      <c r="F52" s="258"/>
      <c r="G52" s="258"/>
      <c r="H52" s="258"/>
      <c r="I52" s="258"/>
      <c r="J52" s="258"/>
      <c r="K52" s="258"/>
      <c r="L52" s="258"/>
    </row>
    <row r="53" spans="2:12" ht="15.75" x14ac:dyDescent="0.25">
      <c r="B53" s="21" t="s">
        <v>125</v>
      </c>
      <c r="C53" s="112">
        <v>2010</v>
      </c>
      <c r="D53" s="112">
        <v>2011</v>
      </c>
      <c r="E53" s="112">
        <v>2012</v>
      </c>
      <c r="F53" s="112">
        <v>2013</v>
      </c>
      <c r="G53" s="112">
        <v>2014</v>
      </c>
      <c r="H53" s="112">
        <v>2015</v>
      </c>
      <c r="I53" s="112">
        <v>2016</v>
      </c>
      <c r="J53" s="112">
        <v>2017</v>
      </c>
      <c r="K53" s="112">
        <v>2018</v>
      </c>
      <c r="L53" s="112">
        <v>2019</v>
      </c>
    </row>
    <row r="54" spans="2:12" ht="15.75" x14ac:dyDescent="0.25">
      <c r="B54" s="114" t="s">
        <v>126</v>
      </c>
      <c r="C54" s="41">
        <v>3.7100000000000001E-2</v>
      </c>
      <c r="D54" s="41">
        <v>3.7900000000000003E-2</v>
      </c>
      <c r="E54" s="41">
        <v>2.3099999999999999E-2</v>
      </c>
      <c r="F54" s="41">
        <v>2.2599999999999999E-2</v>
      </c>
      <c r="G54" s="41">
        <v>1.5800000000000002E-2</v>
      </c>
      <c r="H54" s="41">
        <v>5.7999999999999996E-3</v>
      </c>
      <c r="I54" s="41">
        <v>4.3E-3</v>
      </c>
      <c r="J54" s="41">
        <v>9.7999999999999997E-3</v>
      </c>
      <c r="K54" s="41">
        <v>1.9800000000000002E-2</v>
      </c>
      <c r="L54" s="41">
        <v>1.55E-2</v>
      </c>
    </row>
    <row r="55" spans="2:12" ht="15.75" x14ac:dyDescent="0.25">
      <c r="B55" s="137" t="s">
        <v>103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</row>
    <row r="56" spans="2:12" ht="15.75" x14ac:dyDescent="0.25">
      <c r="B56" s="119" t="s">
        <v>107</v>
      </c>
      <c r="C56" s="143">
        <f>C$25</f>
        <v>4.2331802202045195E-2</v>
      </c>
      <c r="D56" s="143">
        <f t="shared" ref="D56:L56" si="8">D$25</f>
        <v>4.0810939357907264E-2</v>
      </c>
      <c r="E56" s="143">
        <f t="shared" si="8"/>
        <v>3.9631121202146256E-2</v>
      </c>
      <c r="F56" s="143">
        <f t="shared" si="8"/>
        <v>3.9996519399976227E-2</v>
      </c>
      <c r="G56" s="143">
        <f t="shared" si="8"/>
        <v>3.8122617266165275E-2</v>
      </c>
      <c r="H56" s="143">
        <f t="shared" si="8"/>
        <v>3.5163741452372173E-2</v>
      </c>
      <c r="I56" s="143">
        <f t="shared" si="8"/>
        <v>3.2116492033061841E-2</v>
      </c>
      <c r="J56" s="143">
        <f t="shared" si="8"/>
        <v>3.0308615939506546E-2</v>
      </c>
      <c r="K56" s="143">
        <f t="shared" si="8"/>
        <v>2.7454867661260401E-2</v>
      </c>
      <c r="L56" s="143">
        <f t="shared" si="8"/>
        <v>2.4621781994774088E-2</v>
      </c>
    </row>
    <row r="57" spans="2:12" ht="15.75" x14ac:dyDescent="0.25">
      <c r="B57" s="59" t="s">
        <v>127</v>
      </c>
      <c r="C57" s="78">
        <v>2.1399999999999999E-2</v>
      </c>
      <c r="D57" s="84">
        <v>2.1000000000000001E-2</v>
      </c>
      <c r="E57" s="84">
        <v>2.3199999999999998E-2</v>
      </c>
      <c r="F57" s="84">
        <v>2.2800000000000001E-2</v>
      </c>
      <c r="G57" s="84">
        <v>2.35E-2</v>
      </c>
      <c r="H57" s="84">
        <v>4.4000000000000004E-2</v>
      </c>
      <c r="I57" s="84">
        <v>2.3900000000000001E-2</v>
      </c>
      <c r="J57" s="84">
        <v>2.3700000000000002E-2</v>
      </c>
      <c r="K57" s="84">
        <v>2.6200000000000001E-2</v>
      </c>
      <c r="L57" s="84">
        <v>2.3199999999999998E-2</v>
      </c>
    </row>
    <row r="58" spans="2:12" ht="15.75" x14ac:dyDescent="0.25">
      <c r="B58" s="119" t="s">
        <v>128</v>
      </c>
      <c r="C58" s="145">
        <v>0</v>
      </c>
      <c r="D58" s="145">
        <v>0.1</v>
      </c>
      <c r="E58" s="145">
        <v>0.1</v>
      </c>
      <c r="F58" s="145">
        <v>0.1</v>
      </c>
      <c r="G58" s="145">
        <v>0.1</v>
      </c>
      <c r="H58" s="145">
        <v>0.1</v>
      </c>
      <c r="I58" s="145">
        <v>0.1</v>
      </c>
      <c r="J58" s="145">
        <v>0.1</v>
      </c>
      <c r="K58" s="145">
        <v>0.1</v>
      </c>
      <c r="L58" s="145">
        <v>0.1</v>
      </c>
    </row>
    <row r="59" spans="2:12" ht="15.75" x14ac:dyDescent="0.25">
      <c r="B59" s="122" t="s">
        <v>129</v>
      </c>
      <c r="C59" s="132">
        <f t="shared" ref="C59:L59" si="9">C54+C55+C56+C57+C58</f>
        <v>0.1008318022020452</v>
      </c>
      <c r="D59" s="132">
        <f t="shared" si="9"/>
        <v>0.19971093935790729</v>
      </c>
      <c r="E59" s="132">
        <f t="shared" si="9"/>
        <v>0.18593112120214628</v>
      </c>
      <c r="F59" s="132">
        <f t="shared" si="9"/>
        <v>0.18539651939997623</v>
      </c>
      <c r="G59" s="132">
        <f t="shared" si="9"/>
        <v>0.17742261726616529</v>
      </c>
      <c r="H59" s="132">
        <f t="shared" si="9"/>
        <v>0.18496374145237218</v>
      </c>
      <c r="I59" s="132">
        <f t="shared" si="9"/>
        <v>0.16031649203306186</v>
      </c>
      <c r="J59" s="132">
        <f t="shared" si="9"/>
        <v>0.16380861593950655</v>
      </c>
      <c r="K59" s="132">
        <f t="shared" si="9"/>
        <v>0.17345486766126039</v>
      </c>
      <c r="L59" s="132">
        <f t="shared" si="9"/>
        <v>0.1633217819947741</v>
      </c>
    </row>
    <row r="62" spans="2:12" ht="15.75" x14ac:dyDescent="0.25">
      <c r="B62" s="258" t="s">
        <v>130</v>
      </c>
      <c r="C62" s="258"/>
      <c r="D62" s="258"/>
      <c r="E62" s="258"/>
      <c r="F62" s="258"/>
      <c r="G62" s="258"/>
      <c r="H62" s="258"/>
      <c r="I62" s="258"/>
      <c r="J62" s="258"/>
      <c r="K62" s="258"/>
      <c r="L62" s="258"/>
    </row>
    <row r="63" spans="2:12" ht="15.75" x14ac:dyDescent="0.25">
      <c r="B63" s="21" t="s">
        <v>125</v>
      </c>
      <c r="C63" s="112">
        <v>2010</v>
      </c>
      <c r="D63" s="112">
        <v>2011</v>
      </c>
      <c r="E63" s="112">
        <v>2012</v>
      </c>
      <c r="F63" s="112">
        <v>2013</v>
      </c>
      <c r="G63" s="112">
        <v>2014</v>
      </c>
      <c r="H63" s="112">
        <v>2015</v>
      </c>
      <c r="I63" s="112">
        <v>2016</v>
      </c>
      <c r="J63" s="112">
        <v>2017</v>
      </c>
      <c r="K63" s="112">
        <v>2018</v>
      </c>
      <c r="L63" s="112">
        <v>2019</v>
      </c>
    </row>
    <row r="64" spans="2:12" ht="15.75" x14ac:dyDescent="0.25">
      <c r="B64" s="119" t="s">
        <v>70</v>
      </c>
      <c r="C64" s="70">
        <v>1229</v>
      </c>
      <c r="D64" s="70">
        <v>0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0</v>
      </c>
    </row>
    <row r="65" spans="2:12" ht="15.75" x14ac:dyDescent="0.25">
      <c r="B65" s="119" t="s">
        <v>104</v>
      </c>
      <c r="C65" s="120">
        <v>18000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8</v>
      </c>
      <c r="L65" s="80">
        <v>0</v>
      </c>
    </row>
    <row r="66" spans="2:12" ht="15.75" x14ac:dyDescent="0.25">
      <c r="B66" s="139" t="s">
        <v>131</v>
      </c>
      <c r="C66" s="140">
        <f>C64/C65</f>
        <v>6.8277777777777784E-2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</row>
    <row r="69" spans="2:12" ht="15.75" x14ac:dyDescent="0.25">
      <c r="B69" s="286" t="s">
        <v>132</v>
      </c>
      <c r="C69" s="287"/>
      <c r="D69" s="287"/>
      <c r="E69" s="287"/>
      <c r="F69" s="287"/>
      <c r="G69" s="287"/>
      <c r="H69" s="287"/>
      <c r="I69" s="287"/>
      <c r="J69" s="287"/>
      <c r="K69" s="287"/>
      <c r="L69" s="288"/>
    </row>
    <row r="70" spans="2:12" ht="15.75" x14ac:dyDescent="0.25">
      <c r="B70" s="21" t="s">
        <v>125</v>
      </c>
      <c r="C70" s="112">
        <v>2010</v>
      </c>
      <c r="D70" s="112">
        <v>2011</v>
      </c>
      <c r="E70" s="112">
        <v>2012</v>
      </c>
      <c r="F70" s="112">
        <v>2013</v>
      </c>
      <c r="G70" s="112">
        <v>2014</v>
      </c>
      <c r="H70" s="112">
        <v>2015</v>
      </c>
      <c r="I70" s="112">
        <v>2016</v>
      </c>
      <c r="J70" s="112">
        <v>2017</v>
      </c>
      <c r="K70" s="112">
        <v>2018</v>
      </c>
      <c r="L70" s="112">
        <v>2019</v>
      </c>
    </row>
    <row r="71" spans="2:12" ht="15.75" x14ac:dyDescent="0.25">
      <c r="B71" s="141" t="s">
        <v>133</v>
      </c>
      <c r="C71" s="84">
        <v>6.83E-2</v>
      </c>
      <c r="D71" s="163">
        <v>0</v>
      </c>
      <c r="E71" s="163">
        <v>0</v>
      </c>
      <c r="F71" s="163">
        <f t="shared" ref="F71" si="10">F69/F70</f>
        <v>0</v>
      </c>
      <c r="G71" s="163">
        <v>0</v>
      </c>
      <c r="H71" s="163">
        <v>0</v>
      </c>
      <c r="I71" s="163">
        <v>0</v>
      </c>
      <c r="J71" s="163">
        <v>0</v>
      </c>
      <c r="K71" s="163">
        <v>0</v>
      </c>
      <c r="L71" s="163">
        <v>0</v>
      </c>
    </row>
    <row r="72" spans="2:12" ht="15.75" x14ac:dyDescent="0.25">
      <c r="B72" s="141" t="s">
        <v>134</v>
      </c>
      <c r="C72" s="138">
        <v>0.1008</v>
      </c>
      <c r="D72" s="138">
        <v>0.19969999999999999</v>
      </c>
      <c r="E72" s="138">
        <v>0.18590000000000001</v>
      </c>
      <c r="F72" s="138">
        <v>0.18540000000000001</v>
      </c>
      <c r="G72" s="138">
        <v>0.1774</v>
      </c>
      <c r="H72" s="49">
        <v>0.185</v>
      </c>
      <c r="I72" s="49">
        <v>0.1603</v>
      </c>
      <c r="J72" s="49">
        <v>0.1638</v>
      </c>
      <c r="K72" s="49">
        <v>0.17349999999999999</v>
      </c>
      <c r="L72" s="49">
        <v>0.1633</v>
      </c>
    </row>
    <row r="73" spans="2:12" ht="15.75" x14ac:dyDescent="0.25">
      <c r="B73" s="141" t="s">
        <v>135</v>
      </c>
      <c r="C73" s="142">
        <v>0.19</v>
      </c>
      <c r="D73" s="142">
        <v>0.19</v>
      </c>
      <c r="E73" s="142">
        <v>0.19</v>
      </c>
      <c r="F73" s="142">
        <v>0.19</v>
      </c>
      <c r="G73" s="142">
        <v>0.19</v>
      </c>
      <c r="H73" s="142">
        <v>0.19</v>
      </c>
      <c r="I73" s="142">
        <v>0.19</v>
      </c>
      <c r="J73" s="142">
        <v>0.19</v>
      </c>
      <c r="K73" s="142">
        <v>0.19</v>
      </c>
      <c r="L73" s="142">
        <v>0.19</v>
      </c>
    </row>
    <row r="74" spans="2:12" ht="15.75" x14ac:dyDescent="0.25">
      <c r="B74" s="141" t="s">
        <v>136</v>
      </c>
      <c r="C74" s="120">
        <v>18000</v>
      </c>
      <c r="D74" s="80">
        <v>0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8</v>
      </c>
      <c r="L74" s="80">
        <v>0</v>
      </c>
    </row>
    <row r="75" spans="2:12" ht="15.75" x14ac:dyDescent="0.25">
      <c r="B75" s="141" t="s">
        <v>137</v>
      </c>
      <c r="C75" s="43">
        <v>313628</v>
      </c>
      <c r="D75" s="43">
        <v>380000</v>
      </c>
      <c r="E75" s="43">
        <v>418149</v>
      </c>
      <c r="F75" s="43">
        <v>406274</v>
      </c>
      <c r="G75" s="44">
        <v>467763</v>
      </c>
      <c r="H75" s="43">
        <v>568017</v>
      </c>
      <c r="I75" s="43">
        <v>675781</v>
      </c>
      <c r="J75" s="43">
        <v>742145</v>
      </c>
      <c r="K75" s="43">
        <v>851060</v>
      </c>
      <c r="L75" s="43">
        <v>964961</v>
      </c>
    </row>
    <row r="76" spans="2:12" ht="15.75" x14ac:dyDescent="0.25">
      <c r="B76" s="141" t="s">
        <v>138</v>
      </c>
      <c r="C76" s="70">
        <f>C$74+C$75</f>
        <v>331628</v>
      </c>
      <c r="D76" s="70">
        <f t="shared" ref="D76:L76" si="11">D$74+D$75</f>
        <v>380000</v>
      </c>
      <c r="E76" s="70">
        <f t="shared" si="11"/>
        <v>418149</v>
      </c>
      <c r="F76" s="70">
        <f t="shared" si="11"/>
        <v>406274</v>
      </c>
      <c r="G76" s="70">
        <f t="shared" si="11"/>
        <v>467763</v>
      </c>
      <c r="H76" s="70">
        <f t="shared" si="11"/>
        <v>568017</v>
      </c>
      <c r="I76" s="70">
        <f t="shared" si="11"/>
        <v>675781</v>
      </c>
      <c r="J76" s="70">
        <f t="shared" si="11"/>
        <v>742145</v>
      </c>
      <c r="K76" s="70">
        <f t="shared" si="11"/>
        <v>851068</v>
      </c>
      <c r="L76" s="70">
        <f t="shared" si="11"/>
        <v>964961</v>
      </c>
    </row>
    <row r="77" spans="2:12" ht="15.75" x14ac:dyDescent="0.25">
      <c r="B77" s="69" t="s">
        <v>139</v>
      </c>
      <c r="C77" s="126">
        <f>C$71*(1-C$73)*(C$74/C$76)+C$72*(C$75/C$76)</f>
        <v>9.8331613735872722E-2</v>
      </c>
      <c r="D77" s="126">
        <f t="shared" ref="D77:L77" si="12">D$71*(1-D$73)*(D$74/D$76)+D$72*(D$75/D$76)</f>
        <v>0.19969999999999999</v>
      </c>
      <c r="E77" s="126">
        <f t="shared" si="12"/>
        <v>0.18590000000000001</v>
      </c>
      <c r="F77" s="126">
        <f t="shared" si="12"/>
        <v>0.18540000000000001</v>
      </c>
      <c r="G77" s="126">
        <f t="shared" si="12"/>
        <v>0.1774</v>
      </c>
      <c r="H77" s="126">
        <f t="shared" si="12"/>
        <v>0.185</v>
      </c>
      <c r="I77" s="126">
        <f t="shared" si="12"/>
        <v>0.1603</v>
      </c>
      <c r="J77" s="126">
        <f t="shared" si="12"/>
        <v>0.1638</v>
      </c>
      <c r="K77" s="126">
        <f t="shared" si="12"/>
        <v>0.17349836910799135</v>
      </c>
      <c r="L77" s="126">
        <f t="shared" si="12"/>
        <v>0.1633</v>
      </c>
    </row>
    <row r="81" spans="2:25" ht="15.75" x14ac:dyDescent="0.25">
      <c r="B81" s="37" t="s">
        <v>140</v>
      </c>
      <c r="C81" s="112">
        <v>2010</v>
      </c>
      <c r="D81" s="112">
        <v>2011</v>
      </c>
      <c r="E81" s="112">
        <v>2012</v>
      </c>
      <c r="F81" s="112">
        <v>2013</v>
      </c>
      <c r="G81" s="112">
        <v>2014</v>
      </c>
      <c r="H81" s="112">
        <v>2015</v>
      </c>
      <c r="I81" s="112">
        <v>2016</v>
      </c>
      <c r="J81" s="112">
        <v>2017</v>
      </c>
      <c r="K81" s="112">
        <v>2018</v>
      </c>
      <c r="L81" s="112">
        <v>2019</v>
      </c>
    </row>
    <row r="82" spans="2:25" ht="15.75" x14ac:dyDescent="0.25">
      <c r="B82" s="173" t="s">
        <v>125</v>
      </c>
      <c r="C82" s="40">
        <v>9.8299999999999998E-2</v>
      </c>
      <c r="D82" s="40">
        <v>0.19969999999999999</v>
      </c>
      <c r="E82" s="40">
        <v>0.18590000000000001</v>
      </c>
      <c r="F82" s="40">
        <v>0.18540000000000001</v>
      </c>
      <c r="G82" s="40">
        <v>0.1774</v>
      </c>
      <c r="H82" s="180">
        <v>0.185</v>
      </c>
      <c r="I82" s="180">
        <v>0.1603</v>
      </c>
      <c r="J82" s="180">
        <v>0.1638</v>
      </c>
      <c r="K82" s="180">
        <v>0.17350000000000002</v>
      </c>
      <c r="L82" s="180">
        <v>0.16329999999999997</v>
      </c>
      <c r="O82" s="37" t="s">
        <v>140</v>
      </c>
      <c r="P82" s="164">
        <v>2010</v>
      </c>
      <c r="Q82" s="164">
        <v>2011</v>
      </c>
      <c r="R82" s="164">
        <v>2012</v>
      </c>
      <c r="S82" s="164">
        <v>2013</v>
      </c>
      <c r="T82" s="164">
        <v>2014</v>
      </c>
      <c r="U82" s="164">
        <v>2015</v>
      </c>
      <c r="V82" s="164">
        <v>2016</v>
      </c>
      <c r="W82" s="164">
        <v>2017</v>
      </c>
      <c r="X82" s="164">
        <v>2018</v>
      </c>
      <c r="Y82" s="164">
        <v>2019</v>
      </c>
    </row>
    <row r="83" spans="2:25" ht="15.75" x14ac:dyDescent="0.25">
      <c r="B83" s="174" t="s">
        <v>55</v>
      </c>
      <c r="C83" s="49">
        <v>0.1323</v>
      </c>
      <c r="D83" s="49">
        <v>0.1384</v>
      </c>
      <c r="E83" s="138">
        <v>0.122</v>
      </c>
      <c r="F83" s="152">
        <v>0.13689999999999999</v>
      </c>
      <c r="G83" s="152">
        <v>0.12620000000000001</v>
      </c>
      <c r="H83" s="49">
        <v>0.1275</v>
      </c>
      <c r="I83" s="49">
        <v>6.6000000000000003E-2</v>
      </c>
      <c r="J83" s="49">
        <v>0.1028</v>
      </c>
      <c r="K83" s="49">
        <v>0.11650000000000001</v>
      </c>
      <c r="L83" s="49">
        <v>0.1027</v>
      </c>
      <c r="O83" s="165" t="s">
        <v>55</v>
      </c>
      <c r="P83" s="175">
        <f>AVERAGE(P$84:P$85)</f>
        <v>0.13225000000000001</v>
      </c>
      <c r="Q83" s="175">
        <f t="shared" ref="Q83:Y83" si="13">AVERAGE(Q$84:Q$85)</f>
        <v>0.13835</v>
      </c>
      <c r="R83" s="175">
        <f t="shared" si="13"/>
        <v>0.122</v>
      </c>
      <c r="S83" s="175">
        <f t="shared" si="13"/>
        <v>0.13689999999999999</v>
      </c>
      <c r="T83" s="175">
        <f t="shared" si="13"/>
        <v>0.12619999999999998</v>
      </c>
      <c r="U83" s="175">
        <f t="shared" si="13"/>
        <v>0.12751598679779996</v>
      </c>
      <c r="V83" s="175">
        <f t="shared" si="13"/>
        <v>6.6011591899157077E-2</v>
      </c>
      <c r="W83" s="175">
        <f t="shared" si="13"/>
        <v>0.10276754820142388</v>
      </c>
      <c r="X83" s="175">
        <f t="shared" si="13"/>
        <v>0.11654372269214087</v>
      </c>
      <c r="Y83" s="175">
        <f t="shared" si="13"/>
        <v>0.10272823388124501</v>
      </c>
    </row>
    <row r="84" spans="2:25" ht="15.75" x14ac:dyDescent="0.25">
      <c r="O84" s="167" t="s">
        <v>142</v>
      </c>
      <c r="P84" s="168">
        <v>0.13220000000000001</v>
      </c>
      <c r="Q84" s="168">
        <v>0.1386</v>
      </c>
      <c r="R84" s="168">
        <v>0.122</v>
      </c>
      <c r="S84" s="168">
        <v>0.1381</v>
      </c>
      <c r="T84" s="168">
        <v>0.1273</v>
      </c>
      <c r="U84" s="171">
        <v>0.13161013766546351</v>
      </c>
      <c r="V84" s="171">
        <v>6.0534135945717306E-2</v>
      </c>
      <c r="W84" s="171">
        <v>0.10115250037862875</v>
      </c>
      <c r="X84" s="171">
        <v>0.11731396874883032</v>
      </c>
      <c r="Y84" s="171">
        <v>0.10272823388124501</v>
      </c>
    </row>
    <row r="85" spans="2:25" ht="15.75" x14ac:dyDescent="0.25">
      <c r="O85" s="167" t="s">
        <v>143</v>
      </c>
      <c r="P85" s="168">
        <v>0.1323</v>
      </c>
      <c r="Q85" s="168">
        <v>0.1381</v>
      </c>
      <c r="R85" s="168">
        <v>0.122</v>
      </c>
      <c r="S85" s="168">
        <v>0.13569999999999999</v>
      </c>
      <c r="T85" s="168">
        <v>0.12509999999999999</v>
      </c>
      <c r="U85" s="171">
        <v>0.12342183593013639</v>
      </c>
      <c r="V85" s="171">
        <v>7.148904785259684E-2</v>
      </c>
      <c r="W85" s="171">
        <v>0.10438259602421901</v>
      </c>
      <c r="X85" s="171">
        <v>0.11577347663545143</v>
      </c>
      <c r="Y85" s="169"/>
    </row>
    <row r="87" spans="2:25" ht="15.75" x14ac:dyDescent="0.25">
      <c r="O87" s="37" t="s">
        <v>141</v>
      </c>
      <c r="P87" s="164">
        <v>2010</v>
      </c>
      <c r="Q87" s="164">
        <v>2011</v>
      </c>
      <c r="R87" s="164">
        <v>2012</v>
      </c>
      <c r="S87" s="164">
        <v>2013</v>
      </c>
      <c r="T87" s="164">
        <v>2014</v>
      </c>
      <c r="U87" s="164">
        <v>2015</v>
      </c>
      <c r="V87" s="164">
        <v>2016</v>
      </c>
      <c r="W87" s="164">
        <v>2017</v>
      </c>
      <c r="X87" s="164">
        <v>2018</v>
      </c>
      <c r="Y87" s="164">
        <v>2019</v>
      </c>
    </row>
    <row r="88" spans="2:25" ht="15.75" x14ac:dyDescent="0.25">
      <c r="O88" s="165" t="s">
        <v>55</v>
      </c>
      <c r="P88" s="175">
        <f t="shared" ref="P88:Y88" si="14">AVERAGE(P$89:P$90)</f>
        <v>0.15659999999999999</v>
      </c>
      <c r="Q88" s="175">
        <f t="shared" si="14"/>
        <v>0.15024999999999999</v>
      </c>
      <c r="R88" s="175">
        <f t="shared" si="14"/>
        <v>0.18179999999999999</v>
      </c>
      <c r="S88" s="175">
        <f t="shared" si="14"/>
        <v>0.14685000000000001</v>
      </c>
      <c r="T88" s="175">
        <f t="shared" si="14"/>
        <v>0.13519999999999999</v>
      </c>
      <c r="U88" s="175">
        <f t="shared" si="14"/>
        <v>0.1430227841170664</v>
      </c>
      <c r="V88" s="175">
        <f t="shared" si="14"/>
        <v>8.5454474420591481E-2</v>
      </c>
      <c r="W88" s="175">
        <f t="shared" si="14"/>
        <v>0.12002878961095374</v>
      </c>
      <c r="X88" s="175">
        <f t="shared" si="14"/>
        <v>0.13788273403071363</v>
      </c>
      <c r="Y88" s="175">
        <f t="shared" si="14"/>
        <v>0.12446805840583045</v>
      </c>
    </row>
    <row r="89" spans="2:25" ht="15.75" x14ac:dyDescent="0.25">
      <c r="O89" s="167" t="s">
        <v>142</v>
      </c>
      <c r="P89" s="166">
        <v>0.15709999999999999</v>
      </c>
      <c r="Q89" s="166">
        <v>0.15110000000000001</v>
      </c>
      <c r="R89" s="166">
        <v>0.18179999999999999</v>
      </c>
      <c r="S89" s="166">
        <v>0.14940000000000001</v>
      </c>
      <c r="T89" s="166">
        <v>0.13669999999999999</v>
      </c>
      <c r="U89" s="172">
        <v>0.14372528475753732</v>
      </c>
      <c r="V89" s="172">
        <v>7.817197646561605E-2</v>
      </c>
      <c r="W89" s="172">
        <v>0.11824373199999511</v>
      </c>
      <c r="X89" s="172">
        <v>0.13866639319510549</v>
      </c>
      <c r="Y89" s="172">
        <v>0.12446805840583045</v>
      </c>
    </row>
    <row r="90" spans="2:25" ht="15.75" x14ac:dyDescent="0.25">
      <c r="O90" s="167" t="s">
        <v>143</v>
      </c>
      <c r="P90" s="166">
        <v>0.15609999999999999</v>
      </c>
      <c r="Q90" s="166">
        <v>0.14940000000000001</v>
      </c>
      <c r="R90" s="166">
        <v>0.18179999999999999</v>
      </c>
      <c r="S90" s="166">
        <v>0.14430000000000001</v>
      </c>
      <c r="T90" s="166">
        <v>0.13370000000000001</v>
      </c>
      <c r="U90" s="172">
        <v>0.14232028347659548</v>
      </c>
      <c r="V90" s="172">
        <v>9.2736972375566912E-2</v>
      </c>
      <c r="W90" s="172">
        <v>0.12181384722191238</v>
      </c>
      <c r="X90" s="172">
        <v>0.13709907486632178</v>
      </c>
      <c r="Y90" s="170"/>
    </row>
    <row r="104" spans="2:12" ht="15.75" x14ac:dyDescent="0.25">
      <c r="B104" s="37" t="s">
        <v>141</v>
      </c>
      <c r="C104" s="112">
        <v>2010</v>
      </c>
      <c r="D104" s="112">
        <v>2011</v>
      </c>
      <c r="E104" s="112">
        <v>2012</v>
      </c>
      <c r="F104" s="112">
        <v>2013</v>
      </c>
      <c r="G104" s="112">
        <v>2014</v>
      </c>
      <c r="H104" s="112">
        <v>2015</v>
      </c>
      <c r="I104" s="112">
        <v>2016</v>
      </c>
      <c r="J104" s="112">
        <v>2017</v>
      </c>
      <c r="K104" s="112">
        <v>2018</v>
      </c>
      <c r="L104" s="112">
        <v>2019</v>
      </c>
    </row>
    <row r="105" spans="2:12" ht="15.75" x14ac:dyDescent="0.25">
      <c r="B105" s="150" t="s">
        <v>125</v>
      </c>
      <c r="C105" s="175">
        <v>0.1008</v>
      </c>
      <c r="D105" s="178">
        <v>0.19969999999999999</v>
      </c>
      <c r="E105" s="178">
        <v>0.18590000000000001</v>
      </c>
      <c r="F105" s="178">
        <v>0.18540000000000001</v>
      </c>
      <c r="G105" s="178">
        <v>0.1774</v>
      </c>
      <c r="H105" s="179">
        <v>0.185</v>
      </c>
      <c r="I105" s="179">
        <v>0.1603</v>
      </c>
      <c r="J105" s="179">
        <v>0.1638</v>
      </c>
      <c r="K105" s="179">
        <v>0.17350000000000002</v>
      </c>
      <c r="L105" s="179">
        <v>0.16329999999999997</v>
      </c>
    </row>
    <row r="106" spans="2:12" ht="15.75" x14ac:dyDescent="0.25">
      <c r="B106" s="151" t="s">
        <v>55</v>
      </c>
      <c r="C106" s="176">
        <v>0.15659999999999999</v>
      </c>
      <c r="D106" s="176">
        <v>0.15029999999999999</v>
      </c>
      <c r="E106" s="177">
        <v>0.18179999999999999</v>
      </c>
      <c r="F106" s="166">
        <v>0.1469</v>
      </c>
      <c r="G106" s="166">
        <v>0.13519999999999999</v>
      </c>
      <c r="H106" s="176">
        <v>0.14299999999999999</v>
      </c>
      <c r="I106" s="176">
        <v>8.5500000000000007E-2</v>
      </c>
      <c r="J106" s="176">
        <v>0.12</v>
      </c>
      <c r="K106" s="176">
        <v>0.13789999999999999</v>
      </c>
      <c r="L106" s="176">
        <v>0.1245</v>
      </c>
    </row>
    <row r="128" spans="2:2" x14ac:dyDescent="0.25">
      <c r="B128" s="87" t="s">
        <v>214</v>
      </c>
    </row>
    <row r="130" spans="2:12" ht="15.75" x14ac:dyDescent="0.25">
      <c r="B130" s="21" t="s">
        <v>125</v>
      </c>
      <c r="C130" s="231">
        <v>2010</v>
      </c>
      <c r="D130" s="231">
        <v>2011</v>
      </c>
      <c r="E130" s="231">
        <v>2012</v>
      </c>
      <c r="F130" s="231">
        <v>2013</v>
      </c>
      <c r="G130" s="231">
        <v>2014</v>
      </c>
      <c r="H130" s="231">
        <v>2015</v>
      </c>
      <c r="I130" s="231">
        <v>2016</v>
      </c>
      <c r="J130" s="231">
        <v>2017</v>
      </c>
      <c r="K130" s="231">
        <v>2018</v>
      </c>
      <c r="L130" s="231">
        <v>2019</v>
      </c>
    </row>
    <row r="131" spans="2:12" x14ac:dyDescent="0.25">
      <c r="B131" s="56" t="s">
        <v>70</v>
      </c>
      <c r="C131" s="233">
        <v>1229</v>
      </c>
      <c r="D131" s="233">
        <v>0</v>
      </c>
      <c r="E131" s="233">
        <v>0</v>
      </c>
      <c r="F131" s="233">
        <v>0</v>
      </c>
      <c r="G131" s="233">
        <v>0</v>
      </c>
      <c r="H131" s="233">
        <v>0</v>
      </c>
      <c r="I131" s="233">
        <v>0</v>
      </c>
      <c r="J131" s="233">
        <v>0</v>
      </c>
      <c r="K131" s="233">
        <v>0</v>
      </c>
      <c r="L131" s="233">
        <v>0</v>
      </c>
    </row>
    <row r="132" spans="2:12" x14ac:dyDescent="0.25">
      <c r="B132" s="56" t="s">
        <v>215</v>
      </c>
      <c r="C132" s="234">
        <v>0.19</v>
      </c>
      <c r="D132" s="234">
        <v>0.19</v>
      </c>
      <c r="E132" s="234">
        <v>0.19</v>
      </c>
      <c r="F132" s="234">
        <v>0.19</v>
      </c>
      <c r="G132" s="234">
        <v>0.19</v>
      </c>
      <c r="H132" s="234">
        <v>0.19</v>
      </c>
      <c r="I132" s="234">
        <v>0.19</v>
      </c>
      <c r="J132" s="234">
        <v>0.19</v>
      </c>
      <c r="K132" s="234">
        <v>0.19</v>
      </c>
      <c r="L132" s="234">
        <v>0.19</v>
      </c>
    </row>
    <row r="133" spans="2:12" x14ac:dyDescent="0.25">
      <c r="B133" s="232" t="s">
        <v>216</v>
      </c>
      <c r="C133" s="231">
        <f>C131*C132</f>
        <v>233.51</v>
      </c>
      <c r="D133" s="231">
        <f t="shared" ref="D133:L133" si="15">D131*D132</f>
        <v>0</v>
      </c>
      <c r="E133" s="231">
        <f t="shared" si="15"/>
        <v>0</v>
      </c>
      <c r="F133" s="231">
        <f t="shared" si="15"/>
        <v>0</v>
      </c>
      <c r="G133" s="231">
        <f t="shared" si="15"/>
        <v>0</v>
      </c>
      <c r="H133" s="231">
        <f t="shared" si="15"/>
        <v>0</v>
      </c>
      <c r="I133" s="231">
        <f t="shared" si="15"/>
        <v>0</v>
      </c>
      <c r="J133" s="231">
        <f t="shared" si="15"/>
        <v>0</v>
      </c>
      <c r="K133" s="231">
        <f t="shared" si="15"/>
        <v>0</v>
      </c>
      <c r="L133" s="231">
        <f t="shared" si="15"/>
        <v>0</v>
      </c>
    </row>
  </sheetData>
  <mergeCells count="3">
    <mergeCell ref="B52:L52"/>
    <mergeCell ref="B62:L62"/>
    <mergeCell ref="B69:L69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7DEDD-0333-4A44-8A3F-ED67EA414494}">
  <dimension ref="B2:L8"/>
  <sheetViews>
    <sheetView zoomScale="70" zoomScaleNormal="70" workbookViewId="0">
      <selection activeCell="L21" sqref="L21"/>
    </sheetView>
  </sheetViews>
  <sheetFormatPr defaultRowHeight="15" x14ac:dyDescent="0.25"/>
  <cols>
    <col min="2" max="2" width="32.5703125" customWidth="1"/>
  </cols>
  <sheetData>
    <row r="2" spans="2:12" x14ac:dyDescent="0.25">
      <c r="B2" s="231" t="s">
        <v>222</v>
      </c>
      <c r="C2" s="183">
        <v>2010</v>
      </c>
      <c r="D2" s="183">
        <v>2011</v>
      </c>
      <c r="E2" s="183">
        <v>2012</v>
      </c>
      <c r="F2" s="183">
        <v>2013</v>
      </c>
      <c r="G2" s="183">
        <v>2014</v>
      </c>
      <c r="H2" s="183">
        <v>2015</v>
      </c>
      <c r="I2" s="183">
        <v>2016</v>
      </c>
      <c r="J2" s="183">
        <v>2017</v>
      </c>
      <c r="K2" s="183">
        <v>2018</v>
      </c>
      <c r="L2" s="183">
        <v>2019</v>
      </c>
    </row>
    <row r="3" spans="2:12" x14ac:dyDescent="0.25">
      <c r="B3" s="203" t="s">
        <v>61</v>
      </c>
      <c r="C3" s="108">
        <v>0.14849999999999999</v>
      </c>
      <c r="D3" s="108">
        <v>0.1008</v>
      </c>
      <c r="E3" s="108">
        <v>8.5900000000000004E-2</v>
      </c>
      <c r="F3" s="108">
        <v>0.10440000000000001</v>
      </c>
      <c r="G3" s="108">
        <v>0.1084</v>
      </c>
      <c r="H3" s="108">
        <v>0.1211</v>
      </c>
      <c r="I3" s="108">
        <v>8.1199999999999994E-2</v>
      </c>
      <c r="J3" s="108">
        <v>8.7800000000000003E-2</v>
      </c>
      <c r="K3" s="108">
        <v>7.4200000000000002E-2</v>
      </c>
      <c r="L3" s="108">
        <v>6.3700000000000007E-2</v>
      </c>
    </row>
    <row r="4" spans="2:12" x14ac:dyDescent="0.25">
      <c r="B4" s="56" t="s">
        <v>212</v>
      </c>
      <c r="C4" s="52">
        <v>0.15609999999999999</v>
      </c>
      <c r="D4" s="52">
        <v>0.15110000000000001</v>
      </c>
      <c r="E4" s="52">
        <v>0.18179999999999999</v>
      </c>
      <c r="F4" s="52">
        <v>0.13739999999999999</v>
      </c>
      <c r="G4" s="52">
        <v>0.13370000000000001</v>
      </c>
      <c r="H4" s="52">
        <v>0.14729999999999999</v>
      </c>
      <c r="I4" s="52">
        <v>7.8200000000000006E-2</v>
      </c>
      <c r="J4" s="52">
        <v>0.1182</v>
      </c>
      <c r="K4" s="52">
        <v>0.13869999999999999</v>
      </c>
      <c r="L4" s="52">
        <v>0.1245</v>
      </c>
    </row>
    <row r="5" spans="2:12" x14ac:dyDescent="0.25">
      <c r="B5" s="56" t="s">
        <v>209</v>
      </c>
      <c r="C5" s="52">
        <v>0.16109999999999999</v>
      </c>
      <c r="D5" s="52">
        <v>0.16059999999999999</v>
      </c>
      <c r="E5" s="52">
        <v>0.12529999999999999</v>
      </c>
      <c r="F5" s="52">
        <v>0.10580000000000001</v>
      </c>
      <c r="G5" s="52">
        <v>8.6599999999999996E-2</v>
      </c>
      <c r="H5" s="52">
        <v>0.1033</v>
      </c>
      <c r="I5" s="52">
        <v>9.0899999999999995E-2</v>
      </c>
      <c r="J5" s="52">
        <v>8.7300000000000003E-2</v>
      </c>
      <c r="K5" s="52">
        <v>0.1232</v>
      </c>
      <c r="L5" s="52">
        <v>0.1095</v>
      </c>
    </row>
    <row r="6" spans="2:12" x14ac:dyDescent="0.25">
      <c r="B6" s="56" t="s">
        <v>210</v>
      </c>
      <c r="C6" s="52">
        <v>0.1487</v>
      </c>
      <c r="D6" s="52">
        <v>0.1401</v>
      </c>
      <c r="E6" s="52">
        <v>0.1104</v>
      </c>
      <c r="F6" s="52">
        <v>0.12089999999999999</v>
      </c>
      <c r="G6" s="52">
        <v>0.15659999999999999</v>
      </c>
      <c r="H6" s="52">
        <v>0.1593</v>
      </c>
      <c r="I6" s="52">
        <v>0.15440000000000001</v>
      </c>
      <c r="J6" s="52">
        <v>0.1852</v>
      </c>
      <c r="K6" s="52">
        <v>0.1356</v>
      </c>
      <c r="L6" s="52">
        <v>0.1474</v>
      </c>
    </row>
    <row r="7" spans="2:12" x14ac:dyDescent="0.25">
      <c r="B7" s="56" t="s">
        <v>211</v>
      </c>
      <c r="C7" s="52">
        <v>9.69E-2</v>
      </c>
      <c r="D7" s="52"/>
      <c r="E7" s="52"/>
      <c r="F7" s="52"/>
      <c r="G7" s="52"/>
      <c r="H7" s="52"/>
      <c r="I7" s="52"/>
      <c r="J7" s="52"/>
      <c r="K7" s="52"/>
      <c r="L7" s="52"/>
    </row>
    <row r="8" spans="2:12" x14ac:dyDescent="0.25">
      <c r="B8" s="56" t="s">
        <v>213</v>
      </c>
      <c r="C8" s="52">
        <v>0.21160000000000001</v>
      </c>
      <c r="D8" s="52">
        <v>0.19719999999999999</v>
      </c>
      <c r="E8" s="52">
        <v>0.26695999999999998</v>
      </c>
      <c r="F8" s="52">
        <v>0.1757</v>
      </c>
      <c r="G8" s="52">
        <v>0.19939999999999999</v>
      </c>
      <c r="H8" s="52">
        <v>0.19289999999999999</v>
      </c>
      <c r="I8" s="52"/>
      <c r="J8" s="52">
        <v>0.23219999999999999</v>
      </c>
      <c r="K8" s="52">
        <v>0.24790000000000001</v>
      </c>
      <c r="L8" s="5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277CC-379E-4428-915A-F05881E84F5D}">
  <dimension ref="A2:AX86"/>
  <sheetViews>
    <sheetView zoomScale="50" zoomScaleNormal="50" workbookViewId="0">
      <selection activeCell="AD43" sqref="AD43"/>
    </sheetView>
  </sheetViews>
  <sheetFormatPr defaultRowHeight="15" x14ac:dyDescent="0.25"/>
  <cols>
    <col min="2" max="2" width="36.140625" customWidth="1"/>
    <col min="8" max="8" width="9.140625" customWidth="1"/>
    <col min="13" max="13" width="10.28515625" bestFit="1" customWidth="1"/>
    <col min="20" max="20" width="20.42578125" customWidth="1"/>
    <col min="23" max="23" width="11" customWidth="1"/>
    <col min="24" max="24" width="11.28515625" customWidth="1"/>
    <col min="25" max="25" width="12.5703125" customWidth="1"/>
    <col min="26" max="26" width="19.42578125" customWidth="1"/>
    <col min="30" max="30" width="25.5703125" customWidth="1"/>
    <col min="31" max="31" width="10.140625" customWidth="1"/>
    <col min="33" max="33" width="9" customWidth="1"/>
    <col min="34" max="34" width="13" customWidth="1"/>
    <col min="35" max="35" width="11" customWidth="1"/>
    <col min="36" max="36" width="11.7109375" customWidth="1"/>
    <col min="43" max="50" width="9.140625" style="219"/>
  </cols>
  <sheetData>
    <row r="2" spans="2:42" x14ac:dyDescent="0.25">
      <c r="B2" t="s">
        <v>145</v>
      </c>
      <c r="T2" t="s">
        <v>169</v>
      </c>
    </row>
    <row r="4" spans="2:42" ht="15.75" x14ac:dyDescent="0.25">
      <c r="B4" s="69" t="s">
        <v>61</v>
      </c>
      <c r="C4" s="21">
        <v>2010</v>
      </c>
      <c r="D4" s="21">
        <v>2011</v>
      </c>
      <c r="E4" s="21">
        <v>2012</v>
      </c>
      <c r="F4" s="21">
        <v>2013</v>
      </c>
      <c r="G4" s="21">
        <v>2014</v>
      </c>
      <c r="H4" s="21">
        <v>2015</v>
      </c>
      <c r="I4" s="21">
        <v>2016</v>
      </c>
      <c r="J4" s="21">
        <v>2017</v>
      </c>
      <c r="K4" s="21">
        <v>2018</v>
      </c>
      <c r="L4" s="21">
        <v>2019</v>
      </c>
      <c r="M4" s="183" t="s">
        <v>155</v>
      </c>
      <c r="T4" s="289" t="s">
        <v>170</v>
      </c>
      <c r="U4" s="289" t="s">
        <v>171</v>
      </c>
      <c r="V4" s="289" t="s">
        <v>172</v>
      </c>
      <c r="W4" s="289" t="s">
        <v>173</v>
      </c>
      <c r="X4" s="290" t="s">
        <v>174</v>
      </c>
      <c r="Y4" s="290" t="s">
        <v>57</v>
      </c>
      <c r="Z4" s="290" t="s">
        <v>175</v>
      </c>
      <c r="AA4" s="289" t="s">
        <v>140</v>
      </c>
      <c r="AD4" s="183" t="s">
        <v>170</v>
      </c>
      <c r="AE4" s="239">
        <v>0.51</v>
      </c>
      <c r="AF4" s="239">
        <v>0.52</v>
      </c>
      <c r="AG4" s="239">
        <v>0.53</v>
      </c>
      <c r="AH4" s="239">
        <v>0.54</v>
      </c>
      <c r="AI4" s="239">
        <v>0.55000000000000004</v>
      </c>
      <c r="AJ4" s="239">
        <v>0.56000000000000005</v>
      </c>
      <c r="AK4" s="239">
        <v>0.56999999999999995</v>
      </c>
      <c r="AL4" s="239">
        <v>0.57999999999999996</v>
      </c>
      <c r="AM4" s="239">
        <v>0.59</v>
      </c>
      <c r="AN4" s="239">
        <v>0.6</v>
      </c>
      <c r="AO4" s="239">
        <v>0.61</v>
      </c>
      <c r="AP4" s="239">
        <v>0.62</v>
      </c>
    </row>
    <row r="5" spans="2:42" ht="15.75" x14ac:dyDescent="0.25">
      <c r="B5" s="59" t="s">
        <v>146</v>
      </c>
      <c r="C5" s="80">
        <v>6.28</v>
      </c>
      <c r="D5" s="80">
        <v>7.28</v>
      </c>
      <c r="E5" s="80">
        <v>7.08</v>
      </c>
      <c r="F5" s="80">
        <v>6.05</v>
      </c>
      <c r="G5" s="80">
        <v>6.8</v>
      </c>
      <c r="H5" s="90">
        <v>7.36</v>
      </c>
      <c r="I5" s="90">
        <v>6.69</v>
      </c>
      <c r="J5" s="90">
        <v>5.89</v>
      </c>
      <c r="K5" s="90">
        <v>6.94</v>
      </c>
      <c r="L5" s="90">
        <v>5.8</v>
      </c>
      <c r="M5" s="186">
        <f t="shared" ref="M5:M10" si="0">AVERAGE(C5:L5)</f>
        <v>6.617</v>
      </c>
      <c r="O5" t="s">
        <v>162</v>
      </c>
      <c r="T5" s="289"/>
      <c r="U5" s="289"/>
      <c r="V5" s="289"/>
      <c r="W5" s="289"/>
      <c r="X5" s="290"/>
      <c r="Y5" s="290"/>
      <c r="Z5" s="290"/>
      <c r="AA5" s="289"/>
      <c r="AD5" s="129" t="s">
        <v>140</v>
      </c>
      <c r="AE5" s="244">
        <v>3.5760000000000001</v>
      </c>
      <c r="AF5" s="247">
        <v>3.57</v>
      </c>
      <c r="AG5" s="233">
        <v>3.5649999999999999</v>
      </c>
      <c r="AH5" s="233">
        <v>3.5609999999999999</v>
      </c>
      <c r="AI5" s="233">
        <v>3.5579999999999998</v>
      </c>
      <c r="AJ5" s="233">
        <v>3.556</v>
      </c>
      <c r="AK5" s="233">
        <v>3.556</v>
      </c>
      <c r="AL5" s="233">
        <v>3.5569999999999999</v>
      </c>
      <c r="AM5" s="233">
        <v>3.5590000000000002</v>
      </c>
      <c r="AN5" s="233">
        <v>3.5630000000000002</v>
      </c>
      <c r="AO5" s="233">
        <v>3.569</v>
      </c>
      <c r="AP5" s="233">
        <v>3.577</v>
      </c>
    </row>
    <row r="6" spans="2:42" ht="15.75" x14ac:dyDescent="0.25">
      <c r="B6" s="59" t="s">
        <v>147</v>
      </c>
      <c r="C6" s="80">
        <v>3.71</v>
      </c>
      <c r="D6" s="80">
        <v>3.79</v>
      </c>
      <c r="E6" s="80">
        <v>2.31</v>
      </c>
      <c r="F6" s="80">
        <v>2.2599999999999998</v>
      </c>
      <c r="G6" s="80">
        <v>1.58</v>
      </c>
      <c r="H6" s="90">
        <v>0.57999999999999996</v>
      </c>
      <c r="I6" s="90">
        <v>0.43</v>
      </c>
      <c r="J6" s="90">
        <v>0.98</v>
      </c>
      <c r="K6" s="90">
        <v>1.98</v>
      </c>
      <c r="L6" s="90">
        <v>1.55</v>
      </c>
      <c r="M6" s="186">
        <f t="shared" si="0"/>
        <v>1.9170000000000003</v>
      </c>
      <c r="O6" t="s">
        <v>163</v>
      </c>
      <c r="T6" s="188">
        <v>0</v>
      </c>
      <c r="U6" s="50">
        <v>0</v>
      </c>
      <c r="V6" s="192">
        <f>$M$6+$M$7*W6</f>
        <v>4.511400000000001</v>
      </c>
      <c r="W6" s="192">
        <f>M8*(1+(1-0.19)*X6/Y6)</f>
        <v>0.55200000000000005</v>
      </c>
      <c r="X6" s="95">
        <v>0</v>
      </c>
      <c r="Y6" s="190">
        <v>578778</v>
      </c>
      <c r="Z6" s="190">
        <v>578778</v>
      </c>
      <c r="AA6" s="191">
        <f>V6*Y6/(Y6+X6)+U6*X6/(Y6+X6)</f>
        <v>4.511400000000001</v>
      </c>
    </row>
    <row r="7" spans="2:42" ht="15.75" x14ac:dyDescent="0.25">
      <c r="B7" s="59" t="s">
        <v>148</v>
      </c>
      <c r="C7" s="80">
        <f>C$5-C$6</f>
        <v>2.5700000000000003</v>
      </c>
      <c r="D7" s="80">
        <f t="shared" ref="D7:L7" si="1">D$5-D$6</f>
        <v>3.49</v>
      </c>
      <c r="E7" s="80">
        <f t="shared" si="1"/>
        <v>4.7699999999999996</v>
      </c>
      <c r="F7" s="80">
        <f t="shared" si="1"/>
        <v>3.79</v>
      </c>
      <c r="G7" s="80">
        <f t="shared" si="1"/>
        <v>5.22</v>
      </c>
      <c r="H7" s="80">
        <f t="shared" si="1"/>
        <v>6.78</v>
      </c>
      <c r="I7" s="80">
        <f t="shared" si="1"/>
        <v>6.2600000000000007</v>
      </c>
      <c r="J7" s="80">
        <f t="shared" si="1"/>
        <v>4.91</v>
      </c>
      <c r="K7" s="80">
        <f t="shared" si="1"/>
        <v>4.9600000000000009</v>
      </c>
      <c r="L7" s="80">
        <f t="shared" si="1"/>
        <v>4.25</v>
      </c>
      <c r="M7" s="186">
        <f t="shared" si="0"/>
        <v>4.7000000000000011</v>
      </c>
      <c r="O7" t="s">
        <v>164</v>
      </c>
      <c r="T7" s="188">
        <v>0.1</v>
      </c>
      <c r="U7" s="192">
        <f>$M$13*(X7/Y7)*100</f>
        <v>6.1470000000000011E-2</v>
      </c>
      <c r="V7" s="192">
        <f>$M$6+$M$7*W7</f>
        <v>4.7448960000000016</v>
      </c>
      <c r="W7" s="192">
        <f>$W$6*(1+(X7*(1-0.19)/Y7))</f>
        <v>0.6016800000000001</v>
      </c>
      <c r="X7" s="190">
        <f>$Z$6*T7</f>
        <v>57877.8</v>
      </c>
      <c r="Y7" s="190">
        <f>$Y$6-X7</f>
        <v>520900.2</v>
      </c>
      <c r="Z7" s="190">
        <v>578778</v>
      </c>
      <c r="AA7" s="191">
        <f t="shared" ref="AA7:AA15" si="2">U7*(X7/Z7)+V7*(Y7/Z7)</f>
        <v>4.2765534000000018</v>
      </c>
    </row>
    <row r="8" spans="2:42" ht="15.75" x14ac:dyDescent="0.25">
      <c r="B8" s="59" t="s">
        <v>149</v>
      </c>
      <c r="C8" s="80">
        <v>0.83</v>
      </c>
      <c r="D8" s="80">
        <v>0.44</v>
      </c>
      <c r="E8" s="90">
        <v>0.5</v>
      </c>
      <c r="F8" s="80">
        <v>0.54</v>
      </c>
      <c r="G8" s="80">
        <v>0.68</v>
      </c>
      <c r="H8" s="80">
        <v>0.56000000000000005</v>
      </c>
      <c r="I8" s="80">
        <v>0.55000000000000004</v>
      </c>
      <c r="J8" s="80">
        <v>0.51</v>
      </c>
      <c r="K8" s="80">
        <v>0.46</v>
      </c>
      <c r="L8" s="80">
        <v>0.45</v>
      </c>
      <c r="M8" s="186">
        <f t="shared" si="0"/>
        <v>0.55200000000000005</v>
      </c>
      <c r="O8" t="s">
        <v>162</v>
      </c>
      <c r="T8" s="188">
        <v>0.2</v>
      </c>
      <c r="U8" s="192">
        <f t="shared" ref="U8:U15" si="3">$M$13*(X8/Y8)*100</f>
        <v>0.1383075</v>
      </c>
      <c r="V8" s="192">
        <f t="shared" ref="V8:V15" si="4">$M$6+$M$7*W8</f>
        <v>5.0367660000000019</v>
      </c>
      <c r="W8" s="192">
        <f t="shared" ref="W8:W15" si="5">$W$6*(1+(X8*(1-0.19)/Y8))</f>
        <v>0.66378000000000015</v>
      </c>
      <c r="X8" s="190">
        <f t="shared" ref="X8:X15" si="6">$Z$6*T8</f>
        <v>115755.6</v>
      </c>
      <c r="Y8" s="190">
        <f t="shared" ref="Y8:Y15" si="7">$Y$6-X8</f>
        <v>463022.4</v>
      </c>
      <c r="Z8" s="190">
        <v>578778</v>
      </c>
      <c r="AA8" s="191">
        <f t="shared" si="2"/>
        <v>4.0570743000000018</v>
      </c>
    </row>
    <row r="9" spans="2:42" ht="15.75" x14ac:dyDescent="0.25">
      <c r="B9" s="59" t="s">
        <v>150</v>
      </c>
      <c r="C9" s="120">
        <v>18000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8</v>
      </c>
      <c r="L9" s="80">
        <v>0</v>
      </c>
      <c r="M9" s="186">
        <f t="shared" si="0"/>
        <v>1800.8</v>
      </c>
      <c r="O9" t="s">
        <v>165</v>
      </c>
      <c r="T9" s="188">
        <v>0.3</v>
      </c>
      <c r="U9" s="192">
        <f t="shared" si="3"/>
        <v>0.23709857142857146</v>
      </c>
      <c r="V9" s="192">
        <f t="shared" si="4"/>
        <v>5.41202742857143</v>
      </c>
      <c r="W9" s="192">
        <f t="shared" si="5"/>
        <v>0.74362285714285725</v>
      </c>
      <c r="X9" s="190">
        <f t="shared" si="6"/>
        <v>173633.4</v>
      </c>
      <c r="Y9" s="190">
        <f t="shared" si="7"/>
        <v>405144.6</v>
      </c>
      <c r="Z9" s="190">
        <v>578778</v>
      </c>
      <c r="AA9" s="191">
        <f t="shared" si="2"/>
        <v>3.8595487714285723</v>
      </c>
    </row>
    <row r="10" spans="2:42" ht="15.75" x14ac:dyDescent="0.25">
      <c r="B10" s="59" t="s">
        <v>151</v>
      </c>
      <c r="C10" s="43">
        <v>313628</v>
      </c>
      <c r="D10" s="43">
        <v>380000</v>
      </c>
      <c r="E10" s="43">
        <v>418149</v>
      </c>
      <c r="F10" s="43">
        <v>406274</v>
      </c>
      <c r="G10" s="44">
        <v>467763</v>
      </c>
      <c r="H10" s="43">
        <v>568017</v>
      </c>
      <c r="I10" s="43">
        <v>675781</v>
      </c>
      <c r="J10" s="43">
        <v>742145</v>
      </c>
      <c r="K10" s="43">
        <v>851060</v>
      </c>
      <c r="L10" s="43">
        <v>964961</v>
      </c>
      <c r="M10" s="185">
        <f t="shared" si="0"/>
        <v>578777.80000000005</v>
      </c>
      <c r="O10" t="s">
        <v>165</v>
      </c>
      <c r="T10" s="188">
        <v>0.4</v>
      </c>
      <c r="U10" s="192">
        <f t="shared" si="3"/>
        <v>0.36882000000000009</v>
      </c>
      <c r="V10" s="192">
        <f t="shared" si="4"/>
        <v>5.9123760000000019</v>
      </c>
      <c r="W10" s="192">
        <f t="shared" si="5"/>
        <v>0.85008000000000006</v>
      </c>
      <c r="X10" s="190">
        <f t="shared" si="6"/>
        <v>231511.2</v>
      </c>
      <c r="Y10" s="190">
        <f t="shared" si="7"/>
        <v>347266.8</v>
      </c>
      <c r="Z10" s="190">
        <v>578778</v>
      </c>
      <c r="AA10" s="191">
        <f t="shared" si="2"/>
        <v>3.6949536000000007</v>
      </c>
    </row>
    <row r="11" spans="2:42" ht="15.75" x14ac:dyDescent="0.25">
      <c r="B11" s="59" t="s">
        <v>152</v>
      </c>
      <c r="C11" s="182">
        <v>19</v>
      </c>
      <c r="D11" s="182">
        <v>19</v>
      </c>
      <c r="E11" s="182">
        <v>19</v>
      </c>
      <c r="F11" s="182">
        <v>19</v>
      </c>
      <c r="G11" s="182">
        <v>19</v>
      </c>
      <c r="H11" s="182">
        <v>19</v>
      </c>
      <c r="I11" s="182">
        <v>19</v>
      </c>
      <c r="J11" s="182">
        <v>19</v>
      </c>
      <c r="K11" s="182">
        <v>19</v>
      </c>
      <c r="L11" s="182">
        <v>19</v>
      </c>
      <c r="M11" s="109" t="s">
        <v>168</v>
      </c>
      <c r="T11" s="188">
        <v>0.5</v>
      </c>
      <c r="U11" s="192">
        <f t="shared" si="3"/>
        <v>0.55323</v>
      </c>
      <c r="V11" s="192">
        <f t="shared" si="4"/>
        <v>6.6128640000000019</v>
      </c>
      <c r="W11" s="192">
        <f t="shared" si="5"/>
        <v>0.99912000000000012</v>
      </c>
      <c r="X11" s="190">
        <f t="shared" si="6"/>
        <v>289389</v>
      </c>
      <c r="Y11" s="190">
        <f t="shared" si="7"/>
        <v>289389</v>
      </c>
      <c r="Z11" s="190">
        <v>578778</v>
      </c>
      <c r="AA11" s="191">
        <f t="shared" si="2"/>
        <v>3.583047000000001</v>
      </c>
    </row>
    <row r="12" spans="2:42" ht="15.75" x14ac:dyDescent="0.25">
      <c r="B12" s="59" t="s">
        <v>153</v>
      </c>
      <c r="C12" s="90">
        <f>C$8*(1+(1-0.19)*C$9/C$10)</f>
        <v>0.8685852028517862</v>
      </c>
      <c r="D12" s="90">
        <f t="shared" ref="D12:L12" si="8">D$8*(1+(1-0.19)*D$9/D$10)</f>
        <v>0.44</v>
      </c>
      <c r="E12" s="90">
        <f t="shared" si="8"/>
        <v>0.5</v>
      </c>
      <c r="F12" s="90">
        <f t="shared" si="8"/>
        <v>0.54</v>
      </c>
      <c r="G12" s="90">
        <f t="shared" si="8"/>
        <v>0.68</v>
      </c>
      <c r="H12" s="90">
        <f t="shared" si="8"/>
        <v>0.56000000000000005</v>
      </c>
      <c r="I12" s="90">
        <f t="shared" si="8"/>
        <v>0.55000000000000004</v>
      </c>
      <c r="J12" s="90">
        <f t="shared" si="8"/>
        <v>0.51</v>
      </c>
      <c r="K12" s="90">
        <f t="shared" si="8"/>
        <v>0.46000350245576105</v>
      </c>
      <c r="L12" s="90">
        <f t="shared" si="8"/>
        <v>0.45</v>
      </c>
      <c r="M12" s="186">
        <f>AVERAGE(C12:L12)</f>
        <v>0.55585887053075467</v>
      </c>
      <c r="O12" t="s">
        <v>166</v>
      </c>
      <c r="T12" s="235">
        <v>0.6</v>
      </c>
      <c r="U12" s="236">
        <f t="shared" si="3"/>
        <v>0.82984499999999994</v>
      </c>
      <c r="V12" s="236">
        <f t="shared" si="4"/>
        <v>7.6635960000000019</v>
      </c>
      <c r="W12" s="236">
        <f t="shared" si="5"/>
        <v>1.22268</v>
      </c>
      <c r="X12" s="237">
        <f t="shared" si="6"/>
        <v>347266.8</v>
      </c>
      <c r="Y12" s="237">
        <f t="shared" si="7"/>
        <v>231511.2</v>
      </c>
      <c r="Z12" s="237">
        <v>578778</v>
      </c>
      <c r="AA12" s="238">
        <f t="shared" si="2"/>
        <v>3.5633454000000011</v>
      </c>
    </row>
    <row r="13" spans="2:42" ht="15.75" x14ac:dyDescent="0.25">
      <c r="B13" s="59" t="s">
        <v>154</v>
      </c>
      <c r="C13" s="148">
        <f>6.83%*(1-19%)</f>
        <v>5.5323000000000004E-2</v>
      </c>
      <c r="D13" s="149">
        <v>0</v>
      </c>
      <c r="E13" s="149">
        <v>0</v>
      </c>
      <c r="F13" s="149">
        <v>0</v>
      </c>
      <c r="G13" s="149">
        <v>0</v>
      </c>
      <c r="H13" s="149">
        <v>0</v>
      </c>
      <c r="I13" s="149">
        <v>0</v>
      </c>
      <c r="J13" s="149">
        <v>0</v>
      </c>
      <c r="K13" s="149">
        <v>0</v>
      </c>
      <c r="L13" s="149">
        <v>0</v>
      </c>
      <c r="M13" s="187">
        <f>AVERAGE(C13:L13)</f>
        <v>5.5323000000000004E-3</v>
      </c>
      <c r="O13" t="s">
        <v>167</v>
      </c>
      <c r="T13" s="188">
        <v>0.7</v>
      </c>
      <c r="U13" s="192">
        <f t="shared" si="3"/>
        <v>1.29087</v>
      </c>
      <c r="V13" s="192">
        <f t="shared" si="4"/>
        <v>9.4148160000000018</v>
      </c>
      <c r="W13" s="192">
        <f t="shared" si="5"/>
        <v>1.59528</v>
      </c>
      <c r="X13" s="190">
        <f t="shared" si="6"/>
        <v>405144.6</v>
      </c>
      <c r="Y13" s="190">
        <f t="shared" si="7"/>
        <v>173633.40000000002</v>
      </c>
      <c r="Z13" s="190">
        <v>578778</v>
      </c>
      <c r="AA13" s="191">
        <f t="shared" si="2"/>
        <v>3.728053800000001</v>
      </c>
    </row>
    <row r="14" spans="2:42" ht="15.75" x14ac:dyDescent="0.25">
      <c r="B14" s="59" t="s">
        <v>218</v>
      </c>
      <c r="C14" s="192">
        <f>C$6+C$7*C$12</f>
        <v>5.9422639713290906</v>
      </c>
      <c r="D14" s="192">
        <f t="shared" ref="D14:L14" si="9">D$6+D$7*D$12</f>
        <v>5.3255999999999997</v>
      </c>
      <c r="E14" s="192">
        <f t="shared" si="9"/>
        <v>4.6950000000000003</v>
      </c>
      <c r="F14" s="192">
        <f t="shared" si="9"/>
        <v>4.3065999999999995</v>
      </c>
      <c r="G14" s="192">
        <f t="shared" si="9"/>
        <v>5.1295999999999999</v>
      </c>
      <c r="H14" s="192">
        <f t="shared" si="9"/>
        <v>4.3768000000000002</v>
      </c>
      <c r="I14" s="192">
        <f t="shared" si="9"/>
        <v>3.8730000000000007</v>
      </c>
      <c r="J14" s="192">
        <f t="shared" si="9"/>
        <v>3.4841000000000002</v>
      </c>
      <c r="K14" s="192">
        <f t="shared" si="9"/>
        <v>4.2616173721805755</v>
      </c>
      <c r="L14" s="192">
        <f t="shared" si="9"/>
        <v>3.4625000000000004</v>
      </c>
      <c r="M14" s="186">
        <f>AVERAGE(C14:L14)</f>
        <v>4.4857081343509657</v>
      </c>
      <c r="T14" s="189">
        <v>0.8</v>
      </c>
      <c r="U14" s="192">
        <f t="shared" si="3"/>
        <v>2.2129200000000004</v>
      </c>
      <c r="V14" s="192">
        <f t="shared" si="4"/>
        <v>12.917256000000005</v>
      </c>
      <c r="W14" s="192">
        <f t="shared" si="5"/>
        <v>2.3404800000000008</v>
      </c>
      <c r="X14" s="190">
        <f t="shared" si="6"/>
        <v>463022.4</v>
      </c>
      <c r="Y14" s="190">
        <f t="shared" si="7"/>
        <v>115755.59999999998</v>
      </c>
      <c r="Z14" s="190">
        <v>578778</v>
      </c>
      <c r="AA14" s="191">
        <f t="shared" si="2"/>
        <v>4.3537872000000011</v>
      </c>
    </row>
    <row r="15" spans="2:42" x14ac:dyDescent="0.25">
      <c r="T15" s="188">
        <v>0.9</v>
      </c>
      <c r="U15" s="192">
        <f t="shared" si="3"/>
        <v>4.979070000000001</v>
      </c>
      <c r="V15" s="192">
        <f t="shared" si="4"/>
        <v>23.424576000000016</v>
      </c>
      <c r="W15" s="192">
        <f t="shared" si="5"/>
        <v>4.5760800000000019</v>
      </c>
      <c r="X15" s="190">
        <f t="shared" si="6"/>
        <v>520900.2</v>
      </c>
      <c r="Y15" s="190">
        <f t="shared" si="7"/>
        <v>57877.799999999988</v>
      </c>
      <c r="Z15" s="190">
        <v>578778</v>
      </c>
      <c r="AA15" s="191">
        <f t="shared" si="2"/>
        <v>6.8236206000000026</v>
      </c>
    </row>
    <row r="16" spans="2:42" x14ac:dyDescent="0.25">
      <c r="B16" t="s">
        <v>177</v>
      </c>
    </row>
    <row r="17" spans="2:50" x14ac:dyDescent="0.25">
      <c r="B17" t="s">
        <v>156</v>
      </c>
    </row>
    <row r="19" spans="2:50" x14ac:dyDescent="0.25">
      <c r="B19" t="s">
        <v>157</v>
      </c>
      <c r="G19" t="s">
        <v>158</v>
      </c>
    </row>
    <row r="20" spans="2:50" x14ac:dyDescent="0.25">
      <c r="B20" t="s">
        <v>159</v>
      </c>
    </row>
    <row r="21" spans="2:50" x14ac:dyDescent="0.25">
      <c r="C21" s="87" t="s">
        <v>160</v>
      </c>
    </row>
    <row r="22" spans="2:50" x14ac:dyDescent="0.25">
      <c r="T22" s="289" t="s">
        <v>170</v>
      </c>
      <c r="U22" s="289" t="s">
        <v>171</v>
      </c>
      <c r="V22" s="289" t="s">
        <v>172</v>
      </c>
      <c r="W22" s="289" t="s">
        <v>173</v>
      </c>
      <c r="X22" s="290" t="s">
        <v>174</v>
      </c>
      <c r="Y22" s="290" t="s">
        <v>57</v>
      </c>
      <c r="Z22" s="290" t="s">
        <v>175</v>
      </c>
      <c r="AA22" s="289" t="s">
        <v>140</v>
      </c>
    </row>
    <row r="23" spans="2:50" x14ac:dyDescent="0.25">
      <c r="B23" t="s">
        <v>161</v>
      </c>
      <c r="T23" s="289"/>
      <c r="U23" s="289"/>
      <c r="V23" s="289"/>
      <c r="W23" s="289"/>
      <c r="X23" s="290"/>
      <c r="Y23" s="290"/>
      <c r="Z23" s="290"/>
      <c r="AA23" s="289"/>
      <c r="AD23" s="289" t="s">
        <v>170</v>
      </c>
      <c r="AE23" s="289" t="s">
        <v>171</v>
      </c>
      <c r="AF23" s="289" t="s">
        <v>172</v>
      </c>
      <c r="AG23" s="289" t="s">
        <v>173</v>
      </c>
      <c r="AH23" s="290" t="s">
        <v>174</v>
      </c>
      <c r="AI23" s="290" t="s">
        <v>57</v>
      </c>
      <c r="AJ23" s="290" t="s">
        <v>175</v>
      </c>
      <c r="AK23" s="289" t="s">
        <v>140</v>
      </c>
    </row>
    <row r="24" spans="2:50" x14ac:dyDescent="0.25">
      <c r="T24" s="188">
        <v>0</v>
      </c>
      <c r="U24" s="50">
        <v>0</v>
      </c>
      <c r="V24" s="192">
        <f>$M$6+$M$7*W24</f>
        <v>4.511400000000001</v>
      </c>
      <c r="W24" s="192">
        <f>M8*(1-(1-0.19)*X24/Y24)</f>
        <v>0.55200000000000005</v>
      </c>
      <c r="X24" s="50">
        <v>0</v>
      </c>
      <c r="Y24" s="190">
        <v>578778</v>
      </c>
      <c r="Z24" s="190">
        <v>578778</v>
      </c>
      <c r="AA24" s="191">
        <f>U24*(X24/Z24)+V24*(Y24/Z24)</f>
        <v>4.511400000000001</v>
      </c>
      <c r="AD24" s="289"/>
      <c r="AE24" s="289"/>
      <c r="AF24" s="289"/>
      <c r="AG24" s="289"/>
      <c r="AH24" s="290"/>
      <c r="AI24" s="290"/>
      <c r="AJ24" s="290"/>
      <c r="AK24" s="289"/>
      <c r="AQ24" s="241"/>
      <c r="AR24" s="240"/>
      <c r="AS24" s="240"/>
      <c r="AT24" s="240"/>
      <c r="AU24" s="240"/>
      <c r="AV24" s="240"/>
      <c r="AW24" s="240"/>
      <c r="AX24" s="240"/>
    </row>
    <row r="25" spans="2:50" x14ac:dyDescent="0.25">
      <c r="T25" s="188">
        <v>0.01</v>
      </c>
      <c r="U25" s="243">
        <f>$M$13*(X25/Y25)*100</f>
        <v>5.5881818181818194E-3</v>
      </c>
      <c r="V25" s="192">
        <f t="shared" ref="V25:V86" si="10">$M$6+$M$7*W25</f>
        <v>4.5326269090909097</v>
      </c>
      <c r="W25" s="243">
        <f>$W$24*(1+(X25*(1-0.19)/Y25))</f>
        <v>0.5565163636363637</v>
      </c>
      <c r="X25" s="245">
        <f>$Z$24*T25</f>
        <v>5787.78</v>
      </c>
      <c r="Y25" s="245">
        <f>$Y$24-X25</f>
        <v>572990.22</v>
      </c>
      <c r="Z25" s="190">
        <v>578778</v>
      </c>
      <c r="AA25" s="191">
        <f t="shared" ref="AA25:AA86" si="11">U25*(X25/Z25)+V25*(Y25/Z25)</f>
        <v>4.4873565218181826</v>
      </c>
      <c r="AD25" s="188">
        <v>0.5</v>
      </c>
      <c r="AE25" s="243">
        <f t="shared" ref="AE25:AE37" si="12">$M$13*(AH25/AI25)*100</f>
        <v>0.55323</v>
      </c>
      <c r="AF25" s="192">
        <f t="shared" ref="AF25:AF37" si="13">$M$6+$M$7*AG25</f>
        <v>6.6128640000000019</v>
      </c>
      <c r="AG25" s="243">
        <f t="shared" ref="AG25:AG37" si="14">$W$24*(1+(AH25*(1-0.19)/AI25))</f>
        <v>0.99912000000000012</v>
      </c>
      <c r="AH25" s="245">
        <f t="shared" ref="AH25:AH37" si="15">$Z$24*AD25</f>
        <v>289389</v>
      </c>
      <c r="AI25" s="245">
        <f t="shared" ref="AI25:AI37" si="16">$Y$24-AH25</f>
        <v>289389</v>
      </c>
      <c r="AJ25" s="190">
        <v>578778</v>
      </c>
      <c r="AK25" s="191">
        <f t="shared" ref="AK25:AK37" si="17">AE25*(AH25/AJ25)+AF25*(AI25/AJ25)</f>
        <v>3.583047000000001</v>
      </c>
      <c r="AQ25" s="242"/>
    </row>
    <row r="26" spans="2:50" ht="15.75" x14ac:dyDescent="0.25"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T26" s="188">
        <v>0.02</v>
      </c>
      <c r="U26" s="243">
        <f t="shared" ref="U26:U86" si="18">$M$13*(X26/Y26)*100</f>
        <v>1.1290408163265309E-2</v>
      </c>
      <c r="V26" s="192">
        <f t="shared" si="10"/>
        <v>4.5542870204081645</v>
      </c>
      <c r="W26" s="243">
        <f t="shared" ref="W26:W86" si="19">$W$24*(1+(X26*(1-0.19)/Y26))</f>
        <v>0.56112489795918374</v>
      </c>
      <c r="X26" s="245">
        <f t="shared" ref="X26:X86" si="20">$Z$24*T26</f>
        <v>11575.56</v>
      </c>
      <c r="Y26" s="245">
        <f t="shared" ref="Y26:Y86" si="21">$Y$24-X26</f>
        <v>567202.43999999994</v>
      </c>
      <c r="Z26" s="190">
        <v>578778</v>
      </c>
      <c r="AA26" s="191">
        <f t="shared" si="11"/>
        <v>4.4634270881632663</v>
      </c>
      <c r="AD26" s="188">
        <v>0.51</v>
      </c>
      <c r="AE26" s="243">
        <f t="shared" si="12"/>
        <v>0.57581081632653075</v>
      </c>
      <c r="AF26" s="192">
        <f t="shared" si="13"/>
        <v>6.6986380408163289</v>
      </c>
      <c r="AG26" s="243">
        <f t="shared" si="14"/>
        <v>1.0173697959183676</v>
      </c>
      <c r="AH26" s="245">
        <f t="shared" si="15"/>
        <v>295176.78000000003</v>
      </c>
      <c r="AI26" s="245">
        <f t="shared" si="16"/>
        <v>283601.21999999997</v>
      </c>
      <c r="AJ26" s="190">
        <v>578778</v>
      </c>
      <c r="AK26" s="191">
        <f t="shared" si="17"/>
        <v>3.5759961563265317</v>
      </c>
    </row>
    <row r="27" spans="2:50" x14ac:dyDescent="0.25">
      <c r="B27" s="193" t="s">
        <v>217</v>
      </c>
      <c r="C27" s="194">
        <v>0</v>
      </c>
      <c r="D27" s="194">
        <v>0.1</v>
      </c>
      <c r="E27" s="194">
        <v>0.2</v>
      </c>
      <c r="F27" s="194">
        <v>0.3</v>
      </c>
      <c r="G27" s="194">
        <v>0.4</v>
      </c>
      <c r="H27" s="194">
        <v>0.5</v>
      </c>
      <c r="I27" s="194">
        <v>0.6</v>
      </c>
      <c r="J27" s="194">
        <v>0.7</v>
      </c>
      <c r="K27" s="194">
        <v>0.8</v>
      </c>
      <c r="L27" s="194">
        <v>0.9</v>
      </c>
      <c r="T27" s="188">
        <v>0.03</v>
      </c>
      <c r="U27" s="243">
        <f t="shared" si="18"/>
        <v>1.7110206185567009E-2</v>
      </c>
      <c r="V27" s="192">
        <f t="shared" si="10"/>
        <v>4.5763937319587642</v>
      </c>
      <c r="W27" s="243">
        <f t="shared" si="19"/>
        <v>0.56582845360824752</v>
      </c>
      <c r="X27" s="245">
        <f t="shared" si="20"/>
        <v>17363.34</v>
      </c>
      <c r="Y27" s="245">
        <f t="shared" si="21"/>
        <v>561414.66</v>
      </c>
      <c r="Z27" s="190">
        <v>578778</v>
      </c>
      <c r="AA27" s="191">
        <f t="shared" si="11"/>
        <v>4.4396152261855688</v>
      </c>
      <c r="AD27" s="188">
        <v>0.52</v>
      </c>
      <c r="AE27" s="243">
        <f t="shared" si="12"/>
        <v>0.59933249999999993</v>
      </c>
      <c r="AF27" s="192">
        <f t="shared" si="13"/>
        <v>6.7879860000000019</v>
      </c>
      <c r="AG27" s="243">
        <f t="shared" si="14"/>
        <v>1.0363800000000001</v>
      </c>
      <c r="AH27" s="245">
        <f t="shared" si="15"/>
        <v>300964.56</v>
      </c>
      <c r="AI27" s="245">
        <f t="shared" si="16"/>
        <v>277813.44</v>
      </c>
      <c r="AJ27" s="190">
        <v>578778</v>
      </c>
      <c r="AK27" s="191">
        <f t="shared" si="17"/>
        <v>3.5698861800000006</v>
      </c>
    </row>
    <row r="28" spans="2:50" x14ac:dyDescent="0.25">
      <c r="B28" s="195" t="s">
        <v>176</v>
      </c>
      <c r="C28" s="50">
        <v>4.5110000000000001</v>
      </c>
      <c r="D28" s="50">
        <v>4.2770000000000001</v>
      </c>
      <c r="E28" s="50">
        <v>4.0570000000000004</v>
      </c>
      <c r="F28" s="50">
        <v>3.86</v>
      </c>
      <c r="G28" s="50">
        <v>3.6949999999999998</v>
      </c>
      <c r="H28" s="50">
        <v>3.5830000000000002</v>
      </c>
      <c r="I28" s="50">
        <v>3.5630000000000002</v>
      </c>
      <c r="J28" s="50">
        <v>3.7280000000000002</v>
      </c>
      <c r="K28" s="50">
        <v>4.3540000000000001</v>
      </c>
      <c r="L28" s="50">
        <v>6.8239999999999998</v>
      </c>
      <c r="T28" s="188">
        <v>0.04</v>
      </c>
      <c r="U28" s="243">
        <f t="shared" si="18"/>
        <v>2.3051249999999999E-2</v>
      </c>
      <c r="V28" s="192">
        <f t="shared" si="10"/>
        <v>4.598961000000001</v>
      </c>
      <c r="W28" s="243">
        <f t="shared" si="19"/>
        <v>0.57062999999999997</v>
      </c>
      <c r="X28" s="245">
        <f t="shared" si="20"/>
        <v>23151.119999999999</v>
      </c>
      <c r="Y28" s="245">
        <f t="shared" si="21"/>
        <v>555626.88</v>
      </c>
      <c r="Z28" s="190">
        <v>578778</v>
      </c>
      <c r="AA28" s="191">
        <f t="shared" si="11"/>
        <v>4.4159246100000002</v>
      </c>
      <c r="AD28" s="188">
        <v>0.53</v>
      </c>
      <c r="AE28" s="243">
        <f t="shared" si="12"/>
        <v>0.62385510638297892</v>
      </c>
      <c r="AF28" s="192">
        <f t="shared" si="13"/>
        <v>6.8811360000000015</v>
      </c>
      <c r="AG28" s="243">
        <f t="shared" si="14"/>
        <v>1.0561991489361704</v>
      </c>
      <c r="AH28" s="245">
        <f t="shared" si="15"/>
        <v>306752.34000000003</v>
      </c>
      <c r="AI28" s="245">
        <f t="shared" si="16"/>
        <v>272025.65999999997</v>
      </c>
      <c r="AJ28" s="190">
        <v>578778</v>
      </c>
      <c r="AK28" s="191">
        <f t="shared" si="17"/>
        <v>3.5647771263829795</v>
      </c>
    </row>
    <row r="29" spans="2:50" x14ac:dyDescent="0.25">
      <c r="T29" s="188">
        <v>0.05</v>
      </c>
      <c r="U29" s="243">
        <f t="shared" si="18"/>
        <v>2.9117368421052638E-2</v>
      </c>
      <c r="V29" s="192">
        <f t="shared" si="10"/>
        <v>4.6220033684210531</v>
      </c>
      <c r="W29" s="243">
        <f t="shared" si="19"/>
        <v>0.57553263157894741</v>
      </c>
      <c r="X29" s="245">
        <f t="shared" si="20"/>
        <v>28938.9</v>
      </c>
      <c r="Y29" s="245">
        <f t="shared" si="21"/>
        <v>549839.1</v>
      </c>
      <c r="Z29" s="190">
        <v>578778</v>
      </c>
      <c r="AA29" s="191">
        <f t="shared" si="11"/>
        <v>4.3923590684210527</v>
      </c>
      <c r="AD29" s="188">
        <v>0.54</v>
      </c>
      <c r="AE29" s="243">
        <f t="shared" si="12"/>
        <v>0.64944391304347826</v>
      </c>
      <c r="AF29" s="192">
        <f t="shared" si="13"/>
        <v>6.9783360000000023</v>
      </c>
      <c r="AG29" s="243">
        <f t="shared" si="14"/>
        <v>1.0768800000000001</v>
      </c>
      <c r="AH29" s="245">
        <f t="shared" si="15"/>
        <v>312540.12</v>
      </c>
      <c r="AI29" s="245">
        <f t="shared" si="16"/>
        <v>266237.88</v>
      </c>
      <c r="AJ29" s="190">
        <v>578778</v>
      </c>
      <c r="AK29" s="191">
        <f t="shared" si="17"/>
        <v>3.5607342730434794</v>
      </c>
    </row>
    <row r="30" spans="2:50" x14ac:dyDescent="0.25">
      <c r="T30" s="188">
        <v>0.06</v>
      </c>
      <c r="U30" s="243">
        <f t="shared" si="18"/>
        <v>3.5312553191489369E-2</v>
      </c>
      <c r="V30" s="192">
        <f t="shared" si="10"/>
        <v>4.6455360000000008</v>
      </c>
      <c r="W30" s="243">
        <f t="shared" si="19"/>
        <v>0.58053957446808513</v>
      </c>
      <c r="X30" s="245">
        <f t="shared" si="20"/>
        <v>34726.68</v>
      </c>
      <c r="Y30" s="245">
        <f t="shared" si="21"/>
        <v>544051.31999999995</v>
      </c>
      <c r="Z30" s="190">
        <v>578778</v>
      </c>
      <c r="AA30" s="191">
        <f t="shared" si="11"/>
        <v>4.3689225931914892</v>
      </c>
      <c r="AD30" s="188">
        <v>0.55000000000000004</v>
      </c>
      <c r="AE30" s="243">
        <f t="shared" si="12"/>
        <v>0.67617000000000005</v>
      </c>
      <c r="AF30" s="192">
        <f t="shared" si="13"/>
        <v>7.0798560000000013</v>
      </c>
      <c r="AG30" s="243">
        <f t="shared" si="14"/>
        <v>1.0984800000000001</v>
      </c>
      <c r="AH30" s="245">
        <f t="shared" si="15"/>
        <v>318327.90000000002</v>
      </c>
      <c r="AI30" s="245">
        <f t="shared" si="16"/>
        <v>260450.09999999998</v>
      </c>
      <c r="AJ30" s="190">
        <v>578778</v>
      </c>
      <c r="AK30" s="191">
        <f t="shared" si="17"/>
        <v>3.5578287000000004</v>
      </c>
    </row>
    <row r="31" spans="2:50" x14ac:dyDescent="0.25">
      <c r="T31" s="188">
        <v>7.0000000000000007E-2</v>
      </c>
      <c r="U31" s="243">
        <f t="shared" si="18"/>
        <v>4.1640967741935486E-2</v>
      </c>
      <c r="V31" s="192">
        <f t="shared" si="10"/>
        <v>4.6695747096774207</v>
      </c>
      <c r="W31" s="243">
        <f t="shared" si="19"/>
        <v>0.58565419354838721</v>
      </c>
      <c r="X31" s="245">
        <f t="shared" si="20"/>
        <v>40514.460000000006</v>
      </c>
      <c r="Y31" s="245">
        <f t="shared" si="21"/>
        <v>538263.54</v>
      </c>
      <c r="Z31" s="190">
        <v>578778</v>
      </c>
      <c r="AA31" s="191">
        <f t="shared" si="11"/>
        <v>4.3456193477419376</v>
      </c>
      <c r="AD31" s="235">
        <v>0.56000000000000005</v>
      </c>
      <c r="AE31" s="236">
        <f t="shared" si="12"/>
        <v>0.70411090909090934</v>
      </c>
      <c r="AF31" s="236">
        <f t="shared" si="13"/>
        <v>7.1859905454545476</v>
      </c>
      <c r="AG31" s="236">
        <f t="shared" si="14"/>
        <v>1.1210618181818184</v>
      </c>
      <c r="AH31" s="237">
        <f t="shared" si="15"/>
        <v>324115.68000000005</v>
      </c>
      <c r="AI31" s="237">
        <f t="shared" si="16"/>
        <v>254662.31999999995</v>
      </c>
      <c r="AJ31" s="237">
        <v>578778</v>
      </c>
      <c r="AK31" s="238">
        <f t="shared" si="17"/>
        <v>3.5561379490909095</v>
      </c>
    </row>
    <row r="32" spans="2:50" x14ac:dyDescent="0.25">
      <c r="T32" s="188">
        <v>0.08</v>
      </c>
      <c r="U32" s="243">
        <f t="shared" si="18"/>
        <v>4.810695652173913E-2</v>
      </c>
      <c r="V32" s="192">
        <f t="shared" si="10"/>
        <v>4.6941360000000012</v>
      </c>
      <c r="W32" s="243">
        <f t="shared" si="19"/>
        <v>0.59088000000000007</v>
      </c>
      <c r="X32" s="245">
        <f t="shared" si="20"/>
        <v>46302.239999999998</v>
      </c>
      <c r="Y32" s="245">
        <f t="shared" si="21"/>
        <v>532475.76</v>
      </c>
      <c r="Z32" s="190">
        <v>578778</v>
      </c>
      <c r="AA32" s="191">
        <f t="shared" si="11"/>
        <v>4.3224536765217403</v>
      </c>
      <c r="AD32" s="235">
        <v>0.56999999999999995</v>
      </c>
      <c r="AE32" s="236">
        <f t="shared" si="12"/>
        <v>0.73335139534883709</v>
      </c>
      <c r="AF32" s="236">
        <f t="shared" si="13"/>
        <v>7.297061581395349</v>
      </c>
      <c r="AG32" s="236">
        <f t="shared" si="14"/>
        <v>1.144693953488372</v>
      </c>
      <c r="AH32" s="237">
        <f t="shared" si="15"/>
        <v>329903.45999999996</v>
      </c>
      <c r="AI32" s="237">
        <f t="shared" si="16"/>
        <v>248874.54000000004</v>
      </c>
      <c r="AJ32" s="237">
        <v>578778</v>
      </c>
      <c r="AK32" s="238">
        <f t="shared" si="17"/>
        <v>3.5557467753488377</v>
      </c>
    </row>
    <row r="33" spans="1:37" x14ac:dyDescent="0.25">
      <c r="T33" s="188">
        <v>0.09</v>
      </c>
      <c r="U33" s="243">
        <f t="shared" si="18"/>
        <v>5.4715054945054943E-2</v>
      </c>
      <c r="V33" s="192">
        <f t="shared" si="10"/>
        <v>4.7192370989011003</v>
      </c>
      <c r="W33" s="243">
        <f t="shared" si="19"/>
        <v>0.59622065934065938</v>
      </c>
      <c r="X33" s="245">
        <f t="shared" si="20"/>
        <v>52090.02</v>
      </c>
      <c r="Y33" s="245">
        <f t="shared" si="21"/>
        <v>526687.98</v>
      </c>
      <c r="Z33" s="190">
        <v>578778</v>
      </c>
      <c r="AA33" s="191">
        <f t="shared" si="11"/>
        <v>4.2994301149450553</v>
      </c>
      <c r="AD33" s="188">
        <v>0.57999999999999996</v>
      </c>
      <c r="AE33" s="243">
        <f t="shared" si="12"/>
        <v>0.76398428571428578</v>
      </c>
      <c r="AF33" s="192">
        <f t="shared" si="13"/>
        <v>7.4134217142857164</v>
      </c>
      <c r="AG33" s="243">
        <f t="shared" si="14"/>
        <v>1.1694514285714286</v>
      </c>
      <c r="AH33" s="245">
        <f t="shared" si="15"/>
        <v>335691.24</v>
      </c>
      <c r="AI33" s="245">
        <f t="shared" si="16"/>
        <v>243086.76</v>
      </c>
      <c r="AJ33" s="190">
        <v>578778</v>
      </c>
      <c r="AK33" s="191">
        <f t="shared" si="17"/>
        <v>3.5567480057142871</v>
      </c>
    </row>
    <row r="34" spans="1:37" x14ac:dyDescent="0.25">
      <c r="T34" s="188">
        <v>0.1</v>
      </c>
      <c r="U34" s="243">
        <f t="shared" si="18"/>
        <v>6.1470000000000011E-2</v>
      </c>
      <c r="V34" s="192">
        <f t="shared" si="10"/>
        <v>4.7448960000000016</v>
      </c>
      <c r="W34" s="243">
        <f t="shared" si="19"/>
        <v>0.6016800000000001</v>
      </c>
      <c r="X34" s="245">
        <f t="shared" si="20"/>
        <v>57877.8</v>
      </c>
      <c r="Y34" s="245">
        <f t="shared" si="21"/>
        <v>520900.2</v>
      </c>
      <c r="Z34" s="190">
        <v>578778</v>
      </c>
      <c r="AA34" s="191">
        <f t="shared" si="11"/>
        <v>4.2765534000000018</v>
      </c>
      <c r="AD34" s="188">
        <v>0.59</v>
      </c>
      <c r="AE34" s="243">
        <f t="shared" si="12"/>
        <v>0.79611146341463401</v>
      </c>
      <c r="AF34" s="192">
        <f t="shared" si="13"/>
        <v>7.5354579512195148</v>
      </c>
      <c r="AG34" s="243">
        <f t="shared" si="14"/>
        <v>1.1954165853658538</v>
      </c>
      <c r="AH34" s="245">
        <f t="shared" si="15"/>
        <v>341479.01999999996</v>
      </c>
      <c r="AI34" s="245">
        <f t="shared" si="16"/>
        <v>237298.98000000004</v>
      </c>
      <c r="AJ34" s="190">
        <v>578778</v>
      </c>
      <c r="AK34" s="191">
        <f t="shared" si="17"/>
        <v>3.5592435234146356</v>
      </c>
    </row>
    <row r="35" spans="1:37" x14ac:dyDescent="0.25">
      <c r="T35" s="188">
        <v>0.11</v>
      </c>
      <c r="U35" s="243">
        <f t="shared" si="18"/>
        <v>6.8376741573033709E-2</v>
      </c>
      <c r="V35" s="192">
        <f t="shared" si="10"/>
        <v>4.7711315056179782</v>
      </c>
      <c r="W35" s="243">
        <f t="shared" si="19"/>
        <v>0.60726202247191019</v>
      </c>
      <c r="X35" s="245">
        <f t="shared" si="20"/>
        <v>63665.58</v>
      </c>
      <c r="Y35" s="245">
        <f t="shared" si="21"/>
        <v>515112.42</v>
      </c>
      <c r="Z35" s="190">
        <v>578778</v>
      </c>
      <c r="AA35" s="191">
        <f t="shared" si="11"/>
        <v>4.2538284815730343</v>
      </c>
      <c r="AD35" s="188">
        <v>0.6</v>
      </c>
      <c r="AE35" s="243">
        <f t="shared" si="12"/>
        <v>0.82984499999999994</v>
      </c>
      <c r="AF35" s="192">
        <f t="shared" si="13"/>
        <v>7.6635960000000019</v>
      </c>
      <c r="AG35" s="243">
        <f t="shared" si="14"/>
        <v>1.22268</v>
      </c>
      <c r="AH35" s="245">
        <f t="shared" si="15"/>
        <v>347266.8</v>
      </c>
      <c r="AI35" s="245">
        <f t="shared" si="16"/>
        <v>231511.2</v>
      </c>
      <c r="AJ35" s="190">
        <v>578778</v>
      </c>
      <c r="AK35" s="191">
        <f t="shared" si="17"/>
        <v>3.5633454000000011</v>
      </c>
    </row>
    <row r="36" spans="1:37" x14ac:dyDescent="0.25">
      <c r="T36" s="188">
        <v>0.12</v>
      </c>
      <c r="U36" s="243">
        <f t="shared" si="18"/>
        <v>7.5440454545454547E-2</v>
      </c>
      <c r="V36" s="192">
        <f t="shared" si="10"/>
        <v>4.7979632727272739</v>
      </c>
      <c r="W36" s="243">
        <f t="shared" si="19"/>
        <v>0.61297090909090912</v>
      </c>
      <c r="X36" s="245">
        <f t="shared" si="20"/>
        <v>69453.36</v>
      </c>
      <c r="Y36" s="245">
        <f t="shared" si="21"/>
        <v>509324.64</v>
      </c>
      <c r="Z36" s="190">
        <v>578778</v>
      </c>
      <c r="AA36" s="191">
        <f t="shared" si="11"/>
        <v>4.2312605345454557</v>
      </c>
      <c r="AD36" s="188">
        <v>0.61</v>
      </c>
      <c r="AE36" s="243">
        <f t="shared" si="12"/>
        <v>0.86530846153846164</v>
      </c>
      <c r="AF36" s="192">
        <f t="shared" si="13"/>
        <v>7.798305230769234</v>
      </c>
      <c r="AG36" s="243">
        <f t="shared" si="14"/>
        <v>1.2513415384615387</v>
      </c>
      <c r="AH36" s="245">
        <f t="shared" si="15"/>
        <v>353054.58</v>
      </c>
      <c r="AI36" s="245">
        <f t="shared" si="16"/>
        <v>225723.41999999998</v>
      </c>
      <c r="AJ36" s="190">
        <v>578778</v>
      </c>
      <c r="AK36" s="191">
        <f t="shared" si="17"/>
        <v>3.5691772015384626</v>
      </c>
    </row>
    <row r="37" spans="1:37" x14ac:dyDescent="0.25">
      <c r="T37" s="188">
        <v>0.13</v>
      </c>
      <c r="U37" s="243">
        <f t="shared" si="18"/>
        <v>8.2666551724137949E-2</v>
      </c>
      <c r="V37" s="192">
        <f t="shared" si="10"/>
        <v>4.8254118620689663</v>
      </c>
      <c r="W37" s="243">
        <f t="shared" si="19"/>
        <v>0.61881103448275865</v>
      </c>
      <c r="X37" s="245">
        <f t="shared" si="20"/>
        <v>75241.14</v>
      </c>
      <c r="Y37" s="245">
        <f t="shared" si="21"/>
        <v>503536.86</v>
      </c>
      <c r="Z37" s="190">
        <v>578778</v>
      </c>
      <c r="AA37" s="191">
        <f t="shared" si="11"/>
        <v>4.208854971724139</v>
      </c>
      <c r="AD37" s="188">
        <v>0.62</v>
      </c>
      <c r="AE37" s="243">
        <f t="shared" si="12"/>
        <v>0.90263842105263148</v>
      </c>
      <c r="AF37" s="192">
        <f t="shared" si="13"/>
        <v>7.9401044210526326</v>
      </c>
      <c r="AG37" s="243">
        <f t="shared" si="14"/>
        <v>1.2815115789473683</v>
      </c>
      <c r="AH37" s="245">
        <f t="shared" si="15"/>
        <v>358842.36</v>
      </c>
      <c r="AI37" s="245">
        <f t="shared" si="16"/>
        <v>219935.64</v>
      </c>
      <c r="AJ37" s="190">
        <v>578778</v>
      </c>
      <c r="AK37" s="191">
        <f t="shared" si="17"/>
        <v>3.5768755010526316</v>
      </c>
    </row>
    <row r="38" spans="1:37" x14ac:dyDescent="0.25">
      <c r="T38" s="188">
        <v>0.14000000000000001</v>
      </c>
      <c r="U38" s="243">
        <f t="shared" si="18"/>
        <v>9.0060697674418641E-2</v>
      </c>
      <c r="V38" s="192">
        <f t="shared" si="10"/>
        <v>4.8534987906976763</v>
      </c>
      <c r="W38" s="243">
        <f t="shared" si="19"/>
        <v>0.62478697674418615</v>
      </c>
      <c r="X38" s="245">
        <f t="shared" si="20"/>
        <v>81028.920000000013</v>
      </c>
      <c r="Y38" s="245">
        <f t="shared" si="21"/>
        <v>497749.07999999996</v>
      </c>
      <c r="Z38" s="190">
        <v>578778</v>
      </c>
      <c r="AA38" s="191">
        <f t="shared" si="11"/>
        <v>4.1866174576744193</v>
      </c>
    </row>
    <row r="39" spans="1:37" x14ac:dyDescent="0.25">
      <c r="T39" s="188">
        <v>0.15</v>
      </c>
      <c r="U39" s="243">
        <f t="shared" si="18"/>
        <v>9.7628823529411782E-2</v>
      </c>
      <c r="V39" s="192">
        <f t="shared" si="10"/>
        <v>4.8822465882352954</v>
      </c>
      <c r="W39" s="243">
        <f t="shared" si="19"/>
        <v>0.63090352941176486</v>
      </c>
      <c r="X39" s="245">
        <f t="shared" si="20"/>
        <v>86816.7</v>
      </c>
      <c r="Y39" s="245">
        <f t="shared" si="21"/>
        <v>491961.3</v>
      </c>
      <c r="Z39" s="190">
        <v>578778</v>
      </c>
      <c r="AA39" s="191">
        <f t="shared" si="11"/>
        <v>4.1645539235294127</v>
      </c>
    </row>
    <row r="40" spans="1:37" ht="15" customHeight="1" x14ac:dyDescent="0.25">
      <c r="T40" s="188">
        <v>0.16</v>
      </c>
      <c r="U40" s="243">
        <f t="shared" si="18"/>
        <v>0.10537714285714286</v>
      </c>
      <c r="V40" s="192">
        <f t="shared" si="10"/>
        <v>4.9116788571428582</v>
      </c>
      <c r="W40" s="243">
        <f t="shared" si="19"/>
        <v>0.63716571428571434</v>
      </c>
      <c r="X40" s="245">
        <f t="shared" si="20"/>
        <v>92604.479999999996</v>
      </c>
      <c r="Y40" s="245">
        <f t="shared" si="21"/>
        <v>486173.52</v>
      </c>
      <c r="Z40" s="190">
        <v>578778</v>
      </c>
      <c r="AA40" s="191">
        <f t="shared" si="11"/>
        <v>4.1426705828571446</v>
      </c>
    </row>
    <row r="41" spans="1:37" ht="15" customHeight="1" x14ac:dyDescent="0.25">
      <c r="T41" s="188">
        <v>0.17</v>
      </c>
      <c r="U41" s="243">
        <f t="shared" si="18"/>
        <v>0.11331216867469882</v>
      </c>
      <c r="V41" s="192">
        <f t="shared" si="10"/>
        <v>4.941820337349399</v>
      </c>
      <c r="W41" s="243">
        <f t="shared" si="19"/>
        <v>0.64357879518072303</v>
      </c>
      <c r="X41" s="245">
        <f t="shared" si="20"/>
        <v>98392.260000000009</v>
      </c>
      <c r="Y41" s="245">
        <f t="shared" si="21"/>
        <v>480385.74</v>
      </c>
      <c r="Z41" s="190">
        <v>578778</v>
      </c>
      <c r="AA41" s="191">
        <f t="shared" si="11"/>
        <v>4.120973948674699</v>
      </c>
    </row>
    <row r="42" spans="1:37" ht="15" customHeight="1" x14ac:dyDescent="0.25">
      <c r="T42" s="188">
        <v>0.18</v>
      </c>
      <c r="U42" s="243">
        <f t="shared" si="18"/>
        <v>0.12144073170731708</v>
      </c>
      <c r="V42" s="192">
        <f t="shared" si="10"/>
        <v>4.9726969756097574</v>
      </c>
      <c r="W42" s="243">
        <f t="shared" si="19"/>
        <v>0.65014829268292684</v>
      </c>
      <c r="X42" s="245">
        <f t="shared" si="20"/>
        <v>104180.04</v>
      </c>
      <c r="Y42" s="245">
        <f t="shared" si="21"/>
        <v>474597.96</v>
      </c>
      <c r="Z42" s="190">
        <v>578778</v>
      </c>
      <c r="AA42" s="191">
        <f t="shared" si="11"/>
        <v>4.0994708517073182</v>
      </c>
    </row>
    <row r="43" spans="1:37" x14ac:dyDescent="0.25">
      <c r="T43" s="188">
        <v>0.19</v>
      </c>
      <c r="U43" s="243">
        <f t="shared" si="18"/>
        <v>0.12977000000000002</v>
      </c>
      <c r="V43" s="192">
        <f t="shared" si="10"/>
        <v>5.0043360000000012</v>
      </c>
      <c r="W43" s="243">
        <f t="shared" si="19"/>
        <v>0.65688000000000002</v>
      </c>
      <c r="X43" s="245">
        <f t="shared" si="20"/>
        <v>109967.82</v>
      </c>
      <c r="Y43" s="245">
        <f t="shared" si="21"/>
        <v>468810.18</v>
      </c>
      <c r="Z43" s="190">
        <v>578778</v>
      </c>
      <c r="AA43" s="191">
        <f t="shared" si="11"/>
        <v>4.0781684600000006</v>
      </c>
    </row>
    <row r="44" spans="1:37" x14ac:dyDescent="0.25">
      <c r="T44" s="188">
        <v>0.2</v>
      </c>
      <c r="U44" s="243">
        <f t="shared" si="18"/>
        <v>0.1383075</v>
      </c>
      <c r="V44" s="192">
        <f t="shared" si="10"/>
        <v>5.0367660000000019</v>
      </c>
      <c r="W44" s="243">
        <f t="shared" si="19"/>
        <v>0.66378000000000015</v>
      </c>
      <c r="X44" s="245">
        <f t="shared" si="20"/>
        <v>115755.6</v>
      </c>
      <c r="Y44" s="245">
        <f t="shared" si="21"/>
        <v>463022.4</v>
      </c>
      <c r="Z44" s="190">
        <v>578778</v>
      </c>
      <c r="AA44" s="191">
        <f t="shared" si="11"/>
        <v>4.0570743000000018</v>
      </c>
    </row>
    <row r="45" spans="1:37" x14ac:dyDescent="0.25">
      <c r="T45" s="188">
        <v>0.21</v>
      </c>
      <c r="U45" s="243">
        <f t="shared" si="18"/>
        <v>0.14706113924050632</v>
      </c>
      <c r="V45" s="192">
        <f t="shared" si="10"/>
        <v>5.0700170126582291</v>
      </c>
      <c r="W45" s="243">
        <f t="shared" si="19"/>
        <v>0.67085468354430389</v>
      </c>
      <c r="X45" s="245">
        <f t="shared" si="20"/>
        <v>121543.37999999999</v>
      </c>
      <c r="Y45" s="245">
        <f t="shared" si="21"/>
        <v>457234.62</v>
      </c>
      <c r="Z45" s="190">
        <v>578778</v>
      </c>
      <c r="AA45" s="191">
        <f t="shared" si="11"/>
        <v>4.0361962792405075</v>
      </c>
    </row>
    <row r="46" spans="1:37" x14ac:dyDescent="0.25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T46" s="188">
        <v>0.22</v>
      </c>
      <c r="U46" s="243">
        <f t="shared" si="18"/>
        <v>0.15603923076923082</v>
      </c>
      <c r="V46" s="192">
        <f t="shared" si="10"/>
        <v>5.1041206153846161</v>
      </c>
      <c r="W46" s="243">
        <f t="shared" si="19"/>
        <v>0.67811076923076929</v>
      </c>
      <c r="X46" s="245">
        <f t="shared" si="20"/>
        <v>127331.16</v>
      </c>
      <c r="Y46" s="245">
        <f t="shared" si="21"/>
        <v>451446.83999999997</v>
      </c>
      <c r="Z46" s="190">
        <v>578778</v>
      </c>
      <c r="AA46" s="191">
        <f t="shared" si="11"/>
        <v>4.015542710769231</v>
      </c>
    </row>
    <row r="47" spans="1:37" x14ac:dyDescent="0.25">
      <c r="A47" s="219"/>
      <c r="B47" s="219"/>
      <c r="C47" s="219"/>
      <c r="D47" s="219"/>
      <c r="E47" s="219"/>
      <c r="F47" s="219"/>
      <c r="G47" s="219"/>
      <c r="H47" s="219"/>
      <c r="I47" s="219"/>
      <c r="J47" s="220"/>
      <c r="K47" s="220"/>
      <c r="L47" s="220"/>
      <c r="M47" s="220"/>
      <c r="T47" s="188">
        <v>0.23</v>
      </c>
      <c r="U47" s="243">
        <f t="shared" si="18"/>
        <v>0.1652505194805195</v>
      </c>
      <c r="V47" s="192">
        <f t="shared" si="10"/>
        <v>5.139110025974027</v>
      </c>
      <c r="W47" s="243">
        <f t="shared" si="19"/>
        <v>0.68555532467532476</v>
      </c>
      <c r="X47" s="245">
        <f t="shared" si="20"/>
        <v>133118.94</v>
      </c>
      <c r="Y47" s="245">
        <f t="shared" si="21"/>
        <v>445659.06</v>
      </c>
      <c r="Z47" s="190">
        <v>578778</v>
      </c>
      <c r="AA47" s="191">
        <f t="shared" si="11"/>
        <v>3.9951223394805204</v>
      </c>
    </row>
    <row r="48" spans="1:37" ht="15" customHeight="1" x14ac:dyDescent="0.25">
      <c r="A48" s="219"/>
      <c r="B48" s="199"/>
      <c r="C48" s="196"/>
      <c r="D48" s="196"/>
      <c r="E48" s="196"/>
      <c r="F48" s="196"/>
      <c r="G48" s="196"/>
      <c r="H48" s="196"/>
      <c r="I48" s="196"/>
      <c r="J48" s="196"/>
      <c r="K48" s="220"/>
      <c r="L48" s="220"/>
      <c r="M48" s="220"/>
      <c r="T48" s="188">
        <v>0.24</v>
      </c>
      <c r="U48" s="243">
        <f t="shared" si="18"/>
        <v>0.1747042105263158</v>
      </c>
      <c r="V48" s="192">
        <f t="shared" si="10"/>
        <v>5.1750202105263172</v>
      </c>
      <c r="W48" s="243">
        <f t="shared" si="19"/>
        <v>0.69319578947368432</v>
      </c>
      <c r="X48" s="245">
        <f t="shared" si="20"/>
        <v>138906.72</v>
      </c>
      <c r="Y48" s="245">
        <f t="shared" si="21"/>
        <v>439871.28</v>
      </c>
      <c r="Z48" s="190">
        <v>578778</v>
      </c>
      <c r="AA48" s="191">
        <f t="shared" si="11"/>
        <v>3.974944370526317</v>
      </c>
    </row>
    <row r="49" spans="1:27" x14ac:dyDescent="0.25">
      <c r="A49" s="219"/>
      <c r="B49" s="248"/>
      <c r="C49" s="199"/>
      <c r="D49" s="199"/>
      <c r="E49" s="199"/>
      <c r="F49" s="199"/>
      <c r="G49" s="199"/>
      <c r="H49" s="199"/>
      <c r="I49" s="199"/>
      <c r="J49" s="199"/>
      <c r="K49" s="220"/>
      <c r="L49" s="220"/>
      <c r="M49" s="220"/>
      <c r="T49" s="188">
        <v>0.25</v>
      </c>
      <c r="U49" s="243">
        <f t="shared" si="18"/>
        <v>0.18440999999999999</v>
      </c>
      <c r="V49" s="192">
        <f t="shared" si="10"/>
        <v>5.2118880000000019</v>
      </c>
      <c r="W49" s="243">
        <f t="shared" si="19"/>
        <v>0.70104000000000011</v>
      </c>
      <c r="X49" s="245">
        <f t="shared" si="20"/>
        <v>144694.5</v>
      </c>
      <c r="Y49" s="245">
        <f t="shared" si="21"/>
        <v>434083.5</v>
      </c>
      <c r="Z49" s="190">
        <v>578778</v>
      </c>
      <c r="AA49" s="191">
        <f t="shared" si="11"/>
        <v>3.9550185000000013</v>
      </c>
    </row>
    <row r="50" spans="1:27" x14ac:dyDescent="0.25">
      <c r="A50" s="219"/>
      <c r="B50" s="219"/>
      <c r="C50" s="219"/>
      <c r="D50" s="219"/>
      <c r="E50" s="219"/>
      <c r="F50" s="219"/>
      <c r="G50" s="219"/>
      <c r="H50" s="249"/>
      <c r="I50" s="219"/>
      <c r="J50" s="220"/>
      <c r="K50" s="220"/>
      <c r="L50" s="220"/>
      <c r="M50" s="220"/>
      <c r="T50" s="188">
        <v>0.26</v>
      </c>
      <c r="U50" s="243">
        <f t="shared" si="18"/>
        <v>0.19437810810810813</v>
      </c>
      <c r="V50" s="192">
        <f t="shared" si="10"/>
        <v>5.2497522162162173</v>
      </c>
      <c r="W50" s="243">
        <f t="shared" si="19"/>
        <v>0.70909621621621632</v>
      </c>
      <c r="X50" s="245">
        <f t="shared" si="20"/>
        <v>150482.28</v>
      </c>
      <c r="Y50" s="245">
        <f t="shared" si="21"/>
        <v>428295.72</v>
      </c>
      <c r="Z50" s="190">
        <v>578778</v>
      </c>
      <c r="AA50" s="191">
        <f t="shared" si="11"/>
        <v>3.9353549481081092</v>
      </c>
    </row>
    <row r="51" spans="1:27" x14ac:dyDescent="0.25">
      <c r="A51" s="219"/>
      <c r="B51" s="219"/>
      <c r="C51" s="219"/>
      <c r="D51" s="219"/>
      <c r="E51" s="219"/>
      <c r="F51" s="219"/>
      <c r="G51" s="219"/>
      <c r="H51" s="219"/>
      <c r="I51" s="219"/>
      <c r="J51" s="220"/>
      <c r="K51" s="220"/>
      <c r="L51" s="220"/>
      <c r="M51" s="220"/>
      <c r="T51" s="188">
        <v>0.27</v>
      </c>
      <c r="U51" s="243">
        <f t="shared" si="18"/>
        <v>0.20461931506849315</v>
      </c>
      <c r="V51" s="192">
        <f t="shared" si="10"/>
        <v>5.2886538082191787</v>
      </c>
      <c r="W51" s="243">
        <f t="shared" si="19"/>
        <v>0.71737315068493157</v>
      </c>
      <c r="X51" s="245">
        <f t="shared" si="20"/>
        <v>156270.06</v>
      </c>
      <c r="Y51" s="245">
        <f t="shared" si="21"/>
        <v>422507.94</v>
      </c>
      <c r="Z51" s="190">
        <v>578778</v>
      </c>
      <c r="AA51" s="191">
        <f t="shared" si="11"/>
        <v>3.9159644950684935</v>
      </c>
    </row>
    <row r="52" spans="1:27" x14ac:dyDescent="0.25">
      <c r="A52" s="219"/>
      <c r="B52" s="219"/>
      <c r="C52" s="219"/>
      <c r="D52" s="219"/>
      <c r="E52" s="219"/>
      <c r="F52" s="219"/>
      <c r="G52" s="219"/>
      <c r="H52" s="219"/>
      <c r="I52" s="219"/>
      <c r="J52" s="220"/>
      <c r="K52" s="220"/>
      <c r="L52" s="220"/>
      <c r="M52" s="220"/>
      <c r="T52" s="188">
        <v>0.28000000000000003</v>
      </c>
      <c r="U52" s="243">
        <f t="shared" si="18"/>
        <v>0.21514500000000006</v>
      </c>
      <c r="V52" s="192">
        <f t="shared" si="10"/>
        <v>5.3286360000000013</v>
      </c>
      <c r="W52" s="243">
        <f t="shared" si="19"/>
        <v>0.72588000000000008</v>
      </c>
      <c r="X52" s="245">
        <f t="shared" si="20"/>
        <v>162057.84000000003</v>
      </c>
      <c r="Y52" s="245">
        <f t="shared" si="21"/>
        <v>416720.16</v>
      </c>
      <c r="Z52" s="190">
        <v>578778</v>
      </c>
      <c r="AA52" s="191">
        <f t="shared" si="11"/>
        <v>3.8968585200000008</v>
      </c>
    </row>
    <row r="53" spans="1:27" x14ac:dyDescent="0.25">
      <c r="A53" s="219"/>
      <c r="B53" s="219"/>
      <c r="C53" s="219"/>
      <c r="D53" s="219"/>
      <c r="E53" s="219"/>
      <c r="F53" s="219"/>
      <c r="G53" s="219"/>
      <c r="H53" s="219"/>
      <c r="I53" s="219"/>
      <c r="J53" s="220"/>
      <c r="K53" s="220"/>
      <c r="L53" s="220"/>
      <c r="M53" s="220"/>
      <c r="T53" s="188">
        <v>0.28999999999999998</v>
      </c>
      <c r="U53" s="243">
        <f t="shared" si="18"/>
        <v>0.2259671830985916</v>
      </c>
      <c r="V53" s="192">
        <f t="shared" si="10"/>
        <v>5.3697444507042267</v>
      </c>
      <c r="W53" s="243">
        <f t="shared" si="19"/>
        <v>0.73462647887323951</v>
      </c>
      <c r="X53" s="245">
        <f t="shared" si="20"/>
        <v>167845.62</v>
      </c>
      <c r="Y53" s="245">
        <f t="shared" si="21"/>
        <v>410932.38</v>
      </c>
      <c r="Z53" s="190">
        <v>578778</v>
      </c>
      <c r="AA53" s="191">
        <f t="shared" si="11"/>
        <v>3.8780490430985926</v>
      </c>
    </row>
    <row r="54" spans="1:27" x14ac:dyDescent="0.25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T54" s="188">
        <v>0.3</v>
      </c>
      <c r="U54" s="243">
        <f t="shared" si="18"/>
        <v>0.23709857142857146</v>
      </c>
      <c r="V54" s="192">
        <f t="shared" si="10"/>
        <v>5.41202742857143</v>
      </c>
      <c r="W54" s="243">
        <f t="shared" si="19"/>
        <v>0.74362285714285725</v>
      </c>
      <c r="X54" s="245">
        <f t="shared" si="20"/>
        <v>173633.4</v>
      </c>
      <c r="Y54" s="245">
        <f t="shared" si="21"/>
        <v>405144.6</v>
      </c>
      <c r="Z54" s="190">
        <v>578778</v>
      </c>
      <c r="AA54" s="191">
        <f t="shared" si="11"/>
        <v>3.8595487714285723</v>
      </c>
    </row>
    <row r="55" spans="1:27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T55" s="188">
        <v>0.31</v>
      </c>
      <c r="U55" s="243">
        <f t="shared" si="18"/>
        <v>0.24855260869565218</v>
      </c>
      <c r="V55" s="192">
        <f t="shared" si="10"/>
        <v>5.4555360000000022</v>
      </c>
      <c r="W55" s="243">
        <f t="shared" si="19"/>
        <v>0.7528800000000001</v>
      </c>
      <c r="X55" s="245">
        <f t="shared" si="20"/>
        <v>179421.18</v>
      </c>
      <c r="Y55" s="245">
        <f t="shared" si="21"/>
        <v>399356.82</v>
      </c>
      <c r="Z55" s="190">
        <v>578778</v>
      </c>
      <c r="AA55" s="191">
        <f t="shared" si="11"/>
        <v>3.8413711486956541</v>
      </c>
    </row>
    <row r="56" spans="1:27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T56" s="188">
        <v>0.32</v>
      </c>
      <c r="U56" s="243">
        <f t="shared" si="18"/>
        <v>0.2603435294117647</v>
      </c>
      <c r="V56" s="192">
        <f t="shared" si="10"/>
        <v>5.5003242352941193</v>
      </c>
      <c r="W56" s="243">
        <f t="shared" si="19"/>
        <v>0.76240941176470589</v>
      </c>
      <c r="X56" s="245">
        <f t="shared" si="20"/>
        <v>185208.95999999999</v>
      </c>
      <c r="Y56" s="245">
        <f t="shared" si="21"/>
        <v>393569.04000000004</v>
      </c>
      <c r="Z56" s="190">
        <v>578778</v>
      </c>
      <c r="AA56" s="191">
        <f t="shared" si="11"/>
        <v>3.8235304094117661</v>
      </c>
    </row>
    <row r="57" spans="1:27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T57" s="188">
        <v>0.33</v>
      </c>
      <c r="U57" s="243">
        <f t="shared" si="18"/>
        <v>0.27248641791044775</v>
      </c>
      <c r="V57" s="192">
        <f t="shared" si="10"/>
        <v>5.5464494328358231</v>
      </c>
      <c r="W57" s="243">
        <f t="shared" si="19"/>
        <v>0.77222328358208969</v>
      </c>
      <c r="X57" s="245">
        <f t="shared" si="20"/>
        <v>190996.74000000002</v>
      </c>
      <c r="Y57" s="245">
        <f t="shared" si="21"/>
        <v>387781.26</v>
      </c>
      <c r="Z57" s="190">
        <v>578778</v>
      </c>
      <c r="AA57" s="191">
        <f t="shared" si="11"/>
        <v>3.8060416379104494</v>
      </c>
    </row>
    <row r="58" spans="1:27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T58" s="188">
        <v>0.34</v>
      </c>
      <c r="U58" s="243">
        <f t="shared" si="18"/>
        <v>0.28499727272727277</v>
      </c>
      <c r="V58" s="192">
        <f t="shared" si="10"/>
        <v>5.5939723636363654</v>
      </c>
      <c r="W58" s="243">
        <f t="shared" si="19"/>
        <v>0.78233454545454562</v>
      </c>
      <c r="X58" s="245">
        <f t="shared" si="20"/>
        <v>196784.52000000002</v>
      </c>
      <c r="Y58" s="245">
        <f t="shared" si="21"/>
        <v>381993.48</v>
      </c>
      <c r="Z58" s="190">
        <v>578778</v>
      </c>
      <c r="AA58" s="191">
        <f t="shared" si="11"/>
        <v>3.7889208327272734</v>
      </c>
    </row>
    <row r="59" spans="1:27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T59" s="188">
        <v>0.35</v>
      </c>
      <c r="U59" s="243">
        <f t="shared" si="18"/>
        <v>0.29789307692307693</v>
      </c>
      <c r="V59" s="192">
        <f t="shared" si="10"/>
        <v>5.6429575384615394</v>
      </c>
      <c r="W59" s="243">
        <f t="shared" si="19"/>
        <v>0.79275692307692314</v>
      </c>
      <c r="X59" s="245">
        <f t="shared" si="20"/>
        <v>202572.3</v>
      </c>
      <c r="Y59" s="245">
        <f t="shared" si="21"/>
        <v>376205.7</v>
      </c>
      <c r="Z59" s="190">
        <v>578778</v>
      </c>
      <c r="AA59" s="191">
        <f t="shared" si="11"/>
        <v>3.7721849769230773</v>
      </c>
    </row>
    <row r="60" spans="1:27" x14ac:dyDescent="0.25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T60" s="188">
        <v>0.36</v>
      </c>
      <c r="U60" s="243">
        <f t="shared" si="18"/>
        <v>0.31119187499999995</v>
      </c>
      <c r="V60" s="192">
        <f t="shared" si="10"/>
        <v>5.6934735000000014</v>
      </c>
      <c r="W60" s="243">
        <f t="shared" si="19"/>
        <v>0.80350500000000002</v>
      </c>
      <c r="X60" s="245">
        <f t="shared" si="20"/>
        <v>208360.08</v>
      </c>
      <c r="Y60" s="245">
        <f t="shared" si="21"/>
        <v>370417.92000000004</v>
      </c>
      <c r="Z60" s="190">
        <v>578778</v>
      </c>
      <c r="AA60" s="191">
        <f t="shared" si="11"/>
        <v>3.7558521150000019</v>
      </c>
    </row>
    <row r="61" spans="1:27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T61" s="188">
        <v>0.37</v>
      </c>
      <c r="U61" s="243">
        <f t="shared" si="18"/>
        <v>0.32491285714285711</v>
      </c>
      <c r="V61" s="192">
        <f t="shared" si="10"/>
        <v>5.7455931428571443</v>
      </c>
      <c r="W61" s="243">
        <f t="shared" si="19"/>
        <v>0.81459428571428583</v>
      </c>
      <c r="X61" s="245">
        <f t="shared" si="20"/>
        <v>214147.86</v>
      </c>
      <c r="Y61" s="245">
        <f t="shared" si="21"/>
        <v>364630.14</v>
      </c>
      <c r="Z61" s="190">
        <v>578778</v>
      </c>
      <c r="AA61" s="191">
        <f t="shared" si="11"/>
        <v>3.7399414371428579</v>
      </c>
    </row>
    <row r="62" spans="1:27" x14ac:dyDescent="0.25">
      <c r="T62" s="188">
        <v>0.38</v>
      </c>
      <c r="U62" s="243">
        <f t="shared" si="18"/>
        <v>0.33907645161290323</v>
      </c>
      <c r="V62" s="192">
        <f t="shared" si="10"/>
        <v>5.7993940645161306</v>
      </c>
      <c r="W62" s="243">
        <f t="shared" si="19"/>
        <v>0.82604129032258078</v>
      </c>
      <c r="X62" s="245">
        <f t="shared" si="20"/>
        <v>219935.64</v>
      </c>
      <c r="Y62" s="245">
        <f t="shared" si="21"/>
        <v>358842.36</v>
      </c>
      <c r="Z62" s="190">
        <v>578778</v>
      </c>
      <c r="AA62" s="191">
        <f t="shared" si="11"/>
        <v>3.7244733716129041</v>
      </c>
    </row>
    <row r="63" spans="1:27" x14ac:dyDescent="0.25">
      <c r="T63" s="188">
        <v>0.39</v>
      </c>
      <c r="U63" s="243">
        <f t="shared" si="18"/>
        <v>0.35370442622950832</v>
      </c>
      <c r="V63" s="192">
        <f t="shared" si="10"/>
        <v>5.8549589508196735</v>
      </c>
      <c r="W63" s="243">
        <f t="shared" si="19"/>
        <v>0.83786360655737713</v>
      </c>
      <c r="X63" s="245">
        <f t="shared" si="20"/>
        <v>225723.42</v>
      </c>
      <c r="Y63" s="245">
        <f t="shared" si="21"/>
        <v>353054.57999999996</v>
      </c>
      <c r="Z63" s="190">
        <v>578778</v>
      </c>
      <c r="AA63" s="191">
        <f t="shared" si="11"/>
        <v>3.7094696862295082</v>
      </c>
    </row>
    <row r="64" spans="1:27" x14ac:dyDescent="0.25">
      <c r="T64" s="188">
        <v>0.4</v>
      </c>
      <c r="U64" s="243">
        <f t="shared" si="18"/>
        <v>0.36882000000000009</v>
      </c>
      <c r="V64" s="192">
        <f t="shared" si="10"/>
        <v>5.9123760000000019</v>
      </c>
      <c r="W64" s="243">
        <f t="shared" si="19"/>
        <v>0.85008000000000006</v>
      </c>
      <c r="X64" s="245">
        <f t="shared" si="20"/>
        <v>231511.2</v>
      </c>
      <c r="Y64" s="245">
        <f t="shared" si="21"/>
        <v>347266.8</v>
      </c>
      <c r="Z64" s="190">
        <v>578778</v>
      </c>
      <c r="AA64" s="191">
        <f t="shared" si="11"/>
        <v>3.6949536000000007</v>
      </c>
    </row>
    <row r="65" spans="1:27" x14ac:dyDescent="0.25">
      <c r="T65" s="188">
        <v>0.41</v>
      </c>
      <c r="U65" s="243">
        <f t="shared" si="18"/>
        <v>0.3844479661016949</v>
      </c>
      <c r="V65" s="192">
        <f t="shared" si="10"/>
        <v>5.9717393898305104</v>
      </c>
      <c r="W65" s="243">
        <f t="shared" si="19"/>
        <v>0.86271050847457631</v>
      </c>
      <c r="X65" s="245">
        <f t="shared" si="20"/>
        <v>237298.97999999998</v>
      </c>
      <c r="Y65" s="245">
        <f t="shared" si="21"/>
        <v>341479.02</v>
      </c>
      <c r="Z65" s="190">
        <v>578778</v>
      </c>
      <c r="AA65" s="191">
        <f t="shared" si="11"/>
        <v>3.6809499061016964</v>
      </c>
    </row>
    <row r="66" spans="1:27" x14ac:dyDescent="0.25">
      <c r="T66" s="188">
        <v>0.42</v>
      </c>
      <c r="U66" s="243">
        <f t="shared" si="18"/>
        <v>0.40061482758620692</v>
      </c>
      <c r="V66" s="192">
        <f t="shared" si="10"/>
        <v>6.0331497931034495</v>
      </c>
      <c r="W66" s="243">
        <f t="shared" si="19"/>
        <v>0.87577655172413793</v>
      </c>
      <c r="X66" s="245">
        <f t="shared" si="20"/>
        <v>243086.75999999998</v>
      </c>
      <c r="Y66" s="245">
        <f t="shared" si="21"/>
        <v>335691.24</v>
      </c>
      <c r="Z66" s="190">
        <v>578778</v>
      </c>
      <c r="AA66" s="191">
        <f t="shared" si="11"/>
        <v>3.6674851075862076</v>
      </c>
    </row>
    <row r="67" spans="1:27" x14ac:dyDescent="0.25">
      <c r="T67" s="188">
        <v>0.43</v>
      </c>
      <c r="U67" s="243">
        <f t="shared" si="18"/>
        <v>0.41734894736842115</v>
      </c>
      <c r="V67" s="192">
        <f t="shared" si="10"/>
        <v>6.0967149473684223</v>
      </c>
      <c r="W67" s="243">
        <f t="shared" si="19"/>
        <v>0.8893010526315791</v>
      </c>
      <c r="X67" s="245">
        <f t="shared" si="20"/>
        <v>248874.54</v>
      </c>
      <c r="Y67" s="245">
        <f t="shared" si="21"/>
        <v>329903.45999999996</v>
      </c>
      <c r="Z67" s="190">
        <v>578778</v>
      </c>
      <c r="AA67" s="191">
        <f t="shared" si="11"/>
        <v>3.6545875673684214</v>
      </c>
    </row>
    <row r="68" spans="1:27" x14ac:dyDescent="0.25">
      <c r="T68" s="188">
        <v>0.44</v>
      </c>
      <c r="U68" s="243">
        <f t="shared" si="18"/>
        <v>0.43468071428571431</v>
      </c>
      <c r="V68" s="192">
        <f t="shared" si="10"/>
        <v>6.1625502857142873</v>
      </c>
      <c r="W68" s="243">
        <f t="shared" si="19"/>
        <v>0.90330857142857157</v>
      </c>
      <c r="X68" s="245">
        <f t="shared" si="20"/>
        <v>254662.32</v>
      </c>
      <c r="Y68" s="245">
        <f t="shared" si="21"/>
        <v>324115.68</v>
      </c>
      <c r="Z68" s="190">
        <v>578778</v>
      </c>
      <c r="AA68" s="191">
        <f t="shared" si="11"/>
        <v>3.6422876742857149</v>
      </c>
    </row>
    <row r="69" spans="1:27" x14ac:dyDescent="0.25">
      <c r="T69" s="188">
        <v>0.45</v>
      </c>
      <c r="U69" s="243">
        <f t="shared" si="18"/>
        <v>0.45264272727272725</v>
      </c>
      <c r="V69" s="192">
        <f t="shared" si="10"/>
        <v>6.2307796363636374</v>
      </c>
      <c r="W69" s="243">
        <f t="shared" si="19"/>
        <v>0.91782545454545461</v>
      </c>
      <c r="X69" s="245">
        <f t="shared" si="20"/>
        <v>260450.1</v>
      </c>
      <c r="Y69" s="245">
        <f t="shared" si="21"/>
        <v>318327.90000000002</v>
      </c>
      <c r="Z69" s="190">
        <v>578778</v>
      </c>
      <c r="AA69" s="191">
        <f t="shared" si="11"/>
        <v>3.6306180272727278</v>
      </c>
    </row>
    <row r="70" spans="1:27" ht="15.75" x14ac:dyDescent="0.25">
      <c r="A70" s="219"/>
      <c r="B70" s="226"/>
      <c r="C70" s="224"/>
      <c r="D70" s="224"/>
      <c r="E70" s="224"/>
      <c r="F70" s="224"/>
      <c r="G70" s="224"/>
      <c r="H70" s="248"/>
      <c r="I70" s="219"/>
      <c r="J70" s="219"/>
      <c r="K70" s="219"/>
      <c r="T70" s="188">
        <v>0.46</v>
      </c>
      <c r="U70" s="243">
        <f t="shared" si="18"/>
        <v>0.47127000000000002</v>
      </c>
      <c r="V70" s="192">
        <f t="shared" si="10"/>
        <v>6.3015360000000022</v>
      </c>
      <c r="W70" s="243">
        <f t="shared" si="19"/>
        <v>0.93288000000000004</v>
      </c>
      <c r="X70" s="245">
        <f t="shared" si="20"/>
        <v>266237.88</v>
      </c>
      <c r="Y70" s="245">
        <f t="shared" si="21"/>
        <v>312540.12</v>
      </c>
      <c r="Z70" s="190">
        <v>578778</v>
      </c>
      <c r="AA70" s="191">
        <f t="shared" si="11"/>
        <v>3.6196136400000016</v>
      </c>
    </row>
    <row r="71" spans="1:27" ht="15.75" x14ac:dyDescent="0.25">
      <c r="A71" s="219"/>
      <c r="B71" s="225"/>
      <c r="C71" s="251"/>
      <c r="D71" s="251"/>
      <c r="E71" s="251"/>
      <c r="F71" s="251"/>
      <c r="G71" s="251"/>
      <c r="H71" s="252"/>
      <c r="I71" s="219"/>
      <c r="J71" s="219"/>
      <c r="K71" s="219"/>
      <c r="T71" s="188">
        <v>0.47</v>
      </c>
      <c r="U71" s="243">
        <f t="shared" si="18"/>
        <v>0.49060018867924521</v>
      </c>
      <c r="V71" s="192">
        <f t="shared" si="10"/>
        <v>6.3749624150943411</v>
      </c>
      <c r="W71" s="243">
        <f t="shared" si="19"/>
        <v>0.94850264150943397</v>
      </c>
      <c r="X71" s="245">
        <f t="shared" si="20"/>
        <v>272025.65999999997</v>
      </c>
      <c r="Y71" s="245">
        <f t="shared" si="21"/>
        <v>306752.34000000003</v>
      </c>
      <c r="Z71" s="190">
        <v>578778</v>
      </c>
      <c r="AA71" s="191">
        <f t="shared" si="11"/>
        <v>3.6093121686792462</v>
      </c>
    </row>
    <row r="72" spans="1:27" ht="15.75" x14ac:dyDescent="0.25">
      <c r="A72" s="219"/>
      <c r="B72" s="225"/>
      <c r="C72" s="251"/>
      <c r="D72" s="251"/>
      <c r="E72" s="251"/>
      <c r="F72" s="251"/>
      <c r="G72" s="251"/>
      <c r="H72" s="252"/>
      <c r="I72" s="219"/>
      <c r="J72" s="219"/>
      <c r="K72" s="219"/>
      <c r="T72" s="188">
        <v>0.48</v>
      </c>
      <c r="U72" s="243">
        <f t="shared" si="18"/>
        <v>0.51067384615384626</v>
      </c>
      <c r="V72" s="192">
        <f t="shared" si="10"/>
        <v>6.4512129230769251</v>
      </c>
      <c r="W72" s="243">
        <f t="shared" si="19"/>
        <v>0.96472615384615401</v>
      </c>
      <c r="X72" s="245">
        <f t="shared" si="20"/>
        <v>277813.44</v>
      </c>
      <c r="Y72" s="245">
        <f t="shared" si="21"/>
        <v>300964.56</v>
      </c>
      <c r="Z72" s="190">
        <v>578778</v>
      </c>
      <c r="AA72" s="191">
        <f t="shared" si="11"/>
        <v>3.5997541661538475</v>
      </c>
    </row>
    <row r="73" spans="1:27" ht="15.75" x14ac:dyDescent="0.25">
      <c r="A73" s="219"/>
      <c r="B73" s="225"/>
      <c r="C73" s="253"/>
      <c r="D73" s="253"/>
      <c r="E73" s="253"/>
      <c r="F73" s="253"/>
      <c r="G73" s="253"/>
      <c r="H73" s="252"/>
      <c r="I73" s="219"/>
      <c r="J73" s="219"/>
      <c r="K73" s="219"/>
      <c r="T73" s="188">
        <v>0.49</v>
      </c>
      <c r="U73" s="243">
        <f t="shared" si="18"/>
        <v>0.53153470588235296</v>
      </c>
      <c r="V73" s="192">
        <f t="shared" si="10"/>
        <v>6.5304536470588257</v>
      </c>
      <c r="W73" s="243">
        <f t="shared" si="19"/>
        <v>0.9815858823529412</v>
      </c>
      <c r="X73" s="245">
        <f t="shared" si="20"/>
        <v>283601.21999999997</v>
      </c>
      <c r="Y73" s="245">
        <f t="shared" si="21"/>
        <v>295176.78000000003</v>
      </c>
      <c r="Z73" s="190">
        <v>578778</v>
      </c>
      <c r="AA73" s="191">
        <f t="shared" si="11"/>
        <v>3.5909833658823538</v>
      </c>
    </row>
    <row r="74" spans="1:27" ht="15.75" x14ac:dyDescent="0.25">
      <c r="A74" s="219"/>
      <c r="B74" s="225"/>
      <c r="C74" s="253"/>
      <c r="D74" s="253"/>
      <c r="E74" s="253"/>
      <c r="F74" s="253"/>
      <c r="G74" s="253"/>
      <c r="H74" s="252"/>
      <c r="I74" s="219"/>
      <c r="J74" s="219"/>
      <c r="K74" s="219"/>
      <c r="T74" s="188">
        <v>0.5</v>
      </c>
      <c r="U74" s="243">
        <f t="shared" si="18"/>
        <v>0.55323</v>
      </c>
      <c r="V74" s="192">
        <f t="shared" si="10"/>
        <v>6.6128640000000019</v>
      </c>
      <c r="W74" s="243">
        <f t="shared" si="19"/>
        <v>0.99912000000000012</v>
      </c>
      <c r="X74" s="245">
        <f t="shared" si="20"/>
        <v>289389</v>
      </c>
      <c r="Y74" s="245">
        <f t="shared" si="21"/>
        <v>289389</v>
      </c>
      <c r="Z74" s="190">
        <v>578778</v>
      </c>
      <c r="AA74" s="191">
        <f t="shared" si="11"/>
        <v>3.583047000000001</v>
      </c>
    </row>
    <row r="75" spans="1:27" ht="15.75" x14ac:dyDescent="0.25">
      <c r="A75" s="219"/>
      <c r="B75" s="225"/>
      <c r="C75" s="253"/>
      <c r="D75" s="253"/>
      <c r="E75" s="253"/>
      <c r="F75" s="253"/>
      <c r="G75" s="253"/>
      <c r="H75" s="252"/>
      <c r="I75" s="219"/>
      <c r="J75" s="219"/>
      <c r="K75" s="219"/>
      <c r="T75" s="188">
        <v>0.51</v>
      </c>
      <c r="U75" s="243">
        <f t="shared" si="18"/>
        <v>0.57581081632653075</v>
      </c>
      <c r="V75" s="192">
        <f t="shared" si="10"/>
        <v>6.6986380408163289</v>
      </c>
      <c r="W75" s="243">
        <f t="shared" si="19"/>
        <v>1.0173697959183676</v>
      </c>
      <c r="X75" s="245">
        <f t="shared" si="20"/>
        <v>295176.78000000003</v>
      </c>
      <c r="Y75" s="245">
        <f t="shared" si="21"/>
        <v>283601.21999999997</v>
      </c>
      <c r="Z75" s="190">
        <v>578778</v>
      </c>
      <c r="AA75" s="191">
        <f t="shared" si="11"/>
        <v>3.5759961563265317</v>
      </c>
    </row>
    <row r="76" spans="1:27" ht="15.75" x14ac:dyDescent="0.25">
      <c r="A76" s="219"/>
      <c r="B76" s="225"/>
      <c r="C76" s="221"/>
      <c r="D76" s="221"/>
      <c r="E76" s="221"/>
      <c r="F76" s="221"/>
      <c r="G76" s="221"/>
      <c r="H76" s="254"/>
      <c r="I76" s="219"/>
      <c r="J76" s="219"/>
      <c r="K76" s="219"/>
      <c r="T76" s="188">
        <v>0.52</v>
      </c>
      <c r="U76" s="243">
        <f t="shared" si="18"/>
        <v>0.59933249999999993</v>
      </c>
      <c r="V76" s="192">
        <f t="shared" si="10"/>
        <v>6.7879860000000019</v>
      </c>
      <c r="W76" s="243">
        <f t="shared" si="19"/>
        <v>1.0363800000000001</v>
      </c>
      <c r="X76" s="245">
        <f t="shared" si="20"/>
        <v>300964.56</v>
      </c>
      <c r="Y76" s="245">
        <f t="shared" si="21"/>
        <v>277813.44</v>
      </c>
      <c r="Z76" s="190">
        <v>578778</v>
      </c>
      <c r="AA76" s="191">
        <f t="shared" si="11"/>
        <v>3.5698861800000006</v>
      </c>
    </row>
    <row r="77" spans="1:27" ht="15.75" x14ac:dyDescent="0.25">
      <c r="A77" s="219"/>
      <c r="B77" s="225"/>
      <c r="C77" s="250"/>
      <c r="D77" s="250"/>
      <c r="E77" s="250"/>
      <c r="F77" s="250"/>
      <c r="G77" s="250"/>
      <c r="H77" s="248"/>
      <c r="I77" s="219"/>
      <c r="J77" s="219"/>
      <c r="K77" s="219"/>
      <c r="T77" s="188">
        <v>0.53</v>
      </c>
      <c r="U77" s="243">
        <f t="shared" si="18"/>
        <v>0.62385510638297892</v>
      </c>
      <c r="V77" s="192">
        <f t="shared" si="10"/>
        <v>6.8811360000000015</v>
      </c>
      <c r="W77" s="243">
        <f t="shared" si="19"/>
        <v>1.0561991489361704</v>
      </c>
      <c r="X77" s="245">
        <f t="shared" si="20"/>
        <v>306752.34000000003</v>
      </c>
      <c r="Y77" s="245">
        <f t="shared" si="21"/>
        <v>272025.65999999997</v>
      </c>
      <c r="Z77" s="190">
        <v>578778</v>
      </c>
      <c r="AA77" s="191">
        <f t="shared" si="11"/>
        <v>3.5647771263829795</v>
      </c>
    </row>
    <row r="78" spans="1:27" ht="15.75" x14ac:dyDescent="0.25">
      <c r="A78" s="219"/>
      <c r="B78" s="225"/>
      <c r="C78" s="251"/>
      <c r="D78" s="251"/>
      <c r="E78" s="251"/>
      <c r="F78" s="251"/>
      <c r="G78" s="251"/>
      <c r="H78" s="252"/>
      <c r="I78" s="219"/>
      <c r="J78" s="219"/>
      <c r="K78" s="219"/>
      <c r="T78" s="188">
        <v>0.54</v>
      </c>
      <c r="U78" s="243">
        <f t="shared" si="18"/>
        <v>0.64944391304347826</v>
      </c>
      <c r="V78" s="192">
        <f t="shared" si="10"/>
        <v>6.9783360000000023</v>
      </c>
      <c r="W78" s="243">
        <f t="shared" si="19"/>
        <v>1.0768800000000001</v>
      </c>
      <c r="X78" s="245">
        <f t="shared" si="20"/>
        <v>312540.12</v>
      </c>
      <c r="Y78" s="245">
        <f t="shared" si="21"/>
        <v>266237.88</v>
      </c>
      <c r="Z78" s="190">
        <v>578778</v>
      </c>
      <c r="AA78" s="191">
        <f t="shared" si="11"/>
        <v>3.5607342730434794</v>
      </c>
    </row>
    <row r="79" spans="1:27" ht="15.75" x14ac:dyDescent="0.25">
      <c r="A79" s="219"/>
      <c r="B79" s="225"/>
      <c r="C79" s="250"/>
      <c r="D79" s="250"/>
      <c r="E79" s="250"/>
      <c r="F79" s="250"/>
      <c r="G79" s="250"/>
      <c r="H79" s="255"/>
      <c r="I79" s="219"/>
      <c r="J79" s="219"/>
      <c r="K79" s="219"/>
      <c r="T79" s="188">
        <v>0.55000000000000004</v>
      </c>
      <c r="U79" s="243">
        <f t="shared" si="18"/>
        <v>0.67617000000000005</v>
      </c>
      <c r="V79" s="192">
        <f t="shared" si="10"/>
        <v>7.0798560000000013</v>
      </c>
      <c r="W79" s="243">
        <f t="shared" si="19"/>
        <v>1.0984800000000001</v>
      </c>
      <c r="X79" s="245">
        <f t="shared" si="20"/>
        <v>318327.90000000002</v>
      </c>
      <c r="Y79" s="245">
        <f t="shared" si="21"/>
        <v>260450.09999999998</v>
      </c>
      <c r="Z79" s="190">
        <v>578778</v>
      </c>
      <c r="AA79" s="191">
        <f t="shared" si="11"/>
        <v>3.5578287000000004</v>
      </c>
    </row>
    <row r="80" spans="1:27" ht="15.75" x14ac:dyDescent="0.25">
      <c r="A80" s="219"/>
      <c r="B80" s="225"/>
      <c r="C80" s="246"/>
      <c r="D80" s="246"/>
      <c r="E80" s="246"/>
      <c r="F80" s="246"/>
      <c r="G80" s="246"/>
      <c r="H80" s="252"/>
      <c r="I80" s="219"/>
      <c r="J80" s="219"/>
      <c r="K80" s="219"/>
      <c r="T80" s="188">
        <v>0.56000000000000005</v>
      </c>
      <c r="U80" s="243">
        <f t="shared" si="18"/>
        <v>0.70411090909090934</v>
      </c>
      <c r="V80" s="192">
        <f t="shared" si="10"/>
        <v>7.1859905454545476</v>
      </c>
      <c r="W80" s="243">
        <f t="shared" si="19"/>
        <v>1.1210618181818184</v>
      </c>
      <c r="X80" s="245">
        <f t="shared" si="20"/>
        <v>324115.68000000005</v>
      </c>
      <c r="Y80" s="245">
        <f t="shared" si="21"/>
        <v>254662.31999999995</v>
      </c>
      <c r="Z80" s="190">
        <v>578778</v>
      </c>
      <c r="AA80" s="191">
        <f t="shared" si="11"/>
        <v>3.5561379490909095</v>
      </c>
    </row>
    <row r="81" spans="20:27" x14ac:dyDescent="0.25">
      <c r="T81" s="188">
        <v>0.56999999999999995</v>
      </c>
      <c r="U81" s="243">
        <f t="shared" si="18"/>
        <v>0.73335139534883709</v>
      </c>
      <c r="V81" s="192">
        <f t="shared" si="10"/>
        <v>7.297061581395349</v>
      </c>
      <c r="W81" s="243">
        <f t="shared" si="19"/>
        <v>1.144693953488372</v>
      </c>
      <c r="X81" s="245">
        <f t="shared" si="20"/>
        <v>329903.45999999996</v>
      </c>
      <c r="Y81" s="245">
        <f t="shared" si="21"/>
        <v>248874.54000000004</v>
      </c>
      <c r="Z81" s="190">
        <v>578778</v>
      </c>
      <c r="AA81" s="191">
        <f t="shared" si="11"/>
        <v>3.5557467753488377</v>
      </c>
    </row>
    <row r="82" spans="20:27" x14ac:dyDescent="0.25">
      <c r="T82" s="188">
        <v>0.57999999999999996</v>
      </c>
      <c r="U82" s="243">
        <f t="shared" si="18"/>
        <v>0.76398428571428578</v>
      </c>
      <c r="V82" s="192">
        <f t="shared" si="10"/>
        <v>7.4134217142857164</v>
      </c>
      <c r="W82" s="243">
        <f t="shared" si="19"/>
        <v>1.1694514285714286</v>
      </c>
      <c r="X82" s="245">
        <f t="shared" si="20"/>
        <v>335691.24</v>
      </c>
      <c r="Y82" s="245">
        <f t="shared" si="21"/>
        <v>243086.76</v>
      </c>
      <c r="Z82" s="190">
        <v>578778</v>
      </c>
      <c r="AA82" s="191">
        <f t="shared" si="11"/>
        <v>3.5567480057142871</v>
      </c>
    </row>
    <row r="83" spans="20:27" x14ac:dyDescent="0.25">
      <c r="T83" s="188">
        <v>0.59</v>
      </c>
      <c r="U83" s="243">
        <f t="shared" si="18"/>
        <v>0.79611146341463401</v>
      </c>
      <c r="V83" s="192">
        <f t="shared" si="10"/>
        <v>7.5354579512195148</v>
      </c>
      <c r="W83" s="243">
        <f t="shared" si="19"/>
        <v>1.1954165853658538</v>
      </c>
      <c r="X83" s="245">
        <f t="shared" si="20"/>
        <v>341479.01999999996</v>
      </c>
      <c r="Y83" s="245">
        <f t="shared" si="21"/>
        <v>237298.98000000004</v>
      </c>
      <c r="Z83" s="190">
        <v>578778</v>
      </c>
      <c r="AA83" s="191">
        <f t="shared" si="11"/>
        <v>3.5592435234146356</v>
      </c>
    </row>
    <row r="84" spans="20:27" x14ac:dyDescent="0.25">
      <c r="T84" s="188">
        <v>0.6</v>
      </c>
      <c r="U84" s="243">
        <f t="shared" si="18"/>
        <v>0.82984499999999994</v>
      </c>
      <c r="V84" s="192">
        <f t="shared" si="10"/>
        <v>7.6635960000000019</v>
      </c>
      <c r="W84" s="243">
        <f t="shared" si="19"/>
        <v>1.22268</v>
      </c>
      <c r="X84" s="245">
        <f t="shared" si="20"/>
        <v>347266.8</v>
      </c>
      <c r="Y84" s="245">
        <f t="shared" si="21"/>
        <v>231511.2</v>
      </c>
      <c r="Z84" s="190">
        <v>578778</v>
      </c>
      <c r="AA84" s="191">
        <f t="shared" si="11"/>
        <v>3.5633454000000011</v>
      </c>
    </row>
    <row r="85" spans="20:27" x14ac:dyDescent="0.25">
      <c r="T85" s="188">
        <v>0.61</v>
      </c>
      <c r="U85" s="243">
        <f t="shared" si="18"/>
        <v>0.86530846153846164</v>
      </c>
      <c r="V85" s="192">
        <f t="shared" si="10"/>
        <v>7.798305230769234</v>
      </c>
      <c r="W85" s="243">
        <f t="shared" si="19"/>
        <v>1.2513415384615387</v>
      </c>
      <c r="X85" s="245">
        <f t="shared" si="20"/>
        <v>353054.58</v>
      </c>
      <c r="Y85" s="245">
        <f t="shared" si="21"/>
        <v>225723.41999999998</v>
      </c>
      <c r="Z85" s="190">
        <v>578778</v>
      </c>
      <c r="AA85" s="191">
        <f t="shared" si="11"/>
        <v>3.5691772015384626</v>
      </c>
    </row>
    <row r="86" spans="20:27" x14ac:dyDescent="0.25">
      <c r="T86" s="188">
        <v>0.62</v>
      </c>
      <c r="U86" s="243">
        <f t="shared" si="18"/>
        <v>0.90263842105263148</v>
      </c>
      <c r="V86" s="192">
        <f t="shared" si="10"/>
        <v>7.9401044210526326</v>
      </c>
      <c r="W86" s="243">
        <f t="shared" si="19"/>
        <v>1.2815115789473683</v>
      </c>
      <c r="X86" s="245">
        <f t="shared" si="20"/>
        <v>358842.36</v>
      </c>
      <c r="Y86" s="245">
        <f t="shared" si="21"/>
        <v>219935.64</v>
      </c>
      <c r="Z86" s="190">
        <v>578778</v>
      </c>
      <c r="AA86" s="191">
        <f t="shared" si="11"/>
        <v>3.5768755010526316</v>
      </c>
    </row>
  </sheetData>
  <mergeCells count="24">
    <mergeCell ref="Z4:Z5"/>
    <mergeCell ref="AA4:AA5"/>
    <mergeCell ref="T4:T5"/>
    <mergeCell ref="U4:U5"/>
    <mergeCell ref="V4:V5"/>
    <mergeCell ref="W4:W5"/>
    <mergeCell ref="X4:X5"/>
    <mergeCell ref="Y4:Y5"/>
    <mergeCell ref="T22:T23"/>
    <mergeCell ref="U22:U23"/>
    <mergeCell ref="V22:V23"/>
    <mergeCell ref="W22:W23"/>
    <mergeCell ref="X22:X23"/>
    <mergeCell ref="AI23:AI24"/>
    <mergeCell ref="AJ23:AJ24"/>
    <mergeCell ref="AK23:AK24"/>
    <mergeCell ref="Y22:Y23"/>
    <mergeCell ref="Z22:Z23"/>
    <mergeCell ref="AA22:AA23"/>
    <mergeCell ref="AD23:AD24"/>
    <mergeCell ref="AE23:AE24"/>
    <mergeCell ref="AF23:AF24"/>
    <mergeCell ref="AG23:AG24"/>
    <mergeCell ref="AH23:AH2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C471F-8B02-41F6-8EE0-8913BFDBD105}">
  <dimension ref="B2:M78"/>
  <sheetViews>
    <sheetView topLeftCell="C1" zoomScale="70" zoomScaleNormal="70" workbookViewId="0">
      <selection activeCell="C25" sqref="C25"/>
    </sheetView>
  </sheetViews>
  <sheetFormatPr defaultRowHeight="15" x14ac:dyDescent="0.25"/>
  <cols>
    <col min="3" max="3" width="61.85546875" customWidth="1"/>
    <col min="4" max="4" width="11.5703125" customWidth="1"/>
    <col min="5" max="5" width="10.42578125" customWidth="1"/>
    <col min="6" max="6" width="10.140625" customWidth="1"/>
    <col min="7" max="7" width="11" customWidth="1"/>
    <col min="8" max="8" width="10.140625" customWidth="1"/>
    <col min="9" max="9" width="10.42578125" customWidth="1"/>
    <col min="10" max="10" width="10.7109375" customWidth="1"/>
    <col min="11" max="11" width="11.140625" customWidth="1"/>
    <col min="12" max="12" width="11.7109375" customWidth="1"/>
    <col min="13" max="13" width="11" customWidth="1"/>
  </cols>
  <sheetData>
    <row r="2" spans="2:13" x14ac:dyDescent="0.25">
      <c r="B2" t="str">
        <f>"CZ-NACE"</f>
        <v>CZ-NACE</v>
      </c>
      <c r="C2" t="str">
        <f>"HODNOTY"</f>
        <v>HODNOTY</v>
      </c>
      <c r="D2" t="str">
        <f>"ROK 2010"</f>
        <v>ROK 2010</v>
      </c>
      <c r="E2" t="str">
        <f>"ROK 2011"</f>
        <v>ROK 2011</v>
      </c>
      <c r="F2" t="str">
        <f>"ROK 2012"</f>
        <v>ROK 2012</v>
      </c>
      <c r="G2" t="str">
        <f>"ROK 2013"</f>
        <v>ROK 2013</v>
      </c>
      <c r="H2" t="str">
        <f>"ROK 2014"</f>
        <v>ROK 2014</v>
      </c>
      <c r="I2" t="str">
        <f>"ROK 2015"</f>
        <v>ROK 2015</v>
      </c>
      <c r="J2" t="str">
        <f>"ROK 2016"</f>
        <v>ROK 2016</v>
      </c>
      <c r="K2" t="str">
        <f>"ROK 2017"</f>
        <v>ROK 2017</v>
      </c>
      <c r="L2" t="str">
        <f>"ROK 2018"</f>
        <v>ROK 2018</v>
      </c>
      <c r="M2" t="str">
        <f>"ROK 2019"</f>
        <v>ROK 2019</v>
      </c>
    </row>
    <row r="3" spans="2:13" x14ac:dyDescent="0.25">
      <c r="B3" t="str">
        <f t="shared" ref="B3:B66" si="0">"11"</f>
        <v>11</v>
      </c>
      <c r="C3" t="str">
        <f>"Aktiva celkem (A.+B.+C.+D.) [v tis. Kč]"</f>
        <v>Aktiva celkem (A.+B.+C.+D.) [v tis. Kč]</v>
      </c>
      <c r="D3" s="53">
        <v>87158285</v>
      </c>
      <c r="E3" s="53">
        <v>84399854</v>
      </c>
      <c r="F3" s="53">
        <v>75468641</v>
      </c>
      <c r="G3" s="53">
        <v>102585429</v>
      </c>
      <c r="H3" s="53">
        <v>96985021</v>
      </c>
      <c r="I3" s="53">
        <v>97853696</v>
      </c>
      <c r="J3" s="53">
        <v>99951091</v>
      </c>
      <c r="K3" s="53">
        <v>101176565</v>
      </c>
      <c r="L3" s="53">
        <v>101170418</v>
      </c>
      <c r="M3" s="53">
        <v>102284772</v>
      </c>
    </row>
    <row r="4" spans="2:13" x14ac:dyDescent="0.25">
      <c r="B4" t="str">
        <f t="shared" si="0"/>
        <v>11</v>
      </c>
      <c r="C4" t="str">
        <f>"B. Dlouhodobý majetek [v tis. Kč]"</f>
        <v>B. Dlouhodobý majetek [v tis. Kč]</v>
      </c>
      <c r="D4" s="53">
        <v>56089027</v>
      </c>
      <c r="E4" s="53">
        <v>53611163</v>
      </c>
      <c r="F4" s="53">
        <v>45621772</v>
      </c>
      <c r="G4" s="53">
        <v>73616593</v>
      </c>
      <c r="H4" s="53">
        <v>68326244</v>
      </c>
      <c r="I4" s="53">
        <v>69242444</v>
      </c>
      <c r="J4" s="53">
        <v>69987845</v>
      </c>
      <c r="K4" s="53">
        <v>70208118</v>
      </c>
      <c r="L4" s="53">
        <v>69323626</v>
      </c>
      <c r="M4" s="53">
        <v>68995624</v>
      </c>
    </row>
    <row r="5" spans="2:13" x14ac:dyDescent="0.25">
      <c r="B5" t="str">
        <f t="shared" si="0"/>
        <v>11</v>
      </c>
      <c r="C5" t="str">
        <f>"B.I. Dlohodobý nehmotný majetek [v tis. Kč]"</f>
        <v>B.I. Dlohodobý nehmotný majetek [v tis. Kč]</v>
      </c>
      <c r="D5" s="53">
        <v>2140100</v>
      </c>
      <c r="E5" s="53">
        <v>1573671</v>
      </c>
      <c r="F5" s="53">
        <v>1547689</v>
      </c>
      <c r="G5" s="53">
        <v>18667466</v>
      </c>
      <c r="H5" s="53">
        <v>16740104</v>
      </c>
      <c r="I5" s="53">
        <v>16236185</v>
      </c>
      <c r="J5" s="53">
        <v>13999249</v>
      </c>
      <c r="K5" s="53">
        <v>13305220</v>
      </c>
      <c r="L5" s="53">
        <v>8948060</v>
      </c>
      <c r="M5" s="53">
        <v>8541060</v>
      </c>
    </row>
    <row r="6" spans="2:13" x14ac:dyDescent="0.25">
      <c r="B6" t="str">
        <f t="shared" si="0"/>
        <v>11</v>
      </c>
      <c r="C6" t="str">
        <f>"B.II. Dlohodobý hmotný majetek [v tis. Kč]"</f>
        <v>B.II. Dlohodobý hmotný majetek [v tis. Kč]</v>
      </c>
      <c r="D6" s="53">
        <v>50529107</v>
      </c>
      <c r="E6" s="53">
        <v>48944975</v>
      </c>
      <c r="F6" s="53">
        <v>41122823</v>
      </c>
      <c r="G6" s="53">
        <v>40338468</v>
      </c>
      <c r="H6" s="53">
        <v>39122388</v>
      </c>
      <c r="I6" s="53">
        <v>38426740</v>
      </c>
      <c r="J6" s="53">
        <v>38541003</v>
      </c>
      <c r="K6" s="53">
        <v>41565358</v>
      </c>
      <c r="L6" s="53">
        <v>42170879</v>
      </c>
      <c r="M6" s="53">
        <v>40258746</v>
      </c>
    </row>
    <row r="7" spans="2:13" x14ac:dyDescent="0.25">
      <c r="B7" t="str">
        <f t="shared" si="0"/>
        <v>11</v>
      </c>
      <c r="C7" t="str">
        <f>"B.III. Dlouhodobý finanční majetek [v tis. Kč]"</f>
        <v>B.III. Dlouhodobý finanční majetek [v tis. Kč]</v>
      </c>
      <c r="D7" s="53">
        <v>3419820</v>
      </c>
      <c r="E7" s="53">
        <v>3092517</v>
      </c>
      <c r="F7" s="53">
        <v>2951261</v>
      </c>
      <c r="G7" s="53">
        <v>14610660</v>
      </c>
      <c r="H7" s="53">
        <v>12463752</v>
      </c>
      <c r="I7" s="53">
        <v>14579519</v>
      </c>
      <c r="J7" s="53">
        <v>17447594</v>
      </c>
      <c r="K7" s="53">
        <v>15337540</v>
      </c>
      <c r="L7" s="53">
        <v>18204687</v>
      </c>
      <c r="M7" s="53">
        <v>20195818</v>
      </c>
    </row>
    <row r="8" spans="2:13" x14ac:dyDescent="0.25">
      <c r="B8" t="str">
        <f t="shared" si="0"/>
        <v>11</v>
      </c>
      <c r="C8" t="str">
        <f>"C. Oběžná aktiva [v tis. Kč]"</f>
        <v>C. Oběžná aktiva [v tis. Kč]</v>
      </c>
      <c r="D8" s="53">
        <v>27738630</v>
      </c>
      <c r="E8" s="53">
        <v>27454520</v>
      </c>
      <c r="F8" s="53">
        <v>26657194</v>
      </c>
      <c r="G8" s="53">
        <v>25844512</v>
      </c>
      <c r="H8" s="53">
        <v>25732766</v>
      </c>
      <c r="I8" s="53">
        <v>25888835</v>
      </c>
      <c r="J8" s="53">
        <v>27061368</v>
      </c>
      <c r="K8" s="53">
        <v>28177507</v>
      </c>
      <c r="L8" s="53">
        <v>29135694</v>
      </c>
      <c r="M8" s="53">
        <v>30709232</v>
      </c>
    </row>
    <row r="9" spans="2:13" x14ac:dyDescent="0.25">
      <c r="B9" t="str">
        <f t="shared" si="0"/>
        <v>11</v>
      </c>
      <c r="C9" t="str">
        <f>"C.I. Zásoby [v tis. Kč]"</f>
        <v>C.I. Zásoby [v tis. Kč]</v>
      </c>
      <c r="D9" s="53">
        <v>7906859</v>
      </c>
      <c r="E9" s="53">
        <v>8438384</v>
      </c>
      <c r="F9" s="53">
        <v>8391624</v>
      </c>
      <c r="G9" s="53">
        <v>8395362</v>
      </c>
      <c r="H9" s="53">
        <v>7557875</v>
      </c>
      <c r="I9" s="53">
        <v>8038770</v>
      </c>
      <c r="J9" s="53">
        <v>8411576</v>
      </c>
      <c r="K9" s="53">
        <v>8761117</v>
      </c>
      <c r="L9" s="53">
        <v>9622501</v>
      </c>
      <c r="M9" s="53">
        <v>9665311</v>
      </c>
    </row>
    <row r="10" spans="2:13" x14ac:dyDescent="0.25">
      <c r="B10" t="str">
        <f t="shared" si="0"/>
        <v>11</v>
      </c>
      <c r="C10" t="str">
        <f>"C.II. Pohledávky [v tis. Kč]"</f>
        <v>C.II. Pohledávky [v tis. Kč]</v>
      </c>
      <c r="D10" s="53">
        <v>13764094</v>
      </c>
      <c r="E10" s="53">
        <v>13703325</v>
      </c>
      <c r="F10" s="53">
        <v>12904782</v>
      </c>
      <c r="G10" s="53">
        <v>12139005</v>
      </c>
      <c r="H10" s="53">
        <v>12886076</v>
      </c>
      <c r="I10" s="53">
        <v>12366564</v>
      </c>
      <c r="J10" s="53">
        <v>12362187</v>
      </c>
      <c r="K10" s="53">
        <v>14085411</v>
      </c>
      <c r="L10" s="53">
        <v>13184438</v>
      </c>
      <c r="M10" s="53">
        <v>14650937</v>
      </c>
    </row>
    <row r="11" spans="2:13" x14ac:dyDescent="0.25">
      <c r="B11" t="str">
        <f t="shared" si="0"/>
        <v>11</v>
      </c>
      <c r="C11" t="str">
        <f>"C.II.1. Dlouhodobé pohledávky [v tis. Kč]"</f>
        <v>C.II.1. Dlouhodobé pohledávky [v tis. Kč]</v>
      </c>
      <c r="D11" s="53">
        <v>716768</v>
      </c>
      <c r="E11" s="53">
        <v>1287467</v>
      </c>
      <c r="F11" s="53">
        <v>1804411</v>
      </c>
      <c r="G11" s="53">
        <v>1507327</v>
      </c>
      <c r="H11" s="53">
        <v>1051446</v>
      </c>
      <c r="I11" s="53">
        <v>589288</v>
      </c>
      <c r="J11" s="53">
        <v>566550</v>
      </c>
      <c r="K11" s="53">
        <v>589552</v>
      </c>
      <c r="L11" s="53">
        <v>1341544</v>
      </c>
      <c r="M11" s="53">
        <v>2664501</v>
      </c>
    </row>
    <row r="12" spans="2:13" x14ac:dyDescent="0.25">
      <c r="B12" t="str">
        <f t="shared" si="0"/>
        <v>11</v>
      </c>
      <c r="C12" t="str">
        <f>"C.II.2. Krátkodobé pohledávky [v tis. Kč]"</f>
        <v>C.II.2. Krátkodobé pohledávky [v tis. Kč]</v>
      </c>
      <c r="D12" s="53">
        <v>13047326</v>
      </c>
      <c r="E12" s="53">
        <v>12415858</v>
      </c>
      <c r="F12" s="53">
        <v>11100372</v>
      </c>
      <c r="G12" s="53">
        <v>10631678</v>
      </c>
      <c r="H12" s="53">
        <v>11834630</v>
      </c>
      <c r="I12" s="53">
        <v>11777276</v>
      </c>
      <c r="J12" s="53">
        <v>11795637</v>
      </c>
      <c r="K12" s="53">
        <v>13495859</v>
      </c>
      <c r="L12" s="53">
        <v>11842894</v>
      </c>
      <c r="M12" s="53">
        <v>11986437</v>
      </c>
    </row>
    <row r="13" spans="2:13" x14ac:dyDescent="0.25">
      <c r="B13" t="str">
        <f t="shared" si="0"/>
        <v>11</v>
      </c>
      <c r="C13" t="str">
        <f>"C.III.+C.IV. Krátkodobý finanční majetek + Peněžní prostředky [v tis. Kč]"</f>
        <v>C.III.+C.IV. Krátkodobý finanční majetek + Peněžní prostředky [v tis. Kč]</v>
      </c>
      <c r="D13" s="53">
        <v>6067677</v>
      </c>
      <c r="E13" s="53">
        <v>5312811</v>
      </c>
      <c r="F13" s="53">
        <v>5360788</v>
      </c>
      <c r="G13" s="53">
        <v>5310146</v>
      </c>
      <c r="H13" s="53">
        <v>5288815</v>
      </c>
      <c r="I13" s="53">
        <v>5483501</v>
      </c>
      <c r="J13" s="53">
        <v>6287605</v>
      </c>
      <c r="K13" s="53">
        <v>5330979</v>
      </c>
      <c r="L13" s="53">
        <v>6328755</v>
      </c>
      <c r="M13" s="53">
        <v>6392984</v>
      </c>
    </row>
    <row r="14" spans="2:13" x14ac:dyDescent="0.25">
      <c r="B14" t="str">
        <f t="shared" si="0"/>
        <v>11</v>
      </c>
      <c r="C14" t="str">
        <f>"A.+D.  + Pohl.VK+ Časové rozlišení aktiv [v tis. Kč]"</f>
        <v>A.+D.  + Pohl.VK+ Časové rozlišení aktiv [v tis. Kč]</v>
      </c>
      <c r="D14" s="53">
        <v>3330628</v>
      </c>
      <c r="E14" s="53">
        <v>3334171</v>
      </c>
      <c r="F14" s="53">
        <v>3189674</v>
      </c>
      <c r="G14" s="53">
        <v>3124323</v>
      </c>
      <c r="H14" s="53">
        <v>2926010</v>
      </c>
      <c r="I14" s="53">
        <v>2722417</v>
      </c>
      <c r="J14" s="53">
        <v>2901878</v>
      </c>
      <c r="K14" s="53">
        <v>2790939</v>
      </c>
      <c r="L14" s="53">
        <v>2711098</v>
      </c>
      <c r="M14" s="53">
        <v>2579916</v>
      </c>
    </row>
    <row r="15" spans="2:13" x14ac:dyDescent="0.25">
      <c r="B15" t="str">
        <f t="shared" si="0"/>
        <v>11</v>
      </c>
      <c r="C15" t="str">
        <f>"Pasiva celkem [v tis. Kč]"</f>
        <v>Pasiva celkem [v tis. Kč]</v>
      </c>
      <c r="D15" s="53">
        <v>87158285</v>
      </c>
      <c r="E15" s="53">
        <v>84399854</v>
      </c>
      <c r="F15" s="53">
        <v>75468641</v>
      </c>
      <c r="G15" s="53">
        <v>102585429</v>
      </c>
      <c r="H15" s="53">
        <v>96985021</v>
      </c>
      <c r="I15" s="53">
        <v>97853696</v>
      </c>
      <c r="J15" s="53">
        <v>99951091</v>
      </c>
      <c r="K15" s="53">
        <v>101176565</v>
      </c>
      <c r="L15" s="53">
        <v>101170418</v>
      </c>
      <c r="M15" s="53">
        <v>102284772</v>
      </c>
    </row>
    <row r="16" spans="2:13" x14ac:dyDescent="0.25">
      <c r="B16" t="str">
        <f t="shared" si="0"/>
        <v>11</v>
      </c>
      <c r="C16" t="str">
        <f>"A. Vlastní kapitál [v tis. Kč]"</f>
        <v>A. Vlastní kapitál [v tis. Kč]</v>
      </c>
      <c r="D16" s="53">
        <v>41101513</v>
      </c>
      <c r="E16" s="53">
        <v>38078940</v>
      </c>
      <c r="F16" s="53">
        <v>27307591</v>
      </c>
      <c r="G16" s="53">
        <v>44739302</v>
      </c>
      <c r="H16" s="53">
        <v>40015570</v>
      </c>
      <c r="I16" s="53">
        <v>47883909</v>
      </c>
      <c r="J16" s="53">
        <v>47918783</v>
      </c>
      <c r="K16" s="53">
        <v>47411628</v>
      </c>
      <c r="L16" s="53">
        <v>48260201</v>
      </c>
      <c r="M16" s="53">
        <v>49820746</v>
      </c>
    </row>
    <row r="17" spans="2:13" x14ac:dyDescent="0.25">
      <c r="B17" t="str">
        <f t="shared" si="0"/>
        <v>11</v>
      </c>
      <c r="C17" t="str">
        <f>"A.I. Základní kapitál [v tis. Kč]"</f>
        <v>A.I. Základní kapitál [v tis. Kč]</v>
      </c>
      <c r="D17" s="53">
        <v>20000130</v>
      </c>
      <c r="E17" s="53">
        <v>18259693</v>
      </c>
      <c r="F17" s="53">
        <v>18040371</v>
      </c>
      <c r="G17" s="53">
        <v>18596690</v>
      </c>
      <c r="H17" s="53">
        <v>18986445</v>
      </c>
      <c r="I17" s="53">
        <v>18276278</v>
      </c>
      <c r="J17" s="53">
        <v>18146723</v>
      </c>
      <c r="K17" s="53">
        <v>18115657</v>
      </c>
      <c r="L17" s="53">
        <v>18105388</v>
      </c>
      <c r="M17" s="53">
        <v>18300770</v>
      </c>
    </row>
    <row r="18" spans="2:13" x14ac:dyDescent="0.25">
      <c r="B18" t="str">
        <f t="shared" si="0"/>
        <v>11</v>
      </c>
      <c r="C18" t="str">
        <f>"A.II. + A.III. + A.IV. + A.VI. Nerozdělený zisk a fondy ze zisku [v tis. Kč]"</f>
        <v>A.II. + A.III. + A.IV. + A.VI. Nerozdělený zisk a fondy ze zisku [v tis. Kč]</v>
      </c>
      <c r="D18" s="53">
        <v>16869885</v>
      </c>
      <c r="E18" s="53">
        <v>15192355</v>
      </c>
      <c r="F18" s="53">
        <v>5547643</v>
      </c>
      <c r="G18" s="53">
        <v>22409708</v>
      </c>
      <c r="H18" s="53">
        <v>19564737</v>
      </c>
      <c r="I18" s="53">
        <v>23610652</v>
      </c>
      <c r="J18" s="53">
        <v>24906620</v>
      </c>
      <c r="K18" s="53">
        <v>23267575</v>
      </c>
      <c r="L18" s="53">
        <v>25206415</v>
      </c>
      <c r="M18" s="53">
        <v>25701255</v>
      </c>
    </row>
    <row r="19" spans="2:13" x14ac:dyDescent="0.25">
      <c r="B19" t="str">
        <f t="shared" si="0"/>
        <v>11</v>
      </c>
      <c r="C19" t="str">
        <f>"A.V. VH za účetní období [v tis. Kč]"</f>
        <v>A.V. VH za účetní období [v tis. Kč]</v>
      </c>
      <c r="D19" s="53">
        <v>4231498</v>
      </c>
      <c r="E19" s="53">
        <v>4626892</v>
      </c>
      <c r="F19" s="53">
        <v>3719577</v>
      </c>
      <c r="G19" s="53">
        <v>3732904</v>
      </c>
      <c r="H19" s="53">
        <v>1464389</v>
      </c>
      <c r="I19" s="53">
        <v>5996979</v>
      </c>
      <c r="J19" s="53">
        <v>4865440</v>
      </c>
      <c r="K19" s="53">
        <v>6028396</v>
      </c>
      <c r="L19" s="53">
        <v>4948398</v>
      </c>
      <c r="M19" s="53">
        <v>5818721</v>
      </c>
    </row>
    <row r="20" spans="2:13" x14ac:dyDescent="0.25">
      <c r="B20" t="str">
        <f t="shared" si="0"/>
        <v>11</v>
      </c>
      <c r="C20" t="str">
        <f>"B.+C. Cizí zdroje [v tis. Kč]"</f>
        <v>B.+C. Cizí zdroje [v tis. Kč]</v>
      </c>
      <c r="D20" s="53">
        <v>45611214</v>
      </c>
      <c r="E20" s="53">
        <v>45897658</v>
      </c>
      <c r="F20" s="53">
        <v>47985166</v>
      </c>
      <c r="G20" s="53">
        <v>57774712</v>
      </c>
      <c r="H20" s="53">
        <v>56753576</v>
      </c>
      <c r="I20" s="53">
        <v>49945511</v>
      </c>
      <c r="J20" s="53">
        <v>51916900</v>
      </c>
      <c r="K20" s="53">
        <v>53560385</v>
      </c>
      <c r="L20" s="53">
        <v>52706411</v>
      </c>
      <c r="M20" s="53">
        <v>52258015</v>
      </c>
    </row>
    <row r="21" spans="2:13" x14ac:dyDescent="0.25">
      <c r="B21" t="str">
        <f t="shared" si="0"/>
        <v>11</v>
      </c>
      <c r="C21" t="str">
        <f>"B. Rezervy [v tis. Kč]"</f>
        <v>B. Rezervy [v tis. Kč]</v>
      </c>
      <c r="D21" s="53">
        <v>1083827</v>
      </c>
      <c r="E21" s="53">
        <v>1202890</v>
      </c>
      <c r="F21" s="53">
        <v>1764905</v>
      </c>
      <c r="G21" s="53">
        <v>1315958</v>
      </c>
      <c r="H21" s="53">
        <v>1218218</v>
      </c>
      <c r="I21" s="53">
        <v>1310816</v>
      </c>
      <c r="J21" s="53">
        <v>1555611</v>
      </c>
      <c r="K21" s="53">
        <v>1779861</v>
      </c>
      <c r="L21" s="53">
        <v>1715290</v>
      </c>
      <c r="M21" s="53">
        <v>1736961</v>
      </c>
    </row>
    <row r="22" spans="2:13" x14ac:dyDescent="0.25">
      <c r="B22" t="str">
        <f t="shared" si="0"/>
        <v>11</v>
      </c>
      <c r="C22" t="str">
        <f>"C. Závazky [v tis. Kč]"</f>
        <v>C. Závazky [v tis. Kč]</v>
      </c>
      <c r="D22" s="53">
        <v>44527387</v>
      </c>
      <c r="E22" s="53">
        <v>44694768</v>
      </c>
      <c r="F22" s="53">
        <v>46220261</v>
      </c>
      <c r="G22" s="53">
        <v>56458755</v>
      </c>
      <c r="H22" s="53">
        <v>55535357</v>
      </c>
      <c r="I22" s="53">
        <v>48634695</v>
      </c>
      <c r="J22" s="53">
        <v>50361289</v>
      </c>
      <c r="K22" s="53">
        <v>51780524</v>
      </c>
      <c r="L22" s="53">
        <v>50991121</v>
      </c>
      <c r="M22" s="53">
        <v>50521054</v>
      </c>
    </row>
    <row r="23" spans="2:13" x14ac:dyDescent="0.25">
      <c r="B23" t="str">
        <f t="shared" si="0"/>
        <v>11</v>
      </c>
      <c r="C23" t="str">
        <f>"C.I. Dlouhodobé závazky [v tis. Kč]"</f>
        <v>C.I. Dlouhodobé závazky [v tis. Kč]</v>
      </c>
      <c r="D23" s="53">
        <v>17545420</v>
      </c>
      <c r="E23" s="53">
        <v>16508483</v>
      </c>
      <c r="F23" s="53">
        <v>20089887</v>
      </c>
      <c r="G23" s="53">
        <v>35107727</v>
      </c>
      <c r="H23" s="53">
        <v>32835826</v>
      </c>
      <c r="I23" s="53">
        <v>23845936</v>
      </c>
      <c r="J23" s="53">
        <v>25685931</v>
      </c>
      <c r="K23" s="53">
        <v>27293146</v>
      </c>
      <c r="L23" s="53">
        <v>27713670</v>
      </c>
      <c r="M23" s="53">
        <v>26981331</v>
      </c>
    </row>
    <row r="24" spans="2:13" x14ac:dyDescent="0.25">
      <c r="B24" t="str">
        <f t="shared" si="0"/>
        <v>11</v>
      </c>
      <c r="C24" t="str">
        <f>"C.I.1.+C.I.5. Vydané dluhopisy a dlouhodobé směnky k úhradě [v tis. Kč]"</f>
        <v>C.I.1.+C.I.5. Vydané dluhopisy a dlouhodobé směnky k úhradě [v tis. Kč]</v>
      </c>
      <c r="D24">
        <v>1</v>
      </c>
      <c r="E24">
        <v>0</v>
      </c>
      <c r="F24" s="53">
        <v>234959</v>
      </c>
      <c r="G24" s="53">
        <v>321866</v>
      </c>
      <c r="H24" s="53">
        <v>140000</v>
      </c>
      <c r="I24" s="53">
        <v>312330</v>
      </c>
      <c r="J24" s="53">
        <v>263872</v>
      </c>
      <c r="K24" s="53">
        <v>216460</v>
      </c>
      <c r="L24" s="53">
        <v>222789</v>
      </c>
      <c r="M24" s="53">
        <v>222789</v>
      </c>
    </row>
    <row r="25" spans="2:13" x14ac:dyDescent="0.25">
      <c r="B25" t="str">
        <f t="shared" si="0"/>
        <v>11</v>
      </c>
      <c r="C25" t="str">
        <f>"C.I.2. Závazky k úvěrovým institucím dlouhodobé [v tis. Kč]"</f>
        <v>C.I.2. Závazky k úvěrovým institucím dlouhodobé [v tis. Kč]</v>
      </c>
      <c r="D25" s="53">
        <v>4777132</v>
      </c>
      <c r="E25" s="53">
        <v>4757115</v>
      </c>
      <c r="F25" s="53">
        <v>4850478</v>
      </c>
      <c r="G25" s="53">
        <v>4069796</v>
      </c>
      <c r="H25" s="53">
        <v>2415855</v>
      </c>
      <c r="I25" s="53">
        <v>2110639</v>
      </c>
      <c r="J25" s="53">
        <v>2097756</v>
      </c>
      <c r="K25" s="53">
        <v>2289808</v>
      </c>
      <c r="L25" s="53">
        <v>6054700</v>
      </c>
      <c r="M25" s="53">
        <v>6083428</v>
      </c>
    </row>
    <row r="26" spans="2:13" x14ac:dyDescent="0.25">
      <c r="B26" t="str">
        <f t="shared" si="0"/>
        <v>11</v>
      </c>
      <c r="C26" t="str">
        <f>"C.I.3.+C.I.4.+CI.6.+CI.7+CI.8.+CI.9. Ostatní dlouhodobé závazky [v tis. Kč]"</f>
        <v>C.I.3.+C.I.4.+CI.6.+CI.7+CI.8.+CI.9. Ostatní dlouhodobé závazky [v tis. Kč]</v>
      </c>
      <c r="D26" s="53">
        <v>12768287</v>
      </c>
      <c r="E26" s="53">
        <v>11751368</v>
      </c>
      <c r="F26" s="53">
        <v>15004451</v>
      </c>
      <c r="G26" s="53">
        <v>30716066</v>
      </c>
      <c r="H26" s="53">
        <v>30279971</v>
      </c>
      <c r="I26" s="53">
        <v>21422967</v>
      </c>
      <c r="J26" s="53">
        <v>23324302</v>
      </c>
      <c r="K26" s="53">
        <v>24786879</v>
      </c>
      <c r="L26" s="53">
        <v>21436181</v>
      </c>
      <c r="M26" s="53">
        <v>20675114</v>
      </c>
    </row>
    <row r="27" spans="2:13" x14ac:dyDescent="0.25">
      <c r="B27" t="str">
        <f t="shared" si="0"/>
        <v>11</v>
      </c>
      <c r="C27" t="str">
        <f>"C.II. Krátkodobé závazky [v tis. Kč]"</f>
        <v>C.II. Krátkodobé závazky [v tis. Kč]</v>
      </c>
      <c r="D27" s="53">
        <v>26981966</v>
      </c>
      <c r="E27" s="53">
        <v>28186285</v>
      </c>
      <c r="F27" s="53">
        <v>26130374</v>
      </c>
      <c r="G27" s="53">
        <v>21351027</v>
      </c>
      <c r="H27" s="53">
        <v>22699531</v>
      </c>
      <c r="I27" s="53">
        <v>24788759</v>
      </c>
      <c r="J27" s="53">
        <v>24675358</v>
      </c>
      <c r="K27" s="53">
        <v>24487377</v>
      </c>
      <c r="L27" s="53">
        <v>23277451</v>
      </c>
      <c r="M27" s="53">
        <v>23539723</v>
      </c>
    </row>
    <row r="28" spans="2:13" x14ac:dyDescent="0.25">
      <c r="B28" t="str">
        <f t="shared" si="0"/>
        <v>11</v>
      </c>
      <c r="C28" t="str">
        <f>"C.II.1.+C.II.5. Vydané dluhopisy a směnky krátkodobé k úhradě [v tis. Kč]"</f>
        <v>C.II.1.+C.II.5. Vydané dluhopisy a směnky krátkodobé k úhradě [v tis. Kč]</v>
      </c>
      <c r="D28">
        <v>21</v>
      </c>
      <c r="E28">
        <v>205</v>
      </c>
      <c r="F28">
        <v>0</v>
      </c>
      <c r="G28">
        <v>0</v>
      </c>
      <c r="H28">
        <v>-20</v>
      </c>
      <c r="I28" s="53">
        <v>8299</v>
      </c>
      <c r="J28">
        <v>0</v>
      </c>
      <c r="K28" s="53">
        <v>25602</v>
      </c>
      <c r="L28">
        <v>0</v>
      </c>
      <c r="M28">
        <v>0</v>
      </c>
    </row>
    <row r="29" spans="2:13" x14ac:dyDescent="0.25">
      <c r="B29" t="str">
        <f t="shared" si="0"/>
        <v>11</v>
      </c>
      <c r="C29" t="str">
        <f>"C.II.2. Závazky k úvěrovým institucím [v tis. Kč]"</f>
        <v>C.II.2. Závazky k úvěrovým institucím [v tis. Kč]</v>
      </c>
      <c r="D29" s="53">
        <v>9544904</v>
      </c>
      <c r="E29" s="53">
        <v>8342014</v>
      </c>
      <c r="F29" s="53">
        <v>2287738</v>
      </c>
      <c r="G29" s="53">
        <v>2492891</v>
      </c>
      <c r="H29" s="53">
        <v>3101803</v>
      </c>
      <c r="I29" s="53">
        <v>3006223</v>
      </c>
      <c r="J29" s="53">
        <v>3599402</v>
      </c>
      <c r="K29" s="53">
        <v>2875235</v>
      </c>
      <c r="L29" s="53">
        <v>2202301</v>
      </c>
      <c r="M29" s="53">
        <v>2256142</v>
      </c>
    </row>
    <row r="30" spans="2:13" x14ac:dyDescent="0.25">
      <c r="B30" t="str">
        <f t="shared" si="0"/>
        <v>11</v>
      </c>
      <c r="C30" t="str">
        <f>"C.II.3.+C.II.4.+CII.6.+CII.7+CII.8. Ostatní krátkodobé závazky [v tis. Kč]"</f>
        <v>C.II.3.+C.II.4.+CII.6.+CII.7+CII.8. Ostatní krátkodobé závazky [v tis. Kč]</v>
      </c>
      <c r="D30" s="53">
        <v>17437041</v>
      </c>
      <c r="E30" s="53">
        <v>19844065</v>
      </c>
      <c r="F30" s="53">
        <v>23842636</v>
      </c>
      <c r="G30" s="53">
        <v>18858137</v>
      </c>
      <c r="H30" s="53">
        <v>19597748</v>
      </c>
      <c r="I30" s="53">
        <v>21774237</v>
      </c>
      <c r="J30" s="53">
        <v>21075956</v>
      </c>
      <c r="K30" s="53">
        <v>21586540</v>
      </c>
      <c r="L30" s="53">
        <v>21075150</v>
      </c>
      <c r="M30" s="53">
        <v>21283582</v>
      </c>
    </row>
    <row r="31" spans="2:13" x14ac:dyDescent="0.25">
      <c r="B31" t="str">
        <f t="shared" si="0"/>
        <v>11</v>
      </c>
      <c r="C31" t="str">
        <f>"D. Časové rozlišení pasív [v tis. Kč]"</f>
        <v>D. Časové rozlišení pasív [v tis. Kč]</v>
      </c>
      <c r="D31" s="53">
        <v>445559</v>
      </c>
      <c r="E31" s="53">
        <v>423256</v>
      </c>
      <c r="F31" s="53">
        <v>410842</v>
      </c>
      <c r="G31" s="53">
        <v>393280</v>
      </c>
      <c r="H31" s="53">
        <v>355875</v>
      </c>
      <c r="I31" s="53">
        <v>336605</v>
      </c>
      <c r="J31" s="53">
        <v>379276</v>
      </c>
      <c r="K31" s="53">
        <v>421015</v>
      </c>
      <c r="L31" s="53">
        <v>426577</v>
      </c>
      <c r="M31" s="53">
        <v>428800</v>
      </c>
    </row>
    <row r="32" spans="2:13" x14ac:dyDescent="0.25">
      <c r="B32" t="str">
        <f t="shared" si="0"/>
        <v>11</v>
      </c>
      <c r="C32" t="str">
        <f>"I. Tržby z prodeje vlastních výrobků a služeb [v tis. Kč]"</f>
        <v>I. Tržby z prodeje vlastních výrobků a služeb [v tis. Kč]</v>
      </c>
      <c r="D32" s="53">
        <v>56444396</v>
      </c>
      <c r="E32" s="53">
        <v>55616908</v>
      </c>
      <c r="F32" s="53">
        <v>56374060</v>
      </c>
      <c r="G32" s="53">
        <v>56804518</v>
      </c>
      <c r="H32" s="53">
        <v>59116405</v>
      </c>
      <c r="I32" s="53">
        <v>60090822</v>
      </c>
      <c r="J32" s="53">
        <v>60050939</v>
      </c>
      <c r="K32" s="53">
        <v>61392526</v>
      </c>
      <c r="L32" s="53">
        <v>64293483</v>
      </c>
      <c r="M32" s="53">
        <v>64857675</v>
      </c>
    </row>
    <row r="33" spans="2:13" x14ac:dyDescent="0.25">
      <c r="B33" t="str">
        <f t="shared" si="0"/>
        <v>11</v>
      </c>
      <c r="C33" t="str">
        <f>"II. Tržby za prodej zboží [v tis. Kč]"</f>
        <v>II. Tržby za prodej zboží [v tis. Kč]</v>
      </c>
      <c r="D33" s="53">
        <v>6054850</v>
      </c>
      <c r="E33" s="53">
        <v>5839209</v>
      </c>
      <c r="F33" s="53">
        <v>5992047</v>
      </c>
      <c r="G33" s="53">
        <v>6037492</v>
      </c>
      <c r="H33" s="53">
        <v>5768576</v>
      </c>
      <c r="I33" s="53">
        <v>6738979</v>
      </c>
      <c r="J33" s="53">
        <v>7283107</v>
      </c>
      <c r="K33" s="53">
        <v>9796048</v>
      </c>
      <c r="L33" s="53">
        <v>11086536</v>
      </c>
      <c r="M33" s="53">
        <v>10307971</v>
      </c>
    </row>
    <row r="34" spans="2:13" x14ac:dyDescent="0.25">
      <c r="B34" t="str">
        <f t="shared" si="0"/>
        <v>11</v>
      </c>
      <c r="C34" t="str">
        <f>"A. Výkonová spotřeba [v tis. Kč]"</f>
        <v>A. Výkonová spotřeba [v tis. Kč]</v>
      </c>
      <c r="D34" s="53">
        <v>43195692</v>
      </c>
      <c r="E34" s="53">
        <v>43470854</v>
      </c>
      <c r="F34" s="53">
        <v>44720323</v>
      </c>
      <c r="G34" s="53">
        <v>44982573</v>
      </c>
      <c r="H34" s="53">
        <v>45691851</v>
      </c>
      <c r="I34" s="53">
        <v>46981603</v>
      </c>
      <c r="J34" s="53">
        <v>46649967</v>
      </c>
      <c r="K34" s="53">
        <v>49169682</v>
      </c>
      <c r="L34" s="53">
        <v>51801982</v>
      </c>
      <c r="M34" s="53">
        <v>50850973</v>
      </c>
    </row>
    <row r="35" spans="2:13" x14ac:dyDescent="0.25">
      <c r="B35" t="str">
        <f t="shared" si="0"/>
        <v>11</v>
      </c>
      <c r="C35" t="str">
        <f>"A.1. Náklady vynaložené na prodané zboží [v tis. Kč]"</f>
        <v>A.1. Náklady vynaložené na prodané zboží [v tis. Kč]</v>
      </c>
      <c r="D35" s="53">
        <v>4003797</v>
      </c>
      <c r="E35" s="53">
        <v>3764361</v>
      </c>
      <c r="F35" s="53">
        <v>3737422</v>
      </c>
      <c r="G35" s="53">
        <v>3978032</v>
      </c>
      <c r="H35" s="53">
        <v>3829473</v>
      </c>
      <c r="I35" s="53">
        <v>4527577</v>
      </c>
      <c r="J35" s="53">
        <v>4917842</v>
      </c>
      <c r="K35" s="53">
        <v>6425128</v>
      </c>
      <c r="L35" s="53">
        <v>7817139</v>
      </c>
      <c r="M35" s="53">
        <v>7673628</v>
      </c>
    </row>
    <row r="36" spans="2:13" x14ac:dyDescent="0.25">
      <c r="B36" t="str">
        <f t="shared" si="0"/>
        <v>11</v>
      </c>
      <c r="C36" t="str">
        <f>"A.2.+A.3. Spotřeba materiálu a energie a služby   [v tis. Kč]"</f>
        <v>A.2.+A.3. Spotřeba materiálu a energie a služby   [v tis. Kč]</v>
      </c>
      <c r="D36" s="53">
        <v>39191895</v>
      </c>
      <c r="E36" s="53">
        <v>39706492</v>
      </c>
      <c r="F36" s="53">
        <v>40982901</v>
      </c>
      <c r="G36" s="53">
        <v>41004541</v>
      </c>
      <c r="H36" s="53">
        <v>41862378</v>
      </c>
      <c r="I36" s="53">
        <v>42454026</v>
      </c>
      <c r="J36" s="53">
        <v>41732125</v>
      </c>
      <c r="K36" s="53">
        <v>42744554</v>
      </c>
      <c r="L36" s="53">
        <v>43984843</v>
      </c>
      <c r="M36" s="53">
        <v>43177345</v>
      </c>
    </row>
    <row r="37" spans="2:13" x14ac:dyDescent="0.25">
      <c r="B37" t="str">
        <f t="shared" si="0"/>
        <v>11</v>
      </c>
      <c r="C37" t="str">
        <f>"B.+C. Změna stavu zásob vlastní činnosti + Aktivace [v tis. Kč]"</f>
        <v>B.+C. Změna stavu zásob vlastní činnosti + Aktivace [v tis. Kč]</v>
      </c>
      <c r="D37" s="53">
        <v>-372881</v>
      </c>
      <c r="E37" s="53">
        <v>-879522</v>
      </c>
      <c r="F37" s="53">
        <v>-680819</v>
      </c>
      <c r="G37" s="53">
        <v>-861805</v>
      </c>
      <c r="H37" s="53">
        <v>-153968</v>
      </c>
      <c r="I37" s="53">
        <v>-616391</v>
      </c>
      <c r="J37" s="53">
        <v>-324235</v>
      </c>
      <c r="K37" s="53">
        <v>-453226</v>
      </c>
      <c r="L37" s="53">
        <v>-735781</v>
      </c>
      <c r="M37" s="53">
        <v>-1022832</v>
      </c>
    </row>
    <row r="38" spans="2:13" x14ac:dyDescent="0.25">
      <c r="B38" t="str">
        <f t="shared" si="0"/>
        <v>11</v>
      </c>
      <c r="C38" t="str">
        <f>"D. Osobní náklady [v tis. Kč]"</f>
        <v>D. Osobní náklady [v tis. Kč]</v>
      </c>
      <c r="D38" s="53">
        <v>7176305</v>
      </c>
      <c r="E38" s="53">
        <v>6867471</v>
      </c>
      <c r="F38" s="53">
        <v>6795257</v>
      </c>
      <c r="G38" s="53">
        <v>6714446</v>
      </c>
      <c r="H38" s="53">
        <v>7096376</v>
      </c>
      <c r="I38" s="53">
        <v>7315680</v>
      </c>
      <c r="J38" s="53">
        <v>7641888</v>
      </c>
      <c r="K38" s="53">
        <v>8403739</v>
      </c>
      <c r="L38" s="53">
        <v>8962640</v>
      </c>
      <c r="M38" s="53">
        <v>9413210</v>
      </c>
    </row>
    <row r="39" spans="2:13" x14ac:dyDescent="0.25">
      <c r="B39" t="str">
        <f t="shared" si="0"/>
        <v>11</v>
      </c>
      <c r="C39" t="str">
        <f>"D.1 Mzdové náklady [v tis. Kč]"</f>
        <v>D.1 Mzdové náklady [v tis. Kč]</v>
      </c>
      <c r="D39" s="53">
        <v>5135446</v>
      </c>
      <c r="E39" s="53">
        <v>4932506</v>
      </c>
      <c r="F39" s="53">
        <v>5013259</v>
      </c>
      <c r="G39" s="53">
        <v>4951329</v>
      </c>
      <c r="H39" s="53">
        <v>5057038</v>
      </c>
      <c r="I39" s="53">
        <v>5185103</v>
      </c>
      <c r="J39" s="53">
        <v>5493914</v>
      </c>
      <c r="K39" s="53">
        <v>5897231</v>
      </c>
      <c r="L39" s="53">
        <v>6236764</v>
      </c>
      <c r="M39" s="53">
        <v>6564526</v>
      </c>
    </row>
    <row r="40" spans="2:13" x14ac:dyDescent="0.25">
      <c r="B40" t="str">
        <f t="shared" si="0"/>
        <v>11</v>
      </c>
      <c r="C40" t="str">
        <f>"D.2. Náklady na soc. zabezp. a zdrav. pojištění a ostatní náklady [v tis. Kč]"</f>
        <v>D.2. Náklady na soc. zabezp. a zdrav. pojištění a ostatní náklady [v tis. Kč]</v>
      </c>
      <c r="D40" s="53">
        <v>2040859</v>
      </c>
      <c r="E40" s="53">
        <v>1934965</v>
      </c>
      <c r="F40" s="53">
        <v>1781998</v>
      </c>
      <c r="G40" s="53">
        <v>1763117</v>
      </c>
      <c r="H40" s="53">
        <v>2039338</v>
      </c>
      <c r="I40" s="53">
        <v>2130577</v>
      </c>
      <c r="J40" s="53">
        <v>2147974</v>
      </c>
      <c r="K40" s="53">
        <v>2506509</v>
      </c>
      <c r="L40" s="53">
        <v>2725876</v>
      </c>
      <c r="M40" s="53">
        <v>2848685</v>
      </c>
    </row>
    <row r="41" spans="2:13" x14ac:dyDescent="0.25">
      <c r="B41" t="str">
        <f t="shared" si="0"/>
        <v>11</v>
      </c>
      <c r="C41" t="str">
        <f>"D.2.1 Náklady na soc. zabezp. a zdrav. pojištění [v tis. Kč]"</f>
        <v>D.2.1 Náklady na soc. zabezp. a zdrav. pojištění [v tis. Kč]</v>
      </c>
      <c r="D41" s="53">
        <v>1888896</v>
      </c>
      <c r="E41" s="53">
        <v>1750661</v>
      </c>
      <c r="F41" s="53">
        <v>1654040</v>
      </c>
      <c r="G41" s="53">
        <v>1634100</v>
      </c>
      <c r="H41" s="53">
        <v>1912831</v>
      </c>
      <c r="I41" s="53">
        <v>1975229</v>
      </c>
      <c r="J41" s="53">
        <v>1975323</v>
      </c>
      <c r="K41" s="53">
        <v>2356143</v>
      </c>
      <c r="L41" s="53">
        <v>2550406</v>
      </c>
      <c r="M41" s="53">
        <v>2699603</v>
      </c>
    </row>
    <row r="42" spans="2:13" x14ac:dyDescent="0.25">
      <c r="B42" t="str">
        <f t="shared" si="0"/>
        <v>11</v>
      </c>
      <c r="C42" t="str">
        <f>"D.2.2 Ostatní náklady [v tis. Kč]"</f>
        <v>D.2.2 Ostatní náklady [v tis. Kč]</v>
      </c>
      <c r="D42" s="53">
        <v>151963</v>
      </c>
      <c r="E42" s="53">
        <v>184305</v>
      </c>
      <c r="F42" s="53">
        <v>127958</v>
      </c>
      <c r="G42" s="53">
        <v>129017</v>
      </c>
      <c r="H42" s="53">
        <v>126507</v>
      </c>
      <c r="I42" s="53">
        <v>155348</v>
      </c>
      <c r="J42" s="53">
        <v>172650</v>
      </c>
      <c r="K42" s="53">
        <v>150365</v>
      </c>
      <c r="L42" s="53">
        <v>175470</v>
      </c>
      <c r="M42" s="53">
        <v>149082</v>
      </c>
    </row>
    <row r="43" spans="2:13" x14ac:dyDescent="0.25">
      <c r="B43" t="str">
        <f t="shared" si="0"/>
        <v>11</v>
      </c>
      <c r="C43" t="str">
        <f>"E.1 Úpravy hodnot dlouhodobého nehmotného a hmotného maj. [v tis. Kč]"</f>
        <v>E.1 Úpravy hodnot dlouhodobého nehmotného a hmotného maj. [v tis. Kč]</v>
      </c>
      <c r="D43" s="53">
        <v>5361511</v>
      </c>
      <c r="E43" s="53">
        <v>5217108</v>
      </c>
      <c r="F43" s="53">
        <v>4897294</v>
      </c>
      <c r="G43" s="53">
        <v>4692299</v>
      </c>
      <c r="H43" s="53">
        <v>4850406</v>
      </c>
      <c r="I43" s="53">
        <v>4852209</v>
      </c>
      <c r="J43" s="53">
        <v>5016775</v>
      </c>
      <c r="K43" s="53">
        <v>5094640</v>
      </c>
      <c r="L43" s="53">
        <v>5007684</v>
      </c>
      <c r="M43" s="53">
        <v>4780498</v>
      </c>
    </row>
    <row r="44" spans="2:13" x14ac:dyDescent="0.25">
      <c r="B44" t="str">
        <f t="shared" si="0"/>
        <v>11</v>
      </c>
      <c r="C44" t="str">
        <f>"J. Nákladové úroky a podobné náklady [v tis. Kč]"</f>
        <v>J. Nákladové úroky a podobné náklady [v tis. Kč]</v>
      </c>
      <c r="D44" s="53">
        <v>1410559</v>
      </c>
      <c r="E44" s="53">
        <v>1357922</v>
      </c>
      <c r="F44" s="53">
        <v>1336821</v>
      </c>
      <c r="G44" s="53">
        <v>2134550</v>
      </c>
      <c r="H44" s="53">
        <v>2089539</v>
      </c>
      <c r="I44" s="53">
        <v>1712681</v>
      </c>
      <c r="J44" s="53">
        <v>1334071</v>
      </c>
      <c r="K44" s="53">
        <v>1374333</v>
      </c>
      <c r="L44" s="53">
        <v>1449617</v>
      </c>
      <c r="M44" s="53">
        <v>1463732</v>
      </c>
    </row>
    <row r="45" spans="2:13" x14ac:dyDescent="0.25">
      <c r="B45" t="str">
        <f t="shared" si="0"/>
        <v>11</v>
      </c>
      <c r="C45" t="str">
        <f>"** VH před zdaněním [v tis. Kč]"</f>
        <v>** VH před zdaněním [v tis. Kč]</v>
      </c>
      <c r="D45" s="53">
        <v>5518443</v>
      </c>
      <c r="E45" s="53">
        <v>4939922</v>
      </c>
      <c r="F45" s="53">
        <v>4924164</v>
      </c>
      <c r="G45" s="53">
        <v>5056903</v>
      </c>
      <c r="H45" s="53">
        <v>2548416</v>
      </c>
      <c r="I45" s="53">
        <v>7430265</v>
      </c>
      <c r="J45" s="53">
        <v>6135728</v>
      </c>
      <c r="K45" s="53">
        <v>7720867</v>
      </c>
      <c r="L45" s="53">
        <v>6154872</v>
      </c>
      <c r="M45" s="53">
        <v>7166702</v>
      </c>
    </row>
    <row r="46" spans="2:13" x14ac:dyDescent="0.25">
      <c r="B46" t="str">
        <f t="shared" si="0"/>
        <v>11</v>
      </c>
      <c r="C46" t="str">
        <f>"L. Daň z příjmů [v tis. Kč]"</f>
        <v>L. Daň z příjmů [v tis. Kč]</v>
      </c>
      <c r="D46" s="53">
        <v>1286945</v>
      </c>
      <c r="E46" s="53">
        <v>313030</v>
      </c>
      <c r="F46" s="53">
        <v>1204587</v>
      </c>
      <c r="G46" s="53">
        <v>1323999</v>
      </c>
      <c r="H46" s="53">
        <v>1084027</v>
      </c>
      <c r="I46" s="53">
        <v>1433286</v>
      </c>
      <c r="J46" s="53">
        <v>1270288</v>
      </c>
      <c r="K46" s="53">
        <v>1692471</v>
      </c>
      <c r="L46" s="53">
        <v>1206474</v>
      </c>
      <c r="M46" s="53">
        <v>1347981</v>
      </c>
    </row>
    <row r="47" spans="2:13" x14ac:dyDescent="0.25">
      <c r="B47" t="str">
        <f t="shared" si="0"/>
        <v>11</v>
      </c>
      <c r="C47" t="str">
        <f>"*** VH za účetní období [v tis. Kč]"</f>
        <v>*** VH za účetní období [v tis. Kč]</v>
      </c>
      <c r="D47" s="53">
        <v>4231498</v>
      </c>
      <c r="E47" s="53">
        <v>4626892</v>
      </c>
      <c r="F47" s="53">
        <v>3719577</v>
      </c>
      <c r="G47" s="53">
        <v>3732904</v>
      </c>
      <c r="H47" s="53">
        <v>1464389</v>
      </c>
      <c r="I47" s="53">
        <v>5996979</v>
      </c>
      <c r="J47" s="53">
        <v>4865440</v>
      </c>
      <c r="K47" s="53">
        <v>6028396</v>
      </c>
      <c r="L47" s="53">
        <v>4948398</v>
      </c>
      <c r="M47" s="53">
        <v>5818721</v>
      </c>
    </row>
    <row r="48" spans="2:13" x14ac:dyDescent="0.25">
      <c r="B48" t="str">
        <f t="shared" si="0"/>
        <v>11</v>
      </c>
      <c r="C48" t="str">
        <f>"Přidaná hodnota [v tis. Kč]"</f>
        <v>Přidaná hodnota [v tis. Kč]</v>
      </c>
      <c r="D48" s="53">
        <v>19676434</v>
      </c>
      <c r="E48" s="53">
        <v>18864786</v>
      </c>
      <c r="F48" s="53">
        <v>18326602</v>
      </c>
      <c r="G48" s="53">
        <v>18721242</v>
      </c>
      <c r="H48" s="53">
        <v>19347098</v>
      </c>
      <c r="I48" s="53">
        <v>20464588</v>
      </c>
      <c r="J48" s="53">
        <v>21008313</v>
      </c>
      <c r="K48" s="53">
        <v>22472118</v>
      </c>
      <c r="L48" s="53">
        <v>24313818</v>
      </c>
      <c r="M48" s="53">
        <v>25357453</v>
      </c>
    </row>
    <row r="49" spans="2:13" x14ac:dyDescent="0.25">
      <c r="B49" t="str">
        <f t="shared" si="0"/>
        <v>11</v>
      </c>
      <c r="C49" t="str">
        <f>"Hrubý operační přebytek [v tis. Kč]"</f>
        <v>Hrubý operační přebytek [v tis. Kč]</v>
      </c>
      <c r="D49" s="53">
        <v>12500129</v>
      </c>
      <c r="E49" s="53">
        <v>11997314</v>
      </c>
      <c r="F49" s="53">
        <v>11531346</v>
      </c>
      <c r="G49" s="53">
        <v>12006796</v>
      </c>
      <c r="H49" s="53">
        <v>12250722</v>
      </c>
      <c r="I49" s="53">
        <v>13148908</v>
      </c>
      <c r="J49" s="53">
        <v>13366425</v>
      </c>
      <c r="K49" s="53">
        <v>14068378</v>
      </c>
      <c r="L49" s="53">
        <v>15351178</v>
      </c>
      <c r="M49" s="53">
        <v>15944242</v>
      </c>
    </row>
    <row r="50" spans="2:13" x14ac:dyDescent="0.25">
      <c r="B50" t="str">
        <f t="shared" si="0"/>
        <v>11</v>
      </c>
      <c r="C50" t="str">
        <f>"EBIT [v tis. Kč]"</f>
        <v>EBIT [v tis. Kč]</v>
      </c>
      <c r="D50" s="53">
        <v>6929002</v>
      </c>
      <c r="E50" s="53">
        <v>6297844</v>
      </c>
      <c r="F50" s="53">
        <v>6260985</v>
      </c>
      <c r="G50" s="53">
        <v>7191452</v>
      </c>
      <c r="H50" s="53">
        <v>4637955</v>
      </c>
      <c r="I50" s="53">
        <v>9142946</v>
      </c>
      <c r="J50" s="53">
        <v>7469799</v>
      </c>
      <c r="K50" s="53">
        <v>9095200</v>
      </c>
      <c r="L50" s="53">
        <v>7604489</v>
      </c>
      <c r="M50" s="53">
        <v>8630434</v>
      </c>
    </row>
    <row r="51" spans="2:13" x14ac:dyDescent="0.25">
      <c r="B51" t="str">
        <f t="shared" si="0"/>
        <v>11</v>
      </c>
      <c r="C51" t="str">
        <f>"* Čistý obrat za účetní období [v tis. Kč]"</f>
        <v>* Čistý obrat za účetní období [v tis. Kč]</v>
      </c>
      <c r="D51" s="53">
        <v>68531199</v>
      </c>
      <c r="E51" s="53">
        <v>66607441</v>
      </c>
      <c r="F51" s="53">
        <v>67391436</v>
      </c>
      <c r="G51" s="53">
        <v>68568856</v>
      </c>
      <c r="H51" s="53">
        <v>71183612</v>
      </c>
      <c r="I51" s="53">
        <v>72904597</v>
      </c>
      <c r="J51" s="53">
        <v>73713090</v>
      </c>
      <c r="K51" s="53">
        <v>76655559</v>
      </c>
      <c r="L51" s="53">
        <v>81210777</v>
      </c>
      <c r="M51" s="53">
        <v>80729302</v>
      </c>
    </row>
    <row r="52" spans="2:13" x14ac:dyDescent="0.25">
      <c r="B52" t="str">
        <f t="shared" si="0"/>
        <v>11</v>
      </c>
      <c r="C52" t="str">
        <f>"Tržby [v tis. Kč]"</f>
        <v>Tržby [v tis. Kč]</v>
      </c>
      <c r="D52" s="53">
        <v>62499245</v>
      </c>
      <c r="E52" s="53">
        <v>61456117</v>
      </c>
      <c r="F52" s="53">
        <v>62366106</v>
      </c>
      <c r="G52" s="53">
        <v>62842010</v>
      </c>
      <c r="H52" s="53">
        <v>64884981</v>
      </c>
      <c r="I52" s="53">
        <v>66829801</v>
      </c>
      <c r="J52" s="53">
        <v>67334046</v>
      </c>
      <c r="K52" s="53">
        <v>71188574</v>
      </c>
      <c r="L52" s="53">
        <v>75380019</v>
      </c>
      <c r="M52" s="53">
        <v>75185594</v>
      </c>
    </row>
    <row r="53" spans="2:13" x14ac:dyDescent="0.25">
      <c r="B53" t="str">
        <f t="shared" si="0"/>
        <v>11</v>
      </c>
      <c r="C53" t="str">
        <f>"Průměrný evidenční počet zaměstnanců"</f>
        <v>Průměrný evidenční počet zaměstnanců</v>
      </c>
      <c r="D53" s="53">
        <v>14768</v>
      </c>
      <c r="E53" s="53">
        <v>13881</v>
      </c>
      <c r="F53" s="53">
        <v>13574</v>
      </c>
      <c r="G53" s="53">
        <v>13294</v>
      </c>
      <c r="H53" s="53">
        <v>13358</v>
      </c>
      <c r="I53" s="53">
        <v>13471</v>
      </c>
      <c r="J53" s="53">
        <v>13690</v>
      </c>
      <c r="K53" s="53">
        <v>14199</v>
      </c>
      <c r="L53" s="53">
        <v>14606</v>
      </c>
      <c r="M53" s="53">
        <v>14711</v>
      </c>
    </row>
    <row r="54" spans="2:13" x14ac:dyDescent="0.25">
      <c r="B54" t="str">
        <f t="shared" si="0"/>
        <v>11</v>
      </c>
      <c r="C54" t="str">
        <f>"Pracující majitelé"</f>
        <v>Pracující majitelé</v>
      </c>
      <c r="D54">
        <v>770</v>
      </c>
      <c r="E54">
        <v>789</v>
      </c>
      <c r="F54">
        <v>782</v>
      </c>
      <c r="G54">
        <v>812</v>
      </c>
      <c r="H54" s="53">
        <v>1064</v>
      </c>
      <c r="I54" s="53">
        <v>1235</v>
      </c>
      <c r="J54" s="53">
        <v>1353</v>
      </c>
      <c r="K54" s="53">
        <v>1657</v>
      </c>
      <c r="L54" s="53">
        <v>1780</v>
      </c>
      <c r="M54" s="53">
        <v>1793</v>
      </c>
    </row>
    <row r="55" spans="2:13" x14ac:dyDescent="0.25">
      <c r="B55" t="str">
        <f t="shared" si="0"/>
        <v>11</v>
      </c>
      <c r="C55" t="str">
        <f>"Počet jednotek"</f>
        <v>Počet jednotek</v>
      </c>
      <c r="D55" s="53">
        <v>1232</v>
      </c>
      <c r="E55" s="53">
        <v>1277</v>
      </c>
      <c r="F55" s="53">
        <v>1222</v>
      </c>
      <c r="G55" s="53">
        <v>1266</v>
      </c>
      <c r="H55" s="53">
        <v>1613</v>
      </c>
      <c r="I55" s="53">
        <v>1815</v>
      </c>
      <c r="J55" s="53">
        <v>2052</v>
      </c>
      <c r="K55" s="53">
        <v>2237</v>
      </c>
      <c r="L55" s="53">
        <v>2412</v>
      </c>
      <c r="M55" s="53">
        <v>2412</v>
      </c>
    </row>
    <row r="56" spans="2:13" x14ac:dyDescent="0.25">
      <c r="B56" t="str">
        <f t="shared" si="0"/>
        <v>11</v>
      </c>
      <c r="C56" t="str">
        <f>"Investice [v tis. Kč]"</f>
        <v>Investice [v tis. Kč]</v>
      </c>
      <c r="D56" s="53">
        <v>4092308</v>
      </c>
      <c r="E56" s="53">
        <v>4475684</v>
      </c>
      <c r="F56" s="53">
        <v>4755504</v>
      </c>
      <c r="G56" s="53">
        <v>4289657</v>
      </c>
      <c r="H56" s="53">
        <v>3683600</v>
      </c>
      <c r="I56" s="53">
        <v>4978351</v>
      </c>
      <c r="J56" s="53">
        <v>4674474</v>
      </c>
      <c r="K56" s="53">
        <v>4919324</v>
      </c>
      <c r="L56" s="53">
        <v>6558197</v>
      </c>
      <c r="M56" s="53">
        <v>7978689</v>
      </c>
    </row>
    <row r="57" spans="2:13" x14ac:dyDescent="0.25">
      <c r="B57" t="str">
        <f t="shared" si="0"/>
        <v>11</v>
      </c>
      <c r="C57" t="str">
        <f>"Náklady celkem [v tis. Kč]"</f>
        <v>Náklady celkem [v tis. Kč]</v>
      </c>
      <c r="D57" s="53">
        <v>63012756</v>
      </c>
      <c r="E57" s="53">
        <v>61667519</v>
      </c>
      <c r="F57" s="53">
        <v>62467272</v>
      </c>
      <c r="G57" s="53">
        <v>63511953</v>
      </c>
      <c r="H57" s="53">
        <v>68635196</v>
      </c>
      <c r="I57" s="53">
        <v>65474332</v>
      </c>
      <c r="J57" s="53">
        <v>67577362</v>
      </c>
      <c r="K57" s="53">
        <v>68934692</v>
      </c>
      <c r="L57" s="53">
        <v>75055905</v>
      </c>
      <c r="M57" s="53">
        <v>73562600</v>
      </c>
    </row>
    <row r="58" spans="2:13" x14ac:dyDescent="0.25">
      <c r="B58" t="str">
        <f t="shared" si="0"/>
        <v>11</v>
      </c>
      <c r="C58" t="str">
        <f>"Úročené zdroje [v tis. Kč]"</f>
        <v>Úročené zdroje [v tis. Kč]</v>
      </c>
      <c r="D58" s="53">
        <v>55423572</v>
      </c>
      <c r="E58" s="53">
        <v>51178275</v>
      </c>
      <c r="F58" s="53">
        <v>34680766</v>
      </c>
      <c r="G58" s="53">
        <v>51623854</v>
      </c>
      <c r="H58" s="53">
        <v>45673209</v>
      </c>
      <c r="I58" s="53">
        <v>53321401</v>
      </c>
      <c r="J58" s="53">
        <v>53879814</v>
      </c>
      <c r="K58" s="53">
        <v>52818733</v>
      </c>
      <c r="L58" s="53">
        <v>56739990</v>
      </c>
      <c r="M58" s="53">
        <v>58383105</v>
      </c>
    </row>
    <row r="59" spans="2:13" x14ac:dyDescent="0.25">
      <c r="B59" t="str">
        <f t="shared" si="0"/>
        <v>11</v>
      </c>
      <c r="C59" t="str">
        <f>"EVA"</f>
        <v>EVA</v>
      </c>
      <c r="D59" s="53">
        <v>-2160825</v>
      </c>
      <c r="E59" s="53">
        <v>-723659</v>
      </c>
      <c r="F59" s="53">
        <v>417467</v>
      </c>
      <c r="G59" s="53">
        <v>-2701071</v>
      </c>
      <c r="H59" s="53">
        <v>-3999045</v>
      </c>
      <c r="I59" s="53">
        <v>-450450</v>
      </c>
      <c r="J59" s="53">
        <v>-1033110</v>
      </c>
      <c r="K59" s="53">
        <v>140696</v>
      </c>
      <c r="L59" s="53">
        <v>-1433971</v>
      </c>
      <c r="M59" s="53">
        <v>54850</v>
      </c>
    </row>
    <row r="60" spans="2:13" x14ac:dyDescent="0.25">
      <c r="B60" t="str">
        <f t="shared" si="0"/>
        <v>11</v>
      </c>
      <c r="C60" t="str">
        <f>"Spread"</f>
        <v>Spread</v>
      </c>
      <c r="D60" s="54">
        <v>-5.2600000000000001E-2</v>
      </c>
      <c r="E60" s="54">
        <v>-1.9E-2</v>
      </c>
      <c r="F60" s="54">
        <v>1.5299999999999999E-2</v>
      </c>
      <c r="G60" s="54">
        <v>-6.0400000000000002E-2</v>
      </c>
      <c r="H60" s="54">
        <v>-9.9900000000000003E-2</v>
      </c>
      <c r="I60" s="54">
        <v>-9.4000000000000004E-3</v>
      </c>
      <c r="J60" s="54">
        <v>-2.1600000000000001E-2</v>
      </c>
      <c r="K60" s="54">
        <v>3.0000000000000001E-3</v>
      </c>
      <c r="L60" s="54">
        <v>-2.9700000000000001E-2</v>
      </c>
      <c r="M60" s="54">
        <v>1.1000000000000001E-3</v>
      </c>
    </row>
    <row r="61" spans="2:13" x14ac:dyDescent="0.25">
      <c r="B61" t="str">
        <f t="shared" si="0"/>
        <v>11</v>
      </c>
      <c r="C61" t="str">
        <f>"ROE"</f>
        <v>ROE</v>
      </c>
      <c r="D61" s="54">
        <v>0.10299999999999999</v>
      </c>
      <c r="E61" s="54">
        <v>0.1215</v>
      </c>
      <c r="F61" s="54">
        <v>0.13619999999999999</v>
      </c>
      <c r="G61" s="54">
        <v>8.3400000000000002E-2</v>
      </c>
      <c r="H61" s="54">
        <v>3.6600000000000001E-2</v>
      </c>
      <c r="I61" s="54">
        <v>0.12520000000000001</v>
      </c>
      <c r="J61" s="54">
        <v>0.10150000000000001</v>
      </c>
      <c r="K61" s="54">
        <v>0.12720000000000001</v>
      </c>
      <c r="L61" s="54">
        <v>0.10249999999999999</v>
      </c>
      <c r="M61" s="54">
        <v>0.1168</v>
      </c>
    </row>
    <row r="62" spans="2:13" x14ac:dyDescent="0.25">
      <c r="B62" t="str">
        <f t="shared" si="0"/>
        <v>11</v>
      </c>
      <c r="C62" t="str">
        <f>"re"</f>
        <v>re</v>
      </c>
      <c r="D62" s="54">
        <v>0.1555</v>
      </c>
      <c r="E62" s="54">
        <v>0.14050000000000001</v>
      </c>
      <c r="F62" s="54">
        <v>0.12089999999999999</v>
      </c>
      <c r="G62" s="54">
        <v>0.14380000000000001</v>
      </c>
      <c r="H62" s="54">
        <v>0.13650000000000001</v>
      </c>
      <c r="I62" s="54">
        <v>0.1346</v>
      </c>
      <c r="J62" s="54">
        <v>0.1231</v>
      </c>
      <c r="K62" s="54">
        <v>0.1242</v>
      </c>
      <c r="L62" s="54">
        <v>0.13220000000000001</v>
      </c>
      <c r="M62" s="54">
        <v>0.1157</v>
      </c>
    </row>
    <row r="63" spans="2:13" x14ac:dyDescent="0.25">
      <c r="B63" t="str">
        <f t="shared" si="0"/>
        <v>11</v>
      </c>
      <c r="C63" t="str">
        <f>"rf"</f>
        <v>rf</v>
      </c>
      <c r="D63" s="54">
        <v>3.7100000000000001E-2</v>
      </c>
      <c r="E63" s="54">
        <v>3.7900000000000003E-2</v>
      </c>
      <c r="F63" s="54">
        <v>2.3099999999999999E-2</v>
      </c>
      <c r="G63" s="54">
        <v>2.2599999999999999E-2</v>
      </c>
      <c r="H63" s="54">
        <v>1.5800000000000002E-2</v>
      </c>
      <c r="I63" s="54">
        <v>5.7999999999999996E-3</v>
      </c>
      <c r="J63" s="54">
        <v>4.3E-3</v>
      </c>
      <c r="K63" s="54">
        <v>9.7999999999999997E-3</v>
      </c>
      <c r="L63" s="54">
        <v>1.9800000000000002E-2</v>
      </c>
      <c r="M63" s="54">
        <v>1.55E-2</v>
      </c>
    </row>
    <row r="64" spans="2:13" x14ac:dyDescent="0.25">
      <c r="B64" t="str">
        <f t="shared" si="0"/>
        <v>11</v>
      </c>
      <c r="C64" t="str">
        <f>"EBIT/Aktiva"</f>
        <v>EBIT/Aktiva</v>
      </c>
      <c r="D64" s="54">
        <v>7.9500000000000001E-2</v>
      </c>
      <c r="E64" s="54">
        <v>7.46E-2</v>
      </c>
      <c r="F64" s="54">
        <v>8.3000000000000004E-2</v>
      </c>
      <c r="G64" s="54">
        <v>7.0099999999999996E-2</v>
      </c>
      <c r="H64" s="54">
        <v>4.7800000000000002E-2</v>
      </c>
      <c r="I64" s="54">
        <v>9.3399999999999997E-2</v>
      </c>
      <c r="J64" s="54">
        <v>7.4700000000000003E-2</v>
      </c>
      <c r="K64" s="54">
        <v>8.9899999999999994E-2</v>
      </c>
      <c r="L64" s="54">
        <v>7.5200000000000003E-2</v>
      </c>
      <c r="M64" s="54">
        <v>8.4400000000000003E-2</v>
      </c>
    </row>
    <row r="65" spans="2:13" x14ac:dyDescent="0.25">
      <c r="B65" t="str">
        <f t="shared" si="0"/>
        <v>11</v>
      </c>
      <c r="C65" t="str">
        <f>"Čistý obrat/Aktiva"</f>
        <v>Čistý obrat/Aktiva</v>
      </c>
      <c r="D65">
        <v>0.79</v>
      </c>
      <c r="E65">
        <v>0.79</v>
      </c>
      <c r="F65">
        <v>0.89</v>
      </c>
      <c r="G65">
        <v>0.67</v>
      </c>
      <c r="H65">
        <v>0.73</v>
      </c>
      <c r="I65">
        <v>0.75</v>
      </c>
      <c r="J65">
        <v>0.74</v>
      </c>
      <c r="K65">
        <v>0.76</v>
      </c>
      <c r="L65">
        <v>0.8</v>
      </c>
      <c r="M65">
        <v>0.79</v>
      </c>
    </row>
    <row r="66" spans="2:13" x14ac:dyDescent="0.25">
      <c r="B66" t="str">
        <f t="shared" si="0"/>
        <v>11</v>
      </c>
      <c r="C66" t="str">
        <f>"EBIT/Čistý obrat"</f>
        <v>EBIT/Čistý obrat</v>
      </c>
      <c r="D66" s="54">
        <v>0.1011</v>
      </c>
      <c r="E66" s="54">
        <v>9.4600000000000004E-2</v>
      </c>
      <c r="F66" s="54">
        <v>9.2899999999999996E-2</v>
      </c>
      <c r="G66" s="54">
        <v>0.10489999999999999</v>
      </c>
      <c r="H66" s="54">
        <v>6.5199999999999994E-2</v>
      </c>
      <c r="I66" s="54">
        <v>0.12540000000000001</v>
      </c>
      <c r="J66" s="54">
        <v>0.1013</v>
      </c>
      <c r="K66" s="54">
        <v>0.1187</v>
      </c>
      <c r="L66" s="54">
        <v>9.3600000000000003E-2</v>
      </c>
      <c r="M66" s="54">
        <v>0.1069</v>
      </c>
    </row>
    <row r="67" spans="2:13" x14ac:dyDescent="0.25">
      <c r="B67" t="str">
        <f t="shared" ref="B67:B78" si="1">"11"</f>
        <v>11</v>
      </c>
      <c r="C67" t="str">
        <f>"VK/Aktiva"</f>
        <v>VK/Aktiva</v>
      </c>
      <c r="D67" s="54">
        <v>0.47160000000000002</v>
      </c>
      <c r="E67" s="54">
        <v>0.45119999999999999</v>
      </c>
      <c r="F67" s="54">
        <v>0.36180000000000001</v>
      </c>
      <c r="G67" s="54">
        <v>0.43609999999999999</v>
      </c>
      <c r="H67" s="54">
        <v>0.41260000000000002</v>
      </c>
      <c r="I67" s="54">
        <v>0.48930000000000001</v>
      </c>
      <c r="J67" s="54">
        <v>0.47939999999999999</v>
      </c>
      <c r="K67" s="54">
        <v>0.46860000000000002</v>
      </c>
      <c r="L67" s="54">
        <v>0.47699999999999998</v>
      </c>
      <c r="M67" s="54">
        <v>0.48709999999999998</v>
      </c>
    </row>
    <row r="68" spans="2:13" x14ac:dyDescent="0.25">
      <c r="B68" t="str">
        <f t="shared" si="1"/>
        <v>11</v>
      </c>
      <c r="C68" t="str">
        <f>"UZ/Aktiva"</f>
        <v>UZ/Aktiva</v>
      </c>
      <c r="D68" s="54">
        <v>0.63590000000000002</v>
      </c>
      <c r="E68" s="54">
        <v>0.60640000000000005</v>
      </c>
      <c r="F68" s="54">
        <v>0.45950000000000002</v>
      </c>
      <c r="G68" s="54">
        <v>0.50319999999999998</v>
      </c>
      <c r="H68" s="54">
        <v>0.47089999999999999</v>
      </c>
      <c r="I68" s="54">
        <v>0.54490000000000005</v>
      </c>
      <c r="J68" s="54">
        <v>0.53910000000000002</v>
      </c>
      <c r="K68" s="54">
        <v>0.52200000000000002</v>
      </c>
      <c r="L68" s="54">
        <v>0.56079999999999997</v>
      </c>
      <c r="M68" s="54">
        <v>0.57079999999999997</v>
      </c>
    </row>
    <row r="69" spans="2:13" x14ac:dyDescent="0.25">
      <c r="B69" t="str">
        <f t="shared" si="1"/>
        <v>11</v>
      </c>
      <c r="C69" t="str">
        <f>"Úroková míra"</f>
        <v>Úroková míra</v>
      </c>
      <c r="D69" s="54">
        <v>9.8500000000000004E-2</v>
      </c>
      <c r="E69" s="54">
        <v>0.1037</v>
      </c>
      <c r="F69" s="54">
        <v>0.18129999999999999</v>
      </c>
      <c r="G69" s="54">
        <v>0.31</v>
      </c>
      <c r="H69" s="54">
        <v>0.36930000000000002</v>
      </c>
      <c r="I69" s="54">
        <v>0.315</v>
      </c>
      <c r="J69" s="54">
        <v>0.2238</v>
      </c>
      <c r="K69" s="54">
        <v>0.25419999999999998</v>
      </c>
      <c r="L69" s="54">
        <v>0.1709</v>
      </c>
      <c r="M69" s="54">
        <v>0.1709</v>
      </c>
    </row>
    <row r="70" spans="2:13" x14ac:dyDescent="0.25">
      <c r="B70" t="str">
        <f t="shared" si="1"/>
        <v>11</v>
      </c>
      <c r="C70" t="str">
        <f>"L3"</f>
        <v>L3</v>
      </c>
      <c r="D70">
        <v>1.03</v>
      </c>
      <c r="E70">
        <v>0.97</v>
      </c>
      <c r="F70">
        <v>1.02</v>
      </c>
      <c r="G70">
        <v>1.21</v>
      </c>
      <c r="H70">
        <v>1.1299999999999999</v>
      </c>
      <c r="I70">
        <v>1.04</v>
      </c>
      <c r="J70">
        <v>1.1000000000000001</v>
      </c>
      <c r="K70">
        <v>1.1499999999999999</v>
      </c>
      <c r="L70">
        <v>1.25</v>
      </c>
      <c r="M70">
        <v>1.3</v>
      </c>
    </row>
    <row r="71" spans="2:13" x14ac:dyDescent="0.25">
      <c r="B71" t="str">
        <f t="shared" si="1"/>
        <v>11</v>
      </c>
      <c r="C71" t="str">
        <f>"L2"</f>
        <v>L2</v>
      </c>
      <c r="D71">
        <v>0.74</v>
      </c>
      <c r="E71">
        <v>0.67</v>
      </c>
      <c r="F71">
        <v>0.7</v>
      </c>
      <c r="G71">
        <v>0.82</v>
      </c>
      <c r="H71">
        <v>0.8</v>
      </c>
      <c r="I71">
        <v>0.72</v>
      </c>
      <c r="J71">
        <v>0.76</v>
      </c>
      <c r="K71">
        <v>0.79</v>
      </c>
      <c r="L71">
        <v>0.84</v>
      </c>
      <c r="M71">
        <v>0.89</v>
      </c>
    </row>
    <row r="72" spans="2:13" x14ac:dyDescent="0.25">
      <c r="B72" t="str">
        <f t="shared" si="1"/>
        <v>11</v>
      </c>
      <c r="C72" t="str">
        <f>"L1"</f>
        <v>L1</v>
      </c>
      <c r="D72">
        <v>0.22</v>
      </c>
      <c r="E72">
        <v>0.19</v>
      </c>
      <c r="F72">
        <v>0.21</v>
      </c>
      <c r="G72">
        <v>0.25</v>
      </c>
      <c r="H72">
        <v>0.23</v>
      </c>
      <c r="I72">
        <v>0.22</v>
      </c>
      <c r="J72">
        <v>0.25</v>
      </c>
      <c r="K72">
        <v>0.22</v>
      </c>
      <c r="L72">
        <v>0.27</v>
      </c>
      <c r="M72">
        <v>0.27</v>
      </c>
    </row>
    <row r="73" spans="2:13" x14ac:dyDescent="0.25">
      <c r="B73" t="str">
        <f t="shared" si="1"/>
        <v>11</v>
      </c>
      <c r="C73" t="str">
        <f>"HOP/Čistý obrat"</f>
        <v>HOP/Čistý obrat</v>
      </c>
      <c r="D73" s="54">
        <v>0.18240000000000001</v>
      </c>
      <c r="E73" s="54">
        <v>0.18010000000000001</v>
      </c>
      <c r="F73" s="54">
        <v>0.1711</v>
      </c>
      <c r="G73" s="54">
        <v>0.17510000000000001</v>
      </c>
      <c r="H73" s="54">
        <v>0.1721</v>
      </c>
      <c r="I73" s="54">
        <v>0.1804</v>
      </c>
      <c r="J73" s="54">
        <v>0.18129999999999999</v>
      </c>
      <c r="K73" s="54">
        <v>0.1835</v>
      </c>
      <c r="L73" s="54">
        <v>0.189</v>
      </c>
      <c r="M73" s="54">
        <v>0.19750000000000001</v>
      </c>
    </row>
    <row r="74" spans="2:13" x14ac:dyDescent="0.25">
      <c r="B74" t="str">
        <f t="shared" si="1"/>
        <v>11</v>
      </c>
      <c r="C74" t="str">
        <f>"PH/Čistý obrat"</f>
        <v>PH/Čistý obrat</v>
      </c>
      <c r="D74" s="54">
        <v>0.28710000000000002</v>
      </c>
      <c r="E74" s="54">
        <v>0.28320000000000001</v>
      </c>
      <c r="F74" s="54">
        <v>0.27189999999999998</v>
      </c>
      <c r="G74" s="54">
        <v>0.27300000000000002</v>
      </c>
      <c r="H74" s="54">
        <v>0.27179999999999999</v>
      </c>
      <c r="I74" s="54">
        <v>0.28070000000000001</v>
      </c>
      <c r="J74" s="54">
        <v>0.28499999999999998</v>
      </c>
      <c r="K74" s="54">
        <v>0.29320000000000002</v>
      </c>
      <c r="L74" s="54">
        <v>0.2994</v>
      </c>
      <c r="M74" s="54">
        <v>0.31409999999999999</v>
      </c>
    </row>
    <row r="75" spans="2:13" x14ac:dyDescent="0.25">
      <c r="B75" t="str">
        <f t="shared" si="1"/>
        <v>11</v>
      </c>
      <c r="C75" t="str">
        <f>"ON/Čistý obrat"</f>
        <v>ON/Čistý obrat</v>
      </c>
      <c r="D75" s="54">
        <v>0.1047</v>
      </c>
      <c r="E75" s="54">
        <v>0.1031</v>
      </c>
      <c r="F75" s="54">
        <v>0.1008</v>
      </c>
      <c r="G75" s="54">
        <v>9.7900000000000001E-2</v>
      </c>
      <c r="H75" s="54">
        <v>9.9699999999999997E-2</v>
      </c>
      <c r="I75" s="54">
        <v>0.1003</v>
      </c>
      <c r="J75" s="54">
        <v>0.1037</v>
      </c>
      <c r="K75" s="54">
        <v>0.1096</v>
      </c>
      <c r="L75" s="54">
        <v>0.1104</v>
      </c>
      <c r="M75" s="54">
        <v>0.1166</v>
      </c>
    </row>
    <row r="76" spans="2:13" x14ac:dyDescent="0.25">
      <c r="B76" t="str">
        <f t="shared" si="1"/>
        <v>11</v>
      </c>
      <c r="C76" t="str">
        <f>"Přidaná hodnota na pracující osobu [v Kč]"</f>
        <v>Přidaná hodnota na pracující osobu [v Kč]</v>
      </c>
      <c r="D76" s="53">
        <v>1266325</v>
      </c>
      <c r="E76" s="53">
        <v>1285985</v>
      </c>
      <c r="F76" s="53">
        <v>1276534</v>
      </c>
      <c r="G76" s="53">
        <v>1327173</v>
      </c>
      <c r="H76" s="53">
        <v>1341568</v>
      </c>
      <c r="I76" s="53">
        <v>1391578</v>
      </c>
      <c r="J76" s="53">
        <v>1396504</v>
      </c>
      <c r="K76" s="53">
        <v>1417285</v>
      </c>
      <c r="L76" s="53">
        <v>1483811</v>
      </c>
      <c r="M76" s="53">
        <v>1536440</v>
      </c>
    </row>
    <row r="77" spans="2:13" x14ac:dyDescent="0.25">
      <c r="B77" t="str">
        <f t="shared" si="1"/>
        <v>11</v>
      </c>
      <c r="C77" t="str">
        <f>"Přidaná hodnota na zaměstnance [v Kč]"</f>
        <v>Přidaná hodnota na zaměstnance [v Kč]</v>
      </c>
      <c r="D77" s="53">
        <v>1332377</v>
      </c>
      <c r="E77" s="53">
        <v>1359075</v>
      </c>
      <c r="F77" s="53">
        <v>1350108</v>
      </c>
      <c r="G77" s="53">
        <v>1408271</v>
      </c>
      <c r="H77" s="53">
        <v>1448395</v>
      </c>
      <c r="I77" s="53">
        <v>1519116</v>
      </c>
      <c r="J77" s="53">
        <v>1534565</v>
      </c>
      <c r="K77" s="53">
        <v>1582711</v>
      </c>
      <c r="L77" s="53">
        <v>1664671</v>
      </c>
      <c r="M77" s="53">
        <v>1723714</v>
      </c>
    </row>
    <row r="78" spans="2:13" x14ac:dyDescent="0.25">
      <c r="B78" t="str">
        <f t="shared" si="1"/>
        <v>11</v>
      </c>
      <c r="C78" t="str">
        <f>"Průměrná mzda [v Kč]"</f>
        <v>Průměrná mzda [v Kč]</v>
      </c>
      <c r="D78" s="53">
        <v>28979</v>
      </c>
      <c r="E78" s="53">
        <v>29613</v>
      </c>
      <c r="F78" s="53">
        <v>30777</v>
      </c>
      <c r="G78" s="53">
        <v>31038</v>
      </c>
      <c r="H78" s="53">
        <v>31549</v>
      </c>
      <c r="I78" s="53">
        <v>32075</v>
      </c>
      <c r="J78" s="53">
        <v>33442</v>
      </c>
      <c r="K78" s="53">
        <v>34612</v>
      </c>
      <c r="L78" s="53">
        <v>35584</v>
      </c>
      <c r="M78" s="53">
        <v>37186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F544-0F87-45E6-8B77-141A4A8BC4C9}">
  <dimension ref="B2:S93"/>
  <sheetViews>
    <sheetView topLeftCell="A39" zoomScale="50" zoomScaleNormal="50" workbookViewId="0">
      <selection activeCell="B78" sqref="B78:J93"/>
    </sheetView>
  </sheetViews>
  <sheetFormatPr defaultRowHeight="15" x14ac:dyDescent="0.25"/>
  <cols>
    <col min="2" max="2" width="56.140625" customWidth="1"/>
    <col min="3" max="3" width="12.42578125" customWidth="1"/>
    <col min="4" max="5" width="11.5703125" customWidth="1"/>
    <col min="6" max="6" width="12.140625" customWidth="1"/>
    <col min="7" max="8" width="12.5703125" customWidth="1"/>
    <col min="9" max="9" width="12.42578125" customWidth="1"/>
    <col min="10" max="10" width="12" customWidth="1"/>
    <col min="11" max="11" width="11.42578125" customWidth="1"/>
    <col min="12" max="12" width="10.7109375" customWidth="1"/>
    <col min="14" max="14" width="51.42578125" customWidth="1"/>
    <col min="15" max="17" width="10.85546875" customWidth="1"/>
    <col min="18" max="18" width="12.28515625" customWidth="1"/>
    <col min="19" max="19" width="12" customWidth="1"/>
  </cols>
  <sheetData>
    <row r="2" spans="2:12" ht="15.75" x14ac:dyDescent="0.25">
      <c r="B2" s="256" t="s">
        <v>219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2:12" ht="15.75" x14ac:dyDescent="0.25">
      <c r="B3" s="2" t="s">
        <v>0</v>
      </c>
      <c r="C3" s="2">
        <v>2010</v>
      </c>
      <c r="D3" s="2">
        <v>2011</v>
      </c>
      <c r="E3" s="2">
        <v>2012</v>
      </c>
      <c r="F3" s="2">
        <v>2013</v>
      </c>
      <c r="G3" s="2">
        <v>2014</v>
      </c>
      <c r="H3" s="2">
        <v>2015</v>
      </c>
      <c r="I3" s="2">
        <v>2016</v>
      </c>
      <c r="J3" s="2">
        <v>2017</v>
      </c>
      <c r="K3" s="2">
        <v>2018</v>
      </c>
      <c r="L3" s="2">
        <v>2019</v>
      </c>
    </row>
    <row r="4" spans="2:12" ht="15.75" x14ac:dyDescent="0.25">
      <c r="B4" s="3" t="s">
        <v>1</v>
      </c>
      <c r="C4" s="4">
        <v>506329</v>
      </c>
      <c r="D4" s="5">
        <v>547689</v>
      </c>
      <c r="E4" s="5">
        <v>577227</v>
      </c>
      <c r="F4" s="5">
        <v>593723</v>
      </c>
      <c r="G4" s="6">
        <v>690250</v>
      </c>
      <c r="H4" s="5">
        <v>818459</v>
      </c>
      <c r="I4" s="5">
        <v>918170</v>
      </c>
      <c r="J4" s="5">
        <v>1013591</v>
      </c>
      <c r="K4" s="5">
        <v>1161192</v>
      </c>
      <c r="L4" s="5">
        <v>1307321</v>
      </c>
    </row>
    <row r="5" spans="2:12" ht="15.75" x14ac:dyDescent="0.25">
      <c r="B5" s="7" t="s">
        <v>2</v>
      </c>
      <c r="C5" s="5">
        <v>313628</v>
      </c>
      <c r="D5" s="5">
        <v>380000</v>
      </c>
      <c r="E5" s="5">
        <v>418149</v>
      </c>
      <c r="F5" s="5">
        <v>406274</v>
      </c>
      <c r="G5" s="6">
        <v>467763</v>
      </c>
      <c r="H5" s="5">
        <v>568017</v>
      </c>
      <c r="I5" s="5">
        <v>675781</v>
      </c>
      <c r="J5" s="5">
        <v>742145</v>
      </c>
      <c r="K5" s="5">
        <v>851060</v>
      </c>
      <c r="L5" s="5">
        <v>964961</v>
      </c>
    </row>
    <row r="6" spans="2:12" ht="15.75" x14ac:dyDescent="0.25">
      <c r="B6" s="7" t="s">
        <v>3</v>
      </c>
      <c r="C6" s="5">
        <v>260000</v>
      </c>
      <c r="D6" s="5">
        <v>260000</v>
      </c>
      <c r="E6" s="5">
        <v>260000</v>
      </c>
      <c r="F6" s="5">
        <v>260000</v>
      </c>
      <c r="G6" s="5">
        <v>260000</v>
      </c>
      <c r="H6" s="5">
        <v>260000</v>
      </c>
      <c r="I6" s="5">
        <v>260000</v>
      </c>
      <c r="J6" s="5">
        <v>260000</v>
      </c>
      <c r="K6" s="5">
        <v>260000</v>
      </c>
      <c r="L6" s="5">
        <v>260000</v>
      </c>
    </row>
    <row r="7" spans="2:12" ht="15.75" x14ac:dyDescent="0.25">
      <c r="B7" s="8" t="s">
        <v>4</v>
      </c>
      <c r="C7" s="9">
        <v>260000</v>
      </c>
      <c r="D7" s="10">
        <v>260000</v>
      </c>
      <c r="E7" s="10">
        <v>260000</v>
      </c>
      <c r="F7" s="10">
        <v>260000</v>
      </c>
      <c r="G7" s="10">
        <v>260000</v>
      </c>
      <c r="H7" s="10">
        <v>260000</v>
      </c>
      <c r="I7" s="10">
        <v>260000</v>
      </c>
      <c r="J7" s="10">
        <v>260000</v>
      </c>
      <c r="K7" s="10">
        <v>260000</v>
      </c>
      <c r="L7" s="10">
        <v>260000</v>
      </c>
    </row>
    <row r="8" spans="2:12" ht="15.75" x14ac:dyDescent="0.25">
      <c r="B8" s="7" t="s">
        <v>5</v>
      </c>
      <c r="C8" s="5">
        <v>18430</v>
      </c>
      <c r="D8" s="5">
        <v>24894</v>
      </c>
      <c r="E8" s="5">
        <v>30496</v>
      </c>
      <c r="F8" s="5">
        <v>39422</v>
      </c>
      <c r="G8" s="6">
        <v>43691</v>
      </c>
      <c r="H8" s="5">
        <v>48836</v>
      </c>
      <c r="I8" s="5">
        <v>57780</v>
      </c>
      <c r="J8" s="5">
        <v>63581</v>
      </c>
      <c r="K8" s="5">
        <v>69048</v>
      </c>
      <c r="L8" s="5">
        <v>72358</v>
      </c>
    </row>
    <row r="9" spans="2:12" ht="15.75" x14ac:dyDescent="0.25">
      <c r="B9" s="8" t="s">
        <v>6</v>
      </c>
      <c r="C9" s="9">
        <v>18430</v>
      </c>
      <c r="D9" s="10">
        <v>24894</v>
      </c>
      <c r="E9" s="10">
        <v>30496</v>
      </c>
      <c r="F9" s="10">
        <v>39422</v>
      </c>
      <c r="G9" s="11">
        <v>43691</v>
      </c>
      <c r="H9" s="10">
        <v>48836</v>
      </c>
      <c r="I9" s="10">
        <v>57780</v>
      </c>
      <c r="J9" s="10">
        <v>63581</v>
      </c>
      <c r="K9" s="10">
        <v>69048</v>
      </c>
      <c r="L9" s="10">
        <v>72358</v>
      </c>
    </row>
    <row r="10" spans="2:12" ht="15.75" x14ac:dyDescent="0.25">
      <c r="B10" s="7" t="s">
        <v>7</v>
      </c>
      <c r="C10" s="5">
        <v>2833</v>
      </c>
      <c r="D10" s="5">
        <v>6877</v>
      </c>
      <c r="E10" s="5">
        <v>9190</v>
      </c>
      <c r="F10" s="5">
        <v>11817</v>
      </c>
      <c r="G10" s="6">
        <v>14877</v>
      </c>
      <c r="H10" s="5">
        <v>18138</v>
      </c>
      <c r="I10" s="5">
        <v>22894</v>
      </c>
      <c r="J10" s="5">
        <v>28346</v>
      </c>
      <c r="K10" s="5">
        <v>33544</v>
      </c>
      <c r="L10" s="5">
        <v>40694</v>
      </c>
    </row>
    <row r="11" spans="2:12" ht="15.75" x14ac:dyDescent="0.25">
      <c r="B11" s="8" t="s">
        <v>8</v>
      </c>
      <c r="C11" s="9">
        <v>2833</v>
      </c>
      <c r="D11" s="10">
        <v>6877</v>
      </c>
      <c r="E11" s="10">
        <v>9190</v>
      </c>
      <c r="F11" s="10">
        <v>11817</v>
      </c>
      <c r="G11" s="11">
        <v>14877</v>
      </c>
      <c r="H11" s="10">
        <v>18138</v>
      </c>
      <c r="I11" s="10">
        <v>22894</v>
      </c>
      <c r="J11" s="10">
        <v>28346</v>
      </c>
      <c r="K11" s="10">
        <v>33544</v>
      </c>
      <c r="L11" s="10">
        <v>40694</v>
      </c>
    </row>
    <row r="12" spans="2:12" ht="15.75" x14ac:dyDescent="0.25">
      <c r="B12" s="7" t="s">
        <v>9</v>
      </c>
      <c r="C12" s="5">
        <v>-2565</v>
      </c>
      <c r="D12" s="5">
        <v>41968</v>
      </c>
      <c r="E12" s="5">
        <v>65916</v>
      </c>
      <c r="F12" s="5">
        <v>35836</v>
      </c>
      <c r="G12" s="6">
        <v>83976</v>
      </c>
      <c r="H12" s="5">
        <v>145934</v>
      </c>
      <c r="I12" s="5">
        <v>226051</v>
      </c>
      <c r="J12" s="5">
        <v>286252</v>
      </c>
      <c r="K12" s="5">
        <v>345470</v>
      </c>
      <c r="L12" s="5">
        <v>427584</v>
      </c>
    </row>
    <row r="13" spans="2:12" ht="15.75" x14ac:dyDescent="0.25">
      <c r="B13" s="8" t="s">
        <v>10</v>
      </c>
      <c r="C13" s="9">
        <v>20998</v>
      </c>
      <c r="D13" s="10">
        <v>65531</v>
      </c>
      <c r="E13" s="10">
        <v>16869</v>
      </c>
      <c r="F13" s="10">
        <v>59399</v>
      </c>
      <c r="G13" s="11">
        <v>107539</v>
      </c>
      <c r="H13" s="10">
        <v>169533</v>
      </c>
      <c r="I13" s="10">
        <v>249650</v>
      </c>
      <c r="J13" s="10">
        <v>309851</v>
      </c>
      <c r="K13" s="10">
        <v>369069</v>
      </c>
      <c r="L13" s="10">
        <v>451183</v>
      </c>
    </row>
    <row r="14" spans="2:12" ht="15.75" x14ac:dyDescent="0.25">
      <c r="B14" s="8" t="s">
        <v>11</v>
      </c>
      <c r="C14" s="9">
        <v>-23563</v>
      </c>
      <c r="D14" s="10">
        <v>-23563</v>
      </c>
      <c r="E14" s="10">
        <v>-23563</v>
      </c>
      <c r="F14" s="10">
        <v>-23563</v>
      </c>
      <c r="G14" s="11">
        <v>-23563</v>
      </c>
      <c r="H14" s="10">
        <v>-23599</v>
      </c>
      <c r="I14" s="10">
        <v>-23599</v>
      </c>
      <c r="J14" s="10">
        <v>-23599</v>
      </c>
      <c r="K14" s="10">
        <v>-23599</v>
      </c>
      <c r="L14" s="10">
        <v>-23599</v>
      </c>
    </row>
    <row r="15" spans="2:12" ht="15.75" x14ac:dyDescent="0.25">
      <c r="B15" s="8" t="s">
        <v>12</v>
      </c>
      <c r="C15" s="9">
        <v>-27</v>
      </c>
      <c r="D15" s="10">
        <v>0</v>
      </c>
      <c r="E15" s="10">
        <v>0</v>
      </c>
      <c r="F15" s="10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</row>
    <row r="16" spans="2:12" ht="15.75" x14ac:dyDescent="0.25">
      <c r="B16" s="7" t="s">
        <v>13</v>
      </c>
      <c r="C16" s="5">
        <v>34390</v>
      </c>
      <c r="D16" s="5">
        <v>46261</v>
      </c>
      <c r="E16" s="5">
        <v>52547</v>
      </c>
      <c r="F16" s="5">
        <v>61199</v>
      </c>
      <c r="G16" s="6">
        <v>65219</v>
      </c>
      <c r="H16" s="5">
        <v>95109</v>
      </c>
      <c r="I16" s="5">
        <v>109056</v>
      </c>
      <c r="J16" s="5">
        <v>103966</v>
      </c>
      <c r="K16" s="5">
        <v>142998</v>
      </c>
      <c r="L16" s="5">
        <v>164325</v>
      </c>
    </row>
    <row r="17" spans="2:12" ht="15.75" x14ac:dyDescent="0.25">
      <c r="B17" s="7" t="s">
        <v>14</v>
      </c>
      <c r="C17" s="5">
        <v>157419</v>
      </c>
      <c r="D17" s="5">
        <v>132686</v>
      </c>
      <c r="E17" s="5">
        <v>125162</v>
      </c>
      <c r="F17" s="5">
        <v>151670</v>
      </c>
      <c r="G17" s="6">
        <v>180144</v>
      </c>
      <c r="H17" s="5">
        <v>217840</v>
      </c>
      <c r="I17" s="5">
        <v>213911</v>
      </c>
      <c r="J17" s="5">
        <v>243636</v>
      </c>
      <c r="K17" s="5">
        <v>310132</v>
      </c>
      <c r="L17" s="5">
        <v>342360</v>
      </c>
    </row>
    <row r="18" spans="2:12" ht="15.75" x14ac:dyDescent="0.25">
      <c r="B18" s="7" t="s">
        <v>15</v>
      </c>
      <c r="C18" s="5">
        <v>12077</v>
      </c>
      <c r="D18" s="5">
        <v>16211</v>
      </c>
      <c r="E18" s="5">
        <v>1648</v>
      </c>
      <c r="F18" s="5">
        <v>4372</v>
      </c>
      <c r="G18" s="6">
        <v>418</v>
      </c>
      <c r="H18" s="5">
        <v>5939</v>
      </c>
      <c r="I18" s="5">
        <v>4281</v>
      </c>
      <c r="J18" s="5">
        <v>961</v>
      </c>
      <c r="K18" s="5">
        <v>10596</v>
      </c>
      <c r="L18" s="5">
        <v>10103</v>
      </c>
    </row>
    <row r="19" spans="2:12" ht="15.75" x14ac:dyDescent="0.25">
      <c r="B19" s="8" t="s">
        <v>16</v>
      </c>
      <c r="C19" s="9">
        <v>11092</v>
      </c>
      <c r="D19" s="10">
        <v>15018</v>
      </c>
      <c r="E19" s="10">
        <v>0</v>
      </c>
      <c r="F19" s="10">
        <v>2895</v>
      </c>
      <c r="G19" s="11">
        <v>0</v>
      </c>
      <c r="H19" s="10">
        <v>5619</v>
      </c>
      <c r="I19" s="10">
        <v>3965</v>
      </c>
      <c r="J19" s="10">
        <v>961</v>
      </c>
      <c r="K19" s="10">
        <v>10596</v>
      </c>
      <c r="L19" s="10">
        <v>10103</v>
      </c>
    </row>
    <row r="20" spans="2:12" ht="15.75" x14ac:dyDescent="0.25">
      <c r="B20" s="8" t="s">
        <v>17</v>
      </c>
      <c r="C20" s="9">
        <v>985</v>
      </c>
      <c r="D20" s="10">
        <v>1193</v>
      </c>
      <c r="E20" s="10">
        <v>1648</v>
      </c>
      <c r="F20" s="10">
        <v>1477</v>
      </c>
      <c r="G20" s="11">
        <v>418</v>
      </c>
      <c r="H20" s="10">
        <v>320</v>
      </c>
      <c r="I20" s="10">
        <v>316</v>
      </c>
      <c r="J20" s="10">
        <v>0</v>
      </c>
      <c r="K20" s="10">
        <v>0</v>
      </c>
      <c r="L20" s="10">
        <v>0</v>
      </c>
    </row>
    <row r="21" spans="2:12" ht="15.75" x14ac:dyDescent="0.25">
      <c r="B21" s="7" t="s">
        <v>18</v>
      </c>
      <c r="C21" s="5">
        <v>127342</v>
      </c>
      <c r="D21" s="5">
        <v>116475</v>
      </c>
      <c r="E21" s="5">
        <v>123514</v>
      </c>
      <c r="F21" s="5">
        <v>147298</v>
      </c>
      <c r="G21" s="6">
        <v>179726</v>
      </c>
      <c r="H21" s="5">
        <v>211901</v>
      </c>
      <c r="I21" s="5">
        <v>209630</v>
      </c>
      <c r="J21" s="5">
        <v>242675</v>
      </c>
      <c r="K21" s="5">
        <v>299536</v>
      </c>
      <c r="L21" s="5">
        <v>332257</v>
      </c>
    </row>
    <row r="22" spans="2:12" ht="15.75" x14ac:dyDescent="0.25">
      <c r="B22" s="7" t="s">
        <v>19</v>
      </c>
      <c r="C22" s="5">
        <v>23228</v>
      </c>
      <c r="D22" s="5">
        <v>6527</v>
      </c>
      <c r="E22" s="5">
        <v>5953</v>
      </c>
      <c r="F22" s="5">
        <v>5021</v>
      </c>
      <c r="G22" s="6">
        <v>10266</v>
      </c>
      <c r="H22" s="5">
        <v>15015</v>
      </c>
      <c r="I22" s="5">
        <v>20743</v>
      </c>
      <c r="J22" s="5">
        <v>23633</v>
      </c>
      <c r="K22" s="5">
        <v>26077</v>
      </c>
      <c r="L22" s="5">
        <v>30604</v>
      </c>
    </row>
    <row r="23" spans="2:12" ht="15.75" x14ac:dyDescent="0.25">
      <c r="B23" s="8" t="s">
        <v>20</v>
      </c>
      <c r="C23" s="9">
        <v>16000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</row>
    <row r="24" spans="2:12" ht="15.75" x14ac:dyDescent="0.25">
      <c r="B24" s="8" t="s">
        <v>21</v>
      </c>
      <c r="C24" s="9">
        <v>0</v>
      </c>
      <c r="D24" s="10">
        <v>0</v>
      </c>
      <c r="E24" s="10">
        <v>0</v>
      </c>
      <c r="F24" s="10">
        <v>0</v>
      </c>
      <c r="G24" s="11">
        <v>0</v>
      </c>
      <c r="H24" s="10">
        <v>283</v>
      </c>
      <c r="I24" s="10">
        <v>0</v>
      </c>
      <c r="J24" s="10">
        <v>0</v>
      </c>
      <c r="K24" s="10">
        <v>0</v>
      </c>
      <c r="L24" s="10">
        <v>1732</v>
      </c>
    </row>
    <row r="25" spans="2:12" ht="15.75" x14ac:dyDescent="0.25">
      <c r="B25" s="8" t="s">
        <v>22</v>
      </c>
      <c r="C25" s="9">
        <v>7228</v>
      </c>
      <c r="D25" s="10">
        <v>6527</v>
      </c>
      <c r="E25" s="10">
        <v>5953</v>
      </c>
      <c r="F25" s="10">
        <v>5021</v>
      </c>
      <c r="G25" s="11">
        <v>10266</v>
      </c>
      <c r="H25" s="10">
        <v>14732</v>
      </c>
      <c r="I25" s="10">
        <v>19844</v>
      </c>
      <c r="J25" s="10">
        <v>23633</v>
      </c>
      <c r="K25" s="10">
        <v>26077</v>
      </c>
      <c r="L25" s="10">
        <v>28809</v>
      </c>
    </row>
    <row r="26" spans="2:12" ht="17.25" customHeight="1" x14ac:dyDescent="0.25">
      <c r="B26" s="12" t="s">
        <v>23</v>
      </c>
      <c r="C26" s="13">
        <v>0</v>
      </c>
      <c r="D26" s="9">
        <v>0</v>
      </c>
      <c r="E26" s="9">
        <v>0</v>
      </c>
      <c r="F26" s="9">
        <v>0</v>
      </c>
      <c r="G26" s="11">
        <v>0</v>
      </c>
      <c r="H26" s="11">
        <v>0</v>
      </c>
      <c r="I26" s="11">
        <v>899</v>
      </c>
      <c r="J26" s="11">
        <v>0</v>
      </c>
      <c r="K26" s="11">
        <v>0</v>
      </c>
      <c r="L26" s="11">
        <v>63</v>
      </c>
    </row>
    <row r="27" spans="2:12" ht="15.75" x14ac:dyDescent="0.25">
      <c r="B27" s="8" t="s">
        <v>24</v>
      </c>
      <c r="C27" s="9">
        <v>0</v>
      </c>
      <c r="D27" s="10">
        <v>0</v>
      </c>
      <c r="E27" s="10">
        <v>0</v>
      </c>
      <c r="F27" s="10">
        <v>0</v>
      </c>
      <c r="G27" s="11">
        <v>0</v>
      </c>
      <c r="H27" s="10">
        <v>0</v>
      </c>
      <c r="I27" s="10">
        <v>899</v>
      </c>
      <c r="J27" s="10">
        <v>0</v>
      </c>
      <c r="K27" s="10">
        <v>0</v>
      </c>
      <c r="L27" s="10">
        <v>63</v>
      </c>
    </row>
    <row r="28" spans="2:12" ht="15.75" x14ac:dyDescent="0.25">
      <c r="B28" s="14" t="s">
        <v>25</v>
      </c>
      <c r="C28" s="15">
        <v>120114</v>
      </c>
      <c r="D28" s="5">
        <v>109948</v>
      </c>
      <c r="E28" s="5">
        <v>117561</v>
      </c>
      <c r="F28" s="5">
        <v>142277</v>
      </c>
      <c r="G28" s="6">
        <v>169460</v>
      </c>
      <c r="H28" s="5">
        <v>196886</v>
      </c>
      <c r="I28" s="5">
        <v>188887</v>
      </c>
      <c r="J28" s="5">
        <v>219042</v>
      </c>
      <c r="K28" s="5">
        <v>245916</v>
      </c>
      <c r="L28" s="5">
        <v>274762</v>
      </c>
    </row>
    <row r="29" spans="2:12" ht="15.75" x14ac:dyDescent="0.25">
      <c r="B29" s="8" t="s">
        <v>20</v>
      </c>
      <c r="C29" s="16">
        <v>2000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8</v>
      </c>
      <c r="L29" s="10">
        <v>0</v>
      </c>
    </row>
    <row r="30" spans="2:12" ht="15.75" x14ac:dyDescent="0.25">
      <c r="B30" s="8" t="s">
        <v>26</v>
      </c>
      <c r="C30" s="16">
        <v>56000</v>
      </c>
      <c r="D30" s="10">
        <v>55043</v>
      </c>
      <c r="E30" s="10">
        <v>60778</v>
      </c>
      <c r="F30" s="10">
        <v>71146</v>
      </c>
      <c r="G30" s="11">
        <v>95067</v>
      </c>
      <c r="H30" s="10">
        <v>115522</v>
      </c>
      <c r="I30" s="10">
        <v>113172</v>
      </c>
      <c r="J30" s="10">
        <v>132627</v>
      </c>
      <c r="K30" s="10">
        <v>146961</v>
      </c>
      <c r="L30" s="10">
        <v>167794</v>
      </c>
    </row>
    <row r="31" spans="2:12" ht="15.75" x14ac:dyDescent="0.25">
      <c r="B31" s="8" t="s">
        <v>21</v>
      </c>
      <c r="C31" s="16">
        <v>40467</v>
      </c>
      <c r="D31" s="10">
        <v>25898</v>
      </c>
      <c r="E31" s="10">
        <v>25351</v>
      </c>
      <c r="F31" s="10">
        <v>36933</v>
      </c>
      <c r="G31" s="11">
        <v>40107</v>
      </c>
      <c r="H31" s="10">
        <v>49893</v>
      </c>
      <c r="I31" s="10">
        <v>43186</v>
      </c>
      <c r="J31" s="10">
        <v>49005</v>
      </c>
      <c r="K31" s="10">
        <v>56529</v>
      </c>
      <c r="L31" s="10">
        <v>66601</v>
      </c>
    </row>
    <row r="32" spans="2:12" ht="15.75" x14ac:dyDescent="0.25">
      <c r="B32" s="8" t="s">
        <v>23</v>
      </c>
      <c r="C32" s="18">
        <f>SUM(C$33:C$37)</f>
        <v>23647</v>
      </c>
      <c r="D32" s="18">
        <f t="shared" ref="D32:L32" si="0">SUM(D$33:D$37)</f>
        <v>29007</v>
      </c>
      <c r="E32" s="18">
        <f t="shared" si="0"/>
        <v>31146</v>
      </c>
      <c r="F32" s="18">
        <f t="shared" si="0"/>
        <v>34198</v>
      </c>
      <c r="G32" s="18">
        <f t="shared" si="0"/>
        <v>34284</v>
      </c>
      <c r="H32" s="18">
        <f t="shared" si="0"/>
        <v>31471</v>
      </c>
      <c r="I32" s="18">
        <f t="shared" si="0"/>
        <v>32529</v>
      </c>
      <c r="J32" s="18">
        <f t="shared" si="0"/>
        <v>37410</v>
      </c>
      <c r="K32" s="18">
        <f t="shared" si="0"/>
        <v>42418</v>
      </c>
      <c r="L32" s="18">
        <f t="shared" si="0"/>
        <v>40367</v>
      </c>
    </row>
    <row r="33" spans="2:12" ht="15.75" x14ac:dyDescent="0.25">
      <c r="B33" s="8" t="s">
        <v>27</v>
      </c>
      <c r="C33" s="16">
        <v>3258</v>
      </c>
      <c r="D33" s="10">
        <v>3432</v>
      </c>
      <c r="E33" s="10">
        <v>5142</v>
      </c>
      <c r="F33" s="10">
        <v>3780</v>
      </c>
      <c r="G33" s="11">
        <v>4855</v>
      </c>
      <c r="H33" s="10">
        <v>5388</v>
      </c>
      <c r="I33" s="10">
        <v>5802</v>
      </c>
      <c r="J33" s="10">
        <v>6146</v>
      </c>
      <c r="K33" s="10">
        <v>7838</v>
      </c>
      <c r="L33" s="10">
        <v>8012</v>
      </c>
    </row>
    <row r="34" spans="2:12" ht="15.75" x14ac:dyDescent="0.25">
      <c r="B34" s="8" t="s">
        <v>28</v>
      </c>
      <c r="C34" s="16">
        <v>1546</v>
      </c>
      <c r="D34" s="10">
        <v>1983</v>
      </c>
      <c r="E34" s="10">
        <v>2003</v>
      </c>
      <c r="F34" s="10">
        <v>2134</v>
      </c>
      <c r="G34" s="11">
        <v>2593</v>
      </c>
      <c r="H34" s="10">
        <v>2804</v>
      </c>
      <c r="I34" s="10">
        <v>3000</v>
      </c>
      <c r="J34" s="10">
        <v>3341</v>
      </c>
      <c r="K34" s="10">
        <v>4063</v>
      </c>
      <c r="L34" s="10">
        <v>4259</v>
      </c>
    </row>
    <row r="35" spans="2:12" ht="15.75" x14ac:dyDescent="0.25">
      <c r="B35" s="8" t="s">
        <v>29</v>
      </c>
      <c r="C35" s="16">
        <v>11127</v>
      </c>
      <c r="D35" s="10">
        <v>10394</v>
      </c>
      <c r="E35" s="10">
        <v>10398</v>
      </c>
      <c r="F35" s="10">
        <v>10358</v>
      </c>
      <c r="G35" s="11">
        <v>18179</v>
      </c>
      <c r="H35" s="10">
        <v>17021</v>
      </c>
      <c r="I35" s="10">
        <v>18192</v>
      </c>
      <c r="J35" s="10">
        <v>20537</v>
      </c>
      <c r="K35" s="10">
        <v>21303</v>
      </c>
      <c r="L35" s="10">
        <v>23953</v>
      </c>
    </row>
    <row r="36" spans="2:12" ht="15.75" x14ac:dyDescent="0.25">
      <c r="B36" s="17" t="s">
        <v>30</v>
      </c>
      <c r="C36" s="16">
        <v>7712</v>
      </c>
      <c r="D36" s="10">
        <v>6584</v>
      </c>
      <c r="E36" s="10">
        <v>6970</v>
      </c>
      <c r="F36" s="10">
        <v>13476</v>
      </c>
      <c r="G36" s="11">
        <v>5366</v>
      </c>
      <c r="H36" s="10">
        <v>4387</v>
      </c>
      <c r="I36" s="10">
        <v>5519</v>
      </c>
      <c r="J36" s="10">
        <v>7189</v>
      </c>
      <c r="K36" s="10">
        <v>9214</v>
      </c>
      <c r="L36" s="10">
        <v>4138</v>
      </c>
    </row>
    <row r="37" spans="2:12" ht="15.75" x14ac:dyDescent="0.25">
      <c r="B37" s="8" t="s">
        <v>24</v>
      </c>
      <c r="C37" s="16">
        <v>4</v>
      </c>
      <c r="D37" s="10">
        <v>6614</v>
      </c>
      <c r="E37" s="10">
        <v>6633</v>
      </c>
      <c r="F37" s="10">
        <v>4450</v>
      </c>
      <c r="G37" s="11">
        <v>3291</v>
      </c>
      <c r="H37" s="10">
        <v>1871</v>
      </c>
      <c r="I37" s="10">
        <v>16</v>
      </c>
      <c r="J37" s="10">
        <v>197</v>
      </c>
      <c r="K37" s="10">
        <v>0</v>
      </c>
      <c r="L37" s="10">
        <v>5</v>
      </c>
    </row>
    <row r="38" spans="2:12" ht="15.75" x14ac:dyDescent="0.25">
      <c r="B38" s="7" t="s">
        <v>31</v>
      </c>
      <c r="C38" s="15">
        <v>35282</v>
      </c>
      <c r="D38" s="5">
        <v>35003</v>
      </c>
      <c r="E38" s="5">
        <v>33916</v>
      </c>
      <c r="F38" s="5">
        <v>33779</v>
      </c>
      <c r="G38" s="6">
        <v>42343</v>
      </c>
      <c r="H38" s="5">
        <v>32602</v>
      </c>
      <c r="I38" s="5">
        <v>28478</v>
      </c>
      <c r="J38" s="5">
        <v>27810</v>
      </c>
      <c r="K38" s="5">
        <v>27543</v>
      </c>
      <c r="L38" s="5">
        <v>26891</v>
      </c>
    </row>
    <row r="39" spans="2:12" ht="15.75" x14ac:dyDescent="0.25">
      <c r="B39" s="8" t="s">
        <v>32</v>
      </c>
      <c r="C39" s="16">
        <v>443</v>
      </c>
      <c r="D39" s="10">
        <v>29</v>
      </c>
      <c r="E39" s="10">
        <v>525</v>
      </c>
      <c r="F39" s="10">
        <v>1088</v>
      </c>
      <c r="G39" s="11">
        <v>10500</v>
      </c>
      <c r="H39" s="10">
        <v>1188</v>
      </c>
      <c r="I39" s="10">
        <v>1700</v>
      </c>
      <c r="J39" s="10">
        <v>1700</v>
      </c>
      <c r="K39" s="10">
        <v>1965</v>
      </c>
      <c r="L39" s="10">
        <v>2072</v>
      </c>
    </row>
    <row r="40" spans="2:12" ht="15.75" x14ac:dyDescent="0.25">
      <c r="B40" s="8" t="s">
        <v>33</v>
      </c>
      <c r="C40" s="16">
        <v>34839</v>
      </c>
      <c r="D40" s="10">
        <v>34974</v>
      </c>
      <c r="E40" s="10">
        <v>33391</v>
      </c>
      <c r="F40" s="10">
        <v>32691</v>
      </c>
      <c r="G40" s="11">
        <v>31843</v>
      </c>
      <c r="H40" s="10">
        <v>31414</v>
      </c>
      <c r="I40" s="10">
        <v>26778</v>
      </c>
      <c r="J40" s="10">
        <v>26778</v>
      </c>
      <c r="K40" s="10">
        <v>25578</v>
      </c>
      <c r="L40" s="10">
        <v>24819</v>
      </c>
    </row>
    <row r="43" spans="2:12" ht="15" customHeight="1" x14ac:dyDescent="0.25">
      <c r="B43" s="257"/>
      <c r="C43" s="258" t="s">
        <v>34</v>
      </c>
      <c r="D43" s="258"/>
      <c r="E43" s="258"/>
      <c r="F43" s="258"/>
      <c r="G43" s="258"/>
      <c r="H43" s="258"/>
      <c r="I43" s="258"/>
      <c r="J43" s="258"/>
      <c r="K43" s="258"/>
      <c r="L43" s="258"/>
    </row>
    <row r="44" spans="2:12" ht="15" customHeight="1" x14ac:dyDescent="0.25">
      <c r="B44" s="257"/>
      <c r="C44" s="258"/>
      <c r="D44" s="258"/>
      <c r="E44" s="258"/>
      <c r="F44" s="258"/>
      <c r="G44" s="258"/>
      <c r="H44" s="258"/>
      <c r="I44" s="258"/>
      <c r="J44" s="258"/>
      <c r="K44" s="258"/>
      <c r="L44" s="258"/>
    </row>
    <row r="45" spans="2:12" ht="15.75" x14ac:dyDescent="0.25">
      <c r="B45" s="2" t="s">
        <v>37</v>
      </c>
      <c r="C45" s="2">
        <v>2010</v>
      </c>
      <c r="D45" s="2">
        <v>2011</v>
      </c>
      <c r="E45" s="2">
        <v>2012</v>
      </c>
      <c r="F45" s="2">
        <v>2013</v>
      </c>
      <c r="G45" s="2">
        <v>2014</v>
      </c>
      <c r="H45" s="2">
        <v>2015</v>
      </c>
      <c r="I45" s="2">
        <v>2016</v>
      </c>
      <c r="J45" s="2">
        <v>2017</v>
      </c>
      <c r="K45" s="2">
        <v>2018</v>
      </c>
      <c r="L45" s="19">
        <v>2019</v>
      </c>
    </row>
    <row r="46" spans="2:12" ht="15.75" x14ac:dyDescent="0.25">
      <c r="B46" s="23" t="s">
        <v>42</v>
      </c>
      <c r="C46" s="31">
        <v>506329</v>
      </c>
      <c r="D46" s="9">
        <v>547689</v>
      </c>
      <c r="E46" s="9">
        <v>577227</v>
      </c>
      <c r="F46" s="9">
        <v>593723</v>
      </c>
      <c r="G46" s="11">
        <v>690250</v>
      </c>
      <c r="H46" s="9">
        <v>818459</v>
      </c>
      <c r="I46" s="9">
        <v>918170</v>
      </c>
      <c r="J46" s="9">
        <v>1013591</v>
      </c>
      <c r="K46" s="9">
        <v>1161192</v>
      </c>
      <c r="L46" s="9">
        <v>1307321</v>
      </c>
    </row>
    <row r="47" spans="2:12" ht="15.75" x14ac:dyDescent="0.25">
      <c r="B47" s="28" t="s">
        <v>43</v>
      </c>
      <c r="C47" s="9">
        <v>313628</v>
      </c>
      <c r="D47" s="9">
        <v>380000</v>
      </c>
      <c r="E47" s="9">
        <v>418149</v>
      </c>
      <c r="F47" s="9">
        <v>406274</v>
      </c>
      <c r="G47" s="11">
        <v>467763</v>
      </c>
      <c r="H47" s="9">
        <v>568017</v>
      </c>
      <c r="I47" s="9">
        <v>675781</v>
      </c>
      <c r="J47" s="9">
        <v>742145</v>
      </c>
      <c r="K47" s="9">
        <v>851060</v>
      </c>
      <c r="L47" s="9">
        <v>964961</v>
      </c>
    </row>
    <row r="48" spans="2:12" ht="15.75" x14ac:dyDescent="0.25">
      <c r="B48" s="29" t="s">
        <v>4</v>
      </c>
      <c r="C48" s="9">
        <v>260000</v>
      </c>
      <c r="D48" s="9">
        <v>260000</v>
      </c>
      <c r="E48" s="9">
        <v>260000</v>
      </c>
      <c r="F48" s="9">
        <v>260000</v>
      </c>
      <c r="G48" s="9">
        <v>260000</v>
      </c>
      <c r="H48" s="9">
        <v>260000</v>
      </c>
      <c r="I48" s="9">
        <v>260000</v>
      </c>
      <c r="J48" s="9">
        <v>260000</v>
      </c>
      <c r="K48" s="9">
        <v>260000</v>
      </c>
      <c r="L48" s="9">
        <v>260000</v>
      </c>
    </row>
    <row r="49" spans="2:19" ht="15.75" x14ac:dyDescent="0.25">
      <c r="B49" s="29" t="s">
        <v>5</v>
      </c>
      <c r="C49" s="9">
        <v>18430</v>
      </c>
      <c r="D49" s="9">
        <v>24894</v>
      </c>
      <c r="E49" s="9">
        <v>30496</v>
      </c>
      <c r="F49" s="9">
        <v>39422</v>
      </c>
      <c r="G49" s="11">
        <v>43691</v>
      </c>
      <c r="H49" s="9">
        <v>48836</v>
      </c>
      <c r="I49" s="9">
        <v>57780</v>
      </c>
      <c r="J49" s="9">
        <v>63581</v>
      </c>
      <c r="K49" s="9">
        <v>69048</v>
      </c>
      <c r="L49" s="9">
        <v>72358</v>
      </c>
    </row>
    <row r="50" spans="2:19" ht="15.75" x14ac:dyDescent="0.25">
      <c r="B50" s="29" t="s">
        <v>7</v>
      </c>
      <c r="C50" s="9">
        <v>2833</v>
      </c>
      <c r="D50" s="9">
        <v>6877</v>
      </c>
      <c r="E50" s="9">
        <v>9190</v>
      </c>
      <c r="F50" s="9">
        <v>11817</v>
      </c>
      <c r="G50" s="11">
        <v>14877</v>
      </c>
      <c r="H50" s="9">
        <v>18138</v>
      </c>
      <c r="I50" s="9">
        <v>22894</v>
      </c>
      <c r="J50" s="9">
        <v>28346</v>
      </c>
      <c r="K50" s="9">
        <v>33544</v>
      </c>
      <c r="L50" s="9">
        <v>40694</v>
      </c>
    </row>
    <row r="51" spans="2:19" ht="15.75" x14ac:dyDescent="0.25">
      <c r="B51" s="29" t="s">
        <v>9</v>
      </c>
      <c r="C51" s="9">
        <v>-2565</v>
      </c>
      <c r="D51" s="9">
        <v>41968</v>
      </c>
      <c r="E51" s="9">
        <v>65916</v>
      </c>
      <c r="F51" s="9">
        <v>35836</v>
      </c>
      <c r="G51" s="11">
        <v>83976</v>
      </c>
      <c r="H51" s="9">
        <v>145934</v>
      </c>
      <c r="I51" s="9">
        <v>226051</v>
      </c>
      <c r="J51" s="9">
        <v>286252</v>
      </c>
      <c r="K51" s="9">
        <v>345470</v>
      </c>
      <c r="L51" s="9">
        <v>427584</v>
      </c>
    </row>
    <row r="52" spans="2:19" ht="15.75" x14ac:dyDescent="0.25">
      <c r="B52" s="30" t="s">
        <v>13</v>
      </c>
      <c r="C52" s="9">
        <v>34390</v>
      </c>
      <c r="D52" s="9">
        <v>46261</v>
      </c>
      <c r="E52" s="9">
        <v>52547</v>
      </c>
      <c r="F52" s="9">
        <v>61199</v>
      </c>
      <c r="G52" s="11">
        <v>65219</v>
      </c>
      <c r="H52" s="9">
        <v>95109</v>
      </c>
      <c r="I52" s="9">
        <v>109056</v>
      </c>
      <c r="J52" s="9">
        <v>103966</v>
      </c>
      <c r="K52" s="9">
        <v>142998</v>
      </c>
      <c r="L52" s="9">
        <v>164325</v>
      </c>
    </row>
    <row r="53" spans="2:19" ht="15.75" x14ac:dyDescent="0.25">
      <c r="B53" s="28" t="s">
        <v>14</v>
      </c>
      <c r="C53" s="9">
        <v>157419</v>
      </c>
      <c r="D53" s="9">
        <v>132686</v>
      </c>
      <c r="E53" s="9">
        <v>125162</v>
      </c>
      <c r="F53" s="9">
        <v>151670</v>
      </c>
      <c r="G53" s="11">
        <v>180144</v>
      </c>
      <c r="H53" s="9">
        <v>217840</v>
      </c>
      <c r="I53" s="9">
        <v>213911</v>
      </c>
      <c r="J53" s="9">
        <v>243636</v>
      </c>
      <c r="K53" s="9">
        <v>310132</v>
      </c>
      <c r="L53" s="9">
        <v>342360</v>
      </c>
    </row>
    <row r="54" spans="2:19" ht="15.75" x14ac:dyDescent="0.25">
      <c r="B54" s="29" t="s">
        <v>15</v>
      </c>
      <c r="C54" s="9">
        <v>12077</v>
      </c>
      <c r="D54" s="9">
        <v>16211</v>
      </c>
      <c r="E54" s="9">
        <v>1648</v>
      </c>
      <c r="F54" s="9">
        <v>4372</v>
      </c>
      <c r="G54" s="11">
        <v>418</v>
      </c>
      <c r="H54" s="9">
        <v>5939</v>
      </c>
      <c r="I54" s="9">
        <v>4281</v>
      </c>
      <c r="J54" s="9">
        <v>961</v>
      </c>
      <c r="K54" s="9">
        <v>10596</v>
      </c>
      <c r="L54" s="9">
        <v>10103</v>
      </c>
    </row>
    <row r="55" spans="2:19" ht="15.75" x14ac:dyDescent="0.25">
      <c r="B55" s="29" t="s">
        <v>18</v>
      </c>
      <c r="C55" s="9">
        <v>127342</v>
      </c>
      <c r="D55" s="9">
        <v>116475</v>
      </c>
      <c r="E55" s="9">
        <v>123514</v>
      </c>
      <c r="F55" s="9">
        <v>147298</v>
      </c>
      <c r="G55" s="11">
        <v>179726</v>
      </c>
      <c r="H55" s="9">
        <v>211901</v>
      </c>
      <c r="I55" s="9">
        <v>209630</v>
      </c>
      <c r="J55" s="9">
        <v>242675</v>
      </c>
      <c r="K55" s="9">
        <v>299536</v>
      </c>
      <c r="L55" s="9">
        <v>332257</v>
      </c>
    </row>
    <row r="56" spans="2:19" ht="15.75" x14ac:dyDescent="0.25">
      <c r="B56" s="29" t="s">
        <v>44</v>
      </c>
      <c r="C56" s="9">
        <v>23228</v>
      </c>
      <c r="D56" s="9">
        <v>6527</v>
      </c>
      <c r="E56" s="9">
        <v>5953</v>
      </c>
      <c r="F56" s="9">
        <v>5021</v>
      </c>
      <c r="G56" s="11">
        <v>10266</v>
      </c>
      <c r="H56" s="9">
        <v>15015</v>
      </c>
      <c r="I56" s="9">
        <v>20743</v>
      </c>
      <c r="J56" s="9">
        <v>23633</v>
      </c>
      <c r="K56" s="9">
        <v>26077</v>
      </c>
      <c r="L56" s="9">
        <v>30604</v>
      </c>
    </row>
    <row r="57" spans="2:19" ht="15.75" x14ac:dyDescent="0.25">
      <c r="B57" s="30" t="s">
        <v>25</v>
      </c>
      <c r="C57" s="16">
        <v>120114</v>
      </c>
      <c r="D57" s="9">
        <v>109948</v>
      </c>
      <c r="E57" s="9">
        <v>117561</v>
      </c>
      <c r="F57" s="9">
        <v>142277</v>
      </c>
      <c r="G57" s="11">
        <v>169460</v>
      </c>
      <c r="H57" s="9">
        <v>196886</v>
      </c>
      <c r="I57" s="9">
        <v>188887</v>
      </c>
      <c r="J57" s="9">
        <v>219042</v>
      </c>
      <c r="K57" s="9">
        <v>245916</v>
      </c>
      <c r="L57" s="9">
        <v>274762</v>
      </c>
    </row>
    <row r="58" spans="2:19" ht="15.75" x14ac:dyDescent="0.25">
      <c r="B58" s="28" t="s">
        <v>31</v>
      </c>
      <c r="C58" s="16">
        <v>35282</v>
      </c>
      <c r="D58" s="9">
        <v>35003</v>
      </c>
      <c r="E58" s="9">
        <v>33916</v>
      </c>
      <c r="F58" s="9">
        <v>33779</v>
      </c>
      <c r="G58" s="11">
        <v>42343</v>
      </c>
      <c r="H58" s="9">
        <v>32602</v>
      </c>
      <c r="I58" s="9">
        <v>28478</v>
      </c>
      <c r="J58" s="9">
        <v>27810</v>
      </c>
      <c r="K58" s="9">
        <v>27543</v>
      </c>
      <c r="L58" s="9">
        <v>26891</v>
      </c>
    </row>
    <row r="60" spans="2:19" ht="15" customHeight="1" x14ac:dyDescent="0.25">
      <c r="B60" s="259"/>
      <c r="C60" s="269" t="s">
        <v>35</v>
      </c>
      <c r="D60" s="260"/>
      <c r="E60" s="260"/>
      <c r="F60" s="260"/>
      <c r="G60" s="270"/>
      <c r="H60" s="260" t="s">
        <v>36</v>
      </c>
      <c r="I60" s="260"/>
      <c r="J60" s="260"/>
      <c r="K60" s="260"/>
      <c r="L60" s="260"/>
      <c r="N60" s="257"/>
      <c r="O60" s="258" t="s">
        <v>36</v>
      </c>
      <c r="P60" s="258"/>
      <c r="Q60" s="258"/>
      <c r="R60" s="258"/>
      <c r="S60" s="258"/>
    </row>
    <row r="61" spans="2:19" ht="15" customHeight="1" x14ac:dyDescent="0.25">
      <c r="B61" s="259"/>
      <c r="C61" s="271"/>
      <c r="D61" s="261"/>
      <c r="E61" s="261"/>
      <c r="F61" s="261"/>
      <c r="G61" s="264"/>
      <c r="H61" s="261"/>
      <c r="I61" s="261"/>
      <c r="J61" s="261"/>
      <c r="K61" s="261"/>
      <c r="L61" s="261"/>
      <c r="N61" s="257"/>
      <c r="O61" s="258"/>
      <c r="P61" s="258"/>
      <c r="Q61" s="258"/>
      <c r="R61" s="258"/>
      <c r="S61" s="258"/>
    </row>
    <row r="62" spans="2:19" ht="15.75" x14ac:dyDescent="0.25">
      <c r="B62" s="32" t="s">
        <v>37</v>
      </c>
      <c r="C62" s="21" t="s">
        <v>45</v>
      </c>
      <c r="D62" s="21" t="s">
        <v>46</v>
      </c>
      <c r="E62" s="21" t="s">
        <v>47</v>
      </c>
      <c r="F62" s="21" t="s">
        <v>48</v>
      </c>
      <c r="G62" s="22" t="s">
        <v>49</v>
      </c>
      <c r="H62" s="20" t="s">
        <v>45</v>
      </c>
      <c r="I62" s="21" t="s">
        <v>46</v>
      </c>
      <c r="J62" s="21" t="s">
        <v>47</v>
      </c>
      <c r="K62" s="21" t="s">
        <v>48</v>
      </c>
      <c r="L62" s="21" t="s">
        <v>49</v>
      </c>
      <c r="N62" s="2" t="s">
        <v>37</v>
      </c>
      <c r="O62" s="21" t="s">
        <v>45</v>
      </c>
      <c r="P62" s="21" t="s">
        <v>46</v>
      </c>
      <c r="Q62" s="21" t="s">
        <v>47</v>
      </c>
      <c r="R62" s="21" t="s">
        <v>48</v>
      </c>
      <c r="S62" s="21" t="s">
        <v>49</v>
      </c>
    </row>
    <row r="63" spans="2:19" ht="15.75" x14ac:dyDescent="0.25">
      <c r="B63" s="33" t="s">
        <v>42</v>
      </c>
      <c r="C63" s="18">
        <f>$D46-$C46</f>
        <v>41360</v>
      </c>
      <c r="D63" s="18">
        <f>$E46-$D46</f>
        <v>29538</v>
      </c>
      <c r="E63" s="18">
        <f>$F46-$E46</f>
        <v>16496</v>
      </c>
      <c r="F63" s="18">
        <f>$G46-$F46</f>
        <v>96527</v>
      </c>
      <c r="G63" s="9">
        <f>$H46-$G46</f>
        <v>128209</v>
      </c>
      <c r="H63" s="26">
        <f>$C63/$C46</f>
        <v>8.1686018379354131E-2</v>
      </c>
      <c r="I63" s="27">
        <f>$D63/$D46</f>
        <v>5.3932067286361421E-2</v>
      </c>
      <c r="J63" s="27">
        <f>$E63/$E46</f>
        <v>2.8578011770066195E-2</v>
      </c>
      <c r="K63" s="27">
        <f>$F63/$F46</f>
        <v>0.16257918254809062</v>
      </c>
      <c r="L63" s="38">
        <f>$G63/$G46</f>
        <v>0.18574284679463962</v>
      </c>
      <c r="N63" s="28" t="s">
        <v>42</v>
      </c>
      <c r="O63" s="41">
        <v>8.1686018379354131E-2</v>
      </c>
      <c r="P63" s="41">
        <v>5.3932067286361421E-2</v>
      </c>
      <c r="Q63" s="41">
        <v>2.8578011770066195E-2</v>
      </c>
      <c r="R63" s="41">
        <v>0.16257918254809062</v>
      </c>
      <c r="S63" s="63">
        <v>0.18574284679463962</v>
      </c>
    </row>
    <row r="64" spans="2:19" ht="15.75" x14ac:dyDescent="0.25">
      <c r="B64" s="34" t="s">
        <v>43</v>
      </c>
      <c r="C64" s="18">
        <f t="shared" ref="C64:C75" si="1">$D47-$C47</f>
        <v>66372</v>
      </c>
      <c r="D64" s="18">
        <f t="shared" ref="D64:D75" si="2">$E47-$D47</f>
        <v>38149</v>
      </c>
      <c r="E64" s="18">
        <f t="shared" ref="E64:E75" si="3">$F47-$E47</f>
        <v>-11875</v>
      </c>
      <c r="F64" s="18">
        <f t="shared" ref="F64:F75" si="4">$G47-$F47</f>
        <v>61489</v>
      </c>
      <c r="G64" s="9">
        <f t="shared" ref="G64:G75" si="5">$H47-$G47</f>
        <v>100254</v>
      </c>
      <c r="H64" s="26">
        <f t="shared" ref="H64:H75" si="6">$C64/$C47</f>
        <v>0.21162651293889576</v>
      </c>
      <c r="I64" s="27">
        <f t="shared" ref="I64:I75" si="7">$D64/$D47</f>
        <v>0.10039210526315789</v>
      </c>
      <c r="J64" s="27">
        <f t="shared" ref="J64:J75" si="8">$E64/$E47</f>
        <v>-2.8398967832040732E-2</v>
      </c>
      <c r="K64" s="27">
        <f t="shared" ref="K64:K75" si="9">$F64/$F47</f>
        <v>0.15134859725210079</v>
      </c>
      <c r="L64" s="38">
        <f t="shared" ref="L64:L75" si="10">$G64/$G47</f>
        <v>0.21432648584860281</v>
      </c>
      <c r="N64" s="28" t="s">
        <v>43</v>
      </c>
      <c r="O64" s="41">
        <v>0.21162651293889576</v>
      </c>
      <c r="P64" s="41">
        <v>0.10039210526315789</v>
      </c>
      <c r="Q64" s="41">
        <v>-2.8398967832040732E-2</v>
      </c>
      <c r="R64" s="41">
        <v>0.15134859725210079</v>
      </c>
      <c r="S64" s="63">
        <v>0.21432648584860281</v>
      </c>
    </row>
    <row r="65" spans="2:19" ht="15.75" x14ac:dyDescent="0.25">
      <c r="B65" s="35" t="s">
        <v>4</v>
      </c>
      <c r="C65" s="18">
        <f t="shared" si="1"/>
        <v>0</v>
      </c>
      <c r="D65" s="18">
        <f t="shared" si="2"/>
        <v>0</v>
      </c>
      <c r="E65" s="18">
        <f t="shared" si="3"/>
        <v>0</v>
      </c>
      <c r="F65" s="18">
        <f t="shared" si="4"/>
        <v>0</v>
      </c>
      <c r="G65" s="9">
        <f t="shared" si="5"/>
        <v>0</v>
      </c>
      <c r="H65" s="26">
        <f t="shared" si="6"/>
        <v>0</v>
      </c>
      <c r="I65" s="27">
        <f t="shared" si="7"/>
        <v>0</v>
      </c>
      <c r="J65" s="27">
        <f t="shared" si="8"/>
        <v>0</v>
      </c>
      <c r="K65" s="27">
        <f t="shared" si="9"/>
        <v>0</v>
      </c>
      <c r="L65" s="38">
        <f t="shared" si="10"/>
        <v>0</v>
      </c>
      <c r="N65" s="29" t="s">
        <v>4</v>
      </c>
      <c r="O65" s="41">
        <v>0</v>
      </c>
      <c r="P65" s="41">
        <v>0</v>
      </c>
      <c r="Q65" s="41">
        <v>0</v>
      </c>
      <c r="R65" s="41">
        <v>0</v>
      </c>
      <c r="S65" s="63">
        <v>0</v>
      </c>
    </row>
    <row r="66" spans="2:19" ht="15.75" x14ac:dyDescent="0.25">
      <c r="B66" s="35" t="s">
        <v>5</v>
      </c>
      <c r="C66" s="18">
        <f t="shared" si="1"/>
        <v>6464</v>
      </c>
      <c r="D66" s="18">
        <f t="shared" si="2"/>
        <v>5602</v>
      </c>
      <c r="E66" s="18">
        <f t="shared" si="3"/>
        <v>8926</v>
      </c>
      <c r="F66" s="18">
        <f t="shared" si="4"/>
        <v>4269</v>
      </c>
      <c r="G66" s="9">
        <f t="shared" si="5"/>
        <v>5145</v>
      </c>
      <c r="H66" s="26">
        <f t="shared" si="6"/>
        <v>0.35073250135648398</v>
      </c>
      <c r="I66" s="27">
        <f t="shared" si="7"/>
        <v>0.22503414477384109</v>
      </c>
      <c r="J66" s="27">
        <f t="shared" si="8"/>
        <v>0.29269412381951732</v>
      </c>
      <c r="K66" s="27">
        <f t="shared" si="9"/>
        <v>0.1082897874283395</v>
      </c>
      <c r="L66" s="38">
        <f t="shared" si="10"/>
        <v>0.11775880616145201</v>
      </c>
      <c r="N66" s="29" t="s">
        <v>5</v>
      </c>
      <c r="O66" s="41">
        <v>0.35073250135648398</v>
      </c>
      <c r="P66" s="41">
        <v>0.22503414477384109</v>
      </c>
      <c r="Q66" s="41">
        <v>0.29269412381951732</v>
      </c>
      <c r="R66" s="41">
        <v>0.1082897874283395</v>
      </c>
      <c r="S66" s="63">
        <v>0.11775880616145201</v>
      </c>
    </row>
    <row r="67" spans="2:19" ht="15.75" x14ac:dyDescent="0.25">
      <c r="B67" s="35" t="s">
        <v>7</v>
      </c>
      <c r="C67" s="18">
        <f t="shared" si="1"/>
        <v>4044</v>
      </c>
      <c r="D67" s="18">
        <f t="shared" si="2"/>
        <v>2313</v>
      </c>
      <c r="E67" s="18">
        <f t="shared" si="3"/>
        <v>2627</v>
      </c>
      <c r="F67" s="18">
        <f t="shared" si="4"/>
        <v>3060</v>
      </c>
      <c r="G67" s="9">
        <f t="shared" si="5"/>
        <v>3261</v>
      </c>
      <c r="H67" s="26">
        <f>$C67/$C50</f>
        <v>1.4274620543593364</v>
      </c>
      <c r="I67" s="27">
        <f t="shared" si="7"/>
        <v>0.33633851970335904</v>
      </c>
      <c r="J67" s="27">
        <f t="shared" si="8"/>
        <v>0.28585418933623502</v>
      </c>
      <c r="K67" s="27">
        <f t="shared" si="9"/>
        <v>0.25894897182025894</v>
      </c>
      <c r="L67" s="38">
        <f t="shared" si="10"/>
        <v>0.21919741883444244</v>
      </c>
      <c r="N67" s="29" t="s">
        <v>7</v>
      </c>
      <c r="O67" s="41">
        <v>1.4274620543593364</v>
      </c>
      <c r="P67" s="41">
        <v>0.33633851970335904</v>
      </c>
      <c r="Q67" s="41">
        <v>0.28585418933623502</v>
      </c>
      <c r="R67" s="41">
        <v>0.25894897182025894</v>
      </c>
      <c r="S67" s="63">
        <v>0.21919741883444244</v>
      </c>
    </row>
    <row r="68" spans="2:19" ht="15.75" x14ac:dyDescent="0.25">
      <c r="B68" s="35" t="s">
        <v>9</v>
      </c>
      <c r="C68" s="18">
        <f t="shared" si="1"/>
        <v>44533</v>
      </c>
      <c r="D68" s="18">
        <f t="shared" si="2"/>
        <v>23948</v>
      </c>
      <c r="E68" s="18">
        <f t="shared" si="3"/>
        <v>-30080</v>
      </c>
      <c r="F68" s="18">
        <f t="shared" si="4"/>
        <v>48140</v>
      </c>
      <c r="G68" s="9">
        <f t="shared" si="5"/>
        <v>61958</v>
      </c>
      <c r="H68" s="26">
        <f>C68/2565</f>
        <v>17.361793372319688</v>
      </c>
      <c r="I68" s="27">
        <f t="shared" si="7"/>
        <v>0.57062523827678235</v>
      </c>
      <c r="J68" s="27">
        <f t="shared" si="8"/>
        <v>-0.45633837004672612</v>
      </c>
      <c r="K68" s="27">
        <f t="shared" si="9"/>
        <v>1.3433418908360308</v>
      </c>
      <c r="L68" s="38">
        <f t="shared" si="10"/>
        <v>0.7378060398209012</v>
      </c>
      <c r="N68" s="29" t="s">
        <v>9</v>
      </c>
      <c r="O68" s="41">
        <v>-17.361793372319688</v>
      </c>
      <c r="P68" s="41">
        <v>0.57062523827678235</v>
      </c>
      <c r="Q68" s="41">
        <v>-0.45633837004672612</v>
      </c>
      <c r="R68" s="41">
        <v>1.3433418908360308</v>
      </c>
      <c r="S68" s="63">
        <v>0.7378060398209012</v>
      </c>
    </row>
    <row r="69" spans="2:19" ht="15.75" x14ac:dyDescent="0.25">
      <c r="B69" s="36" t="s">
        <v>13</v>
      </c>
      <c r="C69" s="18">
        <f t="shared" si="1"/>
        <v>11871</v>
      </c>
      <c r="D69" s="18">
        <f t="shared" si="2"/>
        <v>6286</v>
      </c>
      <c r="E69" s="18">
        <f t="shared" si="3"/>
        <v>8652</v>
      </c>
      <c r="F69" s="18">
        <f t="shared" si="4"/>
        <v>4020</v>
      </c>
      <c r="G69" s="9">
        <f t="shared" si="5"/>
        <v>29890</v>
      </c>
      <c r="H69" s="26">
        <f t="shared" si="6"/>
        <v>0.34518755452166328</v>
      </c>
      <c r="I69" s="27">
        <f t="shared" si="7"/>
        <v>0.13588119582369598</v>
      </c>
      <c r="J69" s="27">
        <f t="shared" si="8"/>
        <v>0.16465259672293375</v>
      </c>
      <c r="K69" s="27">
        <f t="shared" si="9"/>
        <v>6.5687347832480925E-2</v>
      </c>
      <c r="L69" s="38">
        <f t="shared" si="10"/>
        <v>0.45830202854996244</v>
      </c>
      <c r="N69" s="29" t="s">
        <v>13</v>
      </c>
      <c r="O69" s="41">
        <v>0.34518755452166328</v>
      </c>
      <c r="P69" s="41">
        <v>0.13588119582369598</v>
      </c>
      <c r="Q69" s="41">
        <v>0.16465259672293375</v>
      </c>
      <c r="R69" s="41">
        <v>6.5687347832480925E-2</v>
      </c>
      <c r="S69" s="63">
        <v>0.45830202854996244</v>
      </c>
    </row>
    <row r="70" spans="2:19" ht="15.75" x14ac:dyDescent="0.25">
      <c r="B70" s="34" t="s">
        <v>14</v>
      </c>
      <c r="C70" s="18">
        <f t="shared" si="1"/>
        <v>-24733</v>
      </c>
      <c r="D70" s="18">
        <f t="shared" si="2"/>
        <v>-7524</v>
      </c>
      <c r="E70" s="18">
        <f t="shared" si="3"/>
        <v>26508</v>
      </c>
      <c r="F70" s="18">
        <f t="shared" si="4"/>
        <v>28474</v>
      </c>
      <c r="G70" s="9">
        <f t="shared" si="5"/>
        <v>37696</v>
      </c>
      <c r="H70" s="26">
        <f t="shared" si="6"/>
        <v>-0.15711572300675267</v>
      </c>
      <c r="I70" s="27">
        <f t="shared" si="7"/>
        <v>-5.6705304252144158E-2</v>
      </c>
      <c r="J70" s="27">
        <f t="shared" si="8"/>
        <v>0.21178952078106775</v>
      </c>
      <c r="K70" s="27">
        <f t="shared" si="9"/>
        <v>0.18773653326300521</v>
      </c>
      <c r="L70" s="38">
        <f t="shared" si="10"/>
        <v>0.20925481836752821</v>
      </c>
      <c r="N70" s="28" t="s">
        <v>14</v>
      </c>
      <c r="O70" s="41">
        <v>-0.15711572300675267</v>
      </c>
      <c r="P70" s="41">
        <v>-5.6705304252144158E-2</v>
      </c>
      <c r="Q70" s="41">
        <v>0.21178952078106775</v>
      </c>
      <c r="R70" s="41">
        <v>0.18773653326300521</v>
      </c>
      <c r="S70" s="63">
        <v>0.20925481836752821</v>
      </c>
    </row>
    <row r="71" spans="2:19" ht="15.75" x14ac:dyDescent="0.25">
      <c r="B71" s="35" t="s">
        <v>15</v>
      </c>
      <c r="C71" s="18">
        <f t="shared" si="1"/>
        <v>4134</v>
      </c>
      <c r="D71" s="18">
        <f>$E54-$D54</f>
        <v>-14563</v>
      </c>
      <c r="E71" s="18">
        <f>$F54-$E54</f>
        <v>2724</v>
      </c>
      <c r="F71" s="18">
        <f t="shared" si="4"/>
        <v>-3954</v>
      </c>
      <c r="G71" s="9">
        <f t="shared" si="5"/>
        <v>5521</v>
      </c>
      <c r="H71" s="26">
        <f t="shared" si="6"/>
        <v>0.34230355220667386</v>
      </c>
      <c r="I71" s="27">
        <f>$D71/$D54</f>
        <v>-0.89834063290358401</v>
      </c>
      <c r="J71" s="27">
        <f t="shared" si="8"/>
        <v>1.6529126213592233</v>
      </c>
      <c r="K71" s="27">
        <f>$F71/$F54</f>
        <v>-0.90439158279963405</v>
      </c>
      <c r="L71" s="38">
        <f>$G71/$G54</f>
        <v>13.208133971291867</v>
      </c>
      <c r="N71" s="29" t="s">
        <v>15</v>
      </c>
      <c r="O71" s="41">
        <v>0.34230355220667386</v>
      </c>
      <c r="P71" s="41">
        <v>-0.89834063290358401</v>
      </c>
      <c r="Q71" s="41">
        <v>1.6529126213592233</v>
      </c>
      <c r="R71" s="41">
        <v>-0.90439158279963405</v>
      </c>
      <c r="S71" s="63">
        <v>13.208133971291867</v>
      </c>
    </row>
    <row r="72" spans="2:19" ht="15.75" x14ac:dyDescent="0.25">
      <c r="B72" s="35" t="s">
        <v>18</v>
      </c>
      <c r="C72" s="18">
        <f t="shared" si="1"/>
        <v>-10867</v>
      </c>
      <c r="D72" s="18">
        <f t="shared" si="2"/>
        <v>7039</v>
      </c>
      <c r="E72" s="18">
        <f t="shared" si="3"/>
        <v>23784</v>
      </c>
      <c r="F72" s="18">
        <f t="shared" si="4"/>
        <v>32428</v>
      </c>
      <c r="G72" s="9">
        <f t="shared" si="5"/>
        <v>32175</v>
      </c>
      <c r="H72" s="26">
        <f t="shared" si="6"/>
        <v>-8.5337123651269803E-2</v>
      </c>
      <c r="I72" s="27">
        <f t="shared" si="7"/>
        <v>6.0433569435501183E-2</v>
      </c>
      <c r="J72" s="27">
        <f t="shared" si="8"/>
        <v>0.19256116715514029</v>
      </c>
      <c r="K72" s="27">
        <f t="shared" si="9"/>
        <v>0.22015234422734864</v>
      </c>
      <c r="L72" s="38">
        <f t="shared" si="10"/>
        <v>0.17902251204611463</v>
      </c>
      <c r="N72" s="29" t="s">
        <v>18</v>
      </c>
      <c r="O72" s="41">
        <v>-8.5337123651269803E-2</v>
      </c>
      <c r="P72" s="41">
        <v>6.0433569435501183E-2</v>
      </c>
      <c r="Q72" s="41">
        <v>0.19256116715514029</v>
      </c>
      <c r="R72" s="41">
        <v>0.22015234422734864</v>
      </c>
      <c r="S72" s="63">
        <v>0.17902251204611463</v>
      </c>
    </row>
    <row r="73" spans="2:19" ht="15.75" x14ac:dyDescent="0.25">
      <c r="B73" s="35" t="s">
        <v>44</v>
      </c>
      <c r="C73" s="18">
        <f t="shared" si="1"/>
        <v>-16701</v>
      </c>
      <c r="D73" s="18">
        <f t="shared" si="2"/>
        <v>-574</v>
      </c>
      <c r="E73" s="18">
        <f t="shared" si="3"/>
        <v>-932</v>
      </c>
      <c r="F73" s="18">
        <f t="shared" si="4"/>
        <v>5245</v>
      </c>
      <c r="G73" s="9">
        <f t="shared" si="5"/>
        <v>4749</v>
      </c>
      <c r="H73" s="26">
        <f t="shared" si="6"/>
        <v>-0.71900292750129158</v>
      </c>
      <c r="I73" s="27">
        <f t="shared" si="7"/>
        <v>-8.7942393136203459E-2</v>
      </c>
      <c r="J73" s="27">
        <f t="shared" si="8"/>
        <v>-0.15655971778934991</v>
      </c>
      <c r="K73" s="27">
        <f t="shared" si="9"/>
        <v>1.0446126269667397</v>
      </c>
      <c r="L73" s="38">
        <f t="shared" si="10"/>
        <v>0.46259497369959091</v>
      </c>
      <c r="N73" s="29" t="s">
        <v>44</v>
      </c>
      <c r="O73" s="41">
        <v>-0.71900292750129158</v>
      </c>
      <c r="P73" s="41">
        <v>-8.7942393136203459E-2</v>
      </c>
      <c r="Q73" s="41">
        <v>-0.15655971778934991</v>
      </c>
      <c r="R73" s="41">
        <v>1.0446126269667397</v>
      </c>
      <c r="S73" s="63">
        <v>0.46259497369959091</v>
      </c>
    </row>
    <row r="74" spans="2:19" ht="15.75" x14ac:dyDescent="0.25">
      <c r="B74" s="36" t="s">
        <v>25</v>
      </c>
      <c r="C74" s="18">
        <f t="shared" si="1"/>
        <v>-10166</v>
      </c>
      <c r="D74" s="18">
        <f t="shared" si="2"/>
        <v>7613</v>
      </c>
      <c r="E74" s="18">
        <f t="shared" si="3"/>
        <v>24716</v>
      </c>
      <c r="F74" s="18">
        <f t="shared" si="4"/>
        <v>27183</v>
      </c>
      <c r="G74" s="9">
        <f t="shared" si="5"/>
        <v>27426</v>
      </c>
      <c r="H74" s="26">
        <f t="shared" si="6"/>
        <v>-8.4636262217559988E-2</v>
      </c>
      <c r="I74" s="27">
        <f t="shared" si="7"/>
        <v>6.924182340742896E-2</v>
      </c>
      <c r="J74" s="27">
        <f t="shared" si="8"/>
        <v>0.21023979040668248</v>
      </c>
      <c r="K74" s="27">
        <f t="shared" si="9"/>
        <v>0.19105688199779303</v>
      </c>
      <c r="L74" s="38">
        <f t="shared" si="10"/>
        <v>0.16184350289153782</v>
      </c>
      <c r="N74" s="29" t="s">
        <v>25</v>
      </c>
      <c r="O74" s="41">
        <v>-8.4636262217559988E-2</v>
      </c>
      <c r="P74" s="41">
        <v>6.924182340742896E-2</v>
      </c>
      <c r="Q74" s="41">
        <v>0.21023979040668248</v>
      </c>
      <c r="R74" s="41">
        <v>0.19105688199779303</v>
      </c>
      <c r="S74" s="63">
        <v>0.16184350289153782</v>
      </c>
    </row>
    <row r="75" spans="2:19" ht="15.75" x14ac:dyDescent="0.25">
      <c r="B75" s="34" t="s">
        <v>31</v>
      </c>
      <c r="C75" s="18">
        <f t="shared" si="1"/>
        <v>-279</v>
      </c>
      <c r="D75" s="18">
        <f t="shared" si="2"/>
        <v>-1087</v>
      </c>
      <c r="E75" s="18">
        <f t="shared" si="3"/>
        <v>-137</v>
      </c>
      <c r="F75" s="18">
        <f t="shared" si="4"/>
        <v>8564</v>
      </c>
      <c r="G75" s="9">
        <f t="shared" si="5"/>
        <v>-9741</v>
      </c>
      <c r="H75" s="26">
        <f t="shared" si="6"/>
        <v>-7.9077149821438694E-3</v>
      </c>
      <c r="I75" s="27">
        <f t="shared" si="7"/>
        <v>-3.1054481044481903E-2</v>
      </c>
      <c r="J75" s="27">
        <f t="shared" si="8"/>
        <v>-4.0393914376695367E-3</v>
      </c>
      <c r="K75" s="27">
        <f t="shared" si="9"/>
        <v>0.25353029989046449</v>
      </c>
      <c r="L75" s="38">
        <f t="shared" si="10"/>
        <v>-0.23004983114092059</v>
      </c>
      <c r="N75" s="28" t="s">
        <v>31</v>
      </c>
      <c r="O75" s="41">
        <v>-7.9077149821438694E-3</v>
      </c>
      <c r="P75" s="41">
        <v>-3.1054481044481903E-2</v>
      </c>
      <c r="Q75" s="41">
        <v>-4.0393914376695367E-3</v>
      </c>
      <c r="R75" s="41">
        <v>0.25353029989046449</v>
      </c>
      <c r="S75" s="63">
        <v>-0.23004983114092059</v>
      </c>
    </row>
    <row r="78" spans="2:19" ht="15" customHeight="1" x14ac:dyDescent="0.25">
      <c r="B78" s="257"/>
      <c r="C78" s="262" t="s">
        <v>35</v>
      </c>
      <c r="D78" s="262"/>
      <c r="E78" s="262"/>
      <c r="F78" s="263"/>
      <c r="G78" s="265" t="s">
        <v>36</v>
      </c>
      <c r="H78" s="262"/>
      <c r="I78" s="262"/>
      <c r="J78" s="266"/>
      <c r="N78" s="257"/>
      <c r="O78" s="258" t="s">
        <v>36</v>
      </c>
      <c r="P78" s="258"/>
      <c r="Q78" s="258"/>
      <c r="R78" s="258"/>
    </row>
    <row r="79" spans="2:19" ht="15" customHeight="1" x14ac:dyDescent="0.25">
      <c r="B79" s="257"/>
      <c r="C79" s="261"/>
      <c r="D79" s="261"/>
      <c r="E79" s="261"/>
      <c r="F79" s="264"/>
      <c r="G79" s="267"/>
      <c r="H79" s="261"/>
      <c r="I79" s="261"/>
      <c r="J79" s="268"/>
      <c r="N79" s="257"/>
      <c r="O79" s="258"/>
      <c r="P79" s="258"/>
      <c r="Q79" s="258"/>
      <c r="R79" s="258"/>
    </row>
    <row r="80" spans="2:19" ht="15.75" x14ac:dyDescent="0.25">
      <c r="B80" s="2" t="s">
        <v>37</v>
      </c>
      <c r="C80" s="20" t="s">
        <v>38</v>
      </c>
      <c r="D80" s="21" t="s">
        <v>39</v>
      </c>
      <c r="E80" s="21" t="s">
        <v>40</v>
      </c>
      <c r="F80" s="22" t="s">
        <v>41</v>
      </c>
      <c r="G80" s="20" t="s">
        <v>38</v>
      </c>
      <c r="H80" s="21" t="s">
        <v>39</v>
      </c>
      <c r="I80" s="21" t="s">
        <v>40</v>
      </c>
      <c r="J80" s="21" t="s">
        <v>41</v>
      </c>
      <c r="N80" s="2" t="s">
        <v>37</v>
      </c>
      <c r="O80" s="21" t="s">
        <v>38</v>
      </c>
      <c r="P80" s="21" t="s">
        <v>39</v>
      </c>
      <c r="Q80" s="21" t="s">
        <v>40</v>
      </c>
      <c r="R80" s="21" t="s">
        <v>41</v>
      </c>
    </row>
    <row r="81" spans="2:18" ht="15.75" x14ac:dyDescent="0.25">
      <c r="B81" s="23" t="s">
        <v>42</v>
      </c>
      <c r="C81" s="24">
        <f>$I46-$H46</f>
        <v>99711</v>
      </c>
      <c r="D81" s="18">
        <f>$J46-$I46</f>
        <v>95421</v>
      </c>
      <c r="E81" s="18">
        <f>$K46-$J46</f>
        <v>147601</v>
      </c>
      <c r="F81" s="25">
        <f>$L46-$K46</f>
        <v>146129</v>
      </c>
      <c r="G81" s="26">
        <f>$C81/$H46</f>
        <v>0.12182772747321491</v>
      </c>
      <c r="H81" s="27">
        <f>$D81/$I46</f>
        <v>0.10392519903721532</v>
      </c>
      <c r="I81" s="27">
        <f>$E81/$J46</f>
        <v>0.14562185339056877</v>
      </c>
      <c r="J81" s="27">
        <f>$F81/$K46</f>
        <v>0.12584396034419804</v>
      </c>
      <c r="N81" s="28" t="s">
        <v>42</v>
      </c>
      <c r="O81" s="27">
        <v>0.12182772747321491</v>
      </c>
      <c r="P81" s="27">
        <v>0.10392519903721532</v>
      </c>
      <c r="Q81" s="27">
        <v>0.14562185339056877</v>
      </c>
      <c r="R81" s="27">
        <v>0.12584396034419804</v>
      </c>
    </row>
    <row r="82" spans="2:18" ht="15.75" x14ac:dyDescent="0.25">
      <c r="B82" s="28" t="s">
        <v>43</v>
      </c>
      <c r="C82" s="24">
        <f t="shared" ref="C82:C93" si="11">$I47-$H47</f>
        <v>107764</v>
      </c>
      <c r="D82" s="18">
        <f t="shared" ref="D82:D93" si="12">$J47-$I47</f>
        <v>66364</v>
      </c>
      <c r="E82" s="18">
        <f t="shared" ref="E82:E93" si="13">$K47-$J47</f>
        <v>108915</v>
      </c>
      <c r="F82" s="25">
        <f t="shared" ref="F82:F93" si="14">$L47-$K47</f>
        <v>113901</v>
      </c>
      <c r="G82" s="26">
        <f t="shared" ref="G82:G93" si="15">$C82/$H47</f>
        <v>0.18971967388299998</v>
      </c>
      <c r="H82" s="27">
        <f t="shared" ref="H82:H93" si="16">$D82/$I47</f>
        <v>9.8203412052129319E-2</v>
      </c>
      <c r="I82" s="27">
        <f t="shared" ref="I82:I93" si="17">$E82/$J47</f>
        <v>0.14675703535023479</v>
      </c>
      <c r="J82" s="27">
        <f t="shared" ref="J82:J93" si="18">$F82/$K47</f>
        <v>0.13383427725424765</v>
      </c>
      <c r="N82" s="28" t="s">
        <v>43</v>
      </c>
      <c r="O82" s="27">
        <v>0.18971967388299998</v>
      </c>
      <c r="P82" s="27">
        <v>9.8203412052129319E-2</v>
      </c>
      <c r="Q82" s="27">
        <v>0.14675703535023479</v>
      </c>
      <c r="R82" s="27">
        <v>0.13383427725424765</v>
      </c>
    </row>
    <row r="83" spans="2:18" ht="15.75" x14ac:dyDescent="0.25">
      <c r="B83" s="29" t="s">
        <v>4</v>
      </c>
      <c r="C83" s="24">
        <f t="shared" si="11"/>
        <v>0</v>
      </c>
      <c r="D83" s="18">
        <f t="shared" si="12"/>
        <v>0</v>
      </c>
      <c r="E83" s="18">
        <f t="shared" si="13"/>
        <v>0</v>
      </c>
      <c r="F83" s="25">
        <f t="shared" si="14"/>
        <v>0</v>
      </c>
      <c r="G83" s="26">
        <f t="shared" si="15"/>
        <v>0</v>
      </c>
      <c r="H83" s="27">
        <f t="shared" si="16"/>
        <v>0</v>
      </c>
      <c r="I83" s="27">
        <f t="shared" si="17"/>
        <v>0</v>
      </c>
      <c r="J83" s="27">
        <f t="shared" si="18"/>
        <v>0</v>
      </c>
      <c r="N83" s="29" t="s">
        <v>4</v>
      </c>
      <c r="O83" s="27">
        <v>0</v>
      </c>
      <c r="P83" s="27">
        <v>0</v>
      </c>
      <c r="Q83" s="27">
        <v>0</v>
      </c>
      <c r="R83" s="27">
        <v>0</v>
      </c>
    </row>
    <row r="84" spans="2:18" ht="15.75" x14ac:dyDescent="0.25">
      <c r="B84" s="29" t="s">
        <v>5</v>
      </c>
      <c r="C84" s="24">
        <f t="shared" si="11"/>
        <v>8944</v>
      </c>
      <c r="D84" s="18">
        <f t="shared" si="12"/>
        <v>5801</v>
      </c>
      <c r="E84" s="18">
        <f t="shared" si="13"/>
        <v>5467</v>
      </c>
      <c r="F84" s="25">
        <f t="shared" si="14"/>
        <v>3310</v>
      </c>
      <c r="G84" s="26">
        <f t="shared" si="15"/>
        <v>0.18314358260299779</v>
      </c>
      <c r="H84" s="27">
        <f t="shared" si="16"/>
        <v>0.10039806161301489</v>
      </c>
      <c r="I84" s="27">
        <f t="shared" si="17"/>
        <v>8.598480678190025E-2</v>
      </c>
      <c r="J84" s="27">
        <f t="shared" si="18"/>
        <v>4.7937666550805239E-2</v>
      </c>
      <c r="N84" s="29" t="s">
        <v>5</v>
      </c>
      <c r="O84" s="27">
        <v>0.18314358260299779</v>
      </c>
      <c r="P84" s="27">
        <v>0.10039806161301489</v>
      </c>
      <c r="Q84" s="27">
        <v>8.598480678190025E-2</v>
      </c>
      <c r="R84" s="27">
        <v>4.7937666550805239E-2</v>
      </c>
    </row>
    <row r="85" spans="2:18" ht="15.75" x14ac:dyDescent="0.25">
      <c r="B85" s="29" t="s">
        <v>7</v>
      </c>
      <c r="C85" s="24">
        <f t="shared" si="11"/>
        <v>4756</v>
      </c>
      <c r="D85" s="18">
        <f t="shared" si="12"/>
        <v>5452</v>
      </c>
      <c r="E85" s="18">
        <f t="shared" si="13"/>
        <v>5198</v>
      </c>
      <c r="F85" s="25">
        <f t="shared" si="14"/>
        <v>7150</v>
      </c>
      <c r="G85" s="26">
        <f t="shared" si="15"/>
        <v>0.262211930753115</v>
      </c>
      <c r="H85" s="27">
        <f t="shared" si="16"/>
        <v>0.23814099764130339</v>
      </c>
      <c r="I85" s="27">
        <f t="shared" si="17"/>
        <v>0.18337684329358639</v>
      </c>
      <c r="J85" s="27">
        <f t="shared" si="18"/>
        <v>0.21315287383734796</v>
      </c>
      <c r="N85" s="29" t="s">
        <v>7</v>
      </c>
      <c r="O85" s="27">
        <v>0.262211930753115</v>
      </c>
      <c r="P85" s="27">
        <v>0.23814099764130339</v>
      </c>
      <c r="Q85" s="27">
        <v>0.18337684329358639</v>
      </c>
      <c r="R85" s="27">
        <v>0.21315287383734796</v>
      </c>
    </row>
    <row r="86" spans="2:18" ht="15.75" x14ac:dyDescent="0.25">
      <c r="B86" s="29" t="s">
        <v>9</v>
      </c>
      <c r="C86" s="24">
        <f t="shared" si="11"/>
        <v>80117</v>
      </c>
      <c r="D86" s="18">
        <f t="shared" si="12"/>
        <v>60201</v>
      </c>
      <c r="E86" s="18">
        <f t="shared" si="13"/>
        <v>59218</v>
      </c>
      <c r="F86" s="25">
        <f t="shared" si="14"/>
        <v>82114</v>
      </c>
      <c r="G86" s="26">
        <f t="shared" si="15"/>
        <v>0.54899475105184536</v>
      </c>
      <c r="H86" s="27">
        <f t="shared" si="16"/>
        <v>0.26631600833440239</v>
      </c>
      <c r="I86" s="27">
        <f t="shared" si="17"/>
        <v>0.20687366376479466</v>
      </c>
      <c r="J86" s="27">
        <f t="shared" si="18"/>
        <v>0.23768778765160506</v>
      </c>
      <c r="N86" s="29" t="s">
        <v>9</v>
      </c>
      <c r="O86" s="27">
        <v>0.54899475105184536</v>
      </c>
      <c r="P86" s="27">
        <v>0.26631600833440239</v>
      </c>
      <c r="Q86" s="27">
        <v>0.20687366376479466</v>
      </c>
      <c r="R86" s="27">
        <v>0.23768778765160506</v>
      </c>
    </row>
    <row r="87" spans="2:18" ht="15.75" x14ac:dyDescent="0.25">
      <c r="B87" s="30" t="s">
        <v>13</v>
      </c>
      <c r="C87" s="24">
        <f t="shared" si="11"/>
        <v>13947</v>
      </c>
      <c r="D87" s="18">
        <f t="shared" si="12"/>
        <v>-5090</v>
      </c>
      <c r="E87" s="18">
        <f t="shared" si="13"/>
        <v>39032</v>
      </c>
      <c r="F87" s="25">
        <f t="shared" si="14"/>
        <v>21327</v>
      </c>
      <c r="G87" s="26">
        <f t="shared" si="15"/>
        <v>0.14664227360186732</v>
      </c>
      <c r="H87" s="27">
        <f t="shared" si="16"/>
        <v>-4.6673268779342726E-2</v>
      </c>
      <c r="I87" s="27">
        <f t="shared" si="17"/>
        <v>0.37543042917877001</v>
      </c>
      <c r="J87" s="27">
        <f t="shared" si="18"/>
        <v>0.14914194604120337</v>
      </c>
      <c r="N87" s="29" t="s">
        <v>13</v>
      </c>
      <c r="O87" s="27">
        <v>0.14664227360186732</v>
      </c>
      <c r="P87" s="27">
        <v>-4.6673268779342726E-2</v>
      </c>
      <c r="Q87" s="27">
        <v>0.37543042917877001</v>
      </c>
      <c r="R87" s="27">
        <v>0.14914194604120337</v>
      </c>
    </row>
    <row r="88" spans="2:18" ht="15.75" x14ac:dyDescent="0.25">
      <c r="B88" s="28" t="s">
        <v>14</v>
      </c>
      <c r="C88" s="24">
        <f t="shared" si="11"/>
        <v>-3929</v>
      </c>
      <c r="D88" s="18">
        <f t="shared" si="12"/>
        <v>29725</v>
      </c>
      <c r="E88" s="18">
        <f t="shared" si="13"/>
        <v>66496</v>
      </c>
      <c r="F88" s="25">
        <f t="shared" si="14"/>
        <v>32228</v>
      </c>
      <c r="G88" s="26">
        <f t="shared" si="15"/>
        <v>-1.8036173338229895E-2</v>
      </c>
      <c r="H88" s="27">
        <f t="shared" si="16"/>
        <v>0.13895966079350758</v>
      </c>
      <c r="I88" s="27">
        <f t="shared" si="17"/>
        <v>0.27293175064440395</v>
      </c>
      <c r="J88" s="27">
        <f t="shared" si="18"/>
        <v>0.10391704177576</v>
      </c>
      <c r="N88" s="28" t="s">
        <v>14</v>
      </c>
      <c r="O88" s="27">
        <v>-1.8036173338229895E-2</v>
      </c>
      <c r="P88" s="27">
        <v>0.13895966079350758</v>
      </c>
      <c r="Q88" s="27">
        <v>0.27293175064440395</v>
      </c>
      <c r="R88" s="27">
        <v>0.10391704177576</v>
      </c>
    </row>
    <row r="89" spans="2:18" ht="15.75" x14ac:dyDescent="0.25">
      <c r="B89" s="29" t="s">
        <v>15</v>
      </c>
      <c r="C89" s="24">
        <f t="shared" si="11"/>
        <v>-1658</v>
      </c>
      <c r="D89" s="18">
        <f t="shared" si="12"/>
        <v>-3320</v>
      </c>
      <c r="E89" s="18">
        <f t="shared" si="13"/>
        <v>9635</v>
      </c>
      <c r="F89" s="25">
        <f t="shared" si="14"/>
        <v>-493</v>
      </c>
      <c r="G89" s="26">
        <f t="shared" si="15"/>
        <v>-0.2791715777066846</v>
      </c>
      <c r="H89" s="27">
        <f t="shared" si="16"/>
        <v>-0.77551973837888344</v>
      </c>
      <c r="I89" s="27">
        <f t="shared" si="17"/>
        <v>10.026014568158169</v>
      </c>
      <c r="J89" s="27">
        <f t="shared" si="18"/>
        <v>-4.652699131747829E-2</v>
      </c>
      <c r="N89" s="29" t="s">
        <v>15</v>
      </c>
      <c r="O89" s="27">
        <v>-0.2791715777066846</v>
      </c>
      <c r="P89" s="27">
        <v>-0.77551973837888344</v>
      </c>
      <c r="Q89" s="27">
        <v>10.026014568158169</v>
      </c>
      <c r="R89" s="27">
        <v>-4.652699131747829E-2</v>
      </c>
    </row>
    <row r="90" spans="2:18" ht="15.75" x14ac:dyDescent="0.25">
      <c r="B90" s="29" t="s">
        <v>18</v>
      </c>
      <c r="C90" s="24">
        <f t="shared" si="11"/>
        <v>-2271</v>
      </c>
      <c r="D90" s="18">
        <f t="shared" si="12"/>
        <v>33045</v>
      </c>
      <c r="E90" s="18">
        <f t="shared" si="13"/>
        <v>56861</v>
      </c>
      <c r="F90" s="25">
        <f t="shared" si="14"/>
        <v>32721</v>
      </c>
      <c r="G90" s="26">
        <f t="shared" si="15"/>
        <v>-1.0717268913313293E-2</v>
      </c>
      <c r="H90" s="27">
        <f t="shared" si="16"/>
        <v>0.15763488050374469</v>
      </c>
      <c r="I90" s="27">
        <f t="shared" si="17"/>
        <v>0.23430926135778304</v>
      </c>
      <c r="J90" s="27">
        <f t="shared" si="18"/>
        <v>0.10923895625233694</v>
      </c>
      <c r="N90" s="29" t="s">
        <v>18</v>
      </c>
      <c r="O90" s="27">
        <v>-1.0717268913313293E-2</v>
      </c>
      <c r="P90" s="27">
        <v>0.15763488050374469</v>
      </c>
      <c r="Q90" s="27">
        <v>0.23430926135778304</v>
      </c>
      <c r="R90" s="27">
        <v>0.10923895625233694</v>
      </c>
    </row>
    <row r="91" spans="2:18" ht="15.75" x14ac:dyDescent="0.25">
      <c r="B91" s="29" t="s">
        <v>44</v>
      </c>
      <c r="C91" s="24">
        <f t="shared" si="11"/>
        <v>5728</v>
      </c>
      <c r="D91" s="18">
        <f t="shared" si="12"/>
        <v>2890</v>
      </c>
      <c r="E91" s="18">
        <f t="shared" si="13"/>
        <v>2444</v>
      </c>
      <c r="F91" s="25">
        <f t="shared" si="14"/>
        <v>4527</v>
      </c>
      <c r="G91" s="26">
        <f t="shared" si="15"/>
        <v>0.38148518148518151</v>
      </c>
      <c r="H91" s="27">
        <f t="shared" si="16"/>
        <v>0.13932410933808995</v>
      </c>
      <c r="I91" s="27">
        <f t="shared" si="17"/>
        <v>0.10341471670968561</v>
      </c>
      <c r="J91" s="27">
        <f t="shared" si="18"/>
        <v>0.17360125781339877</v>
      </c>
      <c r="N91" s="29" t="s">
        <v>44</v>
      </c>
      <c r="O91" s="27">
        <v>0.38148518148518151</v>
      </c>
      <c r="P91" s="27">
        <v>0.13932410933808995</v>
      </c>
      <c r="Q91" s="27">
        <v>0.10341471670968561</v>
      </c>
      <c r="R91" s="27">
        <v>0.17360125781339877</v>
      </c>
    </row>
    <row r="92" spans="2:18" ht="15.75" x14ac:dyDescent="0.25">
      <c r="B92" s="30" t="s">
        <v>25</v>
      </c>
      <c r="C92" s="24">
        <f t="shared" si="11"/>
        <v>-7999</v>
      </c>
      <c r="D92" s="18">
        <f t="shared" si="12"/>
        <v>30155</v>
      </c>
      <c r="E92" s="18">
        <f t="shared" si="13"/>
        <v>26874</v>
      </c>
      <c r="F92" s="25">
        <f t="shared" si="14"/>
        <v>28846</v>
      </c>
      <c r="G92" s="26">
        <f t="shared" si="15"/>
        <v>-4.0627571284905989E-2</v>
      </c>
      <c r="H92" s="27">
        <f t="shared" si="16"/>
        <v>0.15964571410419987</v>
      </c>
      <c r="I92" s="27">
        <f t="shared" si="17"/>
        <v>0.12268879940833265</v>
      </c>
      <c r="J92" s="27">
        <f t="shared" si="18"/>
        <v>0.11730021633403276</v>
      </c>
      <c r="N92" s="29" t="s">
        <v>25</v>
      </c>
      <c r="O92" s="27">
        <v>-4.0627571284905989E-2</v>
      </c>
      <c r="P92" s="27">
        <v>0.15964571410419987</v>
      </c>
      <c r="Q92" s="27">
        <v>0.12268879940833265</v>
      </c>
      <c r="R92" s="27">
        <v>0.11730021633403276</v>
      </c>
    </row>
    <row r="93" spans="2:18" ht="15.75" x14ac:dyDescent="0.25">
      <c r="B93" s="28" t="s">
        <v>31</v>
      </c>
      <c r="C93" s="24">
        <f t="shared" si="11"/>
        <v>-4124</v>
      </c>
      <c r="D93" s="18">
        <f t="shared" si="12"/>
        <v>-668</v>
      </c>
      <c r="E93" s="18">
        <f t="shared" si="13"/>
        <v>-267</v>
      </c>
      <c r="F93" s="25">
        <f t="shared" si="14"/>
        <v>-652</v>
      </c>
      <c r="G93" s="26">
        <f t="shared" si="15"/>
        <v>-0.12649530703637812</v>
      </c>
      <c r="H93" s="27">
        <f t="shared" si="16"/>
        <v>-2.3456703420184001E-2</v>
      </c>
      <c r="I93" s="27">
        <f t="shared" si="17"/>
        <v>-9.6008629989212512E-3</v>
      </c>
      <c r="J93" s="27">
        <f t="shared" si="18"/>
        <v>-2.3672076389645282E-2</v>
      </c>
      <c r="N93" s="28" t="s">
        <v>31</v>
      </c>
      <c r="O93" s="27">
        <v>-0.12649530703637812</v>
      </c>
      <c r="P93" s="27">
        <v>-2.3456703420184001E-2</v>
      </c>
      <c r="Q93" s="27">
        <v>-9.6008629989212512E-3</v>
      </c>
      <c r="R93" s="27">
        <v>-2.3672076389645282E-2</v>
      </c>
    </row>
  </sheetData>
  <mergeCells count="13">
    <mergeCell ref="N60:N61"/>
    <mergeCell ref="O60:S61"/>
    <mergeCell ref="N78:N79"/>
    <mergeCell ref="O78:R79"/>
    <mergeCell ref="B78:B79"/>
    <mergeCell ref="C78:F79"/>
    <mergeCell ref="G78:J79"/>
    <mergeCell ref="C60:G61"/>
    <mergeCell ref="B2:L2"/>
    <mergeCell ref="B43:B44"/>
    <mergeCell ref="C43:L44"/>
    <mergeCell ref="B60:B61"/>
    <mergeCell ref="H60:L61"/>
  </mergeCells>
  <phoneticPr fontId="7" type="noConversion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D145B-1EF5-4D75-BF54-D6CDC70FD4B0}">
  <dimension ref="B2:Z171"/>
  <sheetViews>
    <sheetView topLeftCell="A117" zoomScale="55" zoomScaleNormal="55" workbookViewId="0">
      <selection activeCell="H180" sqref="H180"/>
    </sheetView>
  </sheetViews>
  <sheetFormatPr defaultRowHeight="15" x14ac:dyDescent="0.25"/>
  <cols>
    <col min="2" max="2" width="51.7109375" customWidth="1"/>
    <col min="3" max="3" width="12.28515625" customWidth="1"/>
    <col min="4" max="4" width="12.140625" customWidth="1"/>
    <col min="5" max="5" width="12" customWidth="1"/>
    <col min="6" max="6" width="13" customWidth="1"/>
    <col min="7" max="7" width="12.28515625" customWidth="1"/>
    <col min="8" max="8" width="12.7109375" customWidth="1"/>
    <col min="9" max="9" width="12.42578125" customWidth="1"/>
    <col min="10" max="10" width="13.85546875" customWidth="1"/>
    <col min="11" max="11" width="14.28515625" customWidth="1"/>
    <col min="12" max="12" width="13.28515625" customWidth="1"/>
    <col min="14" max="14" width="52.7109375" customWidth="1"/>
    <col min="21" max="21" width="51.7109375" customWidth="1"/>
  </cols>
  <sheetData>
    <row r="2" spans="2:12" x14ac:dyDescent="0.25">
      <c r="B2" s="257"/>
      <c r="C2" s="258" t="s">
        <v>34</v>
      </c>
      <c r="D2" s="258"/>
      <c r="E2" s="258"/>
      <c r="F2" s="258"/>
      <c r="G2" s="258"/>
      <c r="H2" s="258"/>
      <c r="I2" s="258"/>
      <c r="J2" s="258"/>
      <c r="K2" s="258"/>
      <c r="L2" s="258"/>
    </row>
    <row r="3" spans="2:12" x14ac:dyDescent="0.25">
      <c r="B3" s="257"/>
      <c r="C3" s="258"/>
      <c r="D3" s="258"/>
      <c r="E3" s="258"/>
      <c r="F3" s="258"/>
      <c r="G3" s="258"/>
      <c r="H3" s="258"/>
      <c r="I3" s="258"/>
      <c r="J3" s="258"/>
      <c r="K3" s="258"/>
      <c r="L3" s="258"/>
    </row>
    <row r="4" spans="2:12" ht="15.75" x14ac:dyDescent="0.25">
      <c r="B4" s="2" t="s">
        <v>37</v>
      </c>
      <c r="C4" s="2">
        <v>2010</v>
      </c>
      <c r="D4" s="2">
        <v>2011</v>
      </c>
      <c r="E4" s="2">
        <v>2012</v>
      </c>
      <c r="F4" s="2">
        <v>2013</v>
      </c>
      <c r="G4" s="2">
        <v>2014</v>
      </c>
      <c r="H4" s="2">
        <v>2015</v>
      </c>
      <c r="I4" s="2">
        <v>2016</v>
      </c>
      <c r="J4" s="2">
        <v>2017</v>
      </c>
      <c r="K4" s="2">
        <v>2018</v>
      </c>
      <c r="L4" s="2">
        <v>2019</v>
      </c>
    </row>
    <row r="5" spans="2:12" ht="15.75" x14ac:dyDescent="0.25">
      <c r="B5" s="23" t="s">
        <v>42</v>
      </c>
      <c r="C5" s="46">
        <v>506329</v>
      </c>
      <c r="D5" s="46">
        <v>547689</v>
      </c>
      <c r="E5" s="46">
        <v>577227</v>
      </c>
      <c r="F5" s="46">
        <v>593723</v>
      </c>
      <c r="G5" s="47">
        <v>690250</v>
      </c>
      <c r="H5" s="46">
        <v>818459</v>
      </c>
      <c r="I5" s="46">
        <v>918170</v>
      </c>
      <c r="J5" s="46">
        <v>1013591</v>
      </c>
      <c r="K5" s="46">
        <v>1161192</v>
      </c>
      <c r="L5" s="46">
        <v>1307321</v>
      </c>
    </row>
    <row r="6" spans="2:12" ht="15.75" x14ac:dyDescent="0.25">
      <c r="B6" s="28" t="s">
        <v>43</v>
      </c>
      <c r="C6" s="46">
        <v>313628</v>
      </c>
      <c r="D6" s="46">
        <v>380000</v>
      </c>
      <c r="E6" s="46">
        <v>418149</v>
      </c>
      <c r="F6" s="46">
        <v>406274</v>
      </c>
      <c r="G6" s="47">
        <v>467763</v>
      </c>
      <c r="H6" s="46">
        <v>568017</v>
      </c>
      <c r="I6" s="46">
        <v>675781</v>
      </c>
      <c r="J6" s="46">
        <v>742145</v>
      </c>
      <c r="K6" s="46">
        <v>851060</v>
      </c>
      <c r="L6" s="46">
        <v>964961</v>
      </c>
    </row>
    <row r="7" spans="2:12" ht="15.75" x14ac:dyDescent="0.25">
      <c r="B7" s="29" t="s">
        <v>4</v>
      </c>
      <c r="C7" s="46">
        <v>260000</v>
      </c>
      <c r="D7" s="46">
        <v>260000</v>
      </c>
      <c r="E7" s="46">
        <v>260000</v>
      </c>
      <c r="F7" s="46">
        <v>260000</v>
      </c>
      <c r="G7" s="46">
        <v>260000</v>
      </c>
      <c r="H7" s="46">
        <v>260000</v>
      </c>
      <c r="I7" s="46">
        <v>260000</v>
      </c>
      <c r="J7" s="46">
        <v>260000</v>
      </c>
      <c r="K7" s="46">
        <v>260000</v>
      </c>
      <c r="L7" s="46">
        <v>260000</v>
      </c>
    </row>
    <row r="8" spans="2:12" ht="15.75" x14ac:dyDescent="0.25">
      <c r="B8" s="29" t="s">
        <v>5</v>
      </c>
      <c r="C8" s="46">
        <v>18430</v>
      </c>
      <c r="D8" s="46">
        <v>24894</v>
      </c>
      <c r="E8" s="46">
        <v>30496</v>
      </c>
      <c r="F8" s="46">
        <v>39422</v>
      </c>
      <c r="G8" s="47">
        <v>43691</v>
      </c>
      <c r="H8" s="46">
        <v>48836</v>
      </c>
      <c r="I8" s="46">
        <v>57780</v>
      </c>
      <c r="J8" s="46">
        <v>63581</v>
      </c>
      <c r="K8" s="46">
        <v>69048</v>
      </c>
      <c r="L8" s="46">
        <v>72358</v>
      </c>
    </row>
    <row r="9" spans="2:12" ht="15.75" x14ac:dyDescent="0.25">
      <c r="B9" s="29" t="s">
        <v>7</v>
      </c>
      <c r="C9" s="46">
        <v>2833</v>
      </c>
      <c r="D9" s="46">
        <v>6877</v>
      </c>
      <c r="E9" s="46">
        <v>9190</v>
      </c>
      <c r="F9" s="46">
        <v>11817</v>
      </c>
      <c r="G9" s="47">
        <v>14877</v>
      </c>
      <c r="H9" s="46">
        <v>18138</v>
      </c>
      <c r="I9" s="46">
        <v>22894</v>
      </c>
      <c r="J9" s="46">
        <v>28346</v>
      </c>
      <c r="K9" s="46">
        <v>33544</v>
      </c>
      <c r="L9" s="46">
        <v>40694</v>
      </c>
    </row>
    <row r="10" spans="2:12" ht="15.75" x14ac:dyDescent="0.25">
      <c r="B10" s="29" t="s">
        <v>9</v>
      </c>
      <c r="C10" s="46">
        <v>-2565</v>
      </c>
      <c r="D10" s="46">
        <v>41968</v>
      </c>
      <c r="E10" s="46">
        <v>65916</v>
      </c>
      <c r="F10" s="46">
        <v>35836</v>
      </c>
      <c r="G10" s="47">
        <v>83976</v>
      </c>
      <c r="H10" s="46">
        <v>145934</v>
      </c>
      <c r="I10" s="46">
        <v>226051</v>
      </c>
      <c r="J10" s="46">
        <v>286252</v>
      </c>
      <c r="K10" s="46">
        <v>345470</v>
      </c>
      <c r="L10" s="46">
        <v>427584</v>
      </c>
    </row>
    <row r="11" spans="2:12" ht="15.75" x14ac:dyDescent="0.25">
      <c r="B11" s="30" t="s">
        <v>13</v>
      </c>
      <c r="C11" s="46">
        <v>34390</v>
      </c>
      <c r="D11" s="46">
        <v>46261</v>
      </c>
      <c r="E11" s="46">
        <v>52547</v>
      </c>
      <c r="F11" s="46">
        <v>61199</v>
      </c>
      <c r="G11" s="47">
        <v>65219</v>
      </c>
      <c r="H11" s="46">
        <v>95109</v>
      </c>
      <c r="I11" s="46">
        <v>109056</v>
      </c>
      <c r="J11" s="46">
        <v>103966</v>
      </c>
      <c r="K11" s="46">
        <v>142998</v>
      </c>
      <c r="L11" s="46">
        <v>164325</v>
      </c>
    </row>
    <row r="12" spans="2:12" ht="15.75" x14ac:dyDescent="0.25">
      <c r="B12" s="28" t="s">
        <v>14</v>
      </c>
      <c r="C12" s="46">
        <v>157419</v>
      </c>
      <c r="D12" s="46">
        <v>132686</v>
      </c>
      <c r="E12" s="46">
        <v>125162</v>
      </c>
      <c r="F12" s="46">
        <v>151670</v>
      </c>
      <c r="G12" s="47">
        <v>180144</v>
      </c>
      <c r="H12" s="46">
        <v>217840</v>
      </c>
      <c r="I12" s="46">
        <v>213911</v>
      </c>
      <c r="J12" s="46">
        <v>243636</v>
      </c>
      <c r="K12" s="46">
        <v>310132</v>
      </c>
      <c r="L12" s="46">
        <v>342360</v>
      </c>
    </row>
    <row r="13" spans="2:12" ht="15.75" x14ac:dyDescent="0.25">
      <c r="B13" s="29" t="s">
        <v>15</v>
      </c>
      <c r="C13" s="46">
        <v>12077</v>
      </c>
      <c r="D13" s="46">
        <v>16211</v>
      </c>
      <c r="E13" s="46">
        <v>1648</v>
      </c>
      <c r="F13" s="46">
        <v>4372</v>
      </c>
      <c r="G13" s="47">
        <v>418</v>
      </c>
      <c r="H13" s="46">
        <v>5939</v>
      </c>
      <c r="I13" s="46">
        <v>4281</v>
      </c>
      <c r="J13" s="46">
        <v>961</v>
      </c>
      <c r="K13" s="46">
        <v>10596</v>
      </c>
      <c r="L13" s="46">
        <v>10103</v>
      </c>
    </row>
    <row r="14" spans="2:12" ht="15.75" x14ac:dyDescent="0.25">
      <c r="B14" s="29" t="s">
        <v>18</v>
      </c>
      <c r="C14" s="46">
        <v>127342</v>
      </c>
      <c r="D14" s="46">
        <v>116475</v>
      </c>
      <c r="E14" s="46">
        <v>123514</v>
      </c>
      <c r="F14" s="46">
        <v>147298</v>
      </c>
      <c r="G14" s="47">
        <v>179726</v>
      </c>
      <c r="H14" s="46">
        <v>211901</v>
      </c>
      <c r="I14" s="46">
        <v>209630</v>
      </c>
      <c r="J14" s="46">
        <v>242675</v>
      </c>
      <c r="K14" s="46">
        <v>299536</v>
      </c>
      <c r="L14" s="46">
        <v>332257</v>
      </c>
    </row>
    <row r="15" spans="2:12" ht="15.75" x14ac:dyDescent="0.25">
      <c r="B15" s="29" t="s">
        <v>44</v>
      </c>
      <c r="C15" s="46">
        <v>23228</v>
      </c>
      <c r="D15" s="46">
        <v>6527</v>
      </c>
      <c r="E15" s="46">
        <v>5953</v>
      </c>
      <c r="F15" s="46">
        <v>5021</v>
      </c>
      <c r="G15" s="47">
        <v>10266</v>
      </c>
      <c r="H15" s="46">
        <v>15015</v>
      </c>
      <c r="I15" s="46">
        <v>20743</v>
      </c>
      <c r="J15" s="46">
        <v>23633</v>
      </c>
      <c r="K15" s="46">
        <v>26077</v>
      </c>
      <c r="L15" s="46">
        <v>30604</v>
      </c>
    </row>
    <row r="16" spans="2:12" ht="15.75" x14ac:dyDescent="0.25">
      <c r="B16" s="30" t="s">
        <v>25</v>
      </c>
      <c r="C16" s="16">
        <v>120114</v>
      </c>
      <c r="D16" s="46">
        <v>109948</v>
      </c>
      <c r="E16" s="46">
        <v>117561</v>
      </c>
      <c r="F16" s="46">
        <v>142277</v>
      </c>
      <c r="G16" s="47">
        <v>169460</v>
      </c>
      <c r="H16" s="46">
        <v>196886</v>
      </c>
      <c r="I16" s="46">
        <v>188887</v>
      </c>
      <c r="J16" s="46">
        <v>219042</v>
      </c>
      <c r="K16" s="46">
        <v>245916</v>
      </c>
      <c r="L16" s="46">
        <v>274762</v>
      </c>
    </row>
    <row r="17" spans="2:26" ht="15.75" x14ac:dyDescent="0.25">
      <c r="B17" s="28" t="s">
        <v>31</v>
      </c>
      <c r="C17" s="16">
        <v>35282</v>
      </c>
      <c r="D17" s="46">
        <v>35003</v>
      </c>
      <c r="E17" s="46">
        <v>33916</v>
      </c>
      <c r="F17" s="46">
        <v>33779</v>
      </c>
      <c r="G17" s="47">
        <v>42343</v>
      </c>
      <c r="H17" s="46">
        <v>32602</v>
      </c>
      <c r="I17" s="46">
        <v>28478</v>
      </c>
      <c r="J17" s="46">
        <v>27810</v>
      </c>
      <c r="K17" s="46">
        <v>27543</v>
      </c>
      <c r="L17" s="46">
        <v>26891</v>
      </c>
    </row>
    <row r="20" spans="2:26" ht="15" customHeight="1" x14ac:dyDescent="0.25">
      <c r="B20" s="272"/>
      <c r="C20" s="274" t="s">
        <v>34</v>
      </c>
      <c r="D20" s="262"/>
      <c r="E20" s="262"/>
      <c r="F20" s="262"/>
      <c r="G20" s="266"/>
      <c r="H20" s="275" t="s">
        <v>50</v>
      </c>
      <c r="I20" s="275"/>
      <c r="J20" s="275"/>
      <c r="K20" s="275"/>
      <c r="L20" s="275"/>
      <c r="N20" s="272"/>
      <c r="O20" s="275" t="s">
        <v>50</v>
      </c>
      <c r="P20" s="275"/>
      <c r="Q20" s="275"/>
      <c r="R20" s="275"/>
      <c r="S20" s="275"/>
      <c r="U20" s="2" t="s">
        <v>37</v>
      </c>
      <c r="V20" s="2">
        <v>2010</v>
      </c>
      <c r="W20" s="2">
        <v>2011</v>
      </c>
      <c r="X20" s="2">
        <v>2012</v>
      </c>
      <c r="Y20" s="2">
        <v>2013</v>
      </c>
      <c r="Z20" s="2">
        <v>2014</v>
      </c>
    </row>
    <row r="21" spans="2:26" ht="15" customHeight="1" x14ac:dyDescent="0.25">
      <c r="B21" s="273"/>
      <c r="C21" s="271"/>
      <c r="D21" s="261"/>
      <c r="E21" s="261"/>
      <c r="F21" s="261"/>
      <c r="G21" s="268"/>
      <c r="H21" s="276" t="s">
        <v>53</v>
      </c>
      <c r="I21" s="276"/>
      <c r="J21" s="276"/>
      <c r="K21" s="276"/>
      <c r="L21" s="276"/>
      <c r="N21" s="273"/>
      <c r="O21" s="276" t="s">
        <v>51</v>
      </c>
      <c r="P21" s="276"/>
      <c r="Q21" s="276"/>
      <c r="R21" s="276"/>
      <c r="S21" s="276"/>
      <c r="U21" s="64" t="s">
        <v>43</v>
      </c>
      <c r="V21" s="41">
        <v>0.61941543936847387</v>
      </c>
      <c r="W21" s="41">
        <v>0.69382441495082059</v>
      </c>
      <c r="X21" s="41">
        <v>0.72440998082210295</v>
      </c>
      <c r="Y21" s="41">
        <v>0.68428206419491922</v>
      </c>
      <c r="Z21" s="41">
        <v>0.67767185802245566</v>
      </c>
    </row>
    <row r="22" spans="2:26" ht="15.75" x14ac:dyDescent="0.25">
      <c r="B22" s="2" t="s">
        <v>37</v>
      </c>
      <c r="C22" s="2">
        <v>2010</v>
      </c>
      <c r="D22" s="2">
        <v>2011</v>
      </c>
      <c r="E22" s="2">
        <v>2012</v>
      </c>
      <c r="F22" s="2">
        <v>2013</v>
      </c>
      <c r="G22" s="2">
        <v>2014</v>
      </c>
      <c r="H22" s="2">
        <v>2010</v>
      </c>
      <c r="I22" s="2">
        <v>2011</v>
      </c>
      <c r="J22" s="2">
        <v>2012</v>
      </c>
      <c r="K22" s="2">
        <v>2013</v>
      </c>
      <c r="L22" s="2">
        <v>2014</v>
      </c>
      <c r="N22" s="2" t="s">
        <v>37</v>
      </c>
      <c r="O22" s="2">
        <v>2010</v>
      </c>
      <c r="P22" s="2">
        <v>2011</v>
      </c>
      <c r="Q22" s="2">
        <v>2012</v>
      </c>
      <c r="R22" s="2">
        <v>2013</v>
      </c>
      <c r="S22" s="2">
        <v>2014</v>
      </c>
      <c r="U22" s="64" t="s">
        <v>14</v>
      </c>
      <c r="V22" s="41">
        <v>0.31090259495308387</v>
      </c>
      <c r="W22" s="41">
        <v>0.24226522716359103</v>
      </c>
      <c r="X22" s="41">
        <v>0.21683323891640549</v>
      </c>
      <c r="Y22" s="41">
        <v>0.2554558270439245</v>
      </c>
      <c r="Z22" s="41">
        <v>0.26098370155740674</v>
      </c>
    </row>
    <row r="23" spans="2:26" ht="15.75" x14ac:dyDescent="0.25">
      <c r="B23" s="23" t="s">
        <v>42</v>
      </c>
      <c r="C23" s="42">
        <v>506329</v>
      </c>
      <c r="D23" s="43">
        <v>547689</v>
      </c>
      <c r="E23" s="43">
        <v>577227</v>
      </c>
      <c r="F23" s="43">
        <v>593723</v>
      </c>
      <c r="G23" s="44">
        <v>690250</v>
      </c>
      <c r="H23" s="39">
        <v>1</v>
      </c>
      <c r="I23" s="39">
        <v>1</v>
      </c>
      <c r="J23" s="39">
        <v>1</v>
      </c>
      <c r="K23" s="39">
        <v>1</v>
      </c>
      <c r="L23" s="39">
        <v>1</v>
      </c>
      <c r="N23" s="23" t="s">
        <v>42</v>
      </c>
      <c r="O23" s="39">
        <v>1</v>
      </c>
      <c r="P23" s="39">
        <v>1</v>
      </c>
      <c r="Q23" s="39">
        <v>1</v>
      </c>
      <c r="R23" s="39">
        <v>1</v>
      </c>
      <c r="S23" s="39">
        <v>1</v>
      </c>
      <c r="U23" s="64" t="s">
        <v>31</v>
      </c>
      <c r="V23" s="41">
        <v>6.9681965678442273E-2</v>
      </c>
      <c r="W23" s="41">
        <v>6.3910357885588354E-2</v>
      </c>
      <c r="X23" s="41">
        <v>5.875678026149158E-2</v>
      </c>
      <c r="Y23" s="41">
        <v>5.6893534527043758E-2</v>
      </c>
      <c r="Z23" s="41">
        <v>6.1344440420137633E-2</v>
      </c>
    </row>
    <row r="24" spans="2:26" ht="15.75" x14ac:dyDescent="0.25">
      <c r="B24" s="28" t="s">
        <v>43</v>
      </c>
      <c r="C24" s="43">
        <v>313628</v>
      </c>
      <c r="D24" s="43">
        <v>380000</v>
      </c>
      <c r="E24" s="43">
        <v>418149</v>
      </c>
      <c r="F24" s="43">
        <v>406274</v>
      </c>
      <c r="G24" s="44">
        <v>467763</v>
      </c>
      <c r="H24" s="40">
        <f>C24/$C$23</f>
        <v>0.61941543936847387</v>
      </c>
      <c r="I24" s="40">
        <f>D24/$D$23</f>
        <v>0.69382441495082059</v>
      </c>
      <c r="J24" s="40">
        <f>E24/$E$23</f>
        <v>0.72440998082210295</v>
      </c>
      <c r="K24" s="40">
        <f>F24/$F$23</f>
        <v>0.68428206419491922</v>
      </c>
      <c r="L24" s="40">
        <f>G24/$G$23</f>
        <v>0.67767185802245566</v>
      </c>
      <c r="N24" s="28" t="s">
        <v>43</v>
      </c>
      <c r="O24" s="40">
        <v>0.61941543936847387</v>
      </c>
      <c r="P24" s="40">
        <v>0.69382441495082059</v>
      </c>
      <c r="Q24" s="40">
        <v>0.72440998082210295</v>
      </c>
      <c r="R24" s="40">
        <v>0.68428206419491922</v>
      </c>
      <c r="S24" s="40">
        <v>0.67767185802245566</v>
      </c>
    </row>
    <row r="25" spans="2:26" ht="15.75" x14ac:dyDescent="0.25">
      <c r="B25" s="29" t="s">
        <v>4</v>
      </c>
      <c r="C25" s="43">
        <v>260000</v>
      </c>
      <c r="D25" s="43">
        <v>260000</v>
      </c>
      <c r="E25" s="43">
        <v>260000</v>
      </c>
      <c r="F25" s="43">
        <v>260000</v>
      </c>
      <c r="G25" s="43">
        <v>260000</v>
      </c>
      <c r="H25" s="41">
        <f t="shared" ref="H25:H35" si="0">C25/$C$23</f>
        <v>0.51350011553752595</v>
      </c>
      <c r="I25" s="41">
        <f t="shared" ref="I25:I35" si="1">D25/$D$23</f>
        <v>0.47472196812424572</v>
      </c>
      <c r="J25" s="41">
        <f t="shared" ref="J25:J35" si="2">E25/$E$23</f>
        <v>0.45042938046903558</v>
      </c>
      <c r="K25" s="41">
        <f t="shared" ref="K25:K35" si="3">F25/$F$23</f>
        <v>0.43791465043463029</v>
      </c>
      <c r="L25" s="41">
        <f t="shared" ref="L25:L35" si="4">G25/$G$23</f>
        <v>0.37667511771097428</v>
      </c>
      <c r="N25" s="29" t="s">
        <v>4</v>
      </c>
      <c r="O25" s="41">
        <v>0.51350011553752595</v>
      </c>
      <c r="P25" s="41">
        <v>0.47472196812424572</v>
      </c>
      <c r="Q25" s="41">
        <v>0.45042938046903558</v>
      </c>
      <c r="R25" s="41">
        <v>0.43791465043463029</v>
      </c>
      <c r="S25" s="41">
        <v>0.37667511771097428</v>
      </c>
    </row>
    <row r="26" spans="2:26" ht="15.75" x14ac:dyDescent="0.25">
      <c r="B26" s="29" t="s">
        <v>5</v>
      </c>
      <c r="C26" s="43">
        <v>18430</v>
      </c>
      <c r="D26" s="43">
        <v>24894</v>
      </c>
      <c r="E26" s="43">
        <v>30496</v>
      </c>
      <c r="F26" s="43">
        <v>39422</v>
      </c>
      <c r="G26" s="44">
        <v>43691</v>
      </c>
      <c r="H26" s="41">
        <f t="shared" si="0"/>
        <v>3.6399258189833091E-2</v>
      </c>
      <c r="I26" s="41">
        <f t="shared" si="1"/>
        <v>4.5452802594172968E-2</v>
      </c>
      <c r="J26" s="41">
        <f t="shared" si="2"/>
        <v>5.2831901487629652E-2</v>
      </c>
      <c r="K26" s="41">
        <f t="shared" si="3"/>
        <v>6.6397966728592286E-2</v>
      </c>
      <c r="L26" s="41">
        <f t="shared" si="4"/>
        <v>6.329735603042376E-2</v>
      </c>
      <c r="N26" s="29" t="s">
        <v>5</v>
      </c>
      <c r="O26" s="41">
        <v>3.6399258189833091E-2</v>
      </c>
      <c r="P26" s="41">
        <v>4.5452802594172968E-2</v>
      </c>
      <c r="Q26" s="41">
        <v>5.2831901487629652E-2</v>
      </c>
      <c r="R26" s="41">
        <v>6.6397966728592286E-2</v>
      </c>
      <c r="S26" s="41">
        <v>6.329735603042376E-2</v>
      </c>
    </row>
    <row r="27" spans="2:26" ht="15.75" x14ac:dyDescent="0.25">
      <c r="B27" s="29" t="s">
        <v>7</v>
      </c>
      <c r="C27" s="43">
        <v>2833</v>
      </c>
      <c r="D27" s="43">
        <v>6877</v>
      </c>
      <c r="E27" s="43">
        <v>9190</v>
      </c>
      <c r="F27" s="43">
        <v>11817</v>
      </c>
      <c r="G27" s="44">
        <v>14877</v>
      </c>
      <c r="H27" s="41">
        <f t="shared" si="0"/>
        <v>5.5951762589146583E-3</v>
      </c>
      <c r="I27" s="41">
        <f t="shared" si="1"/>
        <v>1.2556396056886299E-2</v>
      </c>
      <c r="J27" s="41">
        <f t="shared" si="2"/>
        <v>1.5920946178886296E-2</v>
      </c>
      <c r="K27" s="41">
        <f t="shared" si="3"/>
        <v>1.9903220862253948E-2</v>
      </c>
      <c r="L27" s="41">
        <f t="shared" si="4"/>
        <v>2.1553060485331402E-2</v>
      </c>
      <c r="N27" s="29" t="s">
        <v>7</v>
      </c>
      <c r="O27" s="41">
        <v>5.5951762589146583E-3</v>
      </c>
      <c r="P27" s="41">
        <v>1.2556396056886299E-2</v>
      </c>
      <c r="Q27" s="41">
        <v>1.5920946178886296E-2</v>
      </c>
      <c r="R27" s="41">
        <v>1.9903220862253948E-2</v>
      </c>
      <c r="S27" s="41">
        <v>2.1553060485331402E-2</v>
      </c>
    </row>
    <row r="28" spans="2:26" ht="15.75" x14ac:dyDescent="0.25">
      <c r="B28" s="29" t="s">
        <v>9</v>
      </c>
      <c r="C28" s="43">
        <v>-2565</v>
      </c>
      <c r="D28" s="43">
        <v>41968</v>
      </c>
      <c r="E28" s="43">
        <v>65916</v>
      </c>
      <c r="F28" s="43">
        <v>35836</v>
      </c>
      <c r="G28" s="44">
        <v>83976</v>
      </c>
      <c r="H28" s="41">
        <f t="shared" si="0"/>
        <v>-5.0658761398221317E-3</v>
      </c>
      <c r="I28" s="41">
        <f t="shared" si="1"/>
        <v>7.6627429070147468E-2</v>
      </c>
      <c r="J28" s="41">
        <f t="shared" si="2"/>
        <v>0.11419424247306519</v>
      </c>
      <c r="K28" s="41">
        <f t="shared" si="3"/>
        <v>6.0358113126828504E-2</v>
      </c>
      <c r="L28" s="41">
        <f t="shared" si="4"/>
        <v>0.12166026801883376</v>
      </c>
      <c r="N28" s="29" t="s">
        <v>9</v>
      </c>
      <c r="O28" s="41">
        <v>-5.0658761398221317E-3</v>
      </c>
      <c r="P28" s="41">
        <v>7.6627429070147468E-2</v>
      </c>
      <c r="Q28" s="41">
        <v>0.11419424247306519</v>
      </c>
      <c r="R28" s="41">
        <v>6.0358113126828504E-2</v>
      </c>
      <c r="S28" s="41">
        <v>0.12166026801883376</v>
      </c>
    </row>
    <row r="29" spans="2:26" ht="15.75" x14ac:dyDescent="0.25">
      <c r="B29" s="30" t="s">
        <v>13</v>
      </c>
      <c r="C29" s="43">
        <v>34390</v>
      </c>
      <c r="D29" s="43">
        <v>46261</v>
      </c>
      <c r="E29" s="43">
        <v>52547</v>
      </c>
      <c r="F29" s="43">
        <v>61199</v>
      </c>
      <c r="G29" s="44">
        <v>65219</v>
      </c>
      <c r="H29" s="41">
        <f t="shared" si="0"/>
        <v>6.7920265282059689E-2</v>
      </c>
      <c r="I29" s="41">
        <f t="shared" si="1"/>
        <v>8.4465819105368198E-2</v>
      </c>
      <c r="J29" s="41">
        <f t="shared" si="2"/>
        <v>9.1033510213486199E-2</v>
      </c>
      <c r="K29" s="41">
        <f t="shared" si="3"/>
        <v>0.10307668727672668</v>
      </c>
      <c r="L29" s="41">
        <f t="shared" si="4"/>
        <v>9.4486055776892425E-2</v>
      </c>
      <c r="N29" s="30" t="s">
        <v>13</v>
      </c>
      <c r="O29" s="41">
        <v>6.7920265282059689E-2</v>
      </c>
      <c r="P29" s="41">
        <v>8.4465819105368198E-2</v>
      </c>
      <c r="Q29" s="41">
        <v>9.1033510213486199E-2</v>
      </c>
      <c r="R29" s="41">
        <v>0.10307668727672668</v>
      </c>
      <c r="S29" s="41">
        <v>9.4486055776892425E-2</v>
      </c>
    </row>
    <row r="30" spans="2:26" ht="15.75" x14ac:dyDescent="0.25">
      <c r="B30" s="28" t="s">
        <v>14</v>
      </c>
      <c r="C30" s="43">
        <v>157419</v>
      </c>
      <c r="D30" s="43">
        <v>132686</v>
      </c>
      <c r="E30" s="43">
        <v>125162</v>
      </c>
      <c r="F30" s="43">
        <v>151670</v>
      </c>
      <c r="G30" s="44">
        <v>180144</v>
      </c>
      <c r="H30" s="40">
        <f t="shared" si="0"/>
        <v>0.31090259495308387</v>
      </c>
      <c r="I30" s="40">
        <f t="shared" si="1"/>
        <v>0.24226522716359103</v>
      </c>
      <c r="J30" s="40">
        <f t="shared" si="2"/>
        <v>0.21683323891640549</v>
      </c>
      <c r="K30" s="40">
        <f t="shared" si="3"/>
        <v>0.2554558270439245</v>
      </c>
      <c r="L30" s="40">
        <f t="shared" si="4"/>
        <v>0.26098370155740674</v>
      </c>
      <c r="N30" s="28" t="s">
        <v>14</v>
      </c>
      <c r="O30" s="40">
        <v>0.31090259495308387</v>
      </c>
      <c r="P30" s="40">
        <v>0.24226522716359103</v>
      </c>
      <c r="Q30" s="40">
        <v>0.21683323891640549</v>
      </c>
      <c r="R30" s="40">
        <v>0.2554558270439245</v>
      </c>
      <c r="S30" s="40">
        <v>0.26098370155740674</v>
      </c>
    </row>
    <row r="31" spans="2:26" ht="15.75" x14ac:dyDescent="0.25">
      <c r="B31" s="29" t="s">
        <v>15</v>
      </c>
      <c r="C31" s="43">
        <v>12077</v>
      </c>
      <c r="D31" s="43">
        <v>16211</v>
      </c>
      <c r="E31" s="43">
        <v>1648</v>
      </c>
      <c r="F31" s="43">
        <v>4372</v>
      </c>
      <c r="G31" s="44">
        <v>418</v>
      </c>
      <c r="H31" s="41">
        <f t="shared" si="0"/>
        <v>2.3852080366718084E-2</v>
      </c>
      <c r="I31" s="41">
        <f t="shared" si="1"/>
        <v>2.959891471254672E-2</v>
      </c>
      <c r="J31" s="41">
        <f t="shared" si="2"/>
        <v>2.855029303896041E-3</v>
      </c>
      <c r="K31" s="41">
        <f t="shared" si="3"/>
        <v>7.3637032757700137E-3</v>
      </c>
      <c r="L31" s="41">
        <f t="shared" si="4"/>
        <v>6.0557768924302793E-4</v>
      </c>
      <c r="N31" s="29" t="s">
        <v>15</v>
      </c>
      <c r="O31" s="41">
        <v>2.3852080366718084E-2</v>
      </c>
      <c r="P31" s="41">
        <v>2.959891471254672E-2</v>
      </c>
      <c r="Q31" s="41">
        <v>2.855029303896041E-3</v>
      </c>
      <c r="R31" s="41">
        <v>7.3637032757700137E-3</v>
      </c>
      <c r="S31" s="41">
        <v>6.0557768924302793E-4</v>
      </c>
    </row>
    <row r="32" spans="2:26" ht="15.75" x14ac:dyDescent="0.25">
      <c r="B32" s="29" t="s">
        <v>18</v>
      </c>
      <c r="C32" s="43">
        <v>127342</v>
      </c>
      <c r="D32" s="43">
        <v>116475</v>
      </c>
      <c r="E32" s="43">
        <v>123514</v>
      </c>
      <c r="F32" s="43">
        <v>147298</v>
      </c>
      <c r="G32" s="44">
        <v>179726</v>
      </c>
      <c r="H32" s="41">
        <f t="shared" si="0"/>
        <v>0.25150050658761397</v>
      </c>
      <c r="I32" s="41">
        <f t="shared" si="1"/>
        <v>0.21266631245104431</v>
      </c>
      <c r="J32" s="41">
        <f t="shared" si="2"/>
        <v>0.21397820961250946</v>
      </c>
      <c r="K32" s="41">
        <f t="shared" si="3"/>
        <v>0.24809212376815451</v>
      </c>
      <c r="L32" s="41">
        <f t="shared" si="4"/>
        <v>0.26037812386816372</v>
      </c>
      <c r="N32" s="29" t="s">
        <v>18</v>
      </c>
      <c r="O32" s="41">
        <v>0.25150050658761397</v>
      </c>
      <c r="P32" s="41">
        <v>0.21266631245104431</v>
      </c>
      <c r="Q32" s="41">
        <v>0.21397820961250946</v>
      </c>
      <c r="R32" s="41">
        <v>0.24809212376815451</v>
      </c>
      <c r="S32" s="41">
        <v>0.26037812386816372</v>
      </c>
    </row>
    <row r="33" spans="2:26" ht="15.75" x14ac:dyDescent="0.25">
      <c r="B33" s="29" t="s">
        <v>44</v>
      </c>
      <c r="C33" s="43">
        <v>23228</v>
      </c>
      <c r="D33" s="43">
        <v>6527</v>
      </c>
      <c r="E33" s="43">
        <v>5953</v>
      </c>
      <c r="F33" s="43">
        <v>5021</v>
      </c>
      <c r="G33" s="44">
        <v>10266</v>
      </c>
      <c r="H33" s="41">
        <f t="shared" si="0"/>
        <v>4.5875310321944821E-2</v>
      </c>
      <c r="I33" s="41">
        <f t="shared" si="1"/>
        <v>1.1917347253642121E-2</v>
      </c>
      <c r="J33" s="41">
        <f t="shared" si="2"/>
        <v>1.0313100392046803E-2</v>
      </c>
      <c r="K33" s="41">
        <f t="shared" si="3"/>
        <v>8.4568056147395331E-3</v>
      </c>
      <c r="L33" s="41">
        <f t="shared" si="4"/>
        <v>1.4872872147772546E-2</v>
      </c>
      <c r="N33" s="29" t="s">
        <v>44</v>
      </c>
      <c r="O33" s="41">
        <v>4.5875310321944821E-2</v>
      </c>
      <c r="P33" s="41">
        <v>1.1917347253642121E-2</v>
      </c>
      <c r="Q33" s="41">
        <v>1.0313100392046803E-2</v>
      </c>
      <c r="R33" s="41">
        <v>8.4568056147395331E-3</v>
      </c>
      <c r="S33" s="41">
        <v>1.4872872147772546E-2</v>
      </c>
    </row>
    <row r="34" spans="2:26" ht="15.75" x14ac:dyDescent="0.25">
      <c r="B34" s="30" t="s">
        <v>25</v>
      </c>
      <c r="C34" s="45">
        <v>120114</v>
      </c>
      <c r="D34" s="43">
        <v>109948</v>
      </c>
      <c r="E34" s="43">
        <v>117561</v>
      </c>
      <c r="F34" s="43">
        <v>142277</v>
      </c>
      <c r="G34" s="44">
        <v>169460</v>
      </c>
      <c r="H34" s="41">
        <f t="shared" si="0"/>
        <v>0.23722520337567077</v>
      </c>
      <c r="I34" s="41">
        <f t="shared" si="1"/>
        <v>0.20074896519740218</v>
      </c>
      <c r="J34" s="41">
        <f t="shared" si="2"/>
        <v>0.20366510922046266</v>
      </c>
      <c r="K34" s="41">
        <f t="shared" si="3"/>
        <v>0.23963531815341499</v>
      </c>
      <c r="L34" s="41">
        <f t="shared" si="4"/>
        <v>0.24550525172039117</v>
      </c>
      <c r="N34" s="30" t="s">
        <v>25</v>
      </c>
      <c r="O34" s="41">
        <v>0.23722520337567077</v>
      </c>
      <c r="P34" s="41">
        <v>0.20074896519740218</v>
      </c>
      <c r="Q34" s="41">
        <v>0.20366510922046266</v>
      </c>
      <c r="R34" s="41">
        <v>0.23963531815341499</v>
      </c>
      <c r="S34" s="41">
        <v>0.24550525172039117</v>
      </c>
    </row>
    <row r="35" spans="2:26" ht="15.75" x14ac:dyDescent="0.25">
      <c r="B35" s="28" t="s">
        <v>31</v>
      </c>
      <c r="C35" s="45">
        <v>35282</v>
      </c>
      <c r="D35" s="43">
        <v>35003</v>
      </c>
      <c r="E35" s="43">
        <v>33916</v>
      </c>
      <c r="F35" s="43">
        <v>33779</v>
      </c>
      <c r="G35" s="44">
        <v>42343</v>
      </c>
      <c r="H35" s="40">
        <f t="shared" si="0"/>
        <v>6.9681965678442273E-2</v>
      </c>
      <c r="I35" s="40">
        <f t="shared" si="1"/>
        <v>6.3910357885588354E-2</v>
      </c>
      <c r="J35" s="40">
        <f t="shared" si="2"/>
        <v>5.875678026149158E-2</v>
      </c>
      <c r="K35" s="40">
        <f t="shared" si="3"/>
        <v>5.6893534527043758E-2</v>
      </c>
      <c r="L35" s="40">
        <f t="shared" si="4"/>
        <v>6.1344440420137633E-2</v>
      </c>
      <c r="N35" s="28" t="s">
        <v>31</v>
      </c>
      <c r="O35" s="40">
        <v>6.9681965678442273E-2</v>
      </c>
      <c r="P35" s="40">
        <v>6.3910357885588354E-2</v>
      </c>
      <c r="Q35" s="40">
        <v>5.875678026149158E-2</v>
      </c>
      <c r="R35" s="40">
        <v>5.6893534527043758E-2</v>
      </c>
      <c r="S35" s="40">
        <v>6.1344440420137633E-2</v>
      </c>
    </row>
    <row r="37" spans="2:26" ht="15.75" x14ac:dyDescent="0.25">
      <c r="B37" s="272"/>
      <c r="C37" s="274" t="s">
        <v>34</v>
      </c>
      <c r="D37" s="262"/>
      <c r="E37" s="262"/>
      <c r="F37" s="262"/>
      <c r="G37" s="266"/>
      <c r="H37" s="275" t="s">
        <v>50</v>
      </c>
      <c r="I37" s="275"/>
      <c r="J37" s="275"/>
      <c r="K37" s="275"/>
      <c r="L37" s="275"/>
      <c r="N37" s="272"/>
      <c r="O37" s="275" t="s">
        <v>50</v>
      </c>
      <c r="P37" s="275"/>
      <c r="Q37" s="275"/>
      <c r="R37" s="275"/>
      <c r="S37" s="275"/>
      <c r="U37" s="2" t="s">
        <v>37</v>
      </c>
      <c r="V37" s="2">
        <v>2015</v>
      </c>
      <c r="W37" s="2">
        <v>2016</v>
      </c>
      <c r="X37" s="2">
        <v>2017</v>
      </c>
      <c r="Y37" s="2">
        <v>2018</v>
      </c>
      <c r="Z37" s="2">
        <v>2019</v>
      </c>
    </row>
    <row r="38" spans="2:26" ht="15.75" x14ac:dyDescent="0.25">
      <c r="B38" s="273"/>
      <c r="C38" s="271"/>
      <c r="D38" s="261"/>
      <c r="E38" s="261"/>
      <c r="F38" s="261"/>
      <c r="G38" s="268"/>
      <c r="H38" s="276" t="s">
        <v>53</v>
      </c>
      <c r="I38" s="276"/>
      <c r="J38" s="276"/>
      <c r="K38" s="276"/>
      <c r="L38" s="276"/>
      <c r="N38" s="273"/>
      <c r="O38" s="276" t="s">
        <v>53</v>
      </c>
      <c r="P38" s="276"/>
      <c r="Q38" s="276"/>
      <c r="R38" s="276"/>
      <c r="S38" s="276"/>
      <c r="U38" s="64" t="s">
        <v>43</v>
      </c>
      <c r="V38" s="41">
        <v>0.69400788555077286</v>
      </c>
      <c r="W38" s="41">
        <v>0.73600858228868293</v>
      </c>
      <c r="X38" s="41">
        <v>0.73219375468014214</v>
      </c>
      <c r="Y38" s="41">
        <v>0.73291927605426144</v>
      </c>
      <c r="Z38" s="41">
        <v>0.73812093586808447</v>
      </c>
    </row>
    <row r="39" spans="2:26" ht="15.75" x14ac:dyDescent="0.25">
      <c r="B39" s="2" t="s">
        <v>37</v>
      </c>
      <c r="C39" s="2">
        <v>2015</v>
      </c>
      <c r="D39" s="2">
        <v>2016</v>
      </c>
      <c r="E39" s="2">
        <v>2017</v>
      </c>
      <c r="F39" s="2">
        <v>2018</v>
      </c>
      <c r="G39" s="2">
        <v>2019</v>
      </c>
      <c r="H39" s="2">
        <v>2015</v>
      </c>
      <c r="I39" s="2">
        <v>2016</v>
      </c>
      <c r="J39" s="2">
        <v>2017</v>
      </c>
      <c r="K39" s="2">
        <v>2018</v>
      </c>
      <c r="L39" s="2">
        <v>2019</v>
      </c>
      <c r="N39" s="2" t="s">
        <v>37</v>
      </c>
      <c r="O39" s="2">
        <v>2015</v>
      </c>
      <c r="P39" s="2">
        <v>2016</v>
      </c>
      <c r="Q39" s="2">
        <v>2017</v>
      </c>
      <c r="R39" s="2">
        <v>2018</v>
      </c>
      <c r="S39" s="2">
        <v>2019</v>
      </c>
      <c r="U39" s="64" t="s">
        <v>14</v>
      </c>
      <c r="V39" s="41">
        <v>0.26615872022911347</v>
      </c>
      <c r="W39" s="41">
        <v>0.23297537493056841</v>
      </c>
      <c r="X39" s="41">
        <v>0.24036914297778886</v>
      </c>
      <c r="Y39" s="41">
        <v>0.26708072394573851</v>
      </c>
      <c r="Z39" s="41">
        <v>0.26187906413191558</v>
      </c>
    </row>
    <row r="40" spans="2:26" ht="15.75" x14ac:dyDescent="0.25">
      <c r="B40" s="23" t="s">
        <v>42</v>
      </c>
      <c r="C40" s="43">
        <v>818459</v>
      </c>
      <c r="D40" s="43">
        <v>918170</v>
      </c>
      <c r="E40" s="43">
        <v>1013591</v>
      </c>
      <c r="F40" s="43">
        <v>1161192</v>
      </c>
      <c r="G40" s="43">
        <v>1307321</v>
      </c>
      <c r="H40" s="39">
        <v>1</v>
      </c>
      <c r="I40" s="39">
        <v>1</v>
      </c>
      <c r="J40" s="39">
        <v>1</v>
      </c>
      <c r="K40" s="39">
        <v>1</v>
      </c>
      <c r="L40" s="39">
        <v>1</v>
      </c>
      <c r="N40" s="23" t="s">
        <v>42</v>
      </c>
      <c r="O40" s="39">
        <v>1</v>
      </c>
      <c r="P40" s="39">
        <v>1</v>
      </c>
      <c r="Q40" s="39">
        <v>1</v>
      </c>
      <c r="R40" s="39">
        <v>1</v>
      </c>
      <c r="S40" s="39">
        <v>1</v>
      </c>
      <c r="U40" s="64" t="s">
        <v>31</v>
      </c>
      <c r="V40" s="41">
        <v>3.9833394220113651E-2</v>
      </c>
      <c r="W40" s="41">
        <v>3.1016042780748664E-2</v>
      </c>
      <c r="X40" s="41">
        <v>2.7437102342068941E-2</v>
      </c>
      <c r="Y40" s="41">
        <v>2.371959159208813E-2</v>
      </c>
      <c r="Z40" s="41">
        <v>2.0569546423563914E-2</v>
      </c>
    </row>
    <row r="41" spans="2:26" ht="15.75" x14ac:dyDescent="0.25">
      <c r="B41" s="28" t="s">
        <v>43</v>
      </c>
      <c r="C41" s="43">
        <v>568017</v>
      </c>
      <c r="D41" s="43">
        <v>675781</v>
      </c>
      <c r="E41" s="43">
        <v>742145</v>
      </c>
      <c r="F41" s="43">
        <v>851060</v>
      </c>
      <c r="G41" s="43">
        <v>964961</v>
      </c>
      <c r="H41" s="40">
        <f>C41/$C$40</f>
        <v>0.69400788555077286</v>
      </c>
      <c r="I41" s="40">
        <f>D41/$D$40</f>
        <v>0.73600858228868293</v>
      </c>
      <c r="J41" s="40">
        <f>E41/$E$40</f>
        <v>0.73219375468014214</v>
      </c>
      <c r="K41" s="40">
        <f>F41/$F$40</f>
        <v>0.73291927605426144</v>
      </c>
      <c r="L41" s="40">
        <f>G41/$G$40</f>
        <v>0.73812093586808447</v>
      </c>
      <c r="N41" s="28" t="s">
        <v>43</v>
      </c>
      <c r="O41" s="40">
        <v>0.69400788555077286</v>
      </c>
      <c r="P41" s="40">
        <v>0.73600858228868293</v>
      </c>
      <c r="Q41" s="40">
        <v>0.73219375468014214</v>
      </c>
      <c r="R41" s="40">
        <v>0.73291927605426144</v>
      </c>
      <c r="S41" s="40">
        <v>0.73812093586808447</v>
      </c>
    </row>
    <row r="42" spans="2:26" ht="15.75" x14ac:dyDescent="0.25">
      <c r="B42" s="29" t="s">
        <v>4</v>
      </c>
      <c r="C42" s="43">
        <v>260000</v>
      </c>
      <c r="D42" s="43">
        <v>260000</v>
      </c>
      <c r="E42" s="43">
        <v>260000</v>
      </c>
      <c r="F42" s="43">
        <v>260000</v>
      </c>
      <c r="G42" s="43">
        <v>260000</v>
      </c>
      <c r="H42" s="41">
        <f t="shared" ref="H42:H52" si="5">C42/$C$40</f>
        <v>0.3176701581875207</v>
      </c>
      <c r="I42" s="41">
        <f t="shared" ref="I42:I52" si="6">D42/$D$40</f>
        <v>0.28317196161930797</v>
      </c>
      <c r="J42" s="41">
        <f t="shared" ref="J42:J52" si="7">E42/$E$40</f>
        <v>0.25651372200424039</v>
      </c>
      <c r="K42" s="41">
        <f t="shared" ref="K42:K52" si="8">F42/$F$40</f>
        <v>0.22390784641988576</v>
      </c>
      <c r="L42" s="41">
        <f t="shared" ref="L42:L52" si="9">G42/$G$40</f>
        <v>0.19887999963283692</v>
      </c>
      <c r="N42" s="29" t="s">
        <v>4</v>
      </c>
      <c r="O42" s="41">
        <v>0.3176701581875207</v>
      </c>
      <c r="P42" s="41">
        <v>0.28317196161930797</v>
      </c>
      <c r="Q42" s="41">
        <v>0.25651372200424039</v>
      </c>
      <c r="R42" s="41">
        <v>0.22390784641988576</v>
      </c>
      <c r="S42" s="41">
        <v>0.19887999963283692</v>
      </c>
    </row>
    <row r="43" spans="2:26" ht="15.75" x14ac:dyDescent="0.25">
      <c r="B43" s="29" t="s">
        <v>5</v>
      </c>
      <c r="C43" s="43">
        <v>48836</v>
      </c>
      <c r="D43" s="43">
        <v>57780</v>
      </c>
      <c r="E43" s="43">
        <v>63581</v>
      </c>
      <c r="F43" s="43">
        <v>69048</v>
      </c>
      <c r="G43" s="43">
        <v>72358</v>
      </c>
      <c r="H43" s="41">
        <f t="shared" si="5"/>
        <v>5.9668230174022154E-2</v>
      </c>
      <c r="I43" s="41">
        <f t="shared" si="6"/>
        <v>6.2929522855244668E-2</v>
      </c>
      <c r="J43" s="41">
        <f t="shared" si="7"/>
        <v>6.272845753366002E-2</v>
      </c>
      <c r="K43" s="41">
        <f t="shared" si="8"/>
        <v>5.9463034536924128E-2</v>
      </c>
      <c r="L43" s="41">
        <f t="shared" si="9"/>
        <v>5.5348303897818515E-2</v>
      </c>
      <c r="N43" s="29" t="s">
        <v>5</v>
      </c>
      <c r="O43" s="41">
        <v>5.9668230174022154E-2</v>
      </c>
      <c r="P43" s="41">
        <v>6.2929522855244668E-2</v>
      </c>
      <c r="Q43" s="41">
        <v>6.272845753366002E-2</v>
      </c>
      <c r="R43" s="41">
        <v>5.9463034536924128E-2</v>
      </c>
      <c r="S43" s="41">
        <v>5.5348303897818515E-2</v>
      </c>
    </row>
    <row r="44" spans="2:26" ht="15.75" x14ac:dyDescent="0.25">
      <c r="B44" s="29" t="s">
        <v>7</v>
      </c>
      <c r="C44" s="43">
        <v>18138</v>
      </c>
      <c r="D44" s="43">
        <v>22894</v>
      </c>
      <c r="E44" s="43">
        <v>28346</v>
      </c>
      <c r="F44" s="43">
        <v>33544</v>
      </c>
      <c r="G44" s="43">
        <v>40694</v>
      </c>
      <c r="H44" s="41">
        <f t="shared" si="5"/>
        <v>2.2161158958481732E-2</v>
      </c>
      <c r="I44" s="41">
        <f t="shared" si="6"/>
        <v>2.4934380343509373E-2</v>
      </c>
      <c r="J44" s="41">
        <f t="shared" si="7"/>
        <v>2.7965915245893067E-2</v>
      </c>
      <c r="K44" s="41">
        <f t="shared" si="8"/>
        <v>2.8887556924264032E-2</v>
      </c>
      <c r="L44" s="41">
        <f t="shared" si="9"/>
        <v>3.1127779634841021E-2</v>
      </c>
      <c r="N44" s="29" t="s">
        <v>7</v>
      </c>
      <c r="O44" s="41">
        <v>2.2161158958481732E-2</v>
      </c>
      <c r="P44" s="41">
        <v>2.4934380343509373E-2</v>
      </c>
      <c r="Q44" s="41">
        <v>2.7965915245893067E-2</v>
      </c>
      <c r="R44" s="41">
        <v>2.8887556924264032E-2</v>
      </c>
      <c r="S44" s="41">
        <v>3.1127779634841021E-2</v>
      </c>
    </row>
    <row r="45" spans="2:26" ht="15.75" x14ac:dyDescent="0.25">
      <c r="B45" s="29" t="s">
        <v>9</v>
      </c>
      <c r="C45" s="43">
        <v>145934</v>
      </c>
      <c r="D45" s="43">
        <v>226051</v>
      </c>
      <c r="E45" s="43">
        <v>286252</v>
      </c>
      <c r="F45" s="43">
        <v>345470</v>
      </c>
      <c r="G45" s="43">
        <v>427584</v>
      </c>
      <c r="H45" s="41">
        <f t="shared" si="5"/>
        <v>0.17830337255745249</v>
      </c>
      <c r="I45" s="41">
        <f t="shared" si="6"/>
        <v>0.24619732729233149</v>
      </c>
      <c r="J45" s="41">
        <f t="shared" si="7"/>
        <v>0.28241371519676084</v>
      </c>
      <c r="K45" s="41">
        <f t="shared" si="8"/>
        <v>0.29751324501029974</v>
      </c>
      <c r="L45" s="41">
        <f t="shared" si="9"/>
        <v>0.32706886831925747</v>
      </c>
      <c r="N45" s="29" t="s">
        <v>9</v>
      </c>
      <c r="O45" s="41">
        <v>0.17830337255745249</v>
      </c>
      <c r="P45" s="41">
        <v>0.24619732729233149</v>
      </c>
      <c r="Q45" s="41">
        <v>0.28241371519676084</v>
      </c>
      <c r="R45" s="41">
        <v>0.29751324501029974</v>
      </c>
      <c r="S45" s="41">
        <v>0.32706886831925747</v>
      </c>
    </row>
    <row r="46" spans="2:26" ht="15.75" x14ac:dyDescent="0.25">
      <c r="B46" s="30" t="s">
        <v>13</v>
      </c>
      <c r="C46" s="43">
        <v>95109</v>
      </c>
      <c r="D46" s="43">
        <v>109056</v>
      </c>
      <c r="E46" s="43">
        <v>103966</v>
      </c>
      <c r="F46" s="43">
        <v>142998</v>
      </c>
      <c r="G46" s="43">
        <v>164325</v>
      </c>
      <c r="H46" s="41">
        <f t="shared" si="5"/>
        <v>0.11620496567329579</v>
      </c>
      <c r="I46" s="41">
        <f t="shared" si="6"/>
        <v>0.11877539017828942</v>
      </c>
      <c r="J46" s="41">
        <f t="shared" si="7"/>
        <v>0.1025719446995879</v>
      </c>
      <c r="K46" s="41">
        <f t="shared" si="8"/>
        <v>0.12314759316288779</v>
      </c>
      <c r="L46" s="41">
        <f t="shared" si="9"/>
        <v>0.12569598438333049</v>
      </c>
      <c r="N46" s="30" t="s">
        <v>13</v>
      </c>
      <c r="O46" s="41">
        <v>0.11620496567329579</v>
      </c>
      <c r="P46" s="41">
        <v>0.11877539017828942</v>
      </c>
      <c r="Q46" s="41">
        <v>0.1025719446995879</v>
      </c>
      <c r="R46" s="41">
        <v>0.12314759316288779</v>
      </c>
      <c r="S46" s="41">
        <v>0.12569598438333049</v>
      </c>
    </row>
    <row r="47" spans="2:26" ht="15.75" x14ac:dyDescent="0.25">
      <c r="B47" s="28" t="s">
        <v>14</v>
      </c>
      <c r="C47" s="43">
        <v>217840</v>
      </c>
      <c r="D47" s="43">
        <v>213911</v>
      </c>
      <c r="E47" s="43">
        <v>243636</v>
      </c>
      <c r="F47" s="43">
        <v>310132</v>
      </c>
      <c r="G47" s="43">
        <v>342360</v>
      </c>
      <c r="H47" s="40">
        <f t="shared" si="5"/>
        <v>0.26615872022911347</v>
      </c>
      <c r="I47" s="40">
        <f t="shared" si="6"/>
        <v>0.23297537493056841</v>
      </c>
      <c r="J47" s="40">
        <f t="shared" si="7"/>
        <v>0.24036914297778886</v>
      </c>
      <c r="K47" s="40">
        <f t="shared" si="8"/>
        <v>0.26708072394573851</v>
      </c>
      <c r="L47" s="40">
        <f t="shared" si="9"/>
        <v>0.26187906413191558</v>
      </c>
      <c r="N47" s="28" t="s">
        <v>14</v>
      </c>
      <c r="O47" s="40">
        <v>0.26615872022911347</v>
      </c>
      <c r="P47" s="40">
        <v>0.23297537493056841</v>
      </c>
      <c r="Q47" s="40">
        <v>0.24036914297778886</v>
      </c>
      <c r="R47" s="40">
        <v>0.26708072394573851</v>
      </c>
      <c r="S47" s="40">
        <v>0.26187906413191558</v>
      </c>
    </row>
    <row r="48" spans="2:26" ht="15.75" x14ac:dyDescent="0.25">
      <c r="B48" s="29" t="s">
        <v>15</v>
      </c>
      <c r="C48" s="43">
        <v>5939</v>
      </c>
      <c r="D48" s="43">
        <v>4281</v>
      </c>
      <c r="E48" s="43">
        <v>961</v>
      </c>
      <c r="F48" s="43">
        <v>10596</v>
      </c>
      <c r="G48" s="43">
        <v>10103</v>
      </c>
      <c r="H48" s="41">
        <f t="shared" si="5"/>
        <v>7.2563194979834052E-3</v>
      </c>
      <c r="I48" s="41">
        <f t="shared" si="6"/>
        <v>4.6625352603548364E-3</v>
      </c>
      <c r="J48" s="41">
        <f t="shared" si="7"/>
        <v>9.4811418017721149E-4</v>
      </c>
      <c r="K48" s="41">
        <f t="shared" si="8"/>
        <v>9.125105925635037E-3</v>
      </c>
      <c r="L48" s="41">
        <f t="shared" si="9"/>
        <v>7.7280178318867359E-3</v>
      </c>
      <c r="N48" s="29" t="s">
        <v>15</v>
      </c>
      <c r="O48" s="41">
        <v>7.2563194979834052E-3</v>
      </c>
      <c r="P48" s="41">
        <v>4.6625352603548364E-3</v>
      </c>
      <c r="Q48" s="41">
        <v>9.4811418017721149E-4</v>
      </c>
      <c r="R48" s="41">
        <v>9.125105925635037E-3</v>
      </c>
      <c r="S48" s="41">
        <v>7.7280178318867359E-3</v>
      </c>
    </row>
    <row r="49" spans="2:26" ht="15.75" x14ac:dyDescent="0.25">
      <c r="B49" s="29" t="s">
        <v>18</v>
      </c>
      <c r="C49" s="43">
        <v>211901</v>
      </c>
      <c r="D49" s="43">
        <v>209630</v>
      </c>
      <c r="E49" s="43">
        <v>242675</v>
      </c>
      <c r="F49" s="43">
        <v>299536</v>
      </c>
      <c r="G49" s="43">
        <v>332257</v>
      </c>
      <c r="H49" s="41">
        <f t="shared" si="5"/>
        <v>0.25890240073113008</v>
      </c>
      <c r="I49" s="41">
        <f t="shared" si="6"/>
        <v>0.22831283967021357</v>
      </c>
      <c r="J49" s="41">
        <f t="shared" si="7"/>
        <v>0.23942102879761165</v>
      </c>
      <c r="K49" s="41">
        <f t="shared" si="8"/>
        <v>0.25795561802010347</v>
      </c>
      <c r="L49" s="41">
        <f t="shared" si="9"/>
        <v>0.25415104630002883</v>
      </c>
      <c r="N49" s="29" t="s">
        <v>18</v>
      </c>
      <c r="O49" s="41">
        <v>0.25890240073113008</v>
      </c>
      <c r="P49" s="41">
        <v>0.22831283967021357</v>
      </c>
      <c r="Q49" s="41">
        <v>0.23942102879761165</v>
      </c>
      <c r="R49" s="41">
        <v>0.25795561802010347</v>
      </c>
      <c r="S49" s="41">
        <v>0.25415104630002883</v>
      </c>
    </row>
    <row r="50" spans="2:26" ht="15.75" x14ac:dyDescent="0.25">
      <c r="B50" s="29" t="s">
        <v>44</v>
      </c>
      <c r="C50" s="43">
        <v>15015</v>
      </c>
      <c r="D50" s="43">
        <v>20743</v>
      </c>
      <c r="E50" s="43">
        <v>23633</v>
      </c>
      <c r="F50" s="43">
        <v>26077</v>
      </c>
      <c r="G50" s="43">
        <v>30604</v>
      </c>
      <c r="H50" s="41">
        <f t="shared" si="5"/>
        <v>1.8345451635329319E-2</v>
      </c>
      <c r="I50" s="41">
        <f t="shared" si="6"/>
        <v>2.2591676922574251E-2</v>
      </c>
      <c r="J50" s="41">
        <f t="shared" si="7"/>
        <v>2.3316110738946971E-2</v>
      </c>
      <c r="K50" s="41">
        <f t="shared" si="8"/>
        <v>2.245709581188985E-2</v>
      </c>
      <c r="L50" s="41">
        <f t="shared" si="9"/>
        <v>2.3409705802935929E-2</v>
      </c>
      <c r="N50" s="29" t="s">
        <v>44</v>
      </c>
      <c r="O50" s="41">
        <v>1.8345451635329319E-2</v>
      </c>
      <c r="P50" s="41">
        <v>2.2591676922574251E-2</v>
      </c>
      <c r="Q50" s="41">
        <v>2.3316110738946971E-2</v>
      </c>
      <c r="R50" s="41">
        <v>2.245709581188985E-2</v>
      </c>
      <c r="S50" s="41">
        <v>2.3409705802935929E-2</v>
      </c>
    </row>
    <row r="51" spans="2:26" ht="15.75" x14ac:dyDescent="0.25">
      <c r="B51" s="30" t="s">
        <v>25</v>
      </c>
      <c r="C51" s="43">
        <v>196886</v>
      </c>
      <c r="D51" s="43">
        <v>188887</v>
      </c>
      <c r="E51" s="43">
        <v>219042</v>
      </c>
      <c r="F51" s="43">
        <v>245916</v>
      </c>
      <c r="G51" s="43">
        <v>274762</v>
      </c>
      <c r="H51" s="41">
        <f t="shared" si="5"/>
        <v>0.24055694909580078</v>
      </c>
      <c r="I51" s="41">
        <f t="shared" si="6"/>
        <v>0.20572116274763932</v>
      </c>
      <c r="J51" s="41">
        <f t="shared" si="7"/>
        <v>0.21610491805866469</v>
      </c>
      <c r="K51" s="41">
        <f t="shared" si="8"/>
        <v>0.21177893061612549</v>
      </c>
      <c r="L51" s="41">
        <f t="shared" si="9"/>
        <v>0.21017179407352898</v>
      </c>
      <c r="N51" s="30" t="s">
        <v>25</v>
      </c>
      <c r="O51" s="41">
        <v>0.24055694909580078</v>
      </c>
      <c r="P51" s="41">
        <v>0.20572116274763932</v>
      </c>
      <c r="Q51" s="41">
        <v>0.21610491805866469</v>
      </c>
      <c r="R51" s="41">
        <v>0.21177893061612549</v>
      </c>
      <c r="S51" s="41">
        <v>0.21017179407352898</v>
      </c>
    </row>
    <row r="52" spans="2:26" ht="15.75" x14ac:dyDescent="0.25">
      <c r="B52" s="28" t="s">
        <v>31</v>
      </c>
      <c r="C52" s="43">
        <v>32602</v>
      </c>
      <c r="D52" s="43">
        <v>28478</v>
      </c>
      <c r="E52" s="43">
        <v>27810</v>
      </c>
      <c r="F52" s="43">
        <v>27543</v>
      </c>
      <c r="G52" s="43">
        <v>26891</v>
      </c>
      <c r="H52" s="40">
        <f t="shared" si="5"/>
        <v>3.9833394220113651E-2</v>
      </c>
      <c r="I52" s="40">
        <f t="shared" si="6"/>
        <v>3.1016042780748664E-2</v>
      </c>
      <c r="J52" s="40">
        <f t="shared" si="7"/>
        <v>2.7437102342068941E-2</v>
      </c>
      <c r="K52" s="40">
        <f t="shared" si="8"/>
        <v>2.371959159208813E-2</v>
      </c>
      <c r="L52" s="40">
        <f t="shared" si="9"/>
        <v>2.0569546423563914E-2</v>
      </c>
      <c r="N52" s="28" t="s">
        <v>31</v>
      </c>
      <c r="O52" s="40">
        <v>3.9833394220113651E-2</v>
      </c>
      <c r="P52" s="40">
        <v>3.1016042780748664E-2</v>
      </c>
      <c r="Q52" s="40">
        <v>2.7437102342068941E-2</v>
      </c>
      <c r="R52" s="40">
        <v>2.371959159208813E-2</v>
      </c>
      <c r="S52" s="40">
        <v>2.0569546423563914E-2</v>
      </c>
      <c r="U52" s="65"/>
      <c r="V52" s="65"/>
      <c r="W52" s="65"/>
      <c r="X52" s="65"/>
      <c r="Y52" s="65"/>
      <c r="Z52" s="65"/>
    </row>
    <row r="53" spans="2:26" ht="15.75" x14ac:dyDescent="0.25">
      <c r="U53" s="65"/>
      <c r="V53" s="65"/>
      <c r="W53" s="65"/>
      <c r="X53" s="65"/>
      <c r="Y53" s="65"/>
      <c r="Z53" s="65"/>
    </row>
    <row r="54" spans="2:26" ht="15.75" x14ac:dyDescent="0.25">
      <c r="B54" s="277"/>
      <c r="C54" s="274" t="s">
        <v>34</v>
      </c>
      <c r="D54" s="262"/>
      <c r="E54" s="262"/>
      <c r="F54" s="262"/>
      <c r="G54" s="266"/>
      <c r="H54" s="275" t="s">
        <v>50</v>
      </c>
      <c r="I54" s="275"/>
      <c r="J54" s="275"/>
      <c r="K54" s="275"/>
      <c r="L54" s="275"/>
      <c r="N54" s="277"/>
      <c r="O54" s="275" t="s">
        <v>50</v>
      </c>
      <c r="P54" s="275"/>
      <c r="Q54" s="275"/>
      <c r="R54" s="275"/>
      <c r="S54" s="275"/>
      <c r="U54" s="2" t="s">
        <v>37</v>
      </c>
      <c r="V54" s="2">
        <v>2010</v>
      </c>
      <c r="W54" s="2">
        <v>2011</v>
      </c>
      <c r="X54" s="2">
        <v>2012</v>
      </c>
      <c r="Y54" s="2">
        <v>2013</v>
      </c>
      <c r="Z54" s="2">
        <v>2014</v>
      </c>
    </row>
    <row r="55" spans="2:26" ht="15.75" x14ac:dyDescent="0.25">
      <c r="B55" s="277"/>
      <c r="C55" s="271"/>
      <c r="D55" s="261"/>
      <c r="E55" s="261"/>
      <c r="F55" s="261"/>
      <c r="G55" s="268"/>
      <c r="H55" s="276" t="s">
        <v>52</v>
      </c>
      <c r="I55" s="276"/>
      <c r="J55" s="276"/>
      <c r="K55" s="276"/>
      <c r="L55" s="276"/>
      <c r="N55" s="277"/>
      <c r="O55" s="276" t="s">
        <v>52</v>
      </c>
      <c r="P55" s="276"/>
      <c r="Q55" s="276"/>
      <c r="R55" s="276"/>
      <c r="S55" s="276"/>
      <c r="U55" s="29" t="s">
        <v>4</v>
      </c>
      <c r="V55" s="49">
        <v>0.82900761411608659</v>
      </c>
      <c r="W55" s="49">
        <v>0.68421052631578949</v>
      </c>
      <c r="X55" s="49">
        <v>0.62178792726994447</v>
      </c>
      <c r="Y55" s="49">
        <v>0.63996219300275181</v>
      </c>
      <c r="Z55" s="49">
        <v>0.5558370371320519</v>
      </c>
    </row>
    <row r="56" spans="2:26" ht="15.75" x14ac:dyDescent="0.25">
      <c r="B56" s="2" t="s">
        <v>37</v>
      </c>
      <c r="C56" s="2">
        <v>2010</v>
      </c>
      <c r="D56" s="2">
        <v>2011</v>
      </c>
      <c r="E56" s="2">
        <v>2012</v>
      </c>
      <c r="F56" s="2">
        <v>2013</v>
      </c>
      <c r="G56" s="2">
        <v>2014</v>
      </c>
      <c r="H56" s="2">
        <v>2010</v>
      </c>
      <c r="I56" s="2">
        <v>2011</v>
      </c>
      <c r="J56" s="2">
        <v>2012</v>
      </c>
      <c r="K56" s="2">
        <v>2013</v>
      </c>
      <c r="L56" s="2">
        <v>2014</v>
      </c>
      <c r="N56" s="2" t="s">
        <v>37</v>
      </c>
      <c r="O56" s="2">
        <v>2010</v>
      </c>
      <c r="P56" s="2">
        <v>2011</v>
      </c>
      <c r="Q56" s="2">
        <v>2012</v>
      </c>
      <c r="R56" s="2">
        <v>2013</v>
      </c>
      <c r="S56" s="2">
        <v>2014</v>
      </c>
      <c r="U56" s="29" t="s">
        <v>5</v>
      </c>
      <c r="V56" s="49">
        <v>5.8763885877536441E-2</v>
      </c>
      <c r="W56" s="49">
        <v>6.5510526315789477E-2</v>
      </c>
      <c r="X56" s="49">
        <v>7.2930940884708556E-2</v>
      </c>
      <c r="Y56" s="49">
        <v>9.7033036817517238E-2</v>
      </c>
      <c r="Z56" s="49">
        <v>9.3404138420524918E-2</v>
      </c>
    </row>
    <row r="57" spans="2:26" ht="15.75" x14ac:dyDescent="0.25">
      <c r="B57" s="23" t="s">
        <v>42</v>
      </c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23" t="s">
        <v>42</v>
      </c>
      <c r="O57" s="48"/>
      <c r="P57" s="48"/>
      <c r="Q57" s="48"/>
      <c r="R57" s="48"/>
      <c r="S57" s="48"/>
      <c r="U57" s="29" t="s">
        <v>7</v>
      </c>
      <c r="V57" s="49">
        <v>9.0329945030418208E-3</v>
      </c>
      <c r="W57" s="49">
        <v>1.8097368421052633E-2</v>
      </c>
      <c r="X57" s="49">
        <v>2.1977811736964576E-2</v>
      </c>
      <c r="Y57" s="49">
        <v>2.9086281671975071E-2</v>
      </c>
      <c r="Z57" s="49">
        <v>3.1804567697744368E-2</v>
      </c>
    </row>
    <row r="58" spans="2:26" ht="15.75" x14ac:dyDescent="0.25">
      <c r="B58" s="28" t="s">
        <v>43</v>
      </c>
      <c r="C58" s="43">
        <v>313628</v>
      </c>
      <c r="D58" s="43">
        <v>380000</v>
      </c>
      <c r="E58" s="43">
        <v>418149</v>
      </c>
      <c r="F58" s="43">
        <v>406274</v>
      </c>
      <c r="G58" s="44">
        <v>467763</v>
      </c>
      <c r="H58" s="39">
        <v>1</v>
      </c>
      <c r="I58" s="39">
        <v>1</v>
      </c>
      <c r="J58" s="39">
        <v>1</v>
      </c>
      <c r="K58" s="39">
        <v>1</v>
      </c>
      <c r="L58" s="39">
        <v>1</v>
      </c>
      <c r="N58" s="28" t="s">
        <v>43</v>
      </c>
      <c r="O58" s="39">
        <v>1</v>
      </c>
      <c r="P58" s="39">
        <v>1</v>
      </c>
      <c r="Q58" s="39">
        <v>1</v>
      </c>
      <c r="R58" s="39">
        <v>1</v>
      </c>
      <c r="S58" s="39">
        <v>1</v>
      </c>
      <c r="U58" s="29" t="s">
        <v>9</v>
      </c>
      <c r="V58" s="49">
        <v>-8.1784789623375459E-3</v>
      </c>
      <c r="W58" s="49">
        <v>0.1104421052631579</v>
      </c>
      <c r="X58" s="49">
        <v>0.15763758851509868</v>
      </c>
      <c r="Y58" s="49">
        <v>8.8206481340179291E-2</v>
      </c>
      <c r="Z58" s="49">
        <v>0.17952681165461998</v>
      </c>
    </row>
    <row r="59" spans="2:26" ht="15.75" x14ac:dyDescent="0.25">
      <c r="B59" s="29" t="s">
        <v>4</v>
      </c>
      <c r="C59" s="43">
        <v>260000</v>
      </c>
      <c r="D59" s="43">
        <v>260000</v>
      </c>
      <c r="E59" s="43">
        <v>260000</v>
      </c>
      <c r="F59" s="43">
        <v>260000</v>
      </c>
      <c r="G59" s="43">
        <v>260000</v>
      </c>
      <c r="H59" s="49">
        <f>C59/$C$58</f>
        <v>0.82900761411608659</v>
      </c>
      <c r="I59" s="49">
        <f>D59/$D$58</f>
        <v>0.68421052631578949</v>
      </c>
      <c r="J59" s="49">
        <f>E59/$E$58</f>
        <v>0.62178792726994447</v>
      </c>
      <c r="K59" s="49">
        <f>F59/$F$58</f>
        <v>0.63996219300275181</v>
      </c>
      <c r="L59" s="49">
        <f>G59/$G$58</f>
        <v>0.5558370371320519</v>
      </c>
      <c r="N59" s="29" t="s">
        <v>4</v>
      </c>
      <c r="O59" s="49">
        <v>0.82900761411608659</v>
      </c>
      <c r="P59" s="49">
        <v>0.68421052631578949</v>
      </c>
      <c r="Q59" s="49">
        <v>0.62178792726994447</v>
      </c>
      <c r="R59" s="49">
        <v>0.63996219300275181</v>
      </c>
      <c r="S59" s="49">
        <v>0.5558370371320519</v>
      </c>
      <c r="U59" s="29" t="s">
        <v>13</v>
      </c>
      <c r="V59" s="49">
        <v>0.10965219942097007</v>
      </c>
      <c r="W59" s="49">
        <v>0.12173947368421052</v>
      </c>
      <c r="X59" s="49">
        <v>0.12566573159328373</v>
      </c>
      <c r="Y59" s="49">
        <v>0.15063479326759774</v>
      </c>
      <c r="Z59" s="49">
        <v>0.13942744509505883</v>
      </c>
    </row>
    <row r="60" spans="2:26" ht="15.75" x14ac:dyDescent="0.25">
      <c r="B60" s="29" t="s">
        <v>5</v>
      </c>
      <c r="C60" s="43">
        <v>18430</v>
      </c>
      <c r="D60" s="43">
        <v>24894</v>
      </c>
      <c r="E60" s="43">
        <v>30496</v>
      </c>
      <c r="F60" s="43">
        <v>39422</v>
      </c>
      <c r="G60" s="44">
        <v>43691</v>
      </c>
      <c r="H60" s="49">
        <f t="shared" ref="H60:H63" si="10">C60/$C$58</f>
        <v>5.8763885877536441E-2</v>
      </c>
      <c r="I60" s="49">
        <f t="shared" ref="I60:I63" si="11">D60/$D$58</f>
        <v>6.5510526315789477E-2</v>
      </c>
      <c r="J60" s="49">
        <f t="shared" ref="J60:J63" si="12">E60/$E$58</f>
        <v>7.2930940884708556E-2</v>
      </c>
      <c r="K60" s="49">
        <f t="shared" ref="K60:K63" si="13">F60/$F$58</f>
        <v>9.7033036817517238E-2</v>
      </c>
      <c r="L60" s="49">
        <f t="shared" ref="L60:L63" si="14">G60/$G$58</f>
        <v>9.3404138420524918E-2</v>
      </c>
      <c r="N60" s="29" t="s">
        <v>5</v>
      </c>
      <c r="O60" s="49">
        <v>5.8763885877536441E-2</v>
      </c>
      <c r="P60" s="49">
        <v>6.5510526315789477E-2</v>
      </c>
      <c r="Q60" s="49">
        <v>7.2930940884708556E-2</v>
      </c>
      <c r="R60" s="49">
        <v>9.7033036817517238E-2</v>
      </c>
      <c r="S60" s="49">
        <v>9.3404138420524918E-2</v>
      </c>
      <c r="U60" s="65"/>
      <c r="V60" s="65"/>
      <c r="W60" s="65"/>
      <c r="X60" s="65"/>
      <c r="Y60" s="65"/>
      <c r="Z60" s="65"/>
    </row>
    <row r="61" spans="2:26" ht="15.75" x14ac:dyDescent="0.25">
      <c r="B61" s="29" t="s">
        <v>7</v>
      </c>
      <c r="C61" s="43">
        <v>2833</v>
      </c>
      <c r="D61" s="43">
        <v>6877</v>
      </c>
      <c r="E61" s="43">
        <v>9190</v>
      </c>
      <c r="F61" s="43">
        <v>11817</v>
      </c>
      <c r="G61" s="44">
        <v>14877</v>
      </c>
      <c r="H61" s="49">
        <f t="shared" si="10"/>
        <v>9.0329945030418208E-3</v>
      </c>
      <c r="I61" s="49">
        <f t="shared" si="11"/>
        <v>1.8097368421052633E-2</v>
      </c>
      <c r="J61" s="49">
        <f t="shared" si="12"/>
        <v>2.1977811736964576E-2</v>
      </c>
      <c r="K61" s="49">
        <f t="shared" si="13"/>
        <v>2.9086281671975071E-2</v>
      </c>
      <c r="L61" s="49">
        <f t="shared" si="14"/>
        <v>3.1804567697744368E-2</v>
      </c>
      <c r="N61" s="29" t="s">
        <v>7</v>
      </c>
      <c r="O61" s="49">
        <v>9.0329945030418208E-3</v>
      </c>
      <c r="P61" s="49">
        <v>1.8097368421052633E-2</v>
      </c>
      <c r="Q61" s="49">
        <v>2.1977811736964576E-2</v>
      </c>
      <c r="R61" s="49">
        <v>2.9086281671975071E-2</v>
      </c>
      <c r="S61" s="49">
        <v>3.1804567697744368E-2</v>
      </c>
    </row>
    <row r="62" spans="2:26" ht="15.75" x14ac:dyDescent="0.25">
      <c r="B62" s="29" t="s">
        <v>9</v>
      </c>
      <c r="C62" s="43">
        <v>-2565</v>
      </c>
      <c r="D62" s="43">
        <v>41968</v>
      </c>
      <c r="E62" s="43">
        <v>65916</v>
      </c>
      <c r="F62" s="43">
        <v>35836</v>
      </c>
      <c r="G62" s="44">
        <v>83976</v>
      </c>
      <c r="H62" s="49">
        <f t="shared" si="10"/>
        <v>-8.1784789623375459E-3</v>
      </c>
      <c r="I62" s="49">
        <f t="shared" si="11"/>
        <v>0.1104421052631579</v>
      </c>
      <c r="J62" s="49">
        <f t="shared" si="12"/>
        <v>0.15763758851509868</v>
      </c>
      <c r="K62" s="49">
        <f t="shared" si="13"/>
        <v>8.8206481340179291E-2</v>
      </c>
      <c r="L62" s="49">
        <f t="shared" si="14"/>
        <v>0.17952681165461998</v>
      </c>
      <c r="N62" s="29" t="s">
        <v>9</v>
      </c>
      <c r="O62" s="49">
        <v>-8.1784789623375459E-3</v>
      </c>
      <c r="P62" s="49">
        <v>0.1104421052631579</v>
      </c>
      <c r="Q62" s="49">
        <v>0.15763758851509868</v>
      </c>
      <c r="R62" s="49">
        <v>8.8206481340179291E-2</v>
      </c>
      <c r="S62" s="49">
        <v>0.17952681165461998</v>
      </c>
    </row>
    <row r="63" spans="2:26" ht="15.75" x14ac:dyDescent="0.25">
      <c r="B63" s="29" t="s">
        <v>13</v>
      </c>
      <c r="C63" s="43">
        <v>34390</v>
      </c>
      <c r="D63" s="43">
        <v>46261</v>
      </c>
      <c r="E63" s="43">
        <v>52547</v>
      </c>
      <c r="F63" s="43">
        <v>61199</v>
      </c>
      <c r="G63" s="44">
        <v>65219</v>
      </c>
      <c r="H63" s="49">
        <f t="shared" si="10"/>
        <v>0.10965219942097007</v>
      </c>
      <c r="I63" s="49">
        <f t="shared" si="11"/>
        <v>0.12173947368421052</v>
      </c>
      <c r="J63" s="49">
        <f t="shared" si="12"/>
        <v>0.12566573159328373</v>
      </c>
      <c r="K63" s="49">
        <f t="shared" si="13"/>
        <v>0.15063479326759774</v>
      </c>
      <c r="L63" s="49">
        <f t="shared" si="14"/>
        <v>0.13942744509505883</v>
      </c>
      <c r="N63" s="29" t="s">
        <v>13</v>
      </c>
      <c r="O63" s="49">
        <v>0.10965219942097007</v>
      </c>
      <c r="P63" s="49">
        <v>0.12173947368421052</v>
      </c>
      <c r="Q63" s="49">
        <v>0.12566573159328373</v>
      </c>
      <c r="R63" s="49">
        <v>0.15063479326759774</v>
      </c>
      <c r="S63" s="49">
        <v>0.13942744509505883</v>
      </c>
      <c r="U63" s="65"/>
      <c r="V63" s="65"/>
      <c r="W63" s="65"/>
      <c r="X63" s="65"/>
      <c r="Y63" s="65"/>
      <c r="Z63" s="65"/>
    </row>
    <row r="64" spans="2:26" ht="15.75" x14ac:dyDescent="0.25">
      <c r="U64" s="65"/>
      <c r="V64" s="65"/>
      <c r="W64" s="65"/>
      <c r="X64" s="65"/>
      <c r="Y64" s="65"/>
      <c r="Z64" s="65"/>
    </row>
    <row r="65" spans="2:26" ht="15.75" x14ac:dyDescent="0.25">
      <c r="B65" s="277"/>
      <c r="C65" s="274" t="s">
        <v>34</v>
      </c>
      <c r="D65" s="262"/>
      <c r="E65" s="262"/>
      <c r="F65" s="262"/>
      <c r="G65" s="266"/>
      <c r="H65" s="275" t="s">
        <v>50</v>
      </c>
      <c r="I65" s="275"/>
      <c r="J65" s="275"/>
      <c r="K65" s="275"/>
      <c r="L65" s="275"/>
      <c r="N65" s="277"/>
      <c r="O65" s="275" t="s">
        <v>50</v>
      </c>
      <c r="P65" s="275"/>
      <c r="Q65" s="275"/>
      <c r="R65" s="275"/>
      <c r="S65" s="275"/>
      <c r="U65" s="2" t="s">
        <v>37</v>
      </c>
      <c r="V65" s="2">
        <v>2015</v>
      </c>
      <c r="W65" s="2">
        <v>2016</v>
      </c>
      <c r="X65" s="2">
        <v>2017</v>
      </c>
      <c r="Y65" s="2">
        <v>2018</v>
      </c>
      <c r="Z65" s="2">
        <v>2019</v>
      </c>
    </row>
    <row r="66" spans="2:26" ht="15.75" x14ac:dyDescent="0.25">
      <c r="B66" s="277"/>
      <c r="C66" s="271"/>
      <c r="D66" s="261"/>
      <c r="E66" s="261"/>
      <c r="F66" s="261"/>
      <c r="G66" s="268"/>
      <c r="H66" s="276" t="s">
        <v>52</v>
      </c>
      <c r="I66" s="276"/>
      <c r="J66" s="276"/>
      <c r="K66" s="276"/>
      <c r="L66" s="276"/>
      <c r="N66" s="277"/>
      <c r="O66" s="276" t="s">
        <v>52</v>
      </c>
      <c r="P66" s="276"/>
      <c r="Q66" s="276"/>
      <c r="R66" s="276"/>
      <c r="S66" s="276"/>
      <c r="U66" s="29" t="s">
        <v>4</v>
      </c>
      <c r="V66" s="41">
        <v>0.45773277912456845</v>
      </c>
      <c r="W66" s="41">
        <v>0.38474002672463414</v>
      </c>
      <c r="X66" s="41">
        <v>0.35033585081082536</v>
      </c>
      <c r="Y66" s="41">
        <v>0.30550137475618638</v>
      </c>
      <c r="Z66" s="41">
        <v>0.26944094113648115</v>
      </c>
    </row>
    <row r="67" spans="2:26" ht="15.75" x14ac:dyDescent="0.25">
      <c r="B67" s="2" t="s">
        <v>37</v>
      </c>
      <c r="C67" s="2">
        <v>2015</v>
      </c>
      <c r="D67" s="2">
        <v>2016</v>
      </c>
      <c r="E67" s="2">
        <v>2017</v>
      </c>
      <c r="F67" s="2">
        <v>2018</v>
      </c>
      <c r="G67" s="2">
        <v>2019</v>
      </c>
      <c r="H67" s="2">
        <v>2015</v>
      </c>
      <c r="I67" s="2">
        <v>2016</v>
      </c>
      <c r="J67" s="2">
        <v>2017</v>
      </c>
      <c r="K67" s="2">
        <v>2018</v>
      </c>
      <c r="L67" s="2">
        <v>2019</v>
      </c>
      <c r="N67" s="2" t="s">
        <v>37</v>
      </c>
      <c r="O67" s="2">
        <v>2015</v>
      </c>
      <c r="P67" s="2">
        <v>2016</v>
      </c>
      <c r="Q67" s="2">
        <v>2017</v>
      </c>
      <c r="R67" s="2">
        <v>2018</v>
      </c>
      <c r="S67" s="2">
        <v>2019</v>
      </c>
      <c r="U67" s="29" t="s">
        <v>5</v>
      </c>
      <c r="V67" s="41">
        <v>8.5976300005105477E-2</v>
      </c>
      <c r="W67" s="41">
        <v>8.5501072092882158E-2</v>
      </c>
      <c r="X67" s="41">
        <v>8.5671937424627267E-2</v>
      </c>
      <c r="Y67" s="41">
        <v>8.1131765092942912E-2</v>
      </c>
      <c r="Z67" s="41">
        <v>7.4985413918282715E-2</v>
      </c>
    </row>
    <row r="68" spans="2:26" ht="15.75" x14ac:dyDescent="0.25">
      <c r="B68" s="23" t="s">
        <v>42</v>
      </c>
      <c r="C68" s="50"/>
      <c r="D68" s="50"/>
      <c r="E68" s="50"/>
      <c r="F68" s="50"/>
      <c r="G68" s="50"/>
      <c r="H68" s="1"/>
      <c r="I68" s="1"/>
      <c r="J68" s="1"/>
      <c r="K68" s="1"/>
      <c r="L68" s="1"/>
      <c r="N68" s="23" t="s">
        <v>42</v>
      </c>
      <c r="O68" s="1"/>
      <c r="P68" s="1"/>
      <c r="Q68" s="1"/>
      <c r="R68" s="1"/>
      <c r="S68" s="1"/>
      <c r="U68" s="29" t="s">
        <v>7</v>
      </c>
      <c r="V68" s="41">
        <v>3.1932142876005473E-2</v>
      </c>
      <c r="W68" s="41">
        <v>3.3877839122437595E-2</v>
      </c>
      <c r="X68" s="41">
        <v>3.8194692411860215E-2</v>
      </c>
      <c r="Y68" s="41">
        <v>3.941437736469814E-2</v>
      </c>
      <c r="Z68" s="41">
        <v>4.2171652533107555E-2</v>
      </c>
    </row>
    <row r="69" spans="2:26" ht="15.75" x14ac:dyDescent="0.25">
      <c r="B69" s="28" t="s">
        <v>43</v>
      </c>
      <c r="C69" s="43">
        <v>568017</v>
      </c>
      <c r="D69" s="43">
        <v>675781</v>
      </c>
      <c r="E69" s="43">
        <v>742145</v>
      </c>
      <c r="F69" s="43">
        <v>851060</v>
      </c>
      <c r="G69" s="43">
        <v>964961</v>
      </c>
      <c r="H69" s="39">
        <v>1</v>
      </c>
      <c r="I69" s="39">
        <v>1</v>
      </c>
      <c r="J69" s="39">
        <v>1</v>
      </c>
      <c r="K69" s="39">
        <v>1</v>
      </c>
      <c r="L69" s="39">
        <v>1</v>
      </c>
      <c r="N69" s="28" t="s">
        <v>43</v>
      </c>
      <c r="O69" s="39">
        <v>1</v>
      </c>
      <c r="P69" s="39">
        <v>1</v>
      </c>
      <c r="Q69" s="39">
        <v>1</v>
      </c>
      <c r="R69" s="39">
        <v>1</v>
      </c>
      <c r="S69" s="39">
        <v>1</v>
      </c>
      <c r="U69" s="29" t="s">
        <v>9</v>
      </c>
      <c r="V69" s="41">
        <v>0.25691836687986452</v>
      </c>
      <c r="W69" s="41">
        <v>0.33450333761973183</v>
      </c>
      <c r="X69" s="41">
        <v>0.38570899217807841</v>
      </c>
      <c r="Y69" s="41">
        <v>0.40592907668084505</v>
      </c>
      <c r="Z69" s="41">
        <v>0.44311013605731214</v>
      </c>
    </row>
    <row r="70" spans="2:26" ht="15.75" x14ac:dyDescent="0.25">
      <c r="B70" s="29" t="s">
        <v>4</v>
      </c>
      <c r="C70" s="43">
        <v>260000</v>
      </c>
      <c r="D70" s="43">
        <v>260000</v>
      </c>
      <c r="E70" s="43">
        <v>260000</v>
      </c>
      <c r="F70" s="43">
        <v>260000</v>
      </c>
      <c r="G70" s="43">
        <v>260000</v>
      </c>
      <c r="H70" s="51">
        <f>C70/$C$69</f>
        <v>0.45773277912456845</v>
      </c>
      <c r="I70" s="51">
        <f>D70/$D$69</f>
        <v>0.38474002672463414</v>
      </c>
      <c r="J70" s="51">
        <f>E70/$E$69</f>
        <v>0.35033585081082536</v>
      </c>
      <c r="K70" s="51">
        <f>F70/$F$69</f>
        <v>0.30550137475618638</v>
      </c>
      <c r="L70" s="51">
        <f>G70/$G$69</f>
        <v>0.26944094113648115</v>
      </c>
      <c r="N70" s="29" t="s">
        <v>4</v>
      </c>
      <c r="O70" s="51">
        <v>0.45773277912456845</v>
      </c>
      <c r="P70" s="51">
        <v>0.38474002672463414</v>
      </c>
      <c r="Q70" s="51">
        <v>0.35033585081082536</v>
      </c>
      <c r="R70" s="51">
        <v>0.30550137475618638</v>
      </c>
      <c r="S70" s="51">
        <v>0.26944094113648115</v>
      </c>
      <c r="U70" s="29" t="s">
        <v>13</v>
      </c>
      <c r="V70" s="41">
        <v>0.16744041111445609</v>
      </c>
      <c r="W70" s="41">
        <v>0.16137772444031426</v>
      </c>
      <c r="X70" s="41">
        <v>0.14008852717460873</v>
      </c>
      <c r="Y70" s="41">
        <v>0.16802340610532748</v>
      </c>
      <c r="Z70" s="41">
        <v>0.17029185635481642</v>
      </c>
    </row>
    <row r="71" spans="2:26" ht="15.75" x14ac:dyDescent="0.25">
      <c r="B71" s="29" t="s">
        <v>5</v>
      </c>
      <c r="C71" s="43">
        <v>48836</v>
      </c>
      <c r="D71" s="43">
        <v>57780</v>
      </c>
      <c r="E71" s="43">
        <v>63581</v>
      </c>
      <c r="F71" s="43">
        <v>69048</v>
      </c>
      <c r="G71" s="43">
        <v>72358</v>
      </c>
      <c r="H71" s="51">
        <f t="shared" ref="H71:H74" si="15">C71/$C$69</f>
        <v>8.5976300005105477E-2</v>
      </c>
      <c r="I71" s="51">
        <f t="shared" ref="I71:I74" si="16">D71/$D$69</f>
        <v>8.5501072092882158E-2</v>
      </c>
      <c r="J71" s="51">
        <f t="shared" ref="J71:J74" si="17">E71/$E$69</f>
        <v>8.5671937424627267E-2</v>
      </c>
      <c r="K71" s="51">
        <f t="shared" ref="K71:K74" si="18">F71/$F$69</f>
        <v>8.1131765092942912E-2</v>
      </c>
      <c r="L71" s="51">
        <f t="shared" ref="L71:L74" si="19">G71/$G$69</f>
        <v>7.4985413918282715E-2</v>
      </c>
      <c r="N71" s="29" t="s">
        <v>5</v>
      </c>
      <c r="O71" s="51">
        <v>8.5976300005105477E-2</v>
      </c>
      <c r="P71" s="51">
        <v>8.5501072092882158E-2</v>
      </c>
      <c r="Q71" s="51">
        <v>8.5671937424627267E-2</v>
      </c>
      <c r="R71" s="51">
        <v>8.1131765092942912E-2</v>
      </c>
      <c r="S71" s="51">
        <v>7.4985413918282715E-2</v>
      </c>
      <c r="U71" s="65"/>
      <c r="V71" s="65"/>
      <c r="W71" s="65"/>
      <c r="X71" s="65"/>
      <c r="Y71" s="65"/>
      <c r="Z71" s="65"/>
    </row>
    <row r="72" spans="2:26" ht="15.75" x14ac:dyDescent="0.25">
      <c r="B72" s="29" t="s">
        <v>7</v>
      </c>
      <c r="C72" s="43">
        <v>18138</v>
      </c>
      <c r="D72" s="43">
        <v>22894</v>
      </c>
      <c r="E72" s="43">
        <v>28346</v>
      </c>
      <c r="F72" s="43">
        <v>33544</v>
      </c>
      <c r="G72" s="43">
        <v>40694</v>
      </c>
      <c r="H72" s="51">
        <f t="shared" si="15"/>
        <v>3.1932142876005473E-2</v>
      </c>
      <c r="I72" s="51">
        <f t="shared" si="16"/>
        <v>3.3877839122437595E-2</v>
      </c>
      <c r="J72" s="51">
        <f t="shared" si="17"/>
        <v>3.8194692411860215E-2</v>
      </c>
      <c r="K72" s="51">
        <f t="shared" si="18"/>
        <v>3.941437736469814E-2</v>
      </c>
      <c r="L72" s="51">
        <f t="shared" si="19"/>
        <v>4.2171652533107555E-2</v>
      </c>
      <c r="N72" s="29" t="s">
        <v>7</v>
      </c>
      <c r="O72" s="51">
        <v>3.1932142876005473E-2</v>
      </c>
      <c r="P72" s="51">
        <v>3.3877839122437595E-2</v>
      </c>
      <c r="Q72" s="51">
        <v>3.8194692411860215E-2</v>
      </c>
      <c r="R72" s="51">
        <v>3.941437736469814E-2</v>
      </c>
      <c r="S72" s="51">
        <v>4.2171652533107555E-2</v>
      </c>
      <c r="U72" s="65"/>
      <c r="V72" s="65"/>
      <c r="W72" s="65"/>
      <c r="X72" s="65"/>
      <c r="Y72" s="65"/>
      <c r="Z72" s="65"/>
    </row>
    <row r="73" spans="2:26" ht="15.75" x14ac:dyDescent="0.25">
      <c r="B73" s="29" t="s">
        <v>9</v>
      </c>
      <c r="C73" s="43">
        <v>145934</v>
      </c>
      <c r="D73" s="43">
        <v>226051</v>
      </c>
      <c r="E73" s="43">
        <v>286252</v>
      </c>
      <c r="F73" s="43">
        <v>345470</v>
      </c>
      <c r="G73" s="43">
        <v>427584</v>
      </c>
      <c r="H73" s="51">
        <f t="shared" si="15"/>
        <v>0.25691836687986452</v>
      </c>
      <c r="I73" s="51">
        <f t="shared" si="16"/>
        <v>0.33450333761973183</v>
      </c>
      <c r="J73" s="51">
        <f t="shared" si="17"/>
        <v>0.38570899217807841</v>
      </c>
      <c r="K73" s="51">
        <f t="shared" si="18"/>
        <v>0.40592907668084505</v>
      </c>
      <c r="L73" s="51">
        <f t="shared" si="19"/>
        <v>0.44311013605731214</v>
      </c>
      <c r="N73" s="29" t="s">
        <v>9</v>
      </c>
      <c r="O73" s="51">
        <v>0.25691836687986452</v>
      </c>
      <c r="P73" s="51">
        <v>0.33450333761973183</v>
      </c>
      <c r="Q73" s="51">
        <v>0.38570899217807841</v>
      </c>
      <c r="R73" s="51">
        <v>0.40592907668084505</v>
      </c>
      <c r="S73" s="51">
        <v>0.44311013605731214</v>
      </c>
      <c r="U73" s="65"/>
      <c r="V73" s="65"/>
      <c r="W73" s="65"/>
      <c r="X73" s="65"/>
      <c r="Y73" s="65"/>
      <c r="Z73" s="65"/>
    </row>
    <row r="74" spans="2:26" ht="15.75" x14ac:dyDescent="0.25">
      <c r="B74" s="29" t="s">
        <v>13</v>
      </c>
      <c r="C74" s="43">
        <v>95109</v>
      </c>
      <c r="D74" s="43">
        <v>109056</v>
      </c>
      <c r="E74" s="43">
        <v>103966</v>
      </c>
      <c r="F74" s="43">
        <v>142998</v>
      </c>
      <c r="G74" s="43">
        <v>164325</v>
      </c>
      <c r="H74" s="51">
        <f t="shared" si="15"/>
        <v>0.16744041111445609</v>
      </c>
      <c r="I74" s="51">
        <f t="shared" si="16"/>
        <v>0.16137772444031426</v>
      </c>
      <c r="J74" s="51">
        <f t="shared" si="17"/>
        <v>0.14008852717460873</v>
      </c>
      <c r="K74" s="51">
        <f t="shared" si="18"/>
        <v>0.16802340610532748</v>
      </c>
      <c r="L74" s="51">
        <f t="shared" si="19"/>
        <v>0.17029185635481642</v>
      </c>
      <c r="N74" s="29" t="s">
        <v>13</v>
      </c>
      <c r="O74" s="51">
        <v>0.16744041111445609</v>
      </c>
      <c r="P74" s="51">
        <v>0.16137772444031426</v>
      </c>
      <c r="Q74" s="51">
        <v>0.14008852717460873</v>
      </c>
      <c r="R74" s="51">
        <v>0.16802340610532748</v>
      </c>
      <c r="S74" s="51">
        <v>0.17029185635481642</v>
      </c>
      <c r="U74" s="65"/>
      <c r="V74" s="65"/>
      <c r="W74" s="65"/>
      <c r="X74" s="65"/>
      <c r="Y74" s="65"/>
      <c r="Z74" s="65"/>
    </row>
    <row r="75" spans="2:26" ht="15.75" x14ac:dyDescent="0.25">
      <c r="U75" s="65"/>
      <c r="V75" s="65"/>
      <c r="W75" s="65"/>
      <c r="X75" s="65"/>
      <c r="Y75" s="65"/>
      <c r="Z75" s="65"/>
    </row>
    <row r="76" spans="2:26" ht="15.75" x14ac:dyDescent="0.25">
      <c r="B76" s="277"/>
      <c r="C76" s="274" t="s">
        <v>34</v>
      </c>
      <c r="D76" s="262"/>
      <c r="E76" s="262"/>
      <c r="F76" s="262"/>
      <c r="G76" s="266"/>
      <c r="H76" s="275" t="s">
        <v>50</v>
      </c>
      <c r="I76" s="275"/>
      <c r="J76" s="275"/>
      <c r="K76" s="275"/>
      <c r="L76" s="275"/>
      <c r="N76" s="277"/>
      <c r="O76" s="275" t="s">
        <v>50</v>
      </c>
      <c r="P76" s="275"/>
      <c r="Q76" s="275"/>
      <c r="R76" s="275"/>
      <c r="S76" s="275"/>
      <c r="U76" s="2" t="s">
        <v>37</v>
      </c>
      <c r="V76" s="2">
        <v>2010</v>
      </c>
      <c r="W76" s="2">
        <v>2011</v>
      </c>
      <c r="X76" s="2">
        <v>2012</v>
      </c>
      <c r="Y76" s="2">
        <v>2013</v>
      </c>
      <c r="Z76" s="2">
        <v>2014</v>
      </c>
    </row>
    <row r="77" spans="2:26" ht="15.75" x14ac:dyDescent="0.25">
      <c r="B77" s="277"/>
      <c r="C77" s="271"/>
      <c r="D77" s="261"/>
      <c r="E77" s="261"/>
      <c r="F77" s="261"/>
      <c r="G77" s="268"/>
      <c r="H77" s="276" t="s">
        <v>54</v>
      </c>
      <c r="I77" s="276"/>
      <c r="J77" s="276"/>
      <c r="K77" s="276"/>
      <c r="L77" s="276"/>
      <c r="N77" s="277"/>
      <c r="O77" s="276" t="s">
        <v>54</v>
      </c>
      <c r="P77" s="276"/>
      <c r="Q77" s="276"/>
      <c r="R77" s="276"/>
      <c r="S77" s="276"/>
      <c r="U77" s="29" t="s">
        <v>15</v>
      </c>
      <c r="V77" s="41">
        <v>7.6718820472751068E-2</v>
      </c>
      <c r="W77" s="41">
        <v>0.12217566284310327</v>
      </c>
      <c r="X77" s="41">
        <v>1.3166935651395791E-2</v>
      </c>
      <c r="Y77" s="41">
        <v>2.8825740093624316E-2</v>
      </c>
      <c r="Z77" s="41">
        <v>2.3203659294786395E-3</v>
      </c>
    </row>
    <row r="78" spans="2:26" ht="15.75" x14ac:dyDescent="0.25">
      <c r="B78" s="2" t="s">
        <v>37</v>
      </c>
      <c r="C78" s="2">
        <v>2010</v>
      </c>
      <c r="D78" s="2">
        <v>2011</v>
      </c>
      <c r="E78" s="2">
        <v>2012</v>
      </c>
      <c r="F78" s="2">
        <v>2013</v>
      </c>
      <c r="G78" s="2">
        <v>2014</v>
      </c>
      <c r="H78" s="2">
        <v>2010</v>
      </c>
      <c r="I78" s="2">
        <v>2011</v>
      </c>
      <c r="J78" s="2">
        <v>2012</v>
      </c>
      <c r="K78" s="2">
        <v>2013</v>
      </c>
      <c r="L78" s="2">
        <v>2014</v>
      </c>
      <c r="N78" s="2" t="s">
        <v>37</v>
      </c>
      <c r="O78" s="2">
        <v>2010</v>
      </c>
      <c r="P78" s="2">
        <v>2011</v>
      </c>
      <c r="Q78" s="2">
        <v>2012</v>
      </c>
      <c r="R78" s="2">
        <v>2013</v>
      </c>
      <c r="S78" s="2">
        <v>2014</v>
      </c>
      <c r="U78" s="29" t="s">
        <v>44</v>
      </c>
      <c r="V78" s="41">
        <v>0.14755525063683544</v>
      </c>
      <c r="W78" s="41">
        <v>4.9191323877424899E-2</v>
      </c>
      <c r="X78" s="41">
        <v>4.7562359182499479E-2</v>
      </c>
      <c r="Y78" s="41">
        <v>3.3104766928199379E-2</v>
      </c>
      <c r="Z78" s="41">
        <v>5.6987743138822274E-2</v>
      </c>
    </row>
    <row r="79" spans="2:26" ht="15.75" x14ac:dyDescent="0.25">
      <c r="B79" s="23" t="s">
        <v>42</v>
      </c>
      <c r="C79" s="1"/>
      <c r="D79" s="1"/>
      <c r="E79" s="1"/>
      <c r="F79" s="1"/>
      <c r="G79" s="1"/>
      <c r="H79" s="1"/>
      <c r="I79" s="1"/>
      <c r="J79" s="1"/>
      <c r="K79" s="1"/>
      <c r="L79" s="1"/>
      <c r="N79" s="23" t="s">
        <v>42</v>
      </c>
      <c r="O79" s="1"/>
      <c r="P79" s="1"/>
      <c r="Q79" s="1"/>
      <c r="R79" s="1"/>
      <c r="S79" s="1"/>
      <c r="U79" s="29" t="s">
        <v>25</v>
      </c>
      <c r="V79" s="41">
        <v>0.76302098221942716</v>
      </c>
      <c r="W79" s="41">
        <v>0.82863301327947181</v>
      </c>
      <c r="X79" s="41">
        <v>0.93927070516610478</v>
      </c>
      <c r="Y79" s="41">
        <v>0.93806949297817632</v>
      </c>
      <c r="Z79" s="41">
        <v>0.94069189093169914</v>
      </c>
    </row>
    <row r="80" spans="2:26" ht="15.75" x14ac:dyDescent="0.25">
      <c r="B80" s="28" t="s">
        <v>14</v>
      </c>
      <c r="C80" s="43">
        <v>157419</v>
      </c>
      <c r="D80" s="43">
        <v>132686</v>
      </c>
      <c r="E80" s="43">
        <v>125162</v>
      </c>
      <c r="F80" s="43">
        <v>151670</v>
      </c>
      <c r="G80" s="44">
        <v>180144</v>
      </c>
      <c r="H80" s="39">
        <v>1</v>
      </c>
      <c r="I80" s="39">
        <v>1</v>
      </c>
      <c r="J80" s="39">
        <v>1</v>
      </c>
      <c r="K80" s="39">
        <v>1</v>
      </c>
      <c r="L80" s="39">
        <v>1</v>
      </c>
      <c r="N80" s="28" t="s">
        <v>14</v>
      </c>
      <c r="O80" s="39">
        <v>1</v>
      </c>
      <c r="P80" s="39">
        <v>1</v>
      </c>
      <c r="Q80" s="39">
        <v>1</v>
      </c>
      <c r="R80" s="39">
        <v>1</v>
      </c>
      <c r="S80" s="39">
        <v>1</v>
      </c>
      <c r="U80" s="65"/>
      <c r="V80" s="65"/>
      <c r="W80" s="65"/>
      <c r="X80" s="65"/>
      <c r="Y80" s="65"/>
      <c r="Z80" s="65"/>
    </row>
    <row r="81" spans="2:26" ht="15.75" x14ac:dyDescent="0.25">
      <c r="B81" s="29" t="s">
        <v>15</v>
      </c>
      <c r="C81" s="43">
        <v>12077</v>
      </c>
      <c r="D81" s="43">
        <v>16211</v>
      </c>
      <c r="E81" s="43">
        <v>1648</v>
      </c>
      <c r="F81" s="43">
        <v>4372</v>
      </c>
      <c r="G81" s="44">
        <v>418</v>
      </c>
      <c r="H81" s="51">
        <f>C81/$C$80</f>
        <v>7.6718820472751068E-2</v>
      </c>
      <c r="I81" s="51">
        <f>D81/$D$80</f>
        <v>0.12217566284310327</v>
      </c>
      <c r="J81" s="51">
        <f>E81/$E$80</f>
        <v>1.3166935651395791E-2</v>
      </c>
      <c r="K81" s="51">
        <f>F81/$F$80</f>
        <v>2.8825740093624316E-2</v>
      </c>
      <c r="L81" s="51">
        <f>G81/$G$80</f>
        <v>2.3203659294786395E-3</v>
      </c>
      <c r="N81" s="29" t="s">
        <v>15</v>
      </c>
      <c r="O81" s="51">
        <v>7.6718820472751068E-2</v>
      </c>
      <c r="P81" s="51">
        <v>0.12217566284310327</v>
      </c>
      <c r="Q81" s="51">
        <v>1.3166935651395791E-2</v>
      </c>
      <c r="R81" s="51">
        <v>2.8825740093624316E-2</v>
      </c>
      <c r="S81" s="51">
        <v>2.3203659294786395E-3</v>
      </c>
    </row>
    <row r="82" spans="2:26" ht="15.75" x14ac:dyDescent="0.25">
      <c r="B82" s="29" t="s">
        <v>18</v>
      </c>
      <c r="C82" s="43">
        <v>127342</v>
      </c>
      <c r="D82" s="43">
        <v>116475</v>
      </c>
      <c r="E82" s="43">
        <v>123514</v>
      </c>
      <c r="F82" s="43">
        <v>147298</v>
      </c>
      <c r="G82" s="44">
        <v>179726</v>
      </c>
      <c r="H82" s="51">
        <f t="shared" ref="H82:H84" si="20">C82/$C$80</f>
        <v>0.80893665948837179</v>
      </c>
      <c r="I82" s="51">
        <f t="shared" ref="I82:I84" si="21">D82/$D$80</f>
        <v>0.87782433715689678</v>
      </c>
      <c r="J82" s="51">
        <f t="shared" ref="J82:J84" si="22">E82/$E$80</f>
        <v>0.98683306434860418</v>
      </c>
      <c r="K82" s="51">
        <f t="shared" ref="K82:K84" si="23">F82/$F$80</f>
        <v>0.97117425990637574</v>
      </c>
      <c r="L82" s="51">
        <f t="shared" ref="L82:L84" si="24">G82/$G$80</f>
        <v>0.9976796340705214</v>
      </c>
      <c r="N82" s="29" t="s">
        <v>18</v>
      </c>
      <c r="O82" s="51">
        <v>0.80893665948837179</v>
      </c>
      <c r="P82" s="51">
        <v>0.87782433715689678</v>
      </c>
      <c r="Q82" s="51">
        <v>0.98683306434860418</v>
      </c>
      <c r="R82" s="51">
        <v>0.97117425990637574</v>
      </c>
      <c r="S82" s="51">
        <v>0.9976796340705214</v>
      </c>
    </row>
    <row r="83" spans="2:26" ht="15.75" x14ac:dyDescent="0.25">
      <c r="B83" s="29" t="s">
        <v>44</v>
      </c>
      <c r="C83" s="43">
        <v>23228</v>
      </c>
      <c r="D83" s="43">
        <v>6527</v>
      </c>
      <c r="E83" s="43">
        <v>5953</v>
      </c>
      <c r="F83" s="43">
        <v>5021</v>
      </c>
      <c r="G83" s="44">
        <v>10266</v>
      </c>
      <c r="H83" s="51">
        <f t="shared" si="20"/>
        <v>0.14755525063683544</v>
      </c>
      <c r="I83" s="51">
        <f t="shared" si="21"/>
        <v>4.9191323877424899E-2</v>
      </c>
      <c r="J83" s="51">
        <f t="shared" si="22"/>
        <v>4.7562359182499479E-2</v>
      </c>
      <c r="K83" s="51">
        <f t="shared" si="23"/>
        <v>3.3104766928199379E-2</v>
      </c>
      <c r="L83" s="51">
        <f t="shared" si="24"/>
        <v>5.6987743138822274E-2</v>
      </c>
      <c r="N83" s="29" t="s">
        <v>44</v>
      </c>
      <c r="O83" s="51">
        <v>0.14755525063683544</v>
      </c>
      <c r="P83" s="51">
        <v>4.9191323877424899E-2</v>
      </c>
      <c r="Q83" s="51">
        <v>4.7562359182499479E-2</v>
      </c>
      <c r="R83" s="51">
        <v>3.3104766928199379E-2</v>
      </c>
      <c r="S83" s="51">
        <v>5.6987743138822274E-2</v>
      </c>
    </row>
    <row r="84" spans="2:26" ht="15.75" x14ac:dyDescent="0.25">
      <c r="B84" s="29" t="s">
        <v>25</v>
      </c>
      <c r="C84" s="45">
        <v>120114</v>
      </c>
      <c r="D84" s="43">
        <v>109948</v>
      </c>
      <c r="E84" s="43">
        <v>117561</v>
      </c>
      <c r="F84" s="43">
        <v>142277</v>
      </c>
      <c r="G84" s="44">
        <v>169460</v>
      </c>
      <c r="H84" s="51">
        <f t="shared" si="20"/>
        <v>0.76302098221942716</v>
      </c>
      <c r="I84" s="51">
        <f t="shared" si="21"/>
        <v>0.82863301327947181</v>
      </c>
      <c r="J84" s="51">
        <f t="shared" si="22"/>
        <v>0.93927070516610478</v>
      </c>
      <c r="K84" s="51">
        <f t="shared" si="23"/>
        <v>0.93806949297817632</v>
      </c>
      <c r="L84" s="51">
        <f t="shared" si="24"/>
        <v>0.94069189093169914</v>
      </c>
      <c r="N84" s="29" t="s">
        <v>25</v>
      </c>
      <c r="O84" s="51">
        <v>0.76302098221942716</v>
      </c>
      <c r="P84" s="51">
        <v>0.82863301327947181</v>
      </c>
      <c r="Q84" s="51">
        <v>0.93927070516610478</v>
      </c>
      <c r="R84" s="51">
        <v>0.93806949297817632</v>
      </c>
      <c r="S84" s="51">
        <v>0.94069189093169914</v>
      </c>
    </row>
    <row r="85" spans="2:26" ht="15.75" x14ac:dyDescent="0.25">
      <c r="U85" s="65"/>
      <c r="V85" s="65"/>
      <c r="W85" s="65"/>
      <c r="X85" s="65"/>
      <c r="Y85" s="65"/>
      <c r="Z85" s="65"/>
    </row>
    <row r="86" spans="2:26" ht="15.75" x14ac:dyDescent="0.25">
      <c r="B86" s="277"/>
      <c r="C86" s="274" t="s">
        <v>34</v>
      </c>
      <c r="D86" s="262"/>
      <c r="E86" s="262"/>
      <c r="F86" s="262"/>
      <c r="G86" s="266"/>
      <c r="H86" s="275" t="s">
        <v>50</v>
      </c>
      <c r="I86" s="275"/>
      <c r="J86" s="275"/>
      <c r="K86" s="275"/>
      <c r="L86" s="275"/>
      <c r="N86" s="277"/>
      <c r="O86" s="275" t="s">
        <v>50</v>
      </c>
      <c r="P86" s="275"/>
      <c r="Q86" s="275"/>
      <c r="R86" s="275"/>
      <c r="S86" s="275"/>
      <c r="U86" s="2" t="s">
        <v>37</v>
      </c>
      <c r="V86" s="2">
        <v>2015</v>
      </c>
      <c r="W86" s="2">
        <v>2016</v>
      </c>
      <c r="X86" s="2">
        <v>2017</v>
      </c>
      <c r="Y86" s="2">
        <v>2018</v>
      </c>
      <c r="Z86" s="2">
        <v>2019</v>
      </c>
    </row>
    <row r="87" spans="2:26" ht="15.75" x14ac:dyDescent="0.25">
      <c r="B87" s="277"/>
      <c r="C87" s="271"/>
      <c r="D87" s="261"/>
      <c r="E87" s="261"/>
      <c r="F87" s="261"/>
      <c r="G87" s="268"/>
      <c r="H87" s="276" t="s">
        <v>54</v>
      </c>
      <c r="I87" s="276"/>
      <c r="J87" s="276"/>
      <c r="K87" s="276"/>
      <c r="L87" s="276"/>
      <c r="N87" s="277"/>
      <c r="O87" s="276" t="s">
        <v>54</v>
      </c>
      <c r="P87" s="276"/>
      <c r="Q87" s="276"/>
      <c r="R87" s="276"/>
      <c r="S87" s="276"/>
      <c r="U87" s="29" t="s">
        <v>15</v>
      </c>
      <c r="V87" s="63">
        <v>2.7263128901946383E-2</v>
      </c>
      <c r="W87" s="63">
        <v>2.0012996059108695E-2</v>
      </c>
      <c r="X87" s="63">
        <v>3.9444088722520483E-3</v>
      </c>
      <c r="Y87" s="63">
        <v>3.4166097016754153E-2</v>
      </c>
      <c r="Z87" s="63">
        <v>2.9509872648673909E-2</v>
      </c>
    </row>
    <row r="88" spans="2:26" ht="15.75" x14ac:dyDescent="0.25">
      <c r="B88" s="2" t="s">
        <v>37</v>
      </c>
      <c r="C88" s="2">
        <v>2015</v>
      </c>
      <c r="D88" s="2">
        <v>2016</v>
      </c>
      <c r="E88" s="2">
        <v>2017</v>
      </c>
      <c r="F88" s="2">
        <v>2018</v>
      </c>
      <c r="G88" s="2">
        <v>2019</v>
      </c>
      <c r="H88" s="2">
        <v>2015</v>
      </c>
      <c r="I88" s="2">
        <v>2016</v>
      </c>
      <c r="J88" s="2">
        <v>2017</v>
      </c>
      <c r="K88" s="2">
        <v>2018</v>
      </c>
      <c r="L88" s="2">
        <v>2019</v>
      </c>
      <c r="N88" s="2" t="s">
        <v>37</v>
      </c>
      <c r="O88" s="2">
        <v>2015</v>
      </c>
      <c r="P88" s="2">
        <v>2016</v>
      </c>
      <c r="Q88" s="2">
        <v>2017</v>
      </c>
      <c r="R88" s="2">
        <v>2018</v>
      </c>
      <c r="S88" s="2">
        <v>2019</v>
      </c>
      <c r="U88" s="29" t="s">
        <v>44</v>
      </c>
      <c r="V88" s="63">
        <v>6.8926735218508992E-2</v>
      </c>
      <c r="W88" s="63">
        <v>9.6970235284767961E-2</v>
      </c>
      <c r="X88" s="63">
        <v>9.7001264180991309E-2</v>
      </c>
      <c r="Y88" s="63">
        <v>8.408355151999794E-2</v>
      </c>
      <c r="Z88" s="63">
        <v>8.9391284028508003E-2</v>
      </c>
    </row>
    <row r="89" spans="2:26" ht="15.75" x14ac:dyDescent="0.25">
      <c r="B89" s="23" t="s">
        <v>42</v>
      </c>
      <c r="C89" s="1"/>
      <c r="D89" s="1"/>
      <c r="E89" s="1"/>
      <c r="F89" s="1"/>
      <c r="G89" s="1"/>
      <c r="H89" s="1"/>
      <c r="I89" s="1"/>
      <c r="J89" s="1"/>
      <c r="K89" s="1"/>
      <c r="L89" s="1"/>
      <c r="N89" s="23" t="s">
        <v>42</v>
      </c>
      <c r="O89" s="1"/>
      <c r="P89" s="1"/>
      <c r="Q89" s="1"/>
      <c r="R89" s="1"/>
      <c r="S89" s="1"/>
      <c r="U89" s="29" t="s">
        <v>25</v>
      </c>
      <c r="V89" s="63">
        <v>0.90381013587954462</v>
      </c>
      <c r="W89" s="63">
        <v>0.88301676865612333</v>
      </c>
      <c r="X89" s="63">
        <v>0.89905432694675669</v>
      </c>
      <c r="Y89" s="63">
        <v>0.79293978048056957</v>
      </c>
      <c r="Z89" s="63">
        <v>0.80255286832573902</v>
      </c>
    </row>
    <row r="90" spans="2:26" ht="15.75" x14ac:dyDescent="0.25">
      <c r="B90" s="28" t="s">
        <v>14</v>
      </c>
      <c r="C90" s="43">
        <v>217840</v>
      </c>
      <c r="D90" s="43">
        <v>213911</v>
      </c>
      <c r="E90" s="43">
        <v>243636</v>
      </c>
      <c r="F90" s="43">
        <v>310132</v>
      </c>
      <c r="G90" s="43">
        <v>342360</v>
      </c>
      <c r="H90" s="39">
        <v>1</v>
      </c>
      <c r="I90" s="39">
        <v>1</v>
      </c>
      <c r="J90" s="39">
        <v>1</v>
      </c>
      <c r="K90" s="39">
        <v>1</v>
      </c>
      <c r="L90" s="39">
        <v>1</v>
      </c>
      <c r="N90" s="28" t="s">
        <v>14</v>
      </c>
      <c r="O90" s="39">
        <v>1</v>
      </c>
      <c r="P90" s="39">
        <v>1</v>
      </c>
      <c r="Q90" s="39">
        <v>1</v>
      </c>
      <c r="R90" s="39">
        <v>1</v>
      </c>
      <c r="S90" s="39">
        <v>1</v>
      </c>
      <c r="U90" s="65"/>
      <c r="V90" s="65"/>
      <c r="W90" s="65"/>
      <c r="X90" s="65"/>
      <c r="Y90" s="65"/>
      <c r="Z90" s="65"/>
    </row>
    <row r="91" spans="2:26" ht="15.75" x14ac:dyDescent="0.25">
      <c r="B91" s="29" t="s">
        <v>15</v>
      </c>
      <c r="C91" s="43">
        <v>5939</v>
      </c>
      <c r="D91" s="43">
        <v>4281</v>
      </c>
      <c r="E91" s="43">
        <v>961</v>
      </c>
      <c r="F91" s="43">
        <v>10596</v>
      </c>
      <c r="G91" s="43">
        <v>10103</v>
      </c>
      <c r="H91" s="52">
        <f>C91/$C$90</f>
        <v>2.7263128901946383E-2</v>
      </c>
      <c r="I91" s="52">
        <f>D91/$D$90</f>
        <v>2.0012996059108695E-2</v>
      </c>
      <c r="J91" s="52">
        <f>E91/$E$90</f>
        <v>3.9444088722520483E-3</v>
      </c>
      <c r="K91" s="52">
        <f>F91/$F$90</f>
        <v>3.4166097016754153E-2</v>
      </c>
      <c r="L91" s="52">
        <f>G91/$G$90</f>
        <v>2.9509872648673909E-2</v>
      </c>
      <c r="N91" s="29" t="s">
        <v>15</v>
      </c>
      <c r="O91" s="52">
        <v>2.7263128901946383E-2</v>
      </c>
      <c r="P91" s="52">
        <v>2.0012996059108695E-2</v>
      </c>
      <c r="Q91" s="52">
        <v>3.9444088722520483E-3</v>
      </c>
      <c r="R91" s="52">
        <v>3.4166097016754153E-2</v>
      </c>
      <c r="S91" s="52">
        <v>2.9509872648673909E-2</v>
      </c>
      <c r="U91" s="65"/>
      <c r="V91" s="65"/>
      <c r="W91" s="65"/>
      <c r="X91" s="65"/>
      <c r="Y91" s="65"/>
      <c r="Z91" s="65"/>
    </row>
    <row r="92" spans="2:26" ht="15.75" x14ac:dyDescent="0.25">
      <c r="B92" s="29" t="s">
        <v>18</v>
      </c>
      <c r="C92" s="43">
        <v>211901</v>
      </c>
      <c r="D92" s="43">
        <v>209630</v>
      </c>
      <c r="E92" s="43">
        <v>242675</v>
      </c>
      <c r="F92" s="43">
        <v>299536</v>
      </c>
      <c r="G92" s="43">
        <v>332257</v>
      </c>
      <c r="H92" s="52">
        <f t="shared" ref="H92:H94" si="25">C92/$C$90</f>
        <v>0.97273687109805362</v>
      </c>
      <c r="I92" s="52">
        <f t="shared" ref="I92:I94" si="26">D92/$D$90</f>
        <v>0.97998700394089133</v>
      </c>
      <c r="J92" s="52">
        <f t="shared" ref="J92:J94" si="27">E92/$E$90</f>
        <v>0.996055591127748</v>
      </c>
      <c r="K92" s="52">
        <f t="shared" ref="K92:K94" si="28">F92/$F$90</f>
        <v>0.9658339029832459</v>
      </c>
      <c r="L92" s="52">
        <f t="shared" ref="L92:L94" si="29">G92/$G$90</f>
        <v>0.97049012735132612</v>
      </c>
      <c r="N92" s="29" t="s">
        <v>18</v>
      </c>
      <c r="O92" s="52">
        <v>0.97273687109805362</v>
      </c>
      <c r="P92" s="52">
        <v>0.97998700394089133</v>
      </c>
      <c r="Q92" s="52">
        <v>0.996055591127748</v>
      </c>
      <c r="R92" s="52">
        <v>0.9658339029832459</v>
      </c>
      <c r="S92" s="52">
        <v>0.97049012735132612</v>
      </c>
      <c r="U92" s="65"/>
      <c r="V92" s="65"/>
      <c r="W92" s="65"/>
      <c r="X92" s="65"/>
      <c r="Y92" s="65"/>
      <c r="Z92" s="65"/>
    </row>
    <row r="93" spans="2:26" ht="15.75" x14ac:dyDescent="0.25">
      <c r="B93" s="29" t="s">
        <v>44</v>
      </c>
      <c r="C93" s="43">
        <v>15015</v>
      </c>
      <c r="D93" s="43">
        <v>20743</v>
      </c>
      <c r="E93" s="43">
        <v>23633</v>
      </c>
      <c r="F93" s="43">
        <v>26077</v>
      </c>
      <c r="G93" s="43">
        <v>30604</v>
      </c>
      <c r="H93" s="52">
        <f t="shared" si="25"/>
        <v>6.8926735218508992E-2</v>
      </c>
      <c r="I93" s="52">
        <f t="shared" si="26"/>
        <v>9.6970235284767961E-2</v>
      </c>
      <c r="J93" s="52">
        <f t="shared" si="27"/>
        <v>9.7001264180991309E-2</v>
      </c>
      <c r="K93" s="52">
        <f t="shared" si="28"/>
        <v>8.408355151999794E-2</v>
      </c>
      <c r="L93" s="52">
        <f t="shared" si="29"/>
        <v>8.9391284028508003E-2</v>
      </c>
      <c r="N93" s="29" t="s">
        <v>44</v>
      </c>
      <c r="O93" s="52">
        <v>6.8926735218508992E-2</v>
      </c>
      <c r="P93" s="52">
        <v>9.6970235284767961E-2</v>
      </c>
      <c r="Q93" s="52">
        <v>9.7001264180991309E-2</v>
      </c>
      <c r="R93" s="52">
        <v>8.408355151999794E-2</v>
      </c>
      <c r="S93" s="52">
        <v>8.9391284028508003E-2</v>
      </c>
    </row>
    <row r="94" spans="2:26" ht="15.75" x14ac:dyDescent="0.25">
      <c r="B94" s="29" t="s">
        <v>25</v>
      </c>
      <c r="C94" s="43">
        <v>196886</v>
      </c>
      <c r="D94" s="43">
        <v>188887</v>
      </c>
      <c r="E94" s="43">
        <v>219042</v>
      </c>
      <c r="F94" s="43">
        <v>245916</v>
      </c>
      <c r="G94" s="43">
        <v>274762</v>
      </c>
      <c r="H94" s="52">
        <f t="shared" si="25"/>
        <v>0.90381013587954462</v>
      </c>
      <c r="I94" s="52">
        <f t="shared" si="26"/>
        <v>0.88301676865612333</v>
      </c>
      <c r="J94" s="52">
        <f t="shared" si="27"/>
        <v>0.89905432694675669</v>
      </c>
      <c r="K94" s="52">
        <f t="shared" si="28"/>
        <v>0.79293978048056957</v>
      </c>
      <c r="L94" s="52">
        <f t="shared" si="29"/>
        <v>0.80255286832573902</v>
      </c>
      <c r="N94" s="29" t="s">
        <v>25</v>
      </c>
      <c r="O94" s="52">
        <v>0.90381013587954462</v>
      </c>
      <c r="P94" s="52">
        <v>0.88301676865612333</v>
      </c>
      <c r="Q94" s="52">
        <v>0.89905432694675669</v>
      </c>
      <c r="R94" s="52">
        <v>0.79293978048056957</v>
      </c>
      <c r="S94" s="52">
        <v>0.80255286832573902</v>
      </c>
    </row>
    <row r="98" spans="2:12" x14ac:dyDescent="0.25">
      <c r="B98" s="55" t="s">
        <v>65</v>
      </c>
      <c r="C98" s="55"/>
      <c r="D98" s="55"/>
      <c r="E98" s="55"/>
      <c r="F98" s="55"/>
      <c r="G98" s="55"/>
      <c r="H98" s="55"/>
      <c r="I98" s="55"/>
    </row>
    <row r="100" spans="2:12" x14ac:dyDescent="0.25">
      <c r="B100" t="s">
        <v>55</v>
      </c>
    </row>
    <row r="101" spans="2:12" ht="15.75" x14ac:dyDescent="0.25">
      <c r="B101" s="57"/>
      <c r="C101" s="278" t="s">
        <v>34</v>
      </c>
      <c r="D101" s="278"/>
      <c r="E101" s="278"/>
      <c r="F101" s="278"/>
      <c r="G101" s="278"/>
      <c r="H101" s="278"/>
      <c r="I101" s="278"/>
      <c r="J101" s="278"/>
      <c r="K101" s="278"/>
      <c r="L101" s="278"/>
    </row>
    <row r="102" spans="2:12" ht="15.75" x14ac:dyDescent="0.25">
      <c r="B102" s="2" t="s">
        <v>37</v>
      </c>
      <c r="C102" s="58">
        <v>2010</v>
      </c>
      <c r="D102" s="58">
        <v>2011</v>
      </c>
      <c r="E102" s="58">
        <v>2012</v>
      </c>
      <c r="F102" s="58">
        <v>2013</v>
      </c>
      <c r="G102" s="58">
        <v>2014</v>
      </c>
      <c r="H102" s="58">
        <v>2015</v>
      </c>
      <c r="I102" s="58">
        <v>2016</v>
      </c>
      <c r="J102" s="58">
        <v>2017</v>
      </c>
      <c r="K102" s="58">
        <v>2018</v>
      </c>
      <c r="L102" s="58">
        <v>2019</v>
      </c>
    </row>
    <row r="103" spans="2:12" ht="15.75" x14ac:dyDescent="0.25">
      <c r="B103" s="59" t="s">
        <v>56</v>
      </c>
      <c r="C103" s="60">
        <v>87158285</v>
      </c>
      <c r="D103" s="60">
        <v>84399854</v>
      </c>
      <c r="E103" s="60">
        <v>75468641</v>
      </c>
      <c r="F103" s="60">
        <v>102585429</v>
      </c>
      <c r="G103" s="60">
        <v>96985021</v>
      </c>
      <c r="H103" s="60">
        <v>97853696</v>
      </c>
      <c r="I103" s="60">
        <v>99951091</v>
      </c>
      <c r="J103" s="60">
        <v>101176565</v>
      </c>
      <c r="K103" s="60">
        <v>101170418</v>
      </c>
      <c r="L103" s="60">
        <v>102284772</v>
      </c>
    </row>
    <row r="104" spans="2:12" ht="15.75" x14ac:dyDescent="0.25">
      <c r="B104" s="59" t="s">
        <v>57</v>
      </c>
      <c r="C104" s="18">
        <v>41101513</v>
      </c>
      <c r="D104" s="18">
        <v>38078940</v>
      </c>
      <c r="E104" s="18">
        <v>27307591</v>
      </c>
      <c r="F104" s="18">
        <v>44739302</v>
      </c>
      <c r="G104" s="18">
        <v>40015570</v>
      </c>
      <c r="H104" s="18">
        <v>47883909</v>
      </c>
      <c r="I104" s="18">
        <v>47918783</v>
      </c>
      <c r="J104" s="18">
        <v>47411628</v>
      </c>
      <c r="K104" s="18">
        <v>48260201</v>
      </c>
      <c r="L104" s="18">
        <v>49820746</v>
      </c>
    </row>
    <row r="105" spans="2:12" ht="15.75" x14ac:dyDescent="0.25">
      <c r="B105" s="59" t="s">
        <v>58</v>
      </c>
      <c r="C105" s="18">
        <v>45611214</v>
      </c>
      <c r="D105" s="18">
        <v>45897658</v>
      </c>
      <c r="E105" s="18">
        <v>47985166</v>
      </c>
      <c r="F105" s="18">
        <v>57774712</v>
      </c>
      <c r="G105" s="18">
        <v>56753576</v>
      </c>
      <c r="H105" s="18">
        <v>49945511</v>
      </c>
      <c r="I105" s="18">
        <v>51916900</v>
      </c>
      <c r="J105" s="18">
        <v>53560385</v>
      </c>
      <c r="K105" s="18">
        <v>52706411</v>
      </c>
      <c r="L105" s="18">
        <v>52258015</v>
      </c>
    </row>
    <row r="106" spans="2:12" ht="15.75" x14ac:dyDescent="0.25">
      <c r="B106" s="59" t="s">
        <v>59</v>
      </c>
      <c r="C106" s="18">
        <v>445559</v>
      </c>
      <c r="D106" s="18">
        <v>423256</v>
      </c>
      <c r="E106" s="18">
        <v>410842</v>
      </c>
      <c r="F106" s="18">
        <v>393280</v>
      </c>
      <c r="G106" s="18">
        <v>355875</v>
      </c>
      <c r="H106" s="18">
        <v>336605</v>
      </c>
      <c r="I106" s="18">
        <v>379276</v>
      </c>
      <c r="J106" s="18">
        <v>421015</v>
      </c>
      <c r="K106" s="18">
        <v>426577</v>
      </c>
      <c r="L106" s="18">
        <v>428800</v>
      </c>
    </row>
    <row r="109" spans="2:12" ht="15.75" x14ac:dyDescent="0.25">
      <c r="B109" s="2" t="s">
        <v>37</v>
      </c>
      <c r="C109" s="61">
        <v>2010</v>
      </c>
      <c r="D109" s="61">
        <v>2011</v>
      </c>
      <c r="E109" s="61">
        <v>2012</v>
      </c>
      <c r="F109" s="61">
        <v>2013</v>
      </c>
      <c r="G109" s="61">
        <v>2014</v>
      </c>
      <c r="H109" s="61">
        <v>2015</v>
      </c>
      <c r="I109" s="61">
        <v>2016</v>
      </c>
      <c r="J109" s="61">
        <v>2017</v>
      </c>
      <c r="K109" s="61">
        <v>2018</v>
      </c>
      <c r="L109" s="61">
        <v>2019</v>
      </c>
    </row>
    <row r="110" spans="2:12" ht="15.75" x14ac:dyDescent="0.25">
      <c r="B110" s="59" t="s">
        <v>56</v>
      </c>
      <c r="C110" s="62">
        <v>1</v>
      </c>
      <c r="D110" s="62">
        <v>1</v>
      </c>
      <c r="E110" s="62">
        <v>1</v>
      </c>
      <c r="F110" s="62">
        <v>1</v>
      </c>
      <c r="G110" s="62">
        <v>1</v>
      </c>
      <c r="H110" s="62">
        <v>1</v>
      </c>
      <c r="I110" s="62">
        <v>1</v>
      </c>
      <c r="J110" s="62">
        <v>1</v>
      </c>
      <c r="K110" s="62">
        <v>1</v>
      </c>
      <c r="L110" s="62">
        <v>1</v>
      </c>
    </row>
    <row r="111" spans="2:12" ht="15.75" x14ac:dyDescent="0.25">
      <c r="B111" s="59" t="s">
        <v>57</v>
      </c>
      <c r="C111" s="63">
        <f>C104/$C$103</f>
        <v>0.47157321877088332</v>
      </c>
      <c r="D111" s="63">
        <f>D104/$D$103</f>
        <v>0.4511730553467545</v>
      </c>
      <c r="E111" s="63">
        <f>E104/$E$103</f>
        <v>0.36184023772204937</v>
      </c>
      <c r="F111" s="63">
        <f>F104/$F$103</f>
        <v>0.43611751138653426</v>
      </c>
      <c r="G111" s="63">
        <f>G104/$G$103</f>
        <v>0.41259536356650373</v>
      </c>
      <c r="H111" s="63">
        <f>H104/$H$103</f>
        <v>0.48934185378138401</v>
      </c>
      <c r="I111" s="63">
        <f>I104/$I$103</f>
        <v>0.47942231065791968</v>
      </c>
      <c r="J111" s="63">
        <f>J104/$J$103</f>
        <v>0.46860286272814261</v>
      </c>
      <c r="K111" s="63">
        <f>K104/$K$103</f>
        <v>0.47701889498964017</v>
      </c>
      <c r="L111" s="63">
        <f>L104/$L$103</f>
        <v>0.48707881951381776</v>
      </c>
    </row>
    <row r="112" spans="2:12" ht="15.75" x14ac:dyDescent="0.25">
      <c r="B112" s="59" t="s">
        <v>58</v>
      </c>
      <c r="C112" s="63">
        <f t="shared" ref="C112:C113" si="30">C105/$C$103</f>
        <v>0.52331472561673287</v>
      </c>
      <c r="D112" s="63">
        <f t="shared" ref="D112:D113" si="31">D105/$D$103</f>
        <v>0.54381205446161085</v>
      </c>
      <c r="E112" s="63">
        <f t="shared" ref="E112:E113" si="32">E105/$E$103</f>
        <v>0.63582920487464456</v>
      </c>
      <c r="F112" s="63">
        <f t="shared" ref="F112:F113" si="33">F105/$F$103</f>
        <v>0.56318633711616106</v>
      </c>
      <c r="G112" s="63">
        <f t="shared" ref="G112:G113" si="34">G105/$G$103</f>
        <v>0.58517877724643685</v>
      </c>
      <c r="H112" s="63">
        <f t="shared" ref="H112:H113" si="35">H105/$H$103</f>
        <v>0.51041006156783286</v>
      </c>
      <c r="I112" s="63">
        <f t="shared" ref="I112:I113" si="36">I105/$I$103</f>
        <v>0.5194230446168917</v>
      </c>
      <c r="J112" s="63">
        <f t="shared" ref="J112:J113" si="37">J105/$J$103</f>
        <v>0.52937540427469543</v>
      </c>
      <c r="K112" s="63">
        <f t="shared" ref="K112:K113" si="38">K105/$K$103</f>
        <v>0.52096662287191497</v>
      </c>
      <c r="L112" s="63">
        <f t="shared" ref="L112:L113" si="39">L105/$L$103</f>
        <v>0.51090708790942996</v>
      </c>
    </row>
    <row r="113" spans="2:12" ht="15.75" x14ac:dyDescent="0.25">
      <c r="B113" s="59" t="s">
        <v>59</v>
      </c>
      <c r="C113" s="63">
        <f t="shared" si="30"/>
        <v>5.1120670857624151E-3</v>
      </c>
      <c r="D113" s="63">
        <f t="shared" si="31"/>
        <v>5.0148901916346918E-3</v>
      </c>
      <c r="E113" s="63">
        <f t="shared" si="32"/>
        <v>5.4438770137652274E-3</v>
      </c>
      <c r="F113" s="63">
        <f t="shared" si="33"/>
        <v>3.833682851782001E-3</v>
      </c>
      <c r="G113" s="63">
        <f t="shared" si="34"/>
        <v>3.6693810686497662E-3</v>
      </c>
      <c r="H113" s="63">
        <f t="shared" si="35"/>
        <v>3.4398802882213055E-3</v>
      </c>
      <c r="I113" s="63">
        <f t="shared" si="36"/>
        <v>3.7946159086947834E-3</v>
      </c>
      <c r="J113" s="63">
        <f t="shared" si="37"/>
        <v>4.1611908844701338E-3</v>
      </c>
      <c r="K113" s="63">
        <f t="shared" si="38"/>
        <v>4.2164202583407336E-3</v>
      </c>
      <c r="L113" s="63">
        <f t="shared" si="39"/>
        <v>4.1922173908741766E-3</v>
      </c>
    </row>
    <row r="115" spans="2:12" ht="15.75" x14ac:dyDescent="0.25">
      <c r="B115" s="2" t="s">
        <v>60</v>
      </c>
      <c r="C115" s="61">
        <v>2010</v>
      </c>
      <c r="D115" s="61">
        <v>2011</v>
      </c>
      <c r="E115" s="61">
        <v>2012</v>
      </c>
      <c r="F115" s="61">
        <v>2013</v>
      </c>
      <c r="G115" s="61">
        <v>2014</v>
      </c>
      <c r="H115" s="61">
        <v>2015</v>
      </c>
      <c r="I115" s="61">
        <v>2016</v>
      </c>
      <c r="J115" s="61">
        <v>2017</v>
      </c>
      <c r="K115" s="61">
        <v>2018</v>
      </c>
      <c r="L115" s="61">
        <v>2019</v>
      </c>
    </row>
    <row r="116" spans="2:12" x14ac:dyDescent="0.25">
      <c r="B116" s="56" t="s">
        <v>61</v>
      </c>
      <c r="C116" s="52">
        <v>0.61939999999999995</v>
      </c>
      <c r="D116" s="52">
        <v>0.69379999999999997</v>
      </c>
      <c r="E116" s="52">
        <v>0.72440000000000004</v>
      </c>
      <c r="F116" s="52">
        <v>0.68430000000000002</v>
      </c>
      <c r="G116" s="52">
        <v>0.67769999999999997</v>
      </c>
      <c r="H116" s="52">
        <v>0.69399999999999995</v>
      </c>
      <c r="I116" s="52">
        <v>0.73599999999999999</v>
      </c>
      <c r="J116" s="52">
        <v>0.73219999999999996</v>
      </c>
      <c r="K116" s="52">
        <v>0.7329</v>
      </c>
      <c r="L116" s="52">
        <v>0.73809999999999998</v>
      </c>
    </row>
    <row r="117" spans="2:12" x14ac:dyDescent="0.25">
      <c r="B117" s="56" t="s">
        <v>55</v>
      </c>
      <c r="C117" s="52">
        <v>0.47160000000000002</v>
      </c>
      <c r="D117" s="52">
        <v>0.45119999999999999</v>
      </c>
      <c r="E117" s="52">
        <v>0.36180000000000001</v>
      </c>
      <c r="F117" s="52">
        <v>0.43609999999999999</v>
      </c>
      <c r="G117" s="52">
        <v>0.41260000000000002</v>
      </c>
      <c r="H117" s="52">
        <v>0.48930000000000001</v>
      </c>
      <c r="I117" s="52">
        <v>0.47939999999999999</v>
      </c>
      <c r="J117" s="52">
        <v>0.46860000000000002</v>
      </c>
      <c r="K117" s="52">
        <v>0.47699999999999998</v>
      </c>
      <c r="L117" s="52">
        <v>0.48709999999999998</v>
      </c>
    </row>
    <row r="136" spans="2:12" x14ac:dyDescent="0.25">
      <c r="B136" t="s">
        <v>62</v>
      </c>
    </row>
    <row r="138" spans="2:12" x14ac:dyDescent="0.25">
      <c r="B138" s="279" t="s">
        <v>64</v>
      </c>
      <c r="C138" s="279"/>
      <c r="D138" s="279"/>
      <c r="E138" s="279"/>
      <c r="F138" s="279"/>
      <c r="G138" s="279"/>
      <c r="H138" s="279"/>
      <c r="I138" s="279"/>
    </row>
    <row r="141" spans="2:12" ht="15.75" x14ac:dyDescent="0.25">
      <c r="B141" s="2" t="s">
        <v>63</v>
      </c>
      <c r="C141" s="61">
        <v>2010</v>
      </c>
      <c r="D141" s="61">
        <v>2011</v>
      </c>
      <c r="E141" s="61">
        <v>2012</v>
      </c>
      <c r="F141" s="61">
        <v>2013</v>
      </c>
      <c r="G141" s="61">
        <v>2014</v>
      </c>
      <c r="H141" s="61">
        <v>2015</v>
      </c>
      <c r="I141" s="61">
        <v>2016</v>
      </c>
      <c r="J141" s="61">
        <v>2017</v>
      </c>
      <c r="K141" s="61">
        <v>2018</v>
      </c>
      <c r="L141" s="61">
        <v>2019</v>
      </c>
    </row>
    <row r="142" spans="2:12" x14ac:dyDescent="0.25">
      <c r="B142" s="56" t="s">
        <v>61</v>
      </c>
      <c r="C142" s="66">
        <v>0.31090000000000001</v>
      </c>
      <c r="D142" s="66">
        <v>0.24229999999999999</v>
      </c>
      <c r="E142" s="66">
        <v>0.21679999999999999</v>
      </c>
      <c r="F142" s="66">
        <v>0.2555</v>
      </c>
      <c r="G142" s="66">
        <v>0.26100000000000001</v>
      </c>
      <c r="H142" s="66">
        <v>0.26619999999999999</v>
      </c>
      <c r="I142" s="66">
        <v>0.23300000000000001</v>
      </c>
      <c r="J142" s="66">
        <v>0.2404</v>
      </c>
      <c r="K142" s="66">
        <v>0.2671</v>
      </c>
      <c r="L142" s="66">
        <v>0.26190000000000002</v>
      </c>
    </row>
    <row r="143" spans="2:12" x14ac:dyDescent="0.25">
      <c r="B143" s="56" t="s">
        <v>55</v>
      </c>
      <c r="C143" s="66">
        <v>0.52329999999999999</v>
      </c>
      <c r="D143" s="66">
        <v>0.54379999999999995</v>
      </c>
      <c r="E143" s="66">
        <v>0.63580000000000003</v>
      </c>
      <c r="F143" s="66">
        <v>0.56320000000000003</v>
      </c>
      <c r="G143" s="66">
        <v>0.58520000000000005</v>
      </c>
      <c r="H143" s="66">
        <v>0.51039999999999996</v>
      </c>
      <c r="I143" s="66">
        <v>0.51939999999999997</v>
      </c>
      <c r="J143" s="66">
        <v>0.52939999999999998</v>
      </c>
      <c r="K143" s="66">
        <v>0.52100000000000002</v>
      </c>
      <c r="L143" s="66">
        <v>0.51090000000000002</v>
      </c>
    </row>
    <row r="162" spans="2:12" x14ac:dyDescent="0.25">
      <c r="B162" t="s">
        <v>62</v>
      </c>
    </row>
    <row r="166" spans="2:12" ht="15.75" x14ac:dyDescent="0.25">
      <c r="B166" s="2" t="s">
        <v>220</v>
      </c>
      <c r="C166" s="61">
        <v>2010</v>
      </c>
      <c r="D166" s="61">
        <v>2011</v>
      </c>
      <c r="E166" s="61">
        <v>2012</v>
      </c>
      <c r="F166" s="61">
        <v>2013</v>
      </c>
      <c r="G166" s="61">
        <v>2014</v>
      </c>
      <c r="H166" s="61">
        <v>2015</v>
      </c>
      <c r="I166" s="61">
        <v>2016</v>
      </c>
      <c r="J166" s="61">
        <v>2017</v>
      </c>
      <c r="K166" s="61">
        <v>2018</v>
      </c>
      <c r="L166" s="61">
        <v>2019</v>
      </c>
    </row>
    <row r="167" spans="2:12" x14ac:dyDescent="0.25">
      <c r="B167" s="203" t="s">
        <v>61</v>
      </c>
      <c r="C167" s="108">
        <v>0.61939999999999995</v>
      </c>
      <c r="D167" s="108">
        <v>0.69379999999999997</v>
      </c>
      <c r="E167" s="108">
        <v>0.72440000000000004</v>
      </c>
      <c r="F167" s="108">
        <v>0.68430000000000002</v>
      </c>
      <c r="G167" s="108">
        <v>0.67769999999999997</v>
      </c>
      <c r="H167" s="108">
        <v>0.69399999999999995</v>
      </c>
      <c r="I167" s="108">
        <v>0.73599999999999999</v>
      </c>
      <c r="J167" s="108">
        <v>0.73219999999999996</v>
      </c>
      <c r="K167" s="108">
        <v>0.7329</v>
      </c>
      <c r="L167" s="108">
        <v>0.73809999999999998</v>
      </c>
    </row>
    <row r="168" spans="2:12" x14ac:dyDescent="0.25">
      <c r="B168" s="56" t="s">
        <v>55</v>
      </c>
      <c r="C168" s="52">
        <v>0.47160000000000002</v>
      </c>
      <c r="D168" s="52">
        <v>0.45119999999999999</v>
      </c>
      <c r="E168" s="52">
        <v>0.36180000000000001</v>
      </c>
      <c r="F168" s="52">
        <v>0.43609999999999999</v>
      </c>
      <c r="G168" s="52">
        <v>0.41260000000000002</v>
      </c>
      <c r="H168" s="52">
        <v>0.48930000000000001</v>
      </c>
      <c r="I168" s="52">
        <v>0.47939999999999999</v>
      </c>
      <c r="J168" s="52">
        <v>0.46860000000000002</v>
      </c>
      <c r="K168" s="52">
        <v>0.47699999999999998</v>
      </c>
      <c r="L168" s="52">
        <v>0.48709999999999998</v>
      </c>
    </row>
    <row r="169" spans="2:12" ht="15.75" x14ac:dyDescent="0.25">
      <c r="B169" s="2" t="s">
        <v>221</v>
      </c>
      <c r="C169" s="61">
        <v>2010</v>
      </c>
      <c r="D169" s="61">
        <v>2011</v>
      </c>
      <c r="E169" s="61">
        <v>2012</v>
      </c>
      <c r="F169" s="61">
        <v>2013</v>
      </c>
      <c r="G169" s="61">
        <v>2014</v>
      </c>
      <c r="H169" s="61">
        <v>2015</v>
      </c>
      <c r="I169" s="61">
        <v>2016</v>
      </c>
      <c r="J169" s="61">
        <v>2017</v>
      </c>
      <c r="K169" s="61">
        <v>2018</v>
      </c>
      <c r="L169" s="61">
        <v>2019</v>
      </c>
    </row>
    <row r="170" spans="2:12" x14ac:dyDescent="0.25">
      <c r="B170" s="203" t="s">
        <v>61</v>
      </c>
      <c r="C170" s="110">
        <v>0.31090000000000001</v>
      </c>
      <c r="D170" s="110">
        <v>0.24229999999999999</v>
      </c>
      <c r="E170" s="110">
        <v>0.21679999999999999</v>
      </c>
      <c r="F170" s="110">
        <v>0.2555</v>
      </c>
      <c r="G170" s="110">
        <v>0.26100000000000001</v>
      </c>
      <c r="H170" s="110">
        <v>0.26619999999999999</v>
      </c>
      <c r="I170" s="110">
        <v>0.23300000000000001</v>
      </c>
      <c r="J170" s="110">
        <v>0.2404</v>
      </c>
      <c r="K170" s="110">
        <v>0.2671</v>
      </c>
      <c r="L170" s="110">
        <v>0.26190000000000002</v>
      </c>
    </row>
    <row r="171" spans="2:12" x14ac:dyDescent="0.25">
      <c r="B171" s="56" t="s">
        <v>55</v>
      </c>
      <c r="C171" s="66">
        <v>0.52329999999999999</v>
      </c>
      <c r="D171" s="66">
        <v>0.54379999999999995</v>
      </c>
      <c r="E171" s="66">
        <v>0.63580000000000003</v>
      </c>
      <c r="F171" s="66">
        <v>0.56320000000000003</v>
      </c>
      <c r="G171" s="66">
        <v>0.58520000000000005</v>
      </c>
      <c r="H171" s="66">
        <v>0.51039999999999996</v>
      </c>
      <c r="I171" s="66">
        <v>0.51939999999999997</v>
      </c>
      <c r="J171" s="66">
        <v>0.52939999999999998</v>
      </c>
      <c r="K171" s="66">
        <v>0.52100000000000002</v>
      </c>
      <c r="L171" s="66">
        <v>0.51090000000000002</v>
      </c>
    </row>
  </sheetData>
  <mergeCells count="46">
    <mergeCell ref="C101:L101"/>
    <mergeCell ref="B138:I138"/>
    <mergeCell ref="N76:N77"/>
    <mergeCell ref="O76:S76"/>
    <mergeCell ref="O77:S77"/>
    <mergeCell ref="N86:N87"/>
    <mergeCell ref="O86:S86"/>
    <mergeCell ref="O87:S87"/>
    <mergeCell ref="B86:B87"/>
    <mergeCell ref="C86:G87"/>
    <mergeCell ref="H86:L86"/>
    <mergeCell ref="H87:L87"/>
    <mergeCell ref="N54:N55"/>
    <mergeCell ref="O54:S54"/>
    <mergeCell ref="O55:S55"/>
    <mergeCell ref="N65:N66"/>
    <mergeCell ref="O65:S65"/>
    <mergeCell ref="O66:S66"/>
    <mergeCell ref="N20:N21"/>
    <mergeCell ref="O20:S20"/>
    <mergeCell ref="O21:S21"/>
    <mergeCell ref="N37:N38"/>
    <mergeCell ref="O37:S37"/>
    <mergeCell ref="O38:S38"/>
    <mergeCell ref="B65:B66"/>
    <mergeCell ref="C65:G66"/>
    <mergeCell ref="H65:L65"/>
    <mergeCell ref="H66:L66"/>
    <mergeCell ref="B76:B77"/>
    <mergeCell ref="C76:G77"/>
    <mergeCell ref="H76:L76"/>
    <mergeCell ref="H77:L77"/>
    <mergeCell ref="B37:B38"/>
    <mergeCell ref="C37:G38"/>
    <mergeCell ref="H37:L37"/>
    <mergeCell ref="H38:L38"/>
    <mergeCell ref="B54:B55"/>
    <mergeCell ref="C54:G55"/>
    <mergeCell ref="H54:L54"/>
    <mergeCell ref="H55:L55"/>
    <mergeCell ref="B2:B3"/>
    <mergeCell ref="C2:L3"/>
    <mergeCell ref="B20:B21"/>
    <mergeCell ref="C20:G21"/>
    <mergeCell ref="H20:L20"/>
    <mergeCell ref="H21:L2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DDC21-E90F-4DCB-B75E-E381CC11DEE4}">
  <dimension ref="C2:AP83"/>
  <sheetViews>
    <sheetView topLeftCell="A31" zoomScale="50" zoomScaleNormal="50" workbookViewId="0">
      <selection activeCell="AC74" sqref="AC74"/>
    </sheetView>
  </sheetViews>
  <sheetFormatPr defaultRowHeight="15" x14ac:dyDescent="0.25"/>
  <cols>
    <col min="3" max="3" width="50.85546875" customWidth="1"/>
    <col min="4" max="4" width="9.28515625" bestFit="1" customWidth="1"/>
    <col min="5" max="5" width="11.5703125" customWidth="1"/>
    <col min="6" max="6" width="11.140625" customWidth="1"/>
    <col min="7" max="7" width="10.85546875" customWidth="1"/>
    <col min="8" max="8" width="11.85546875" customWidth="1"/>
    <col min="9" max="9" width="11.42578125" customWidth="1"/>
    <col min="10" max="11" width="10.5703125" customWidth="1"/>
    <col min="12" max="12" width="11.140625" customWidth="1"/>
    <col min="13" max="13" width="11.28515625" customWidth="1"/>
    <col min="16" max="16" width="49.85546875" customWidth="1"/>
    <col min="17" max="17" width="11.5703125" customWidth="1"/>
    <col min="18" max="18" width="12.140625" customWidth="1"/>
    <col min="19" max="19" width="11.7109375" customWidth="1"/>
    <col min="20" max="20" width="12.85546875" customWidth="1"/>
    <col min="21" max="21" width="12" customWidth="1"/>
    <col min="22" max="22" width="12.28515625" customWidth="1"/>
    <col min="23" max="23" width="12" customWidth="1"/>
    <col min="24" max="24" width="13.42578125" customWidth="1"/>
    <col min="25" max="25" width="13.7109375" customWidth="1"/>
    <col min="26" max="26" width="13.85546875" customWidth="1"/>
  </cols>
  <sheetData>
    <row r="2" spans="3:42" x14ac:dyDescent="0.25"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D2" s="213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214"/>
    </row>
    <row r="3" spans="3:42" ht="15.75" x14ac:dyDescent="0.25"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O3" s="219"/>
      <c r="P3" s="229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19"/>
      <c r="AD3" s="198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20"/>
    </row>
    <row r="4" spans="3:42" ht="15.75" x14ac:dyDescent="0.25"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O4" s="219"/>
      <c r="P4" s="229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19"/>
      <c r="AD4" s="213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20"/>
    </row>
    <row r="5" spans="3:42" ht="15.75" x14ac:dyDescent="0.25"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O5" s="219"/>
      <c r="P5" s="225"/>
      <c r="Q5" s="221"/>
      <c r="R5" s="221"/>
      <c r="S5" s="221"/>
      <c r="T5" s="221"/>
      <c r="U5" s="222"/>
      <c r="V5" s="221"/>
      <c r="W5" s="221"/>
      <c r="X5" s="221"/>
      <c r="Y5" s="221"/>
      <c r="Z5" s="221"/>
      <c r="AA5" s="219"/>
      <c r="AD5" s="216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20"/>
    </row>
    <row r="6" spans="3:42" ht="15.75" x14ac:dyDescent="0.25"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O6" s="219"/>
      <c r="P6" s="225"/>
      <c r="Q6" s="221"/>
      <c r="R6" s="221"/>
      <c r="S6" s="221"/>
      <c r="T6" s="221"/>
      <c r="U6" s="222"/>
      <c r="V6" s="221"/>
      <c r="W6" s="221"/>
      <c r="X6" s="221"/>
      <c r="Y6" s="221"/>
      <c r="Z6" s="221"/>
      <c r="AA6" s="219"/>
      <c r="AB6" s="197"/>
      <c r="AC6" s="197"/>
      <c r="AD6" s="198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20"/>
    </row>
    <row r="7" spans="3:42" ht="15.75" x14ac:dyDescent="0.25"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O7" s="219"/>
      <c r="P7" s="225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19"/>
      <c r="AB7" s="99"/>
      <c r="AC7" s="99"/>
      <c r="AD7" s="198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20"/>
    </row>
    <row r="8" spans="3:42" ht="15.75" x14ac:dyDescent="0.25"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O8" s="219"/>
      <c r="P8" s="225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19"/>
      <c r="AB8" s="99"/>
      <c r="AC8" s="99"/>
      <c r="AD8" s="198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20"/>
    </row>
    <row r="9" spans="3:42" ht="15.75" x14ac:dyDescent="0.25"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O9" s="219"/>
      <c r="P9" s="225"/>
      <c r="Q9" s="223"/>
      <c r="R9" s="222"/>
      <c r="S9" s="222"/>
      <c r="T9" s="222"/>
      <c r="U9" s="222"/>
      <c r="V9" s="222"/>
      <c r="W9" s="222"/>
      <c r="X9" s="222"/>
      <c r="Y9" s="222"/>
      <c r="Z9" s="222"/>
      <c r="AA9" s="219"/>
      <c r="AB9" s="217"/>
      <c r="AC9" s="217"/>
      <c r="AD9" s="216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20"/>
    </row>
    <row r="10" spans="3:42" ht="15.75" x14ac:dyDescent="0.25"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O10" s="219"/>
      <c r="P10" s="225"/>
      <c r="Q10" s="223"/>
      <c r="R10" s="222"/>
      <c r="S10" s="222"/>
      <c r="T10" s="222"/>
      <c r="U10" s="222"/>
      <c r="V10" s="222"/>
      <c r="W10" s="222"/>
      <c r="X10" s="222"/>
      <c r="Y10" s="222"/>
      <c r="Z10" s="222"/>
      <c r="AA10" s="219"/>
      <c r="AD10" s="198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20"/>
    </row>
    <row r="11" spans="3:42" ht="15.75" x14ac:dyDescent="0.25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O11" s="219"/>
      <c r="P11" s="225"/>
      <c r="Q11" s="221"/>
      <c r="R11" s="221"/>
      <c r="S11" s="221"/>
      <c r="T11" s="221"/>
      <c r="U11" s="222"/>
      <c r="V11" s="221"/>
      <c r="W11" s="221"/>
      <c r="X11" s="221"/>
      <c r="Y11" s="221"/>
      <c r="Z11" s="221"/>
      <c r="AA11" s="219"/>
      <c r="AD11" s="198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20"/>
    </row>
    <row r="12" spans="3:42" ht="15.75" x14ac:dyDescent="0.25"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O12" s="219"/>
      <c r="P12" s="226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19"/>
      <c r="AD12" s="198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20"/>
    </row>
    <row r="13" spans="3:42" ht="15.75" x14ac:dyDescent="0.25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O13" s="219"/>
      <c r="P13" s="226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19"/>
      <c r="AD13" s="198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20"/>
    </row>
    <row r="14" spans="3:42" ht="15.75" x14ac:dyDescent="0.25"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O14" s="219"/>
      <c r="P14" s="226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19"/>
      <c r="AD14" s="198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20"/>
    </row>
    <row r="15" spans="3:42" ht="15.75" x14ac:dyDescent="0.25"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O15" s="219"/>
      <c r="P15" s="226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19"/>
      <c r="AD15" s="198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20"/>
    </row>
    <row r="16" spans="3:42" ht="15.75" x14ac:dyDescent="0.25">
      <c r="O16" s="219"/>
      <c r="P16" s="226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19"/>
      <c r="AD16" s="198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20"/>
    </row>
    <row r="17" spans="3:42" x14ac:dyDescent="0.25"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D17" s="198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</row>
    <row r="18" spans="3:42" x14ac:dyDescent="0.25">
      <c r="AD18" s="198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</row>
    <row r="19" spans="3:42" x14ac:dyDescent="0.25">
      <c r="AD19" s="198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</row>
    <row r="20" spans="3:42" x14ac:dyDescent="0.25">
      <c r="AD20" s="198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215"/>
    </row>
    <row r="21" spans="3:42" ht="15.75" x14ac:dyDescent="0.25">
      <c r="C21" s="275" t="s">
        <v>66</v>
      </c>
      <c r="D21" s="280" t="s">
        <v>82</v>
      </c>
      <c r="E21" s="256"/>
      <c r="F21" s="256"/>
      <c r="G21" s="256"/>
      <c r="H21" s="256"/>
      <c r="I21" s="256"/>
      <c r="J21" s="256"/>
      <c r="K21" s="256"/>
      <c r="L21" s="256"/>
      <c r="M21" s="256"/>
      <c r="P21" s="275" t="s">
        <v>66</v>
      </c>
      <c r="Q21" s="280" t="s">
        <v>55</v>
      </c>
      <c r="R21" s="256"/>
      <c r="S21" s="256"/>
      <c r="T21" s="256"/>
      <c r="U21" s="256"/>
      <c r="V21" s="256"/>
      <c r="W21" s="256"/>
      <c r="X21" s="256"/>
      <c r="Y21" s="256"/>
      <c r="Z21" s="256"/>
      <c r="AD21" s="198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215"/>
    </row>
    <row r="22" spans="3:42" ht="15.75" x14ac:dyDescent="0.25">
      <c r="C22" s="276"/>
      <c r="D22" s="21">
        <v>2010</v>
      </c>
      <c r="E22" s="21">
        <v>2011</v>
      </c>
      <c r="F22" s="21">
        <v>2012</v>
      </c>
      <c r="G22" s="21">
        <v>2013</v>
      </c>
      <c r="H22" s="21">
        <v>2014</v>
      </c>
      <c r="I22" s="21">
        <v>2015</v>
      </c>
      <c r="J22" s="21">
        <v>2016</v>
      </c>
      <c r="K22" s="21">
        <v>2017</v>
      </c>
      <c r="L22" s="21">
        <v>2018</v>
      </c>
      <c r="M22" s="21">
        <v>2019</v>
      </c>
      <c r="P22" s="276"/>
      <c r="Q22" s="21">
        <v>2010</v>
      </c>
      <c r="R22" s="21">
        <v>2011</v>
      </c>
      <c r="S22" s="21">
        <v>2012</v>
      </c>
      <c r="T22" s="21">
        <v>2013</v>
      </c>
      <c r="U22" s="21">
        <v>2014</v>
      </c>
      <c r="V22" s="21">
        <v>2015</v>
      </c>
      <c r="W22" s="21">
        <v>2016</v>
      </c>
      <c r="X22" s="21">
        <v>2017</v>
      </c>
      <c r="Y22" s="21">
        <v>2018</v>
      </c>
      <c r="Z22" s="21">
        <v>2019</v>
      </c>
      <c r="AD22" s="216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8"/>
    </row>
    <row r="23" spans="3:42" ht="15.75" x14ac:dyDescent="0.25">
      <c r="C23" s="68" t="s">
        <v>67</v>
      </c>
      <c r="D23" s="43">
        <v>313628</v>
      </c>
      <c r="E23" s="43">
        <v>380000</v>
      </c>
      <c r="F23" s="43">
        <v>418149</v>
      </c>
      <c r="G23" s="43">
        <v>406274</v>
      </c>
      <c r="H23" s="44">
        <v>467763</v>
      </c>
      <c r="I23" s="43">
        <v>568017</v>
      </c>
      <c r="J23" s="43">
        <v>675781</v>
      </c>
      <c r="K23" s="43">
        <v>742145</v>
      </c>
      <c r="L23" s="43">
        <v>851060</v>
      </c>
      <c r="M23" s="43">
        <v>964961</v>
      </c>
      <c r="P23" s="68" t="s">
        <v>67</v>
      </c>
      <c r="Q23" s="86">
        <v>41101513</v>
      </c>
      <c r="R23" s="86">
        <v>38078940</v>
      </c>
      <c r="S23" s="86">
        <v>27307591</v>
      </c>
      <c r="T23" s="86">
        <v>44739302</v>
      </c>
      <c r="U23" s="86">
        <v>40015570</v>
      </c>
      <c r="V23" s="86">
        <v>47883909</v>
      </c>
      <c r="W23" s="86">
        <v>47918783</v>
      </c>
      <c r="X23" s="86">
        <v>47411628</v>
      </c>
      <c r="Y23" s="86">
        <v>48260201</v>
      </c>
      <c r="Z23" s="86">
        <v>49820746</v>
      </c>
    </row>
    <row r="24" spans="3:42" ht="15.75" x14ac:dyDescent="0.25">
      <c r="C24" s="68" t="s">
        <v>68</v>
      </c>
      <c r="D24" s="43">
        <v>157419</v>
      </c>
      <c r="E24" s="43">
        <v>132686</v>
      </c>
      <c r="F24" s="43">
        <v>125162</v>
      </c>
      <c r="G24" s="43">
        <v>151670</v>
      </c>
      <c r="H24" s="44">
        <v>180144</v>
      </c>
      <c r="I24" s="43">
        <v>217840</v>
      </c>
      <c r="J24" s="43">
        <v>213911</v>
      </c>
      <c r="K24" s="43">
        <v>243636</v>
      </c>
      <c r="L24" s="43">
        <v>310132</v>
      </c>
      <c r="M24" s="43">
        <v>342360</v>
      </c>
      <c r="P24" s="68" t="s">
        <v>68</v>
      </c>
      <c r="Q24" s="86">
        <v>45611214</v>
      </c>
      <c r="R24" s="86">
        <v>45897658</v>
      </c>
      <c r="S24" s="86">
        <v>47985166</v>
      </c>
      <c r="T24" s="86">
        <v>57774712</v>
      </c>
      <c r="U24" s="86">
        <v>56753576</v>
      </c>
      <c r="V24" s="86">
        <v>49945511</v>
      </c>
      <c r="W24" s="86">
        <v>51916900</v>
      </c>
      <c r="X24" s="86">
        <v>53560385</v>
      </c>
      <c r="Y24" s="86">
        <v>52706411</v>
      </c>
      <c r="Z24" s="86">
        <v>52258015</v>
      </c>
    </row>
    <row r="25" spans="3:42" ht="15.75" x14ac:dyDescent="0.25">
      <c r="C25" s="68" t="s">
        <v>69</v>
      </c>
      <c r="D25" s="70">
        <v>506329</v>
      </c>
      <c r="E25" s="70">
        <v>547690</v>
      </c>
      <c r="F25" s="70">
        <v>577227</v>
      </c>
      <c r="G25" s="70">
        <v>593723</v>
      </c>
      <c r="H25" s="70">
        <v>690250</v>
      </c>
      <c r="I25" s="70">
        <v>818459</v>
      </c>
      <c r="J25" s="70">
        <v>918170</v>
      </c>
      <c r="K25" s="70">
        <v>1013591</v>
      </c>
      <c r="L25" s="70">
        <v>1161192</v>
      </c>
      <c r="M25" s="70">
        <v>1307321</v>
      </c>
      <c r="P25" s="68" t="s">
        <v>69</v>
      </c>
      <c r="Q25" s="86">
        <v>87158285</v>
      </c>
      <c r="R25" s="86">
        <v>84399854</v>
      </c>
      <c r="S25" s="86">
        <v>75468641</v>
      </c>
      <c r="T25" s="86">
        <v>102585429</v>
      </c>
      <c r="U25" s="86">
        <v>96985021</v>
      </c>
      <c r="V25" s="86">
        <v>97853696</v>
      </c>
      <c r="W25" s="86">
        <v>99951091</v>
      </c>
      <c r="X25" s="86">
        <v>101176565</v>
      </c>
      <c r="Y25" s="86">
        <v>101170418</v>
      </c>
      <c r="Z25" s="86">
        <v>102284772</v>
      </c>
    </row>
    <row r="26" spans="3:42" ht="15.75" x14ac:dyDescent="0.25">
      <c r="C26" s="68" t="s">
        <v>70</v>
      </c>
      <c r="D26" s="70">
        <v>1229</v>
      </c>
      <c r="E26" s="70">
        <v>0</v>
      </c>
      <c r="F26" s="70">
        <v>0</v>
      </c>
      <c r="G26" s="70">
        <v>0</v>
      </c>
      <c r="H26" s="70">
        <v>0</v>
      </c>
      <c r="I26" s="70">
        <v>0</v>
      </c>
      <c r="J26" s="70">
        <v>0</v>
      </c>
      <c r="K26" s="70">
        <v>0</v>
      </c>
      <c r="L26" s="70">
        <v>0</v>
      </c>
      <c r="M26" s="70">
        <v>0</v>
      </c>
      <c r="P26" s="68" t="s">
        <v>70</v>
      </c>
      <c r="Q26" s="86">
        <v>1410559</v>
      </c>
      <c r="R26" s="86">
        <v>1357922</v>
      </c>
      <c r="S26" s="86">
        <v>1336821</v>
      </c>
      <c r="T26" s="86">
        <v>2134550</v>
      </c>
      <c r="U26" s="86">
        <v>2089539</v>
      </c>
      <c r="V26" s="86">
        <v>1712681</v>
      </c>
      <c r="W26" s="86">
        <v>1334071</v>
      </c>
      <c r="X26" s="86">
        <v>1374333</v>
      </c>
      <c r="Y26" s="86">
        <v>1449617</v>
      </c>
      <c r="Z26" s="86">
        <v>1463732</v>
      </c>
    </row>
    <row r="27" spans="3:42" ht="15.75" x14ac:dyDescent="0.25">
      <c r="C27" s="68" t="s">
        <v>71</v>
      </c>
      <c r="D27" s="70">
        <v>49060</v>
      </c>
      <c r="E27" s="83">
        <v>59844</v>
      </c>
      <c r="F27" s="70">
        <v>68065</v>
      </c>
      <c r="G27" s="70">
        <v>78332</v>
      </c>
      <c r="H27" s="70">
        <v>83791</v>
      </c>
      <c r="I27" s="70">
        <v>121298</v>
      </c>
      <c r="J27" s="71">
        <v>135606</v>
      </c>
      <c r="K27" s="71">
        <v>130140</v>
      </c>
      <c r="L27" s="70">
        <v>177925</v>
      </c>
      <c r="M27" s="70">
        <v>205011</v>
      </c>
      <c r="P27" s="68" t="s">
        <v>71</v>
      </c>
      <c r="Q27" s="86">
        <v>6929002</v>
      </c>
      <c r="R27" s="86">
        <v>6297844</v>
      </c>
      <c r="S27" s="86">
        <v>6260985</v>
      </c>
      <c r="T27" s="86">
        <v>7191452</v>
      </c>
      <c r="U27" s="86">
        <v>4637955</v>
      </c>
      <c r="V27" s="86">
        <v>9142946</v>
      </c>
      <c r="W27" s="86">
        <v>7469799</v>
      </c>
      <c r="X27" s="86">
        <v>9095200</v>
      </c>
      <c r="Y27" s="86">
        <v>7604489</v>
      </c>
      <c r="Z27" s="86">
        <v>8630434</v>
      </c>
    </row>
    <row r="28" spans="3:42" ht="15.75" x14ac:dyDescent="0.25">
      <c r="C28" s="68" t="s">
        <v>72</v>
      </c>
      <c r="D28" s="70">
        <v>284991</v>
      </c>
      <c r="E28" s="70">
        <v>253543</v>
      </c>
      <c r="F28" s="70">
        <v>249402</v>
      </c>
      <c r="G28" s="70">
        <v>336492</v>
      </c>
      <c r="H28" s="70">
        <v>418382</v>
      </c>
      <c r="I28" s="70">
        <v>518012</v>
      </c>
      <c r="J28" s="70">
        <v>603818</v>
      </c>
      <c r="K28" s="70">
        <v>662197</v>
      </c>
      <c r="L28" s="70">
        <v>690626</v>
      </c>
      <c r="M28" s="70">
        <v>775160</v>
      </c>
      <c r="P28" s="68" t="s">
        <v>72</v>
      </c>
      <c r="Q28" s="86">
        <v>56089027</v>
      </c>
      <c r="R28" s="86">
        <v>53611163</v>
      </c>
      <c r="S28" s="86">
        <v>45621772</v>
      </c>
      <c r="T28" s="86">
        <v>73616593</v>
      </c>
      <c r="U28" s="86">
        <v>68326244</v>
      </c>
      <c r="V28" s="86">
        <v>69242444</v>
      </c>
      <c r="W28" s="86">
        <v>69987845</v>
      </c>
      <c r="X28" s="86">
        <v>70208118</v>
      </c>
      <c r="Y28" s="86">
        <v>69323626</v>
      </c>
      <c r="Z28" s="86">
        <v>68995624</v>
      </c>
    </row>
    <row r="29" spans="3:42" ht="15.75" x14ac:dyDescent="0.25">
      <c r="C29" s="68" t="s">
        <v>73</v>
      </c>
      <c r="D29" s="43">
        <v>23228</v>
      </c>
      <c r="E29" s="43">
        <v>6527</v>
      </c>
      <c r="F29" s="43">
        <v>5953</v>
      </c>
      <c r="G29" s="43">
        <v>5021</v>
      </c>
      <c r="H29" s="44">
        <v>10266</v>
      </c>
      <c r="I29" s="43">
        <v>15015</v>
      </c>
      <c r="J29" s="43">
        <v>20743</v>
      </c>
      <c r="K29" s="43">
        <v>23633</v>
      </c>
      <c r="L29" s="43">
        <v>26077</v>
      </c>
      <c r="M29" s="43">
        <v>30604</v>
      </c>
      <c r="P29" s="68" t="s">
        <v>73</v>
      </c>
      <c r="Q29" s="86">
        <v>17545420</v>
      </c>
      <c r="R29" s="86">
        <v>16508483</v>
      </c>
      <c r="S29" s="86">
        <v>20089887</v>
      </c>
      <c r="T29" s="86">
        <v>35107727</v>
      </c>
      <c r="U29" s="86">
        <v>32835826</v>
      </c>
      <c r="V29" s="86">
        <v>23845936</v>
      </c>
      <c r="W29" s="86">
        <v>25685931</v>
      </c>
      <c r="X29" s="86">
        <v>27293146</v>
      </c>
      <c r="Y29" s="86">
        <v>27713670</v>
      </c>
      <c r="Z29" s="86">
        <v>26981331</v>
      </c>
    </row>
    <row r="30" spans="3:42" ht="15.75" x14ac:dyDescent="0.25">
      <c r="C30" s="69" t="s">
        <v>74</v>
      </c>
      <c r="D30" s="40">
        <f>D$24/D$25</f>
        <v>0.31090259495308387</v>
      </c>
      <c r="E30" s="40">
        <f t="shared" ref="E30:M30" si="0">E$24/E$25</f>
        <v>0.24226478482353156</v>
      </c>
      <c r="F30" s="40">
        <f t="shared" si="0"/>
        <v>0.21683323891640549</v>
      </c>
      <c r="G30" s="40">
        <f t="shared" si="0"/>
        <v>0.2554558270439245</v>
      </c>
      <c r="H30" s="40">
        <f t="shared" si="0"/>
        <v>0.26098370155740674</v>
      </c>
      <c r="I30" s="40">
        <f t="shared" si="0"/>
        <v>0.26615872022911347</v>
      </c>
      <c r="J30" s="40">
        <f t="shared" si="0"/>
        <v>0.23297537493056841</v>
      </c>
      <c r="K30" s="40">
        <f t="shared" si="0"/>
        <v>0.24036914297778886</v>
      </c>
      <c r="L30" s="40">
        <f t="shared" si="0"/>
        <v>0.26708072394573851</v>
      </c>
      <c r="M30" s="40">
        <f t="shared" si="0"/>
        <v>0.26187906413191558</v>
      </c>
      <c r="P30" s="69" t="s">
        <v>74</v>
      </c>
      <c r="Q30" s="40">
        <f>Q$24/Q$25</f>
        <v>0.52331472561673287</v>
      </c>
      <c r="R30" s="40">
        <f t="shared" ref="R30:Z30" si="1">R$24/R$25</f>
        <v>0.54381205446161085</v>
      </c>
      <c r="S30" s="40">
        <f t="shared" si="1"/>
        <v>0.63582920487464456</v>
      </c>
      <c r="T30" s="40">
        <f t="shared" si="1"/>
        <v>0.56318633711616106</v>
      </c>
      <c r="U30" s="40">
        <f t="shared" si="1"/>
        <v>0.58517877724643685</v>
      </c>
      <c r="V30" s="40">
        <f t="shared" si="1"/>
        <v>0.51041006156783286</v>
      </c>
      <c r="W30" s="40">
        <f t="shared" si="1"/>
        <v>0.5194230446168917</v>
      </c>
      <c r="X30" s="40">
        <f t="shared" si="1"/>
        <v>0.52937540427469543</v>
      </c>
      <c r="Y30" s="40">
        <f t="shared" si="1"/>
        <v>0.52096662287191497</v>
      </c>
      <c r="Z30" s="40">
        <f t="shared" si="1"/>
        <v>0.51090708790942996</v>
      </c>
    </row>
    <row r="31" spans="3:42" ht="15.75" x14ac:dyDescent="0.25">
      <c r="C31" s="69" t="s">
        <v>75</v>
      </c>
      <c r="D31" s="40">
        <f>D$24/D$23</f>
        <v>0.50192903694823165</v>
      </c>
      <c r="E31" s="40">
        <f t="shared" ref="E31:M31" si="2">E$24/E$23</f>
        <v>0.3491736842105263</v>
      </c>
      <c r="F31" s="40">
        <f t="shared" si="2"/>
        <v>0.29932392520369533</v>
      </c>
      <c r="G31" s="40">
        <f t="shared" si="2"/>
        <v>0.37331948389510528</v>
      </c>
      <c r="H31" s="40">
        <f t="shared" si="2"/>
        <v>0.38511810468121677</v>
      </c>
      <c r="I31" s="40">
        <f t="shared" si="2"/>
        <v>0.38350964847883073</v>
      </c>
      <c r="J31" s="40">
        <f t="shared" si="2"/>
        <v>0.31653893791035853</v>
      </c>
      <c r="K31" s="40">
        <f t="shared" si="2"/>
        <v>0.32828625133902406</v>
      </c>
      <c r="L31" s="40">
        <f t="shared" si="2"/>
        <v>0.36440673983032923</v>
      </c>
      <c r="M31" s="40">
        <f t="shared" si="2"/>
        <v>0.35479154079802189</v>
      </c>
      <c r="P31" s="69" t="s">
        <v>75</v>
      </c>
      <c r="Q31" s="40">
        <f>Q$24/Q$23</f>
        <v>1.1097210460354585</v>
      </c>
      <c r="R31" s="40">
        <f t="shared" ref="R31:Z31" si="3">R$24/R$23</f>
        <v>1.2053291924617651</v>
      </c>
      <c r="S31" s="40">
        <f t="shared" si="3"/>
        <v>1.7572097809726241</v>
      </c>
      <c r="T31" s="40">
        <f t="shared" si="3"/>
        <v>1.2913637320492841</v>
      </c>
      <c r="U31" s="40">
        <f t="shared" si="3"/>
        <v>1.4182873316561528</v>
      </c>
      <c r="V31" s="40">
        <f t="shared" si="3"/>
        <v>1.0430541708698009</v>
      </c>
      <c r="W31" s="40">
        <f t="shared" si="3"/>
        <v>1.0834352783959476</v>
      </c>
      <c r="X31" s="40">
        <f t="shared" si="3"/>
        <v>1.129688797018318</v>
      </c>
      <c r="Y31" s="40">
        <f t="shared" si="3"/>
        <v>1.0921299519660101</v>
      </c>
      <c r="Z31" s="40">
        <f t="shared" si="3"/>
        <v>1.0489207648556687</v>
      </c>
    </row>
    <row r="32" spans="3:42" ht="15.75" x14ac:dyDescent="0.25">
      <c r="C32" s="69" t="s">
        <v>76</v>
      </c>
      <c r="D32" s="82">
        <f>D$27/D$26</f>
        <v>39.918633034987792</v>
      </c>
      <c r="E32" s="82">
        <v>0</v>
      </c>
      <c r="F32" s="82">
        <v>0</v>
      </c>
      <c r="G32" s="82">
        <v>0</v>
      </c>
      <c r="H32" s="82">
        <v>0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P32" s="69" t="s">
        <v>76</v>
      </c>
      <c r="Q32" s="82">
        <f>Q$27/Q$26</f>
        <v>4.9122383395519078</v>
      </c>
      <c r="R32" s="82">
        <f t="shared" ref="R32:Z32" si="4">R$27/R$26</f>
        <v>4.6378540151790748</v>
      </c>
      <c r="S32" s="82">
        <f t="shared" si="4"/>
        <v>4.683487916482461</v>
      </c>
      <c r="T32" s="82">
        <f t="shared" si="4"/>
        <v>3.369071701295355</v>
      </c>
      <c r="U32" s="82">
        <f t="shared" si="4"/>
        <v>2.2196068127945927</v>
      </c>
      <c r="V32" s="82">
        <f t="shared" si="4"/>
        <v>5.3383823373996675</v>
      </c>
      <c r="W32" s="82">
        <f t="shared" si="4"/>
        <v>5.5992514641274713</v>
      </c>
      <c r="X32" s="82">
        <f t="shared" si="4"/>
        <v>6.617901192796797</v>
      </c>
      <c r="Y32" s="82">
        <f t="shared" si="4"/>
        <v>5.245860803232854</v>
      </c>
      <c r="Z32" s="82">
        <f t="shared" si="4"/>
        <v>5.8961845474444772</v>
      </c>
    </row>
    <row r="33" spans="3:26" ht="15.75" x14ac:dyDescent="0.25">
      <c r="C33" s="69" t="s">
        <v>77</v>
      </c>
      <c r="D33" s="82">
        <f>D$23/D$28</f>
        <v>1.1004838749293837</v>
      </c>
      <c r="E33" s="82">
        <f t="shared" ref="E33:M33" si="5">E$23/E$28</f>
        <v>1.4987595792429687</v>
      </c>
      <c r="F33" s="82">
        <f t="shared" si="5"/>
        <v>1.6766064426107248</v>
      </c>
      <c r="G33" s="82">
        <f t="shared" si="5"/>
        <v>1.2073808589803026</v>
      </c>
      <c r="H33" s="82">
        <f t="shared" si="5"/>
        <v>1.118028500270088</v>
      </c>
      <c r="I33" s="82">
        <f t="shared" si="5"/>
        <v>1.0965325127603223</v>
      </c>
      <c r="J33" s="82">
        <f t="shared" si="5"/>
        <v>1.1191799515748122</v>
      </c>
      <c r="K33" s="82">
        <f t="shared" si="5"/>
        <v>1.1207314439660705</v>
      </c>
      <c r="L33" s="82">
        <f t="shared" si="5"/>
        <v>1.232302288069085</v>
      </c>
      <c r="M33" s="82">
        <f t="shared" si="5"/>
        <v>1.2448539656329016</v>
      </c>
      <c r="P33" s="69" t="s">
        <v>77</v>
      </c>
      <c r="Q33" s="82">
        <f>Q$23/Q$28</f>
        <v>0.73279062230835279</v>
      </c>
      <c r="R33" s="82">
        <f t="shared" ref="R33:Z33" si="6">R$23/R$28</f>
        <v>0.71028005865121779</v>
      </c>
      <c r="S33" s="82">
        <f t="shared" si="6"/>
        <v>0.5985648913417918</v>
      </c>
      <c r="T33" s="82">
        <f t="shared" si="6"/>
        <v>0.607733938461401</v>
      </c>
      <c r="U33" s="82">
        <f t="shared" si="6"/>
        <v>0.58565446682536804</v>
      </c>
      <c r="V33" s="82">
        <f t="shared" si="6"/>
        <v>0.69153984512736144</v>
      </c>
      <c r="W33" s="82">
        <f t="shared" si="6"/>
        <v>0.68467293142116326</v>
      </c>
      <c r="X33" s="82">
        <f t="shared" si="6"/>
        <v>0.67530122371318946</v>
      </c>
      <c r="Y33" s="82">
        <f t="shared" si="6"/>
        <v>0.69615806016840498</v>
      </c>
      <c r="Z33" s="82">
        <f t="shared" si="6"/>
        <v>0.7220855919789928</v>
      </c>
    </row>
    <row r="34" spans="3:26" ht="15.75" x14ac:dyDescent="0.25">
      <c r="C34" s="69" t="s">
        <v>78</v>
      </c>
      <c r="D34" s="82">
        <f>(D$23+D$29)/D$28</f>
        <v>1.1819882031362394</v>
      </c>
      <c r="E34" s="82">
        <f t="shared" ref="E34:M34" si="7">(E$23+E$29)/E$28</f>
        <v>1.5245027470685446</v>
      </c>
      <c r="F34" s="82">
        <f t="shared" si="7"/>
        <v>1.7004755374856657</v>
      </c>
      <c r="G34" s="82">
        <f t="shared" si="7"/>
        <v>1.2223024618713074</v>
      </c>
      <c r="H34" s="82">
        <f t="shared" si="7"/>
        <v>1.1425658847655971</v>
      </c>
      <c r="I34" s="82">
        <f t="shared" si="7"/>
        <v>1.1255183277607468</v>
      </c>
      <c r="J34" s="82">
        <f t="shared" si="7"/>
        <v>1.1535330182273467</v>
      </c>
      <c r="K34" s="82">
        <f t="shared" si="7"/>
        <v>1.1564202193607038</v>
      </c>
      <c r="L34" s="82">
        <f t="shared" si="7"/>
        <v>1.2700607854323469</v>
      </c>
      <c r="M34" s="82">
        <f t="shared" si="7"/>
        <v>1.2843348469993292</v>
      </c>
      <c r="P34" s="69" t="s">
        <v>78</v>
      </c>
      <c r="Q34" s="82">
        <f>(Q$23+Q$29)/Q$28</f>
        <v>1.0456043924598657</v>
      </c>
      <c r="R34" s="82">
        <f t="shared" ref="R34:Z34" si="8">(R$23+R$29)/R$28</f>
        <v>1.0182100134630543</v>
      </c>
      <c r="S34" s="82">
        <f t="shared" si="8"/>
        <v>1.03892233734367</v>
      </c>
      <c r="T34" s="82">
        <f t="shared" si="8"/>
        <v>1.0846335825402842</v>
      </c>
      <c r="U34" s="82">
        <f t="shared" si="8"/>
        <v>1.0662286075611005</v>
      </c>
      <c r="V34" s="82">
        <f t="shared" si="8"/>
        <v>1.0359230676490854</v>
      </c>
      <c r="W34" s="82">
        <f t="shared" si="8"/>
        <v>1.0516785307505896</v>
      </c>
      <c r="X34" s="82">
        <f t="shared" si="8"/>
        <v>1.0640475222537655</v>
      </c>
      <c r="Y34" s="82">
        <f t="shared" si="8"/>
        <v>1.0959304263744081</v>
      </c>
      <c r="Z34" s="82">
        <f t="shared" si="8"/>
        <v>1.1131441756364142</v>
      </c>
    </row>
    <row r="35" spans="3:26" x14ac:dyDescent="0.25"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8" spans="3:26" ht="15.75" x14ac:dyDescent="0.25">
      <c r="C38" s="72" t="s">
        <v>74</v>
      </c>
      <c r="D38" s="21">
        <v>2010</v>
      </c>
      <c r="E38" s="21">
        <v>2011</v>
      </c>
      <c r="F38" s="21">
        <v>2012</v>
      </c>
      <c r="G38" s="21">
        <v>2013</v>
      </c>
      <c r="H38" s="21">
        <v>2014</v>
      </c>
      <c r="I38" s="21">
        <v>2015</v>
      </c>
      <c r="J38" s="21">
        <v>2016</v>
      </c>
      <c r="K38" s="21">
        <v>2017</v>
      </c>
      <c r="L38" s="21">
        <v>2018</v>
      </c>
      <c r="M38" s="21">
        <v>2019</v>
      </c>
      <c r="P38" s="72" t="s">
        <v>76</v>
      </c>
      <c r="Q38" s="21">
        <v>2010</v>
      </c>
      <c r="R38" s="21">
        <v>2011</v>
      </c>
      <c r="S38" s="21">
        <v>2012</v>
      </c>
      <c r="T38" s="21">
        <v>2013</v>
      </c>
      <c r="U38" s="21">
        <v>2014</v>
      </c>
      <c r="V38" s="21">
        <v>2015</v>
      </c>
      <c r="W38" s="21">
        <v>2016</v>
      </c>
      <c r="X38" s="21">
        <v>2017</v>
      </c>
      <c r="Y38" s="21">
        <v>2018</v>
      </c>
      <c r="Z38" s="21">
        <v>2019</v>
      </c>
    </row>
    <row r="39" spans="3:26" ht="15.75" x14ac:dyDescent="0.25">
      <c r="C39" s="73" t="s">
        <v>80</v>
      </c>
      <c r="D39" s="74">
        <v>0.31090000000000001</v>
      </c>
      <c r="E39" s="74">
        <v>0.24229999999999999</v>
      </c>
      <c r="F39" s="74">
        <v>0.21679999999999999</v>
      </c>
      <c r="G39" s="74">
        <v>0.2555</v>
      </c>
      <c r="H39" s="74">
        <v>0.26100000000000001</v>
      </c>
      <c r="I39" s="85">
        <v>0.26619999999999999</v>
      </c>
      <c r="J39" s="85">
        <v>0.23300000000000001</v>
      </c>
      <c r="K39" s="85">
        <v>0.2404</v>
      </c>
      <c r="L39" s="85">
        <v>0.2671</v>
      </c>
      <c r="M39" s="85">
        <v>0.26190000000000002</v>
      </c>
      <c r="P39" s="73" t="s">
        <v>80</v>
      </c>
      <c r="Q39" s="88">
        <v>39.92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89">
        <v>0</v>
      </c>
      <c r="Z39" s="89">
        <v>0</v>
      </c>
    </row>
    <row r="40" spans="3:26" ht="15.75" x14ac:dyDescent="0.25">
      <c r="C40" s="75" t="s">
        <v>79</v>
      </c>
      <c r="D40" s="63">
        <v>0.52329999999999999</v>
      </c>
      <c r="E40" s="63">
        <v>0.54379999999999995</v>
      </c>
      <c r="F40" s="63">
        <v>0.63580000000000003</v>
      </c>
      <c r="G40" s="63">
        <v>0.56320000000000003</v>
      </c>
      <c r="H40" s="63">
        <v>0.58520000000000005</v>
      </c>
      <c r="I40" s="76">
        <v>0.51039999999999996</v>
      </c>
      <c r="J40" s="76">
        <v>0.51939999999999997</v>
      </c>
      <c r="K40" s="76">
        <v>0.52939999999999998</v>
      </c>
      <c r="L40" s="76">
        <v>0.52100000000000002</v>
      </c>
      <c r="M40" s="76">
        <v>0.51090000000000002</v>
      </c>
      <c r="P40" s="75" t="s">
        <v>79</v>
      </c>
      <c r="Q40" s="90">
        <f>Q$27/Q$26</f>
        <v>4.9122383395519078</v>
      </c>
      <c r="R40" s="90">
        <f t="shared" ref="R40:Z40" si="9">R$27/R$26</f>
        <v>4.6378540151790748</v>
      </c>
      <c r="S40" s="90">
        <f t="shared" si="9"/>
        <v>4.683487916482461</v>
      </c>
      <c r="T40" s="90">
        <f t="shared" si="9"/>
        <v>3.369071701295355</v>
      </c>
      <c r="U40" s="90">
        <f t="shared" si="9"/>
        <v>2.2196068127945927</v>
      </c>
      <c r="V40" s="90">
        <f t="shared" si="9"/>
        <v>5.3383823373996675</v>
      </c>
      <c r="W40" s="90">
        <f t="shared" si="9"/>
        <v>5.5992514641274713</v>
      </c>
      <c r="X40" s="90">
        <f t="shared" si="9"/>
        <v>6.617901192796797</v>
      </c>
      <c r="Y40" s="90">
        <f t="shared" si="9"/>
        <v>5.245860803232854</v>
      </c>
      <c r="Z40" s="90">
        <f t="shared" si="9"/>
        <v>5.8961845474444772</v>
      </c>
    </row>
    <row r="59" spans="3:26" ht="15.75" x14ac:dyDescent="0.25">
      <c r="C59" s="72" t="s">
        <v>81</v>
      </c>
      <c r="D59" s="21">
        <v>2010</v>
      </c>
      <c r="E59" s="21">
        <v>2011</v>
      </c>
      <c r="F59" s="21">
        <v>2012</v>
      </c>
      <c r="G59" s="21">
        <v>2013</v>
      </c>
      <c r="H59" s="21">
        <v>2014</v>
      </c>
      <c r="I59" s="21">
        <v>2015</v>
      </c>
      <c r="J59" s="21">
        <v>2016</v>
      </c>
      <c r="K59" s="21">
        <v>2017</v>
      </c>
      <c r="L59" s="21">
        <v>2018</v>
      </c>
      <c r="M59" s="21">
        <v>2019</v>
      </c>
      <c r="P59" s="37" t="s">
        <v>78</v>
      </c>
      <c r="Q59" s="21">
        <v>2010</v>
      </c>
      <c r="R59" s="21">
        <v>2011</v>
      </c>
      <c r="S59" s="21">
        <v>2012</v>
      </c>
      <c r="T59" s="21">
        <v>2013</v>
      </c>
      <c r="U59" s="21">
        <v>2014</v>
      </c>
      <c r="V59" s="21">
        <v>2015</v>
      </c>
      <c r="W59" s="21">
        <v>2016</v>
      </c>
      <c r="X59" s="21">
        <v>2017</v>
      </c>
      <c r="Y59" s="21">
        <v>2018</v>
      </c>
      <c r="Z59" s="21">
        <v>2019</v>
      </c>
    </row>
    <row r="60" spans="3:26" ht="15.75" x14ac:dyDescent="0.25">
      <c r="C60" s="73" t="s">
        <v>80</v>
      </c>
      <c r="D60" s="40">
        <f>D$24/D$23</f>
        <v>0.50192903694823165</v>
      </c>
      <c r="E60" s="40">
        <f t="shared" ref="E60:M60" si="10">E$24/E$23</f>
        <v>0.3491736842105263</v>
      </c>
      <c r="F60" s="40">
        <f t="shared" si="10"/>
        <v>0.29932392520369533</v>
      </c>
      <c r="G60" s="40">
        <f t="shared" si="10"/>
        <v>0.37331948389510528</v>
      </c>
      <c r="H60" s="40">
        <f t="shared" si="10"/>
        <v>0.38511810468121677</v>
      </c>
      <c r="I60" s="40">
        <f t="shared" si="10"/>
        <v>0.38350964847883073</v>
      </c>
      <c r="J60" s="40">
        <f t="shared" si="10"/>
        <v>0.31653893791035853</v>
      </c>
      <c r="K60" s="40">
        <f t="shared" si="10"/>
        <v>0.32828625133902406</v>
      </c>
      <c r="L60" s="40">
        <f t="shared" si="10"/>
        <v>0.36440673983032923</v>
      </c>
      <c r="M60" s="40">
        <f t="shared" si="10"/>
        <v>0.35479154079802189</v>
      </c>
      <c r="P60" s="73" t="s">
        <v>80</v>
      </c>
      <c r="Q60" s="81">
        <v>1.18</v>
      </c>
      <c r="R60" s="81">
        <v>1.52</v>
      </c>
      <c r="S60" s="81">
        <v>1.7</v>
      </c>
      <c r="T60" s="81">
        <v>1.22</v>
      </c>
      <c r="U60" s="81">
        <v>1.1399999999999999</v>
      </c>
      <c r="V60" s="81">
        <v>1.1299999999999999</v>
      </c>
      <c r="W60" s="81">
        <v>1.1499999999999999</v>
      </c>
      <c r="X60" s="81">
        <v>1.1599999999999999</v>
      </c>
      <c r="Y60" s="81">
        <v>1.27</v>
      </c>
      <c r="Z60" s="81">
        <v>1.28</v>
      </c>
    </row>
    <row r="61" spans="3:26" ht="15.75" x14ac:dyDescent="0.25">
      <c r="C61" s="75" t="s">
        <v>79</v>
      </c>
      <c r="D61" s="41">
        <v>1.1096999999999999</v>
      </c>
      <c r="E61" s="41">
        <v>1.2053</v>
      </c>
      <c r="F61" s="41">
        <v>1.7572000000000001</v>
      </c>
      <c r="G61" s="41">
        <v>1.2914000000000001</v>
      </c>
      <c r="H61" s="41">
        <v>1.4182999999999999</v>
      </c>
      <c r="I61" s="41">
        <v>1.0430999999999999</v>
      </c>
      <c r="J61" s="41">
        <v>1.0833999999999999</v>
      </c>
      <c r="K61" s="41">
        <v>1.1296999999999999</v>
      </c>
      <c r="L61" s="41">
        <v>1.0921000000000001</v>
      </c>
      <c r="M61" s="41">
        <v>1.0488999999999999</v>
      </c>
      <c r="P61" s="75" t="s">
        <v>79</v>
      </c>
      <c r="Q61" s="90">
        <f>(Q$23+Q$29)/Q$28</f>
        <v>1.0456043924598657</v>
      </c>
      <c r="R61" s="90">
        <f t="shared" ref="R61:Z61" si="11">(R$23+R$29)/R$28</f>
        <v>1.0182100134630543</v>
      </c>
      <c r="S61" s="90">
        <f t="shared" si="11"/>
        <v>1.03892233734367</v>
      </c>
      <c r="T61" s="90">
        <f t="shared" si="11"/>
        <v>1.0846335825402842</v>
      </c>
      <c r="U61" s="90">
        <f t="shared" si="11"/>
        <v>1.0662286075611005</v>
      </c>
      <c r="V61" s="90">
        <f t="shared" si="11"/>
        <v>1.0359230676490854</v>
      </c>
      <c r="W61" s="90">
        <f t="shared" si="11"/>
        <v>1.0516785307505896</v>
      </c>
      <c r="X61" s="90">
        <f t="shared" si="11"/>
        <v>1.0640475222537655</v>
      </c>
      <c r="Y61" s="90">
        <f t="shared" si="11"/>
        <v>1.0959304263744081</v>
      </c>
      <c r="Z61" s="90">
        <f t="shared" si="11"/>
        <v>1.1131441756364142</v>
      </c>
    </row>
    <row r="81" spans="3:13" ht="15.75" x14ac:dyDescent="0.25">
      <c r="C81" s="37" t="s">
        <v>77</v>
      </c>
      <c r="D81" s="21">
        <v>2010</v>
      </c>
      <c r="E81" s="21">
        <v>2011</v>
      </c>
      <c r="F81" s="21">
        <v>2012</v>
      </c>
      <c r="G81" s="21">
        <v>2013</v>
      </c>
      <c r="H81" s="21">
        <v>2014</v>
      </c>
      <c r="I81" s="21">
        <v>2015</v>
      </c>
      <c r="J81" s="21">
        <v>2016</v>
      </c>
      <c r="K81" s="21">
        <v>2017</v>
      </c>
      <c r="L81" s="21">
        <v>2018</v>
      </c>
      <c r="M81" s="21">
        <v>2019</v>
      </c>
    </row>
    <row r="82" spans="3:13" ht="15.75" x14ac:dyDescent="0.25">
      <c r="C82" s="73" t="s">
        <v>80</v>
      </c>
      <c r="D82" s="82">
        <f>D$23/D$28</f>
        <v>1.1004838749293837</v>
      </c>
      <c r="E82" s="82">
        <f t="shared" ref="E82:M82" si="12">E$23/E$28</f>
        <v>1.4987595792429687</v>
      </c>
      <c r="F82" s="82">
        <f t="shared" si="12"/>
        <v>1.6766064426107248</v>
      </c>
      <c r="G82" s="82">
        <f t="shared" si="12"/>
        <v>1.2073808589803026</v>
      </c>
      <c r="H82" s="82">
        <f t="shared" si="12"/>
        <v>1.118028500270088</v>
      </c>
      <c r="I82" s="82">
        <f t="shared" si="12"/>
        <v>1.0965325127603223</v>
      </c>
      <c r="J82" s="82">
        <f t="shared" si="12"/>
        <v>1.1191799515748122</v>
      </c>
      <c r="K82" s="82">
        <f t="shared" si="12"/>
        <v>1.1207314439660705</v>
      </c>
      <c r="L82" s="82">
        <f t="shared" si="12"/>
        <v>1.232302288069085</v>
      </c>
      <c r="M82" s="82">
        <f t="shared" si="12"/>
        <v>1.2448539656329016</v>
      </c>
    </row>
    <row r="83" spans="3:13" ht="15.75" x14ac:dyDescent="0.25">
      <c r="C83" s="75" t="s">
        <v>79</v>
      </c>
      <c r="D83" s="77">
        <v>0.73</v>
      </c>
      <c r="E83" s="77">
        <v>0.71</v>
      </c>
      <c r="F83" s="77">
        <v>0.6</v>
      </c>
      <c r="G83" s="77">
        <v>0.61</v>
      </c>
      <c r="H83" s="77">
        <v>0.59</v>
      </c>
      <c r="I83" s="79">
        <v>0.69</v>
      </c>
      <c r="J83" s="79">
        <v>0.68</v>
      </c>
      <c r="K83" s="79">
        <v>0.68</v>
      </c>
      <c r="L83" s="79">
        <v>0.7</v>
      </c>
      <c r="M83" s="79">
        <v>0.72</v>
      </c>
    </row>
  </sheetData>
  <mergeCells count="4">
    <mergeCell ref="C21:C22"/>
    <mergeCell ref="D21:M21"/>
    <mergeCell ref="P21:P22"/>
    <mergeCell ref="Q21:Z2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B377A-DBC4-406B-B2AC-B3F23C025B34}">
  <dimension ref="A2:O116"/>
  <sheetViews>
    <sheetView zoomScale="60" zoomScaleNormal="60" workbookViewId="0">
      <selection activeCell="C113" sqref="C113:M116"/>
    </sheetView>
  </sheetViews>
  <sheetFormatPr defaultRowHeight="15" x14ac:dyDescent="0.25"/>
  <cols>
    <col min="1" max="1" width="18.42578125" customWidth="1"/>
    <col min="2" max="2" width="10" customWidth="1"/>
    <col min="3" max="3" width="30.42578125" customWidth="1"/>
    <col min="4" max="4" width="12.42578125" customWidth="1"/>
    <col min="5" max="6" width="12" customWidth="1"/>
    <col min="7" max="7" width="13.7109375" customWidth="1"/>
    <col min="8" max="8" width="13" customWidth="1"/>
    <col min="9" max="9" width="13.5703125" customWidth="1"/>
    <col min="10" max="10" width="13.7109375" customWidth="1"/>
    <col min="11" max="11" width="13.42578125" customWidth="1"/>
    <col min="12" max="12" width="13.140625" customWidth="1"/>
    <col min="13" max="13" width="13.28515625" customWidth="1"/>
    <col min="14" max="14" width="9.85546875" bestFit="1" customWidth="1"/>
    <col min="15" max="15" width="11.5703125" customWidth="1"/>
    <col min="16" max="16" width="9.85546875" bestFit="1" customWidth="1"/>
    <col min="17" max="23" width="11.28515625" bestFit="1" customWidth="1"/>
  </cols>
  <sheetData>
    <row r="2" spans="3:15" x14ac:dyDescent="0.25"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</row>
    <row r="3" spans="3:15" x14ac:dyDescent="0.25"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</row>
    <row r="4" spans="3:15" x14ac:dyDescent="0.25"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3:15" x14ac:dyDescent="0.25"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</row>
    <row r="6" spans="3:15" x14ac:dyDescent="0.25"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3:15" x14ac:dyDescent="0.25"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3:15" x14ac:dyDescent="0.25"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11" spans="3:15" ht="15.75" x14ac:dyDescent="0.25">
      <c r="C11" s="275" t="s">
        <v>83</v>
      </c>
      <c r="D11" s="285" t="s">
        <v>61</v>
      </c>
      <c r="E11" s="285"/>
      <c r="F11" s="285"/>
      <c r="G11" s="285"/>
      <c r="H11" s="285"/>
      <c r="I11" s="285"/>
      <c r="J11" s="285"/>
      <c r="K11" s="285"/>
      <c r="L11" s="285"/>
      <c r="M11" s="285"/>
    </row>
    <row r="12" spans="3:15" ht="15.75" x14ac:dyDescent="0.25">
      <c r="C12" s="276"/>
      <c r="D12" s="21">
        <v>2010</v>
      </c>
      <c r="E12" s="21">
        <v>2011</v>
      </c>
      <c r="F12" s="21">
        <v>2012</v>
      </c>
      <c r="G12" s="21">
        <v>2013</v>
      </c>
      <c r="H12" s="21">
        <v>2014</v>
      </c>
      <c r="I12" s="21">
        <v>2015</v>
      </c>
      <c r="J12" s="21">
        <v>2016</v>
      </c>
      <c r="K12" s="21">
        <v>2017</v>
      </c>
      <c r="L12" s="21">
        <v>2018</v>
      </c>
      <c r="M12" s="21">
        <v>2019</v>
      </c>
    </row>
    <row r="13" spans="3:15" ht="15.75" x14ac:dyDescent="0.25">
      <c r="C13" s="91" t="s">
        <v>84</v>
      </c>
      <c r="D13" s="92">
        <v>166206</v>
      </c>
      <c r="E13" s="92">
        <v>255863</v>
      </c>
      <c r="F13" s="92">
        <v>294003</v>
      </c>
      <c r="G13" s="92">
        <v>227233</v>
      </c>
      <c r="H13" s="92">
        <v>244745</v>
      </c>
      <c r="I13" s="70">
        <v>275439</v>
      </c>
      <c r="J13" s="70">
        <v>292524</v>
      </c>
      <c r="K13" s="70">
        <v>330713</v>
      </c>
      <c r="L13" s="86">
        <v>470563</v>
      </c>
      <c r="M13" s="86">
        <v>532161</v>
      </c>
    </row>
    <row r="14" spans="3:15" ht="15.75" x14ac:dyDescent="0.25">
      <c r="C14" s="91" t="s">
        <v>85</v>
      </c>
      <c r="D14" s="92">
        <v>36265</v>
      </c>
      <c r="E14" s="92">
        <v>44620</v>
      </c>
      <c r="F14" s="92">
        <v>42989</v>
      </c>
      <c r="G14" s="92">
        <v>48849</v>
      </c>
      <c r="H14" s="92">
        <v>57476</v>
      </c>
      <c r="I14" s="70">
        <v>72457</v>
      </c>
      <c r="J14" s="70">
        <v>80643</v>
      </c>
      <c r="K14" s="70">
        <v>86200</v>
      </c>
      <c r="L14" s="86">
        <v>101231</v>
      </c>
      <c r="M14" s="86">
        <v>122806</v>
      </c>
    </row>
    <row r="15" spans="3:15" ht="15.75" x14ac:dyDescent="0.25">
      <c r="C15" s="91" t="s">
        <v>86</v>
      </c>
      <c r="D15" s="80">
        <v>120114</v>
      </c>
      <c r="E15" s="70">
        <v>109948</v>
      </c>
      <c r="F15" s="70">
        <v>117561</v>
      </c>
      <c r="G15" s="92">
        <v>142277</v>
      </c>
      <c r="H15" s="92">
        <v>169460</v>
      </c>
      <c r="I15" s="70">
        <v>196886</v>
      </c>
      <c r="J15" s="70">
        <v>188887</v>
      </c>
      <c r="K15" s="70">
        <v>219042</v>
      </c>
      <c r="L15" s="86">
        <v>245916</v>
      </c>
      <c r="M15" s="86">
        <v>274762</v>
      </c>
    </row>
    <row r="16" spans="3:15" ht="15.75" x14ac:dyDescent="0.25">
      <c r="C16" s="91" t="s">
        <v>87</v>
      </c>
      <c r="D16" s="92">
        <v>46186</v>
      </c>
      <c r="E16" s="92">
        <v>138133</v>
      </c>
      <c r="F16" s="92">
        <v>205356</v>
      </c>
      <c r="G16" s="92">
        <v>119197</v>
      </c>
      <c r="H16" s="92">
        <v>99373</v>
      </c>
      <c r="I16" s="70">
        <v>83608</v>
      </c>
      <c r="J16" s="70">
        <v>132051</v>
      </c>
      <c r="K16" s="70">
        <v>155346</v>
      </c>
      <c r="L16" s="86">
        <v>268834</v>
      </c>
      <c r="M16" s="86">
        <v>282045</v>
      </c>
    </row>
    <row r="17" spans="3:13" ht="15.75" x14ac:dyDescent="0.25">
      <c r="C17" s="69" t="s">
        <v>88</v>
      </c>
      <c r="D17" s="93">
        <f>D$16/D$15</f>
        <v>0.38451804119419886</v>
      </c>
      <c r="E17" s="93">
        <f>E$16/E$15</f>
        <v>1.2563484556335722</v>
      </c>
      <c r="F17" s="93">
        <f t="shared" ref="F17:M17" si="0">F$16/F$15</f>
        <v>1.7468037869701687</v>
      </c>
      <c r="G17" s="93">
        <f t="shared" si="0"/>
        <v>0.83778122957329715</v>
      </c>
      <c r="H17" s="93">
        <f t="shared" si="0"/>
        <v>0.58640977221763246</v>
      </c>
      <c r="I17" s="93">
        <f t="shared" si="0"/>
        <v>0.42465182897717463</v>
      </c>
      <c r="J17" s="93">
        <f t="shared" si="0"/>
        <v>0.69910052041696891</v>
      </c>
      <c r="K17" s="93">
        <f t="shared" si="0"/>
        <v>0.70920645355685208</v>
      </c>
      <c r="L17" s="93">
        <f t="shared" si="0"/>
        <v>1.0931944241122986</v>
      </c>
      <c r="M17" s="93">
        <f t="shared" si="0"/>
        <v>1.0265065766008401</v>
      </c>
    </row>
    <row r="18" spans="3:13" ht="15.75" x14ac:dyDescent="0.25">
      <c r="C18" s="69" t="s">
        <v>89</v>
      </c>
      <c r="D18" s="93">
        <f>(D$13-D$14)/D$15</f>
        <v>1.0818139434204173</v>
      </c>
      <c r="E18" s="93">
        <f t="shared" ref="E18:M18" si="1">(E$13-E$14)/E$15</f>
        <v>1.9212991596027214</v>
      </c>
      <c r="F18" s="93">
        <f t="shared" si="1"/>
        <v>2.135180884817244</v>
      </c>
      <c r="G18" s="93">
        <f t="shared" si="1"/>
        <v>1.2537795989513414</v>
      </c>
      <c r="H18" s="93">
        <f t="shared" si="1"/>
        <v>1.1050926472323852</v>
      </c>
      <c r="I18" s="93">
        <f t="shared" si="1"/>
        <v>1.0309620795790457</v>
      </c>
      <c r="J18" s="93">
        <f t="shared" si="1"/>
        <v>1.1217341585180558</v>
      </c>
      <c r="K18" s="93">
        <f t="shared" si="1"/>
        <v>1.1162836351019438</v>
      </c>
      <c r="L18" s="93">
        <f t="shared" si="1"/>
        <v>1.5018624245677386</v>
      </c>
      <c r="M18" s="93">
        <f t="shared" si="1"/>
        <v>1.4898530364460878</v>
      </c>
    </row>
    <row r="19" spans="3:13" ht="15.75" x14ac:dyDescent="0.25">
      <c r="C19" s="69" t="s">
        <v>90</v>
      </c>
      <c r="D19" s="93">
        <f>D$13/D$15</f>
        <v>1.3837354513212448</v>
      </c>
      <c r="E19" s="93">
        <f t="shared" ref="E19:M19" si="2">E$13/E$15</f>
        <v>2.3271273693018517</v>
      </c>
      <c r="F19" s="93">
        <f t="shared" si="2"/>
        <v>2.5008548753413122</v>
      </c>
      <c r="G19" s="93">
        <f t="shared" si="2"/>
        <v>1.5971168916971823</v>
      </c>
      <c r="H19" s="93">
        <f t="shared" si="2"/>
        <v>1.444264133128762</v>
      </c>
      <c r="I19" s="93">
        <f t="shared" si="2"/>
        <v>1.3989770730270308</v>
      </c>
      <c r="J19" s="93">
        <f t="shared" si="2"/>
        <v>1.5486719573078083</v>
      </c>
      <c r="K19" s="93">
        <f t="shared" si="2"/>
        <v>1.5098154691794268</v>
      </c>
      <c r="L19" s="93">
        <f t="shared" si="2"/>
        <v>1.9135111176173978</v>
      </c>
      <c r="M19" s="93">
        <f t="shared" si="2"/>
        <v>1.9368071276231793</v>
      </c>
    </row>
    <row r="20" spans="3:13" ht="15.75" x14ac:dyDescent="0.25">
      <c r="C20" s="69" t="s">
        <v>91</v>
      </c>
      <c r="D20" s="96">
        <f>D$13-D$15</f>
        <v>46092</v>
      </c>
      <c r="E20" s="96">
        <f t="shared" ref="E20:M20" si="3">E$13-E$15</f>
        <v>145915</v>
      </c>
      <c r="F20" s="96">
        <f t="shared" si="3"/>
        <v>176442</v>
      </c>
      <c r="G20" s="96">
        <f t="shared" si="3"/>
        <v>84956</v>
      </c>
      <c r="H20" s="96">
        <f t="shared" si="3"/>
        <v>75285</v>
      </c>
      <c r="I20" s="96">
        <f t="shared" si="3"/>
        <v>78553</v>
      </c>
      <c r="J20" s="96">
        <f t="shared" si="3"/>
        <v>103637</v>
      </c>
      <c r="K20" s="96">
        <f t="shared" si="3"/>
        <v>111671</v>
      </c>
      <c r="L20" s="96">
        <f t="shared" si="3"/>
        <v>224647</v>
      </c>
      <c r="M20" s="96">
        <f t="shared" si="3"/>
        <v>257399</v>
      </c>
    </row>
    <row r="21" spans="3:13" ht="15.75" x14ac:dyDescent="0.25">
      <c r="C21" s="65"/>
      <c r="D21" s="94"/>
      <c r="E21" s="94"/>
      <c r="F21" s="94"/>
      <c r="G21" s="94"/>
      <c r="H21" s="94"/>
      <c r="I21" s="94"/>
      <c r="J21" s="94"/>
      <c r="K21" s="94"/>
      <c r="L21" s="94"/>
      <c r="M21" s="94"/>
    </row>
    <row r="22" spans="3:13" ht="15.75" x14ac:dyDescent="0.25">
      <c r="C22" s="275" t="s">
        <v>83</v>
      </c>
      <c r="D22" s="285" t="s">
        <v>55</v>
      </c>
      <c r="E22" s="285"/>
      <c r="F22" s="285"/>
      <c r="G22" s="285"/>
      <c r="H22" s="285"/>
      <c r="I22" s="285"/>
      <c r="J22" s="285"/>
      <c r="K22" s="285"/>
      <c r="L22" s="285"/>
      <c r="M22" s="285"/>
    </row>
    <row r="23" spans="3:13" ht="15.75" x14ac:dyDescent="0.25">
      <c r="C23" s="276"/>
      <c r="D23" s="21">
        <v>2010</v>
      </c>
      <c r="E23" s="21">
        <v>2011</v>
      </c>
      <c r="F23" s="21">
        <v>2012</v>
      </c>
      <c r="G23" s="21">
        <v>2013</v>
      </c>
      <c r="H23" s="21">
        <v>2014</v>
      </c>
      <c r="I23" s="21">
        <v>2015</v>
      </c>
      <c r="J23" s="21">
        <v>2016</v>
      </c>
      <c r="K23" s="21">
        <v>2017</v>
      </c>
      <c r="L23" s="21">
        <v>2018</v>
      </c>
      <c r="M23" s="21">
        <v>2019</v>
      </c>
    </row>
    <row r="24" spans="3:13" ht="15.75" x14ac:dyDescent="0.25">
      <c r="C24" s="91" t="s">
        <v>84</v>
      </c>
      <c r="D24" s="86">
        <v>27738630</v>
      </c>
      <c r="E24" s="86">
        <v>27454520</v>
      </c>
      <c r="F24" s="86">
        <v>26657194</v>
      </c>
      <c r="G24" s="86">
        <v>25844512</v>
      </c>
      <c r="H24" s="86">
        <v>25732766</v>
      </c>
      <c r="I24" s="86">
        <v>25888835</v>
      </c>
      <c r="J24" s="86">
        <v>27061368</v>
      </c>
      <c r="K24" s="86">
        <v>28177507</v>
      </c>
      <c r="L24" s="86">
        <v>29135694</v>
      </c>
      <c r="M24" s="86">
        <v>30709232</v>
      </c>
    </row>
    <row r="25" spans="3:13" ht="15.75" x14ac:dyDescent="0.25">
      <c r="C25" s="91" t="s">
        <v>85</v>
      </c>
      <c r="D25" s="86">
        <v>7906859</v>
      </c>
      <c r="E25" s="86">
        <v>8438384</v>
      </c>
      <c r="F25" s="86">
        <v>8391624</v>
      </c>
      <c r="G25" s="86">
        <v>8395362</v>
      </c>
      <c r="H25" s="86">
        <v>7557875</v>
      </c>
      <c r="I25" s="86">
        <v>8038770</v>
      </c>
      <c r="J25" s="86">
        <v>8411576</v>
      </c>
      <c r="K25" s="86">
        <v>8761117</v>
      </c>
      <c r="L25" s="86">
        <v>9622501</v>
      </c>
      <c r="M25" s="86">
        <v>9665311</v>
      </c>
    </row>
    <row r="26" spans="3:13" ht="15.75" x14ac:dyDescent="0.25">
      <c r="C26" s="91" t="s">
        <v>86</v>
      </c>
      <c r="D26" s="86">
        <v>26981966</v>
      </c>
      <c r="E26" s="86">
        <v>28186285</v>
      </c>
      <c r="F26" s="86">
        <v>26130374</v>
      </c>
      <c r="G26" s="86">
        <v>21351027</v>
      </c>
      <c r="H26" s="86">
        <v>22699531</v>
      </c>
      <c r="I26" s="86">
        <v>24788759</v>
      </c>
      <c r="J26" s="86">
        <v>24675358</v>
      </c>
      <c r="K26" s="86">
        <v>24487377</v>
      </c>
      <c r="L26" s="86">
        <v>23277451</v>
      </c>
      <c r="M26" s="86">
        <v>23539723</v>
      </c>
    </row>
    <row r="27" spans="3:13" ht="15.75" x14ac:dyDescent="0.25">
      <c r="C27" s="91" t="s">
        <v>87</v>
      </c>
      <c r="D27" s="86">
        <v>6067677</v>
      </c>
      <c r="E27" s="86">
        <v>5312811</v>
      </c>
      <c r="F27" s="86">
        <v>5360788</v>
      </c>
      <c r="G27" s="86">
        <v>5310146</v>
      </c>
      <c r="H27" s="86">
        <v>5288815</v>
      </c>
      <c r="I27" s="86">
        <v>5483501</v>
      </c>
      <c r="J27" s="86">
        <v>6287605</v>
      </c>
      <c r="K27" s="86">
        <v>5330979</v>
      </c>
      <c r="L27" s="86">
        <v>6328755</v>
      </c>
      <c r="M27" s="86">
        <v>6392984</v>
      </c>
    </row>
    <row r="28" spans="3:13" ht="15.75" x14ac:dyDescent="0.25">
      <c r="C28" s="69" t="s">
        <v>88</v>
      </c>
      <c r="D28" s="93">
        <f>D$27/D$26</f>
        <v>0.22487898027890185</v>
      </c>
      <c r="E28" s="93">
        <f t="shared" ref="E28:M28" si="4">E$27/E$26</f>
        <v>0.18848922445792343</v>
      </c>
      <c r="F28" s="93">
        <f t="shared" si="4"/>
        <v>0.20515542563608161</v>
      </c>
      <c r="G28" s="93">
        <f t="shared" si="4"/>
        <v>0.24870681864624122</v>
      </c>
      <c r="H28" s="93">
        <f t="shared" si="4"/>
        <v>0.23299225873873783</v>
      </c>
      <c r="I28" s="93">
        <f t="shared" si="4"/>
        <v>0.22120917791810393</v>
      </c>
      <c r="J28" s="93">
        <f t="shared" si="4"/>
        <v>0.2548131216576473</v>
      </c>
      <c r="K28" s="93">
        <f t="shared" si="4"/>
        <v>0.21770314558394718</v>
      </c>
      <c r="L28" s="93">
        <f t="shared" si="4"/>
        <v>0.27188350648874743</v>
      </c>
      <c r="M28" s="93">
        <f t="shared" si="4"/>
        <v>0.2715828049463454</v>
      </c>
    </row>
    <row r="29" spans="3:13" ht="15.75" x14ac:dyDescent="0.25">
      <c r="C29" s="69" t="s">
        <v>89</v>
      </c>
      <c r="D29" s="93">
        <f>(D$24-D$25)/D$26</f>
        <v>0.73500096323596287</v>
      </c>
      <c r="E29" s="93">
        <f t="shared" ref="E29:M29" si="5">(E$24-E$25)/E$26</f>
        <v>0.67465918264858249</v>
      </c>
      <c r="F29" s="93">
        <f t="shared" si="5"/>
        <v>0.69901678406899193</v>
      </c>
      <c r="G29" s="93">
        <f t="shared" si="5"/>
        <v>0.81725108586111572</v>
      </c>
      <c r="H29" s="93">
        <f t="shared" si="5"/>
        <v>0.80067253371886848</v>
      </c>
      <c r="I29" s="93">
        <f t="shared" si="5"/>
        <v>0.72008707656563198</v>
      </c>
      <c r="J29" s="93">
        <f t="shared" si="5"/>
        <v>0.75580633926364915</v>
      </c>
      <c r="K29" s="93">
        <f t="shared" si="5"/>
        <v>0.79291424312207881</v>
      </c>
      <c r="L29" s="93">
        <f t="shared" si="5"/>
        <v>0.83828736230612189</v>
      </c>
      <c r="M29" s="93">
        <f t="shared" si="5"/>
        <v>0.89397487812409693</v>
      </c>
    </row>
    <row r="30" spans="3:13" ht="15.75" x14ac:dyDescent="0.25">
      <c r="C30" s="69" t="s">
        <v>90</v>
      </c>
      <c r="D30" s="93">
        <f>D$24/D$26</f>
        <v>1.0280433234553776</v>
      </c>
      <c r="E30" s="93">
        <f t="shared" ref="E30:M30" si="6">E$24/E$26</f>
        <v>0.97403826009706496</v>
      </c>
      <c r="F30" s="93">
        <f t="shared" si="6"/>
        <v>1.0201612116229182</v>
      </c>
      <c r="G30" s="93">
        <f t="shared" si="6"/>
        <v>1.2104575578495591</v>
      </c>
      <c r="H30" s="93">
        <f t="shared" si="6"/>
        <v>1.1336254480323844</v>
      </c>
      <c r="I30" s="93">
        <f t="shared" si="6"/>
        <v>1.0443780182783655</v>
      </c>
      <c r="J30" s="93">
        <f t="shared" si="6"/>
        <v>1.0966960641462629</v>
      </c>
      <c r="K30" s="93">
        <f t="shared" si="6"/>
        <v>1.1506951928742715</v>
      </c>
      <c r="L30" s="93">
        <f t="shared" si="6"/>
        <v>1.2516702967176261</v>
      </c>
      <c r="M30" s="93">
        <f t="shared" si="6"/>
        <v>1.3045706612605426</v>
      </c>
    </row>
    <row r="31" spans="3:13" ht="15.75" x14ac:dyDescent="0.25">
      <c r="C31" s="69" t="s">
        <v>91</v>
      </c>
      <c r="D31" s="96">
        <f>D$24-D$26</f>
        <v>756664</v>
      </c>
      <c r="E31" s="96">
        <f t="shared" ref="E31:M31" si="7">E$24-E$26</f>
        <v>-731765</v>
      </c>
      <c r="F31" s="96">
        <f t="shared" si="7"/>
        <v>526820</v>
      </c>
      <c r="G31" s="96">
        <f t="shared" si="7"/>
        <v>4493485</v>
      </c>
      <c r="H31" s="96">
        <f t="shared" si="7"/>
        <v>3033235</v>
      </c>
      <c r="I31" s="96">
        <f t="shared" si="7"/>
        <v>1100076</v>
      </c>
      <c r="J31" s="96">
        <f t="shared" si="7"/>
        <v>2386010</v>
      </c>
      <c r="K31" s="96">
        <f t="shared" si="7"/>
        <v>3690130</v>
      </c>
      <c r="L31" s="96">
        <f t="shared" si="7"/>
        <v>5858243</v>
      </c>
      <c r="M31" s="96">
        <f t="shared" si="7"/>
        <v>7169509</v>
      </c>
    </row>
    <row r="32" spans="3:13" ht="15.75" x14ac:dyDescent="0.25"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</row>
    <row r="33" spans="1:13" ht="15.75" x14ac:dyDescent="0.25"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5.75" x14ac:dyDescent="0.25">
      <c r="A34" s="99"/>
      <c r="B34" s="99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</row>
    <row r="35" spans="1:13" ht="15.75" x14ac:dyDescent="0.25">
      <c r="A35" s="99"/>
      <c r="B35" s="99"/>
      <c r="C35" s="258" t="s">
        <v>83</v>
      </c>
      <c r="D35" s="258"/>
      <c r="E35" s="258"/>
      <c r="F35" s="258"/>
      <c r="G35" s="258"/>
      <c r="H35" s="258"/>
      <c r="I35" s="258"/>
      <c r="J35" s="258"/>
      <c r="K35" s="258"/>
      <c r="L35" s="258"/>
      <c r="M35" s="258"/>
    </row>
    <row r="36" spans="1:13" ht="15.75" x14ac:dyDescent="0.25">
      <c r="A36" s="99"/>
      <c r="B36" s="100"/>
      <c r="C36" s="98" t="s">
        <v>92</v>
      </c>
      <c r="D36" s="21">
        <v>2010</v>
      </c>
      <c r="E36" s="21">
        <v>2011</v>
      </c>
      <c r="F36" s="21">
        <v>2012</v>
      </c>
      <c r="G36" s="21">
        <v>2013</v>
      </c>
      <c r="H36" s="21">
        <v>2014</v>
      </c>
      <c r="I36" s="21">
        <v>2015</v>
      </c>
      <c r="J36" s="21">
        <v>2016</v>
      </c>
      <c r="K36" s="21">
        <v>2017</v>
      </c>
      <c r="L36" s="21">
        <v>2018</v>
      </c>
      <c r="M36" s="21">
        <v>2019</v>
      </c>
    </row>
    <row r="37" spans="1:13" ht="15.75" x14ac:dyDescent="0.25">
      <c r="B37" s="281" t="s">
        <v>94</v>
      </c>
      <c r="C37" s="68" t="s">
        <v>88</v>
      </c>
      <c r="D37" s="77">
        <f>D$16/D$15</f>
        <v>0.38451804119419886</v>
      </c>
      <c r="E37" s="77">
        <f t="shared" ref="E37:M37" si="8">E$16/E$15</f>
        <v>1.2563484556335722</v>
      </c>
      <c r="F37" s="77">
        <f t="shared" si="8"/>
        <v>1.7468037869701687</v>
      </c>
      <c r="G37" s="77">
        <f t="shared" si="8"/>
        <v>0.83778122957329715</v>
      </c>
      <c r="H37" s="77">
        <f t="shared" si="8"/>
        <v>0.58640977221763246</v>
      </c>
      <c r="I37" s="77">
        <f t="shared" si="8"/>
        <v>0.42465182897717463</v>
      </c>
      <c r="J37" s="77">
        <f t="shared" si="8"/>
        <v>0.69910052041696891</v>
      </c>
      <c r="K37" s="77">
        <f t="shared" si="8"/>
        <v>0.70920645355685208</v>
      </c>
      <c r="L37" s="77">
        <f t="shared" si="8"/>
        <v>1.0931944241122986</v>
      </c>
      <c r="M37" s="77">
        <f t="shared" si="8"/>
        <v>1.0265065766008401</v>
      </c>
    </row>
    <row r="38" spans="1:13" ht="15.75" x14ac:dyDescent="0.25">
      <c r="B38" s="281"/>
      <c r="C38" s="68" t="s">
        <v>89</v>
      </c>
      <c r="D38" s="77">
        <f>(D$13-D$14)/D$15</f>
        <v>1.0818139434204173</v>
      </c>
      <c r="E38" s="77">
        <f t="shared" ref="E38:M38" si="9">(E$13-E$14)/E$15</f>
        <v>1.9212991596027214</v>
      </c>
      <c r="F38" s="77">
        <f t="shared" si="9"/>
        <v>2.135180884817244</v>
      </c>
      <c r="G38" s="77">
        <f t="shared" si="9"/>
        <v>1.2537795989513414</v>
      </c>
      <c r="H38" s="77">
        <f t="shared" si="9"/>
        <v>1.1050926472323852</v>
      </c>
      <c r="I38" s="77">
        <f t="shared" si="9"/>
        <v>1.0309620795790457</v>
      </c>
      <c r="J38" s="77">
        <f t="shared" si="9"/>
        <v>1.1217341585180558</v>
      </c>
      <c r="K38" s="77">
        <f t="shared" si="9"/>
        <v>1.1162836351019438</v>
      </c>
      <c r="L38" s="77">
        <f t="shared" si="9"/>
        <v>1.5018624245677386</v>
      </c>
      <c r="M38" s="77">
        <f t="shared" si="9"/>
        <v>1.4898530364460878</v>
      </c>
    </row>
    <row r="39" spans="1:13" ht="15.75" x14ac:dyDescent="0.25">
      <c r="B39" s="282"/>
      <c r="C39" s="101" t="s">
        <v>90</v>
      </c>
      <c r="D39" s="77">
        <f>D$13/D$15</f>
        <v>1.3837354513212448</v>
      </c>
      <c r="E39" s="77">
        <f t="shared" ref="E39:M39" si="10">E$13/E$15</f>
        <v>2.3271273693018517</v>
      </c>
      <c r="F39" s="77">
        <f t="shared" si="10"/>
        <v>2.5008548753413122</v>
      </c>
      <c r="G39" s="77">
        <f t="shared" si="10"/>
        <v>1.5971168916971823</v>
      </c>
      <c r="H39" s="77">
        <f t="shared" si="10"/>
        <v>1.444264133128762</v>
      </c>
      <c r="I39" s="77">
        <f t="shared" si="10"/>
        <v>1.3989770730270308</v>
      </c>
      <c r="J39" s="77">
        <f t="shared" si="10"/>
        <v>1.5486719573078083</v>
      </c>
      <c r="K39" s="77">
        <f t="shared" si="10"/>
        <v>1.5098154691794268</v>
      </c>
      <c r="L39" s="77">
        <f t="shared" si="10"/>
        <v>1.9135111176173978</v>
      </c>
      <c r="M39" s="77">
        <f t="shared" si="10"/>
        <v>1.9368071276231793</v>
      </c>
    </row>
    <row r="40" spans="1:13" ht="16.5" thickBot="1" x14ac:dyDescent="0.3">
      <c r="B40" s="282"/>
      <c r="C40" s="102" t="s">
        <v>91</v>
      </c>
      <c r="D40" s="97">
        <f>D$13-D$15</f>
        <v>46092</v>
      </c>
      <c r="E40" s="97">
        <f t="shared" ref="E40:M40" si="11">E$13-E$15</f>
        <v>145915</v>
      </c>
      <c r="F40" s="97">
        <f t="shared" si="11"/>
        <v>176442</v>
      </c>
      <c r="G40" s="97">
        <f t="shared" si="11"/>
        <v>84956</v>
      </c>
      <c r="H40" s="97">
        <f t="shared" si="11"/>
        <v>75285</v>
      </c>
      <c r="I40" s="97">
        <f t="shared" si="11"/>
        <v>78553</v>
      </c>
      <c r="J40" s="97">
        <f t="shared" si="11"/>
        <v>103637</v>
      </c>
      <c r="K40" s="97">
        <f t="shared" si="11"/>
        <v>111671</v>
      </c>
      <c r="L40" s="97">
        <f t="shared" si="11"/>
        <v>224647</v>
      </c>
      <c r="M40" s="97">
        <f t="shared" si="11"/>
        <v>257399</v>
      </c>
    </row>
    <row r="41" spans="1:13" ht="16.5" thickTop="1" x14ac:dyDescent="0.25">
      <c r="B41" s="283" t="s">
        <v>55</v>
      </c>
      <c r="C41" s="103" t="s">
        <v>88</v>
      </c>
      <c r="D41" s="106">
        <v>0.22</v>
      </c>
      <c r="E41" s="106">
        <v>0.19</v>
      </c>
      <c r="F41" s="106">
        <v>0.21</v>
      </c>
      <c r="G41" s="106">
        <v>0.25</v>
      </c>
      <c r="H41" s="106">
        <v>0.23</v>
      </c>
      <c r="I41" s="106">
        <v>0.22</v>
      </c>
      <c r="J41" s="106">
        <v>0.25</v>
      </c>
      <c r="K41" s="106">
        <v>0.22</v>
      </c>
      <c r="L41" s="106">
        <v>0.27</v>
      </c>
      <c r="M41" s="106">
        <v>0.27</v>
      </c>
    </row>
    <row r="42" spans="1:13" ht="15.75" x14ac:dyDescent="0.25">
      <c r="B42" s="284"/>
      <c r="C42" s="101" t="s">
        <v>89</v>
      </c>
      <c r="D42" s="80">
        <v>0.74</v>
      </c>
      <c r="E42" s="80">
        <v>0.67</v>
      </c>
      <c r="F42" s="80">
        <v>0.7</v>
      </c>
      <c r="G42" s="80">
        <v>0.82</v>
      </c>
      <c r="H42" s="80">
        <v>0.8</v>
      </c>
      <c r="I42" s="80">
        <v>0.72</v>
      </c>
      <c r="J42" s="80">
        <v>0.76</v>
      </c>
      <c r="K42" s="80">
        <v>0.79</v>
      </c>
      <c r="L42" s="80">
        <v>0.84</v>
      </c>
      <c r="M42" s="80">
        <v>0.89</v>
      </c>
    </row>
    <row r="43" spans="1:13" ht="15.75" x14ac:dyDescent="0.25">
      <c r="B43" s="284"/>
      <c r="C43" s="101" t="s">
        <v>90</v>
      </c>
      <c r="D43" s="80">
        <v>1.38</v>
      </c>
      <c r="E43" s="80">
        <v>2.33</v>
      </c>
      <c r="F43" s="80">
        <v>2.5</v>
      </c>
      <c r="G43" s="80">
        <v>1.6</v>
      </c>
      <c r="H43" s="80">
        <v>1.44</v>
      </c>
      <c r="I43" s="80">
        <v>1.4</v>
      </c>
      <c r="J43" s="80">
        <v>1.55</v>
      </c>
      <c r="K43" s="80">
        <v>1.51</v>
      </c>
      <c r="L43" s="80">
        <v>1.91</v>
      </c>
      <c r="M43" s="80">
        <v>1.94</v>
      </c>
    </row>
    <row r="44" spans="1:13" ht="15.75" x14ac:dyDescent="0.25">
      <c r="B44" s="284"/>
      <c r="C44" s="101" t="s">
        <v>91</v>
      </c>
      <c r="D44" s="107">
        <v>756664</v>
      </c>
      <c r="E44" s="107">
        <v>-731756</v>
      </c>
      <c r="F44" s="107">
        <v>526820</v>
      </c>
      <c r="G44" s="107">
        <v>4493485</v>
      </c>
      <c r="H44" s="107">
        <v>3033235</v>
      </c>
      <c r="I44" s="107">
        <v>1100076</v>
      </c>
      <c r="J44" s="107">
        <v>2386010</v>
      </c>
      <c r="K44" s="107">
        <v>3690130</v>
      </c>
      <c r="L44" s="107">
        <v>5858243</v>
      </c>
      <c r="M44" s="107">
        <v>7169509</v>
      </c>
    </row>
    <row r="45" spans="1:13" ht="15.75" x14ac:dyDescent="0.25"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ht="15.75" x14ac:dyDescent="0.25"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8" spans="1:13" ht="15.75" x14ac:dyDescent="0.25">
      <c r="C48" s="37" t="s">
        <v>88</v>
      </c>
      <c r="D48" s="21">
        <v>2010</v>
      </c>
      <c r="E48" s="21">
        <v>2011</v>
      </c>
      <c r="F48" s="21">
        <v>2012</v>
      </c>
      <c r="G48" s="21">
        <v>2013</v>
      </c>
      <c r="H48" s="21">
        <v>2014</v>
      </c>
      <c r="I48" s="21">
        <v>2015</v>
      </c>
      <c r="J48" s="21">
        <v>2016</v>
      </c>
      <c r="K48" s="21">
        <v>2017</v>
      </c>
      <c r="L48" s="21">
        <v>2018</v>
      </c>
      <c r="M48" s="21">
        <v>2019</v>
      </c>
    </row>
    <row r="49" spans="3:13" ht="15.75" x14ac:dyDescent="0.25">
      <c r="C49" s="104" t="s">
        <v>80</v>
      </c>
      <c r="D49" s="93">
        <f>D$16/D$15</f>
        <v>0.38451804119419886</v>
      </c>
      <c r="E49" s="93">
        <f t="shared" ref="E49:M49" si="12">E$16/E$15</f>
        <v>1.2563484556335722</v>
      </c>
      <c r="F49" s="93">
        <f t="shared" si="12"/>
        <v>1.7468037869701687</v>
      </c>
      <c r="G49" s="93">
        <f t="shared" si="12"/>
        <v>0.83778122957329715</v>
      </c>
      <c r="H49" s="93">
        <f t="shared" si="12"/>
        <v>0.58640977221763246</v>
      </c>
      <c r="I49" s="93">
        <f t="shared" si="12"/>
        <v>0.42465182897717463</v>
      </c>
      <c r="J49" s="93">
        <f t="shared" si="12"/>
        <v>0.69910052041696891</v>
      </c>
      <c r="K49" s="93">
        <f t="shared" si="12"/>
        <v>0.70920645355685208</v>
      </c>
      <c r="L49" s="93">
        <f t="shared" si="12"/>
        <v>1.0931944241122986</v>
      </c>
      <c r="M49" s="93">
        <f t="shared" si="12"/>
        <v>1.0265065766008401</v>
      </c>
    </row>
    <row r="50" spans="3:13" ht="15.75" x14ac:dyDescent="0.25">
      <c r="C50" s="105" t="s">
        <v>79</v>
      </c>
      <c r="D50" s="106">
        <v>0.22</v>
      </c>
      <c r="E50" s="106">
        <v>0.19</v>
      </c>
      <c r="F50" s="106">
        <v>0.21</v>
      </c>
      <c r="G50" s="106">
        <v>0.25</v>
      </c>
      <c r="H50" s="106">
        <v>0.23</v>
      </c>
      <c r="I50" s="106">
        <v>0.22</v>
      </c>
      <c r="J50" s="106">
        <v>0.25</v>
      </c>
      <c r="K50" s="106">
        <v>0.22</v>
      </c>
      <c r="L50" s="106">
        <v>0.27</v>
      </c>
      <c r="M50" s="106">
        <v>0.27</v>
      </c>
    </row>
    <row r="68" spans="3:13" ht="15.75" x14ac:dyDescent="0.25">
      <c r="C68" s="37" t="s">
        <v>89</v>
      </c>
      <c r="D68" s="21">
        <v>2010</v>
      </c>
      <c r="E68" s="21">
        <v>2011</v>
      </c>
      <c r="F68" s="21">
        <v>2012</v>
      </c>
      <c r="G68" s="21">
        <v>2013</v>
      </c>
      <c r="H68" s="21">
        <v>2014</v>
      </c>
      <c r="I68" s="21">
        <v>2015</v>
      </c>
      <c r="J68" s="21">
        <v>2016</v>
      </c>
      <c r="K68" s="21">
        <v>2017</v>
      </c>
      <c r="L68" s="21">
        <v>2018</v>
      </c>
      <c r="M68" s="21">
        <v>2019</v>
      </c>
    </row>
    <row r="69" spans="3:13" ht="15.75" x14ac:dyDescent="0.25">
      <c r="C69" s="104" t="s">
        <v>80</v>
      </c>
      <c r="D69" s="93">
        <f>(D$13-D$14)/D$15</f>
        <v>1.0818139434204173</v>
      </c>
      <c r="E69" s="93">
        <f t="shared" ref="E69:M69" si="13">(E$13-E$14)/E$15</f>
        <v>1.9212991596027214</v>
      </c>
      <c r="F69" s="93">
        <f t="shared" si="13"/>
        <v>2.135180884817244</v>
      </c>
      <c r="G69" s="93">
        <f t="shared" si="13"/>
        <v>1.2537795989513414</v>
      </c>
      <c r="H69" s="93">
        <f t="shared" si="13"/>
        <v>1.1050926472323852</v>
      </c>
      <c r="I69" s="93">
        <f t="shared" si="13"/>
        <v>1.0309620795790457</v>
      </c>
      <c r="J69" s="93">
        <f t="shared" si="13"/>
        <v>1.1217341585180558</v>
      </c>
      <c r="K69" s="93">
        <f t="shared" si="13"/>
        <v>1.1162836351019438</v>
      </c>
      <c r="L69" s="93">
        <f t="shared" si="13"/>
        <v>1.5018624245677386</v>
      </c>
      <c r="M69" s="93">
        <f t="shared" si="13"/>
        <v>1.4898530364460878</v>
      </c>
    </row>
    <row r="70" spans="3:13" ht="15.75" x14ac:dyDescent="0.25">
      <c r="C70" s="105" t="s">
        <v>79</v>
      </c>
      <c r="D70" s="80">
        <v>0.74</v>
      </c>
      <c r="E70" s="80">
        <v>0.67</v>
      </c>
      <c r="F70" s="80">
        <v>0.7</v>
      </c>
      <c r="G70" s="80">
        <v>0.82</v>
      </c>
      <c r="H70" s="80">
        <v>0.8</v>
      </c>
      <c r="I70" s="80">
        <v>0.72</v>
      </c>
      <c r="J70" s="80">
        <v>0.76</v>
      </c>
      <c r="K70" s="80">
        <v>0.79</v>
      </c>
      <c r="L70" s="80">
        <v>0.84</v>
      </c>
      <c r="M70" s="80">
        <v>0.89</v>
      </c>
    </row>
    <row r="90" spans="3:13" ht="15.75" x14ac:dyDescent="0.25">
      <c r="C90" s="72" t="s">
        <v>93</v>
      </c>
      <c r="D90" s="21">
        <v>2010</v>
      </c>
      <c r="E90" s="21">
        <v>2011</v>
      </c>
      <c r="F90" s="21">
        <v>2012</v>
      </c>
      <c r="G90" s="21">
        <v>2013</v>
      </c>
      <c r="H90" s="21">
        <v>2014</v>
      </c>
      <c r="I90" s="21">
        <v>2015</v>
      </c>
      <c r="J90" s="21">
        <v>2016</v>
      </c>
      <c r="K90" s="21">
        <v>2017</v>
      </c>
      <c r="L90" s="21">
        <v>2018</v>
      </c>
      <c r="M90" s="21">
        <v>2019</v>
      </c>
    </row>
    <row r="91" spans="3:13" ht="15.75" x14ac:dyDescent="0.25">
      <c r="C91" s="104" t="s">
        <v>80</v>
      </c>
      <c r="D91" s="93">
        <f>D$13/D$15</f>
        <v>1.3837354513212448</v>
      </c>
      <c r="E91" s="93">
        <f t="shared" ref="E91:M91" si="14">E$13/E$15</f>
        <v>2.3271273693018517</v>
      </c>
      <c r="F91" s="93">
        <f t="shared" si="14"/>
        <v>2.5008548753413122</v>
      </c>
      <c r="G91" s="93">
        <f t="shared" si="14"/>
        <v>1.5971168916971823</v>
      </c>
      <c r="H91" s="93">
        <f t="shared" si="14"/>
        <v>1.444264133128762</v>
      </c>
      <c r="I91" s="93">
        <f t="shared" si="14"/>
        <v>1.3989770730270308</v>
      </c>
      <c r="J91" s="93">
        <f t="shared" si="14"/>
        <v>1.5486719573078083</v>
      </c>
      <c r="K91" s="93">
        <f t="shared" si="14"/>
        <v>1.5098154691794268</v>
      </c>
      <c r="L91" s="93">
        <f t="shared" si="14"/>
        <v>1.9135111176173978</v>
      </c>
      <c r="M91" s="93">
        <f t="shared" si="14"/>
        <v>1.9368071276231793</v>
      </c>
    </row>
    <row r="92" spans="3:13" ht="15.75" x14ac:dyDescent="0.25">
      <c r="C92" s="75" t="s">
        <v>79</v>
      </c>
      <c r="D92" s="77">
        <f>D$24/D$26</f>
        <v>1.0280433234553776</v>
      </c>
      <c r="E92" s="77">
        <f t="shared" ref="E92:M92" si="15">E$24/E$26</f>
        <v>0.97403826009706496</v>
      </c>
      <c r="F92" s="77">
        <f t="shared" si="15"/>
        <v>1.0201612116229182</v>
      </c>
      <c r="G92" s="77">
        <f t="shared" si="15"/>
        <v>1.2104575578495591</v>
      </c>
      <c r="H92" s="77">
        <f t="shared" si="15"/>
        <v>1.1336254480323844</v>
      </c>
      <c r="I92" s="77">
        <f t="shared" si="15"/>
        <v>1.0443780182783655</v>
      </c>
      <c r="J92" s="77">
        <f t="shared" si="15"/>
        <v>1.0966960641462629</v>
      </c>
      <c r="K92" s="77">
        <f t="shared" si="15"/>
        <v>1.1506951928742715</v>
      </c>
      <c r="L92" s="77">
        <f t="shared" si="15"/>
        <v>1.2516702967176261</v>
      </c>
      <c r="M92" s="77">
        <f t="shared" si="15"/>
        <v>1.3045706612605426</v>
      </c>
    </row>
    <row r="113" spans="3:13" ht="15.75" x14ac:dyDescent="0.25">
      <c r="C113" s="37" t="s">
        <v>91</v>
      </c>
      <c r="D113" s="21">
        <v>2010</v>
      </c>
      <c r="E113" s="21">
        <v>2011</v>
      </c>
      <c r="F113" s="21">
        <v>2012</v>
      </c>
      <c r="G113" s="21">
        <v>2013</v>
      </c>
      <c r="H113" s="21">
        <v>2014</v>
      </c>
      <c r="I113" s="21">
        <v>2015</v>
      </c>
      <c r="J113" s="21">
        <v>2016</v>
      </c>
      <c r="K113" s="21">
        <v>2017</v>
      </c>
      <c r="L113" s="21">
        <v>2018</v>
      </c>
      <c r="M113" s="21">
        <v>2019</v>
      </c>
    </row>
    <row r="114" spans="3:13" ht="15.75" x14ac:dyDescent="0.25">
      <c r="C114" s="91" t="s">
        <v>84</v>
      </c>
      <c r="D114" s="92">
        <v>166206</v>
      </c>
      <c r="E114" s="92">
        <v>255863</v>
      </c>
      <c r="F114" s="92">
        <v>294003</v>
      </c>
      <c r="G114" s="92">
        <v>227233</v>
      </c>
      <c r="H114" s="92">
        <v>244745</v>
      </c>
      <c r="I114" s="70">
        <v>275439</v>
      </c>
      <c r="J114" s="70">
        <v>292524</v>
      </c>
      <c r="K114" s="70">
        <v>330713</v>
      </c>
      <c r="L114" s="86">
        <v>470563</v>
      </c>
      <c r="M114" s="86">
        <v>532161</v>
      </c>
    </row>
    <row r="115" spans="3:13" ht="15.75" x14ac:dyDescent="0.25">
      <c r="C115" s="91" t="s">
        <v>86</v>
      </c>
      <c r="D115" s="80">
        <v>120114</v>
      </c>
      <c r="E115" s="70">
        <v>109948</v>
      </c>
      <c r="F115" s="70">
        <v>117561</v>
      </c>
      <c r="G115" s="92">
        <v>142277</v>
      </c>
      <c r="H115" s="92">
        <v>169460</v>
      </c>
      <c r="I115" s="70">
        <v>196886</v>
      </c>
      <c r="J115" s="70">
        <v>188887</v>
      </c>
      <c r="K115" s="70">
        <v>219042</v>
      </c>
      <c r="L115" s="86">
        <v>245916</v>
      </c>
      <c r="M115" s="86">
        <v>274762</v>
      </c>
    </row>
    <row r="116" spans="3:13" ht="15.75" x14ac:dyDescent="0.25">
      <c r="C116" s="104" t="s">
        <v>80</v>
      </c>
      <c r="D116" s="96">
        <f>D$114-D$115</f>
        <v>46092</v>
      </c>
      <c r="E116" s="96">
        <f t="shared" ref="E116:M116" si="16">E$114-E$115</f>
        <v>145915</v>
      </c>
      <c r="F116" s="96">
        <f t="shared" si="16"/>
        <v>176442</v>
      </c>
      <c r="G116" s="96">
        <f t="shared" si="16"/>
        <v>84956</v>
      </c>
      <c r="H116" s="96">
        <f t="shared" si="16"/>
        <v>75285</v>
      </c>
      <c r="I116" s="96">
        <f t="shared" si="16"/>
        <v>78553</v>
      </c>
      <c r="J116" s="96">
        <f t="shared" si="16"/>
        <v>103637</v>
      </c>
      <c r="K116" s="96">
        <f t="shared" si="16"/>
        <v>111671</v>
      </c>
      <c r="L116" s="96">
        <f t="shared" si="16"/>
        <v>224647</v>
      </c>
      <c r="M116" s="96">
        <f t="shared" si="16"/>
        <v>257399</v>
      </c>
    </row>
  </sheetData>
  <mergeCells count="7">
    <mergeCell ref="B37:B40"/>
    <mergeCell ref="B41:B44"/>
    <mergeCell ref="C35:M35"/>
    <mergeCell ref="C11:C12"/>
    <mergeCell ref="D11:M11"/>
    <mergeCell ref="C22:C23"/>
    <mergeCell ref="D22:M2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47798-426B-4599-BF09-E3F026FC65CF}">
  <dimension ref="C12:M55"/>
  <sheetViews>
    <sheetView zoomScale="60" zoomScaleNormal="60" workbookViewId="0">
      <selection activeCell="V48" sqref="V48"/>
    </sheetView>
  </sheetViews>
  <sheetFormatPr defaultRowHeight="15" x14ac:dyDescent="0.25"/>
  <cols>
    <col min="3" max="3" width="30.140625" customWidth="1"/>
    <col min="4" max="4" width="11" customWidth="1"/>
    <col min="5" max="5" width="11.28515625" customWidth="1"/>
    <col min="6" max="7" width="10.5703125" customWidth="1"/>
    <col min="8" max="8" width="11.28515625" customWidth="1"/>
    <col min="9" max="9" width="11.85546875" customWidth="1"/>
    <col min="10" max="10" width="11.7109375" customWidth="1"/>
    <col min="11" max="11" width="12.42578125" customWidth="1"/>
    <col min="12" max="12" width="11" customWidth="1"/>
    <col min="13" max="13" width="11.42578125" customWidth="1"/>
  </cols>
  <sheetData>
    <row r="12" spans="3:13" ht="15.75" x14ac:dyDescent="0.25">
      <c r="C12" s="258" t="s">
        <v>95</v>
      </c>
      <c r="D12" s="258" t="s">
        <v>61</v>
      </c>
      <c r="E12" s="258"/>
      <c r="F12" s="258"/>
      <c r="G12" s="258"/>
      <c r="H12" s="258"/>
      <c r="I12" s="258"/>
      <c r="J12" s="258"/>
      <c r="K12" s="258"/>
      <c r="L12" s="258"/>
      <c r="M12" s="258"/>
    </row>
    <row r="13" spans="3:13" ht="15.75" x14ac:dyDescent="0.25">
      <c r="C13" s="258"/>
      <c r="D13" s="21">
        <v>2010</v>
      </c>
      <c r="E13" s="21">
        <v>2011</v>
      </c>
      <c r="F13" s="21">
        <v>2012</v>
      </c>
      <c r="G13" s="21">
        <v>2013</v>
      </c>
      <c r="H13" s="21">
        <v>2014</v>
      </c>
      <c r="I13" s="21">
        <v>2015</v>
      </c>
      <c r="J13" s="21">
        <v>2016</v>
      </c>
      <c r="K13" s="21">
        <v>2017</v>
      </c>
      <c r="L13" s="21">
        <v>2018</v>
      </c>
      <c r="M13" s="21">
        <v>2019</v>
      </c>
    </row>
    <row r="14" spans="3:13" ht="15.75" x14ac:dyDescent="0.25">
      <c r="C14" s="59" t="s">
        <v>96</v>
      </c>
      <c r="D14" s="43">
        <v>34390</v>
      </c>
      <c r="E14" s="43">
        <v>46261</v>
      </c>
      <c r="F14" s="43">
        <v>52547</v>
      </c>
      <c r="G14" s="43">
        <v>61199</v>
      </c>
      <c r="H14" s="44">
        <v>65219</v>
      </c>
      <c r="I14" s="43">
        <v>95109</v>
      </c>
      <c r="J14" s="43">
        <v>109056</v>
      </c>
      <c r="K14" s="43">
        <v>103966</v>
      </c>
      <c r="L14" s="43">
        <v>142998</v>
      </c>
      <c r="M14" s="43">
        <v>164325</v>
      </c>
    </row>
    <row r="15" spans="3:13" ht="15.75" x14ac:dyDescent="0.25">
      <c r="C15" s="59" t="s">
        <v>71</v>
      </c>
      <c r="D15" s="45">
        <v>49130</v>
      </c>
      <c r="E15" s="70">
        <v>59844</v>
      </c>
      <c r="F15" s="70">
        <v>68065</v>
      </c>
      <c r="G15" s="70">
        <v>78332</v>
      </c>
      <c r="H15" s="70">
        <v>83791</v>
      </c>
      <c r="I15" s="70">
        <v>121298</v>
      </c>
      <c r="J15" s="111">
        <v>135606</v>
      </c>
      <c r="K15" s="111">
        <v>130140</v>
      </c>
      <c r="L15" s="70">
        <v>177925</v>
      </c>
      <c r="M15" s="70">
        <v>205011</v>
      </c>
    </row>
    <row r="16" spans="3:13" ht="15.75" x14ac:dyDescent="0.25">
      <c r="C16" s="59" t="s">
        <v>67</v>
      </c>
      <c r="D16" s="43">
        <v>313628</v>
      </c>
      <c r="E16" s="43">
        <v>380000</v>
      </c>
      <c r="F16" s="43">
        <v>418149</v>
      </c>
      <c r="G16" s="43">
        <v>406274</v>
      </c>
      <c r="H16" s="44">
        <v>467763</v>
      </c>
      <c r="I16" s="43">
        <v>568017</v>
      </c>
      <c r="J16" s="43">
        <v>675781</v>
      </c>
      <c r="K16" s="43">
        <v>742145</v>
      </c>
      <c r="L16" s="43">
        <v>851060</v>
      </c>
      <c r="M16" s="43">
        <v>964961</v>
      </c>
    </row>
    <row r="17" spans="3:13" ht="15.75" x14ac:dyDescent="0.25">
      <c r="C17" s="59" t="s">
        <v>73</v>
      </c>
      <c r="D17" s="43">
        <v>23228</v>
      </c>
      <c r="E17" s="43">
        <v>6527</v>
      </c>
      <c r="F17" s="43">
        <v>5953</v>
      </c>
      <c r="G17" s="43">
        <v>5021</v>
      </c>
      <c r="H17" s="44">
        <v>10266</v>
      </c>
      <c r="I17" s="43">
        <v>15015</v>
      </c>
      <c r="J17" s="43">
        <v>20743</v>
      </c>
      <c r="K17" s="43">
        <v>23633</v>
      </c>
      <c r="L17" s="43">
        <v>26077</v>
      </c>
      <c r="M17" s="43">
        <v>30604</v>
      </c>
    </row>
    <row r="18" spans="3:13" ht="15.75" x14ac:dyDescent="0.25">
      <c r="C18" s="69" t="s">
        <v>97</v>
      </c>
      <c r="D18" s="108">
        <f>D$14/D$16</f>
        <v>0.10965219942097007</v>
      </c>
      <c r="E18" s="108">
        <f t="shared" ref="E18:M18" si="0">E$14/E$16</f>
        <v>0.12173947368421052</v>
      </c>
      <c r="F18" s="108">
        <f t="shared" si="0"/>
        <v>0.12566573159328373</v>
      </c>
      <c r="G18" s="108">
        <f t="shared" si="0"/>
        <v>0.15063479326759774</v>
      </c>
      <c r="H18" s="108">
        <f t="shared" si="0"/>
        <v>0.13942744509505883</v>
      </c>
      <c r="I18" s="108">
        <f t="shared" si="0"/>
        <v>0.16744041111445609</v>
      </c>
      <c r="J18" s="108">
        <f t="shared" si="0"/>
        <v>0.16137772444031426</v>
      </c>
      <c r="K18" s="108">
        <f t="shared" si="0"/>
        <v>0.14008852717460873</v>
      </c>
      <c r="L18" s="108">
        <f t="shared" si="0"/>
        <v>0.16802340610532748</v>
      </c>
      <c r="M18" s="108">
        <f t="shared" si="0"/>
        <v>0.17029185635481642</v>
      </c>
    </row>
    <row r="19" spans="3:13" ht="15.75" x14ac:dyDescent="0.25">
      <c r="C19" s="69" t="s">
        <v>98</v>
      </c>
      <c r="D19" s="108">
        <f>D$15/(D$16+D$17)</f>
        <v>0.14584867124231127</v>
      </c>
      <c r="E19" s="108">
        <f t="shared" ref="E19:M19" si="1">E$15/(E$16+E$17)</f>
        <v>0.15482488933502705</v>
      </c>
      <c r="F19" s="108">
        <f t="shared" si="1"/>
        <v>0.16049205144045536</v>
      </c>
      <c r="G19" s="108">
        <f t="shared" si="1"/>
        <v>0.19045210858386316</v>
      </c>
      <c r="H19" s="108">
        <f t="shared" si="1"/>
        <v>0.17528434467364951</v>
      </c>
      <c r="I19" s="108">
        <f t="shared" si="1"/>
        <v>0.20804689965559353</v>
      </c>
      <c r="J19" s="108">
        <f t="shared" si="1"/>
        <v>0.19468963022092561</v>
      </c>
      <c r="K19" s="108">
        <f>K$15/(K$16+K$17)</f>
        <v>0.16994481429343752</v>
      </c>
      <c r="L19" s="108">
        <f t="shared" si="1"/>
        <v>0.20284744572398611</v>
      </c>
      <c r="M19" s="108">
        <f t="shared" si="1"/>
        <v>0.20592427415588133</v>
      </c>
    </row>
    <row r="22" spans="3:13" ht="15.75" x14ac:dyDescent="0.25">
      <c r="C22" s="258" t="s">
        <v>95</v>
      </c>
      <c r="D22" s="258" t="s">
        <v>55</v>
      </c>
      <c r="E22" s="258"/>
      <c r="F22" s="258"/>
      <c r="G22" s="258"/>
      <c r="H22" s="258"/>
      <c r="I22" s="258"/>
      <c r="J22" s="258"/>
      <c r="K22" s="258"/>
      <c r="L22" s="258"/>
      <c r="M22" s="258"/>
    </row>
    <row r="23" spans="3:13" ht="15.75" x14ac:dyDescent="0.25">
      <c r="C23" s="258"/>
      <c r="D23" s="21">
        <v>2010</v>
      </c>
      <c r="E23" s="21">
        <v>2011</v>
      </c>
      <c r="F23" s="21">
        <v>2012</v>
      </c>
      <c r="G23" s="21">
        <v>2013</v>
      </c>
      <c r="H23" s="21">
        <v>2014</v>
      </c>
      <c r="I23" s="21">
        <v>2015</v>
      </c>
      <c r="J23" s="21">
        <v>2016</v>
      </c>
      <c r="K23" s="21">
        <v>2017</v>
      </c>
      <c r="L23" s="21">
        <v>2018</v>
      </c>
      <c r="M23" s="21">
        <v>2019</v>
      </c>
    </row>
    <row r="24" spans="3:13" ht="15.75" x14ac:dyDescent="0.25">
      <c r="C24" s="59" t="s">
        <v>96</v>
      </c>
      <c r="D24" s="95">
        <v>4231498</v>
      </c>
      <c r="E24" s="95">
        <v>4626892</v>
      </c>
      <c r="F24" s="95">
        <v>3719577</v>
      </c>
      <c r="G24" s="95">
        <v>3732904</v>
      </c>
      <c r="H24" s="95">
        <v>1464389</v>
      </c>
      <c r="I24" s="95">
        <v>5996979</v>
      </c>
      <c r="J24" s="95">
        <v>4865440</v>
      </c>
      <c r="K24" s="95">
        <v>6028396</v>
      </c>
      <c r="L24" s="95">
        <v>4948398</v>
      </c>
      <c r="M24" s="95">
        <v>5818721</v>
      </c>
    </row>
    <row r="25" spans="3:13" ht="15.75" x14ac:dyDescent="0.25">
      <c r="C25" s="59" t="s">
        <v>71</v>
      </c>
      <c r="D25" s="95">
        <v>6929002</v>
      </c>
      <c r="E25" s="95">
        <v>6297844</v>
      </c>
      <c r="F25" s="95">
        <v>6260985</v>
      </c>
      <c r="G25" s="95">
        <v>7191452</v>
      </c>
      <c r="H25" s="95">
        <v>4637955</v>
      </c>
      <c r="I25" s="95">
        <v>9142946</v>
      </c>
      <c r="J25" s="95">
        <v>7469799</v>
      </c>
      <c r="K25" s="95">
        <v>9095200</v>
      </c>
      <c r="L25" s="95">
        <v>7604489</v>
      </c>
      <c r="M25" s="95">
        <v>8630434</v>
      </c>
    </row>
    <row r="26" spans="3:13" ht="15.75" x14ac:dyDescent="0.25">
      <c r="C26" s="59" t="s">
        <v>67</v>
      </c>
      <c r="D26" s="95">
        <v>41101513</v>
      </c>
      <c r="E26" s="95">
        <v>38078940</v>
      </c>
      <c r="F26" s="95">
        <v>27307591</v>
      </c>
      <c r="G26" s="95">
        <v>44739302</v>
      </c>
      <c r="H26" s="95">
        <v>40015570</v>
      </c>
      <c r="I26" s="95">
        <v>47883909</v>
      </c>
      <c r="J26" s="95">
        <v>47918783</v>
      </c>
      <c r="K26" s="95">
        <v>47411628</v>
      </c>
      <c r="L26" s="95">
        <v>48260201</v>
      </c>
      <c r="M26" s="95">
        <v>49820746</v>
      </c>
    </row>
    <row r="27" spans="3:13" ht="15.75" x14ac:dyDescent="0.25">
      <c r="C27" s="59" t="s">
        <v>73</v>
      </c>
      <c r="D27" s="95">
        <v>17545420</v>
      </c>
      <c r="E27" s="95">
        <v>16508483</v>
      </c>
      <c r="F27" s="95">
        <v>20089887</v>
      </c>
      <c r="G27" s="95">
        <v>35107727</v>
      </c>
      <c r="H27" s="95">
        <v>32835826</v>
      </c>
      <c r="I27" s="95">
        <v>23845936</v>
      </c>
      <c r="J27" s="95">
        <v>25685931</v>
      </c>
      <c r="K27" s="95">
        <v>27293146</v>
      </c>
      <c r="L27" s="95">
        <v>27713670</v>
      </c>
      <c r="M27" s="95">
        <v>26981331</v>
      </c>
    </row>
    <row r="28" spans="3:13" ht="15.75" x14ac:dyDescent="0.25">
      <c r="C28" s="69" t="s">
        <v>97</v>
      </c>
      <c r="D28" s="110">
        <f>D$24/D$26</f>
        <v>0.10295236576814094</v>
      </c>
      <c r="E28" s="110">
        <f t="shared" ref="E28:M28" si="2">E$24/E$26</f>
        <v>0.12150789911693971</v>
      </c>
      <c r="F28" s="110">
        <f t="shared" si="2"/>
        <v>0.13621036729310909</v>
      </c>
      <c r="G28" s="110">
        <f t="shared" si="2"/>
        <v>8.3436795683580395E-2</v>
      </c>
      <c r="H28" s="110">
        <f>H$24/H$26</f>
        <v>3.6595480209328519E-2</v>
      </c>
      <c r="I28" s="110">
        <f t="shared" si="2"/>
        <v>0.12523996317844477</v>
      </c>
      <c r="J28" s="110">
        <f t="shared" si="2"/>
        <v>0.10153513289350441</v>
      </c>
      <c r="K28" s="110">
        <f t="shared" si="2"/>
        <v>0.12715015818482336</v>
      </c>
      <c r="L28" s="110">
        <f t="shared" si="2"/>
        <v>0.10253579341702286</v>
      </c>
      <c r="M28" s="110">
        <f t="shared" si="2"/>
        <v>0.11679313272426711</v>
      </c>
    </row>
    <row r="29" spans="3:13" ht="15.75" x14ac:dyDescent="0.25">
      <c r="C29" s="69" t="s">
        <v>98</v>
      </c>
      <c r="D29" s="110">
        <f>D$25/(D$26+D$27)</f>
        <v>0.11814772990771742</v>
      </c>
      <c r="E29" s="110">
        <f t="shared" ref="E29:M29" si="3">E$25/(E$26+E$27)</f>
        <v>0.11537170384467499</v>
      </c>
      <c r="F29" s="110">
        <f t="shared" si="3"/>
        <v>0.13209531950202077</v>
      </c>
      <c r="G29" s="110">
        <f t="shared" si="3"/>
        <v>9.0065367366392549E-2</v>
      </c>
      <c r="H29" s="110">
        <f>H$25/(H$26+H$27)</f>
        <v>6.3663227537877246E-2</v>
      </c>
      <c r="I29" s="110">
        <f t="shared" si="3"/>
        <v>0.12746362410235237</v>
      </c>
      <c r="J29" s="110">
        <f t="shared" si="3"/>
        <v>0.10148533421378418</v>
      </c>
      <c r="K29" s="110">
        <f t="shared" si="3"/>
        <v>0.12174857794228787</v>
      </c>
      <c r="L29" s="110">
        <f t="shared" si="3"/>
        <v>0.10009347819067953</v>
      </c>
      <c r="M29" s="110">
        <f t="shared" si="3"/>
        <v>0.11237240367861405</v>
      </c>
    </row>
    <row r="32" spans="3:13" ht="15.75" x14ac:dyDescent="0.25">
      <c r="C32" s="72" t="s">
        <v>97</v>
      </c>
      <c r="D32" s="21">
        <v>2010</v>
      </c>
      <c r="E32" s="21">
        <v>2011</v>
      </c>
      <c r="F32" s="21">
        <v>2012</v>
      </c>
      <c r="G32" s="21">
        <v>2013</v>
      </c>
      <c r="H32" s="21">
        <v>2014</v>
      </c>
      <c r="I32" s="21">
        <v>2015</v>
      </c>
      <c r="J32" s="21">
        <v>2016</v>
      </c>
      <c r="K32" s="21">
        <v>2017</v>
      </c>
      <c r="L32" s="21">
        <v>2018</v>
      </c>
      <c r="M32" s="21">
        <v>2019</v>
      </c>
    </row>
    <row r="33" spans="3:13" x14ac:dyDescent="0.25">
      <c r="C33" s="203" t="s">
        <v>61</v>
      </c>
      <c r="D33" s="108">
        <f>D$14/D$16</f>
        <v>0.10965219942097007</v>
      </c>
      <c r="E33" s="108">
        <f t="shared" ref="E33:M33" si="4">E$14/E$16</f>
        <v>0.12173947368421052</v>
      </c>
      <c r="F33" s="108">
        <f t="shared" si="4"/>
        <v>0.12566573159328373</v>
      </c>
      <c r="G33" s="108">
        <f t="shared" si="4"/>
        <v>0.15063479326759774</v>
      </c>
      <c r="H33" s="108">
        <f t="shared" si="4"/>
        <v>0.13942744509505883</v>
      </c>
      <c r="I33" s="108">
        <f t="shared" si="4"/>
        <v>0.16744041111445609</v>
      </c>
      <c r="J33" s="108">
        <f t="shared" si="4"/>
        <v>0.16137772444031426</v>
      </c>
      <c r="K33" s="108">
        <f t="shared" si="4"/>
        <v>0.14008852717460873</v>
      </c>
      <c r="L33" s="108">
        <f t="shared" si="4"/>
        <v>0.16802340610532748</v>
      </c>
      <c r="M33" s="108">
        <f t="shared" si="4"/>
        <v>0.17029185635481642</v>
      </c>
    </row>
    <row r="34" spans="3:13" x14ac:dyDescent="0.25">
      <c r="C34" s="56" t="s">
        <v>55</v>
      </c>
      <c r="D34" s="66">
        <f>D$24/D$26</f>
        <v>0.10295236576814094</v>
      </c>
      <c r="E34" s="66">
        <f t="shared" ref="E34:M34" si="5">E$24/E$26</f>
        <v>0.12150789911693971</v>
      </c>
      <c r="F34" s="66">
        <f t="shared" si="5"/>
        <v>0.13621036729310909</v>
      </c>
      <c r="G34" s="66">
        <f t="shared" si="5"/>
        <v>8.3436795683580395E-2</v>
      </c>
      <c r="H34" s="66">
        <f t="shared" si="5"/>
        <v>3.6595480209328519E-2</v>
      </c>
      <c r="I34" s="66">
        <f t="shared" si="5"/>
        <v>0.12523996317844477</v>
      </c>
      <c r="J34" s="66">
        <f t="shared" si="5"/>
        <v>0.10153513289350441</v>
      </c>
      <c r="K34" s="66">
        <f t="shared" si="5"/>
        <v>0.12715015818482336</v>
      </c>
      <c r="L34" s="66">
        <f t="shared" si="5"/>
        <v>0.10253579341702286</v>
      </c>
      <c r="M34" s="66">
        <f t="shared" si="5"/>
        <v>0.11679313272426711</v>
      </c>
    </row>
    <row r="53" spans="3:13" ht="15.75" x14ac:dyDescent="0.25">
      <c r="C53" s="72" t="s">
        <v>98</v>
      </c>
      <c r="D53" s="21">
        <v>2010</v>
      </c>
      <c r="E53" s="21">
        <v>2011</v>
      </c>
      <c r="F53" s="21">
        <v>2012</v>
      </c>
      <c r="G53" s="21">
        <v>2013</v>
      </c>
      <c r="H53" s="21">
        <v>2014</v>
      </c>
      <c r="I53" s="21">
        <v>2015</v>
      </c>
      <c r="J53" s="21">
        <v>2016</v>
      </c>
      <c r="K53" s="21">
        <v>2017</v>
      </c>
      <c r="L53" s="21">
        <v>2018</v>
      </c>
      <c r="M53" s="21">
        <v>2019</v>
      </c>
    </row>
    <row r="54" spans="3:13" x14ac:dyDescent="0.25">
      <c r="C54" s="203" t="s">
        <v>61</v>
      </c>
      <c r="D54" s="108">
        <f>D$15/(D$16+D$17)</f>
        <v>0.14584867124231127</v>
      </c>
      <c r="E54" s="108">
        <f t="shared" ref="E54:M54" si="6">E$15/(E$16+E$17)</f>
        <v>0.15482488933502705</v>
      </c>
      <c r="F54" s="108">
        <f t="shared" si="6"/>
        <v>0.16049205144045536</v>
      </c>
      <c r="G54" s="108">
        <f t="shared" si="6"/>
        <v>0.19045210858386316</v>
      </c>
      <c r="H54" s="108">
        <f t="shared" si="6"/>
        <v>0.17528434467364951</v>
      </c>
      <c r="I54" s="108">
        <f t="shared" si="6"/>
        <v>0.20804689965559353</v>
      </c>
      <c r="J54" s="108">
        <f t="shared" si="6"/>
        <v>0.19468963022092561</v>
      </c>
      <c r="K54" s="108">
        <f t="shared" si="6"/>
        <v>0.16994481429343752</v>
      </c>
      <c r="L54" s="108">
        <f t="shared" si="6"/>
        <v>0.20284744572398611</v>
      </c>
      <c r="M54" s="108">
        <f t="shared" si="6"/>
        <v>0.20592427415588133</v>
      </c>
    </row>
    <row r="55" spans="3:13" x14ac:dyDescent="0.25">
      <c r="C55" s="56" t="s">
        <v>55</v>
      </c>
      <c r="D55" s="66">
        <f>D$25/(D$26+D$27)</f>
        <v>0.11814772990771742</v>
      </c>
      <c r="E55" s="66">
        <f t="shared" ref="E55:M55" si="7">E$25/(E$26+E$27)</f>
        <v>0.11537170384467499</v>
      </c>
      <c r="F55" s="66">
        <f t="shared" si="7"/>
        <v>0.13209531950202077</v>
      </c>
      <c r="G55" s="66">
        <f t="shared" si="7"/>
        <v>9.0065367366392549E-2</v>
      </c>
      <c r="H55" s="66">
        <f t="shared" si="7"/>
        <v>6.3663227537877246E-2</v>
      </c>
      <c r="I55" s="66">
        <f t="shared" si="7"/>
        <v>0.12746362410235237</v>
      </c>
      <c r="J55" s="66">
        <f t="shared" si="7"/>
        <v>0.10148533421378418</v>
      </c>
      <c r="K55" s="66">
        <f t="shared" si="7"/>
        <v>0.12174857794228787</v>
      </c>
      <c r="L55" s="66">
        <f t="shared" si="7"/>
        <v>0.10009347819067953</v>
      </c>
      <c r="M55" s="66">
        <f t="shared" si="7"/>
        <v>0.11237240367861405</v>
      </c>
    </row>
  </sheetData>
  <mergeCells count="4">
    <mergeCell ref="C12:C13"/>
    <mergeCell ref="D12:M12"/>
    <mergeCell ref="C22:C23"/>
    <mergeCell ref="D22:M22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21E0C-CBFE-40BD-997E-CD12496F524D}">
  <dimension ref="B3:Y38"/>
  <sheetViews>
    <sheetView zoomScale="60" zoomScaleNormal="60" workbookViewId="0">
      <selection activeCell="O11" sqref="O11"/>
    </sheetView>
  </sheetViews>
  <sheetFormatPr defaultRowHeight="15" x14ac:dyDescent="0.25"/>
  <cols>
    <col min="2" max="2" width="35.85546875" customWidth="1"/>
    <col min="15" max="15" width="32.5703125" customWidth="1"/>
    <col min="18" max="20" width="9.140625" customWidth="1"/>
    <col min="23" max="23" width="9.5703125" customWidth="1"/>
    <col min="24" max="24" width="10" customWidth="1"/>
    <col min="25" max="25" width="9.5703125" customWidth="1"/>
  </cols>
  <sheetData>
    <row r="3" spans="2:25" ht="15.75" x14ac:dyDescent="0.25">
      <c r="B3" s="37" t="s">
        <v>61</v>
      </c>
      <c r="C3" s="21">
        <v>2010</v>
      </c>
      <c r="D3" s="21">
        <v>2011</v>
      </c>
      <c r="E3" s="21">
        <v>2012</v>
      </c>
      <c r="F3" s="21">
        <v>2013</v>
      </c>
      <c r="G3" s="21">
        <v>2014</v>
      </c>
      <c r="H3" s="21">
        <v>2015</v>
      </c>
      <c r="I3" s="21">
        <v>2016</v>
      </c>
      <c r="J3" s="21">
        <v>2017</v>
      </c>
      <c r="K3" s="21">
        <v>2018</v>
      </c>
      <c r="L3" s="21">
        <v>2019</v>
      </c>
      <c r="O3" s="37" t="s">
        <v>61</v>
      </c>
      <c r="P3" s="21">
        <v>2010</v>
      </c>
      <c r="Q3" s="21">
        <v>2011</v>
      </c>
      <c r="R3" s="21">
        <v>2012</v>
      </c>
      <c r="S3" s="21">
        <v>2013</v>
      </c>
      <c r="T3" s="21">
        <v>2014</v>
      </c>
      <c r="U3" s="21">
        <v>2015</v>
      </c>
      <c r="V3" s="21">
        <v>2016</v>
      </c>
      <c r="W3" s="21">
        <v>2017</v>
      </c>
      <c r="X3" s="21">
        <v>2018</v>
      </c>
      <c r="Y3" s="21">
        <v>2019</v>
      </c>
    </row>
    <row r="4" spans="2:25" ht="15.75" x14ac:dyDescent="0.25">
      <c r="B4" s="59" t="s">
        <v>184</v>
      </c>
      <c r="C4" s="63">
        <f>P$4/P$5</f>
        <v>9.7031771832148658E-2</v>
      </c>
      <c r="D4" s="63">
        <f t="shared" ref="D4:L4" si="0">Q$4/Q$5</f>
        <v>0.10926619072833173</v>
      </c>
      <c r="E4" s="63">
        <f t="shared" si="0"/>
        <v>0.11791721454471119</v>
      </c>
      <c r="F4" s="63">
        <f t="shared" si="0"/>
        <v>0.13193357845325177</v>
      </c>
      <c r="G4" s="63">
        <f t="shared" si="0"/>
        <v>0.12139224918507786</v>
      </c>
      <c r="H4" s="63">
        <f t="shared" si="0"/>
        <v>0.14820290326088417</v>
      </c>
      <c r="I4" s="63">
        <f t="shared" si="0"/>
        <v>0.14769160395133799</v>
      </c>
      <c r="J4" s="63">
        <f t="shared" si="0"/>
        <v>0.12839498377550709</v>
      </c>
      <c r="K4" s="63">
        <f t="shared" si="0"/>
        <v>0.15322616759330068</v>
      </c>
      <c r="L4" s="63">
        <f t="shared" si="0"/>
        <v>0.15681764463356743</v>
      </c>
      <c r="O4" s="59" t="s">
        <v>179</v>
      </c>
      <c r="P4" s="45">
        <v>49130</v>
      </c>
      <c r="Q4" s="79">
        <v>59844</v>
      </c>
      <c r="R4" s="70">
        <v>68065</v>
      </c>
      <c r="S4" s="70">
        <v>78332</v>
      </c>
      <c r="T4" s="70">
        <v>83791</v>
      </c>
      <c r="U4" s="70">
        <v>121298</v>
      </c>
      <c r="V4" s="111">
        <v>135606</v>
      </c>
      <c r="W4" s="111">
        <v>130140</v>
      </c>
      <c r="X4" s="70">
        <v>177925</v>
      </c>
      <c r="Y4" s="70">
        <v>205011</v>
      </c>
    </row>
    <row r="5" spans="2:25" ht="15.75" customHeight="1" x14ac:dyDescent="0.25">
      <c r="B5" s="200" t="s">
        <v>197</v>
      </c>
      <c r="C5" s="63">
        <v>6.83E-2</v>
      </c>
      <c r="D5" s="62">
        <v>0</v>
      </c>
      <c r="E5" s="62">
        <v>0</v>
      </c>
      <c r="F5" s="62">
        <v>0</v>
      </c>
      <c r="G5" s="62">
        <v>0</v>
      </c>
      <c r="H5" s="62">
        <v>0</v>
      </c>
      <c r="I5" s="62">
        <v>0</v>
      </c>
      <c r="J5" s="62">
        <v>0</v>
      </c>
      <c r="K5" s="62">
        <v>0</v>
      </c>
      <c r="L5" s="62">
        <v>0</v>
      </c>
      <c r="O5" s="59" t="s">
        <v>186</v>
      </c>
      <c r="P5" s="70">
        <v>506329</v>
      </c>
      <c r="Q5" s="70">
        <v>547690</v>
      </c>
      <c r="R5" s="70">
        <v>577227</v>
      </c>
      <c r="S5" s="70">
        <v>593723</v>
      </c>
      <c r="T5" s="70">
        <v>690250</v>
      </c>
      <c r="U5" s="70">
        <v>818459</v>
      </c>
      <c r="V5" s="70">
        <v>918170</v>
      </c>
      <c r="W5" s="70">
        <v>1013591</v>
      </c>
      <c r="X5" s="70">
        <v>1161192</v>
      </c>
      <c r="Y5" s="70">
        <v>1307321</v>
      </c>
    </row>
    <row r="6" spans="2:25" ht="15.75" x14ac:dyDescent="0.25">
      <c r="B6" s="69" t="s">
        <v>185</v>
      </c>
      <c r="C6" s="205">
        <f>P$8/P$9</f>
        <v>1.1300648988524395</v>
      </c>
      <c r="D6" s="205">
        <f t="shared" ref="D6:L6" si="1">Q$8/Q$9</f>
        <v>1.1141550087244378</v>
      </c>
      <c r="E6" s="205">
        <f t="shared" si="1"/>
        <v>1.0657115000425532</v>
      </c>
      <c r="F6" s="205">
        <f t="shared" si="1"/>
        <v>1.14174719607846</v>
      </c>
      <c r="G6" s="205">
        <f t="shared" si="1"/>
        <v>1.1485695835694092</v>
      </c>
      <c r="H6" s="205">
        <f t="shared" si="1"/>
        <v>1.1298052023967966</v>
      </c>
      <c r="I6" s="205">
        <f t="shared" si="1"/>
        <v>1.0926668823603922</v>
      </c>
      <c r="J6" s="205">
        <f t="shared" si="1"/>
        <v>1.0910747683067377</v>
      </c>
      <c r="K6" s="205">
        <f t="shared" si="1"/>
        <v>1.0965712237305461</v>
      </c>
      <c r="L6" s="205">
        <f t="shared" si="1"/>
        <v>1.0859228038575244</v>
      </c>
      <c r="O6" s="59" t="s">
        <v>96</v>
      </c>
      <c r="P6" s="43">
        <v>34390</v>
      </c>
      <c r="Q6" s="43">
        <v>46261</v>
      </c>
      <c r="R6" s="43">
        <v>52547</v>
      </c>
      <c r="S6" s="43">
        <v>61199</v>
      </c>
      <c r="T6" s="44">
        <v>65219</v>
      </c>
      <c r="U6" s="43">
        <v>95109</v>
      </c>
      <c r="V6" s="43">
        <v>109056</v>
      </c>
      <c r="W6" s="43">
        <v>103966</v>
      </c>
      <c r="X6" s="43">
        <v>142998</v>
      </c>
      <c r="Y6" s="43">
        <v>164325</v>
      </c>
    </row>
    <row r="7" spans="2:25" ht="15.75" x14ac:dyDescent="0.25">
      <c r="O7" s="59" t="s">
        <v>67</v>
      </c>
      <c r="P7" s="43">
        <v>313628</v>
      </c>
      <c r="Q7" s="43">
        <v>380000</v>
      </c>
      <c r="R7" s="43">
        <v>418149</v>
      </c>
      <c r="S7" s="43">
        <v>406274</v>
      </c>
      <c r="T7" s="44">
        <v>467763</v>
      </c>
      <c r="U7" s="43">
        <v>568017</v>
      </c>
      <c r="V7" s="43">
        <v>675781</v>
      </c>
      <c r="W7" s="43">
        <v>742145</v>
      </c>
      <c r="X7" s="43">
        <v>851060</v>
      </c>
      <c r="Y7" s="43">
        <v>964961</v>
      </c>
    </row>
    <row r="8" spans="2:25" ht="15.75" x14ac:dyDescent="0.25">
      <c r="O8" s="69" t="s">
        <v>196</v>
      </c>
      <c r="P8" s="204">
        <f>P$6/P$7</f>
        <v>0.10965219942097007</v>
      </c>
      <c r="Q8" s="204">
        <f t="shared" ref="Q8:Y8" si="2">Q$6/Q$7</f>
        <v>0.12173947368421052</v>
      </c>
      <c r="R8" s="204">
        <f t="shared" si="2"/>
        <v>0.12566573159328373</v>
      </c>
      <c r="S8" s="204">
        <f t="shared" si="2"/>
        <v>0.15063479326759774</v>
      </c>
      <c r="T8" s="204">
        <f t="shared" si="2"/>
        <v>0.13942744509505883</v>
      </c>
      <c r="U8" s="204">
        <f t="shared" si="2"/>
        <v>0.16744041111445609</v>
      </c>
      <c r="V8" s="204">
        <f t="shared" si="2"/>
        <v>0.16137772444031426</v>
      </c>
      <c r="W8" s="204">
        <f t="shared" si="2"/>
        <v>0.14008852717460873</v>
      </c>
      <c r="X8" s="204">
        <f t="shared" si="2"/>
        <v>0.16802340610532748</v>
      </c>
      <c r="Y8" s="204">
        <f t="shared" si="2"/>
        <v>0.17029185635481642</v>
      </c>
    </row>
    <row r="9" spans="2:25" ht="15.75" x14ac:dyDescent="0.25">
      <c r="B9" t="s">
        <v>188</v>
      </c>
      <c r="O9" s="69" t="s">
        <v>187</v>
      </c>
      <c r="P9" s="204">
        <f>P$4/P$5</f>
        <v>9.7031771832148658E-2</v>
      </c>
      <c r="Q9" s="204">
        <f t="shared" ref="Q9:Y9" si="3">Q$4/Q$5</f>
        <v>0.10926619072833173</v>
      </c>
      <c r="R9" s="204">
        <f t="shared" si="3"/>
        <v>0.11791721454471119</v>
      </c>
      <c r="S9" s="204">
        <f t="shared" si="3"/>
        <v>0.13193357845325177</v>
      </c>
      <c r="T9" s="204">
        <f t="shared" si="3"/>
        <v>0.12139224918507786</v>
      </c>
      <c r="U9" s="204">
        <f t="shared" si="3"/>
        <v>0.14820290326088417</v>
      </c>
      <c r="V9" s="204">
        <f t="shared" si="3"/>
        <v>0.14769160395133799</v>
      </c>
      <c r="W9" s="204">
        <f t="shared" si="3"/>
        <v>0.12839498377550709</v>
      </c>
      <c r="X9" s="204">
        <f t="shared" si="3"/>
        <v>0.15322616759330068</v>
      </c>
      <c r="Y9" s="204">
        <f t="shared" si="3"/>
        <v>0.15681764463356743</v>
      </c>
    </row>
    <row r="10" spans="2:25" x14ac:dyDescent="0.25">
      <c r="B10" t="s">
        <v>189</v>
      </c>
      <c r="C10" t="s">
        <v>190</v>
      </c>
    </row>
    <row r="11" spans="2:25" x14ac:dyDescent="0.25">
      <c r="B11" t="s">
        <v>191</v>
      </c>
      <c r="C11" t="s">
        <v>193</v>
      </c>
    </row>
    <row r="12" spans="2:25" x14ac:dyDescent="0.25">
      <c r="B12" t="s">
        <v>192</v>
      </c>
      <c r="C12" t="s">
        <v>194</v>
      </c>
    </row>
    <row r="15" spans="2:25" x14ac:dyDescent="0.25">
      <c r="B15" t="s">
        <v>195</v>
      </c>
    </row>
    <row r="35" spans="2:7" ht="15.75" x14ac:dyDescent="0.25">
      <c r="B35" s="211" t="s">
        <v>61</v>
      </c>
      <c r="C35" s="21">
        <v>2015</v>
      </c>
      <c r="D35" s="21">
        <v>2016</v>
      </c>
      <c r="E35" s="21">
        <v>2017</v>
      </c>
      <c r="F35" s="21">
        <v>2018</v>
      </c>
      <c r="G35" s="21">
        <v>2019</v>
      </c>
    </row>
    <row r="36" spans="2:7" ht="15.75" x14ac:dyDescent="0.25">
      <c r="B36" s="59" t="s">
        <v>184</v>
      </c>
      <c r="C36" s="63">
        <v>0.14820290326088417</v>
      </c>
      <c r="D36" s="63">
        <v>0.14769160395133799</v>
      </c>
      <c r="E36" s="63">
        <v>0.12839498377550709</v>
      </c>
      <c r="F36" s="63">
        <v>0.15322616759330068</v>
      </c>
      <c r="G36" s="63">
        <v>0.15681764463356743</v>
      </c>
    </row>
    <row r="37" spans="2:7" ht="15.75" x14ac:dyDescent="0.25">
      <c r="B37" s="200" t="s">
        <v>197</v>
      </c>
      <c r="C37" s="62">
        <v>0</v>
      </c>
      <c r="D37" s="62">
        <v>0</v>
      </c>
      <c r="E37" s="62">
        <v>0</v>
      </c>
      <c r="F37" s="62">
        <v>0</v>
      </c>
      <c r="G37" s="62">
        <v>0</v>
      </c>
    </row>
    <row r="38" spans="2:7" ht="15.75" x14ac:dyDescent="0.25">
      <c r="B38" s="69" t="s">
        <v>185</v>
      </c>
      <c r="C38" s="205">
        <v>1.1298052023967966</v>
      </c>
      <c r="D38" s="205">
        <v>1.0926668823603922</v>
      </c>
      <c r="E38" s="205">
        <v>1.0910747683067377</v>
      </c>
      <c r="F38" s="205">
        <v>1.0965712237305461</v>
      </c>
      <c r="G38" s="205">
        <v>1.0859228038575244</v>
      </c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CF006-5244-41E5-A63F-5F8546991FD9}">
  <dimension ref="A2:S27"/>
  <sheetViews>
    <sheetView zoomScale="60" zoomScaleNormal="60" workbookViewId="0">
      <selection activeCell="C49" sqref="C49"/>
    </sheetView>
  </sheetViews>
  <sheetFormatPr defaultRowHeight="15" x14ac:dyDescent="0.25"/>
  <cols>
    <col min="2" max="2" width="45.85546875" customWidth="1"/>
    <col min="14" max="14" width="45.42578125" customWidth="1"/>
  </cols>
  <sheetData>
    <row r="2" spans="1:19" x14ac:dyDescent="0.25">
      <c r="A2" s="207" t="s">
        <v>201</v>
      </c>
      <c r="B2" s="208" t="s">
        <v>200</v>
      </c>
    </row>
    <row r="4" spans="1:19" ht="15.75" x14ac:dyDescent="0.25">
      <c r="B4" s="37" t="s">
        <v>61</v>
      </c>
      <c r="C4" s="21">
        <v>2010</v>
      </c>
      <c r="D4" s="21">
        <v>2011</v>
      </c>
      <c r="E4" s="21">
        <v>2012</v>
      </c>
      <c r="F4" s="21">
        <v>2013</v>
      </c>
      <c r="G4" s="21">
        <v>2014</v>
      </c>
      <c r="H4" s="21">
        <v>2015</v>
      </c>
      <c r="I4" s="21">
        <v>2016</v>
      </c>
      <c r="J4" s="21">
        <v>2017</v>
      </c>
      <c r="K4" s="21">
        <v>2018</v>
      </c>
      <c r="L4" s="21">
        <v>2019</v>
      </c>
      <c r="N4" s="211" t="s">
        <v>61</v>
      </c>
      <c r="O4" s="21">
        <v>2015</v>
      </c>
      <c r="P4" s="21">
        <v>2016</v>
      </c>
      <c r="Q4" s="21">
        <v>2017</v>
      </c>
      <c r="R4" s="21">
        <v>2018</v>
      </c>
      <c r="S4" s="21">
        <v>2019</v>
      </c>
    </row>
    <row r="5" spans="1:19" ht="14.25" customHeight="1" x14ac:dyDescent="0.25">
      <c r="B5" s="200" t="s">
        <v>198</v>
      </c>
      <c r="C5" s="86">
        <f>C$11+C$12</f>
        <v>336856</v>
      </c>
      <c r="D5" s="86">
        <f t="shared" ref="D5:L5" si="0">D$11+D$12</f>
        <v>386527</v>
      </c>
      <c r="E5" s="86">
        <f t="shared" si="0"/>
        <v>424102</v>
      </c>
      <c r="F5" s="86">
        <f t="shared" si="0"/>
        <v>411295</v>
      </c>
      <c r="G5" s="86">
        <f t="shared" si="0"/>
        <v>478029</v>
      </c>
      <c r="H5" s="86">
        <f t="shared" si="0"/>
        <v>583032</v>
      </c>
      <c r="I5" s="86">
        <f t="shared" si="0"/>
        <v>696524</v>
      </c>
      <c r="J5" s="86">
        <f t="shared" si="0"/>
        <v>765778</v>
      </c>
      <c r="K5" s="86">
        <f t="shared" si="0"/>
        <v>877137</v>
      </c>
      <c r="L5" s="86">
        <f t="shared" si="0"/>
        <v>995565</v>
      </c>
      <c r="N5" s="200" t="s">
        <v>198</v>
      </c>
      <c r="O5" s="86">
        <v>583032</v>
      </c>
      <c r="P5" s="86">
        <v>696524</v>
      </c>
      <c r="Q5" s="86">
        <v>765778</v>
      </c>
      <c r="R5" s="86">
        <v>877137</v>
      </c>
      <c r="S5" s="86">
        <v>995565</v>
      </c>
    </row>
    <row r="6" spans="1:19" ht="15.75" x14ac:dyDescent="0.25">
      <c r="B6" s="59" t="s">
        <v>72</v>
      </c>
      <c r="C6" s="45">
        <v>49130</v>
      </c>
      <c r="D6" s="70">
        <v>59844</v>
      </c>
      <c r="E6" s="70">
        <v>68065</v>
      </c>
      <c r="F6" s="70">
        <v>78332</v>
      </c>
      <c r="G6" s="70">
        <v>83791</v>
      </c>
      <c r="H6" s="70">
        <v>121298</v>
      </c>
      <c r="I6" s="111">
        <v>135606</v>
      </c>
      <c r="J6" s="111">
        <v>130140</v>
      </c>
      <c r="K6" s="70">
        <v>177925</v>
      </c>
      <c r="L6" s="70">
        <v>205011</v>
      </c>
      <c r="N6" s="59" t="s">
        <v>72</v>
      </c>
      <c r="O6" s="70">
        <v>121298</v>
      </c>
      <c r="P6" s="111">
        <v>135606</v>
      </c>
      <c r="Q6" s="111">
        <v>130140</v>
      </c>
      <c r="R6" s="70">
        <v>177925</v>
      </c>
      <c r="S6" s="70">
        <v>205011</v>
      </c>
    </row>
    <row r="7" spans="1:19" ht="15.75" x14ac:dyDescent="0.25">
      <c r="B7" s="206" t="s">
        <v>199</v>
      </c>
      <c r="C7" s="212">
        <f>C$5/C$6</f>
        <v>6.8564217382454711</v>
      </c>
      <c r="D7" s="212">
        <f t="shared" ref="D7:L7" si="1">D$5/D$6</f>
        <v>6.4589098322304661</v>
      </c>
      <c r="E7" s="212">
        <f t="shared" si="1"/>
        <v>6.2308381693969004</v>
      </c>
      <c r="F7" s="212">
        <f t="shared" si="1"/>
        <v>5.2506638410866566</v>
      </c>
      <c r="G7" s="212">
        <f t="shared" si="1"/>
        <v>5.7050160518432769</v>
      </c>
      <c r="H7" s="212">
        <f t="shared" si="1"/>
        <v>4.8066085178650928</v>
      </c>
      <c r="I7" s="212">
        <f t="shared" si="1"/>
        <v>5.1363803961476631</v>
      </c>
      <c r="J7" s="212">
        <f t="shared" si="1"/>
        <v>5.8842631012755495</v>
      </c>
      <c r="K7" s="212">
        <f t="shared" si="1"/>
        <v>4.9298131235070954</v>
      </c>
      <c r="L7" s="212">
        <f t="shared" si="1"/>
        <v>4.8561540600260473</v>
      </c>
      <c r="N7" s="206" t="s">
        <v>199</v>
      </c>
      <c r="O7" s="210">
        <v>4.8066085178650928</v>
      </c>
      <c r="P7" s="210">
        <v>5.1363803961476631</v>
      </c>
      <c r="Q7" s="210">
        <v>5.8842631012755495</v>
      </c>
      <c r="R7" s="210">
        <v>4.9298131235070954</v>
      </c>
      <c r="S7" s="210">
        <v>4.8561540600260473</v>
      </c>
    </row>
    <row r="11" spans="1:19" ht="15.75" x14ac:dyDescent="0.25">
      <c r="B11" s="59" t="s">
        <v>67</v>
      </c>
      <c r="C11" s="43">
        <v>313628</v>
      </c>
      <c r="D11" s="43">
        <v>380000</v>
      </c>
      <c r="E11" s="43">
        <v>418149</v>
      </c>
      <c r="F11" s="43">
        <v>406274</v>
      </c>
      <c r="G11" s="44">
        <v>467763</v>
      </c>
      <c r="H11" s="43">
        <v>568017</v>
      </c>
      <c r="I11" s="43">
        <v>675781</v>
      </c>
      <c r="J11" s="43">
        <v>742145</v>
      </c>
      <c r="K11" s="43">
        <v>851060</v>
      </c>
      <c r="L11" s="43">
        <v>964961</v>
      </c>
    </row>
    <row r="12" spans="1:19" ht="15.75" x14ac:dyDescent="0.25">
      <c r="B12" s="59" t="s">
        <v>73</v>
      </c>
      <c r="C12" s="43">
        <v>23228</v>
      </c>
      <c r="D12" s="43">
        <v>6527</v>
      </c>
      <c r="E12" s="43">
        <v>5953</v>
      </c>
      <c r="F12" s="43">
        <v>5021</v>
      </c>
      <c r="G12" s="44">
        <v>10266</v>
      </c>
      <c r="H12" s="43">
        <v>15015</v>
      </c>
      <c r="I12" s="43">
        <v>20743</v>
      </c>
      <c r="J12" s="43">
        <v>23633</v>
      </c>
      <c r="K12" s="43">
        <v>26077</v>
      </c>
      <c r="L12" s="43">
        <v>30604</v>
      </c>
    </row>
    <row r="13" spans="1:19" ht="15.75" x14ac:dyDescent="0.25">
      <c r="B13" s="69" t="s">
        <v>198</v>
      </c>
      <c r="C13" s="209">
        <f>C$11+C$12</f>
        <v>336856</v>
      </c>
      <c r="D13" s="209">
        <f t="shared" ref="D13:L13" si="2">D$11+D$12</f>
        <v>386527</v>
      </c>
      <c r="E13" s="209">
        <f t="shared" si="2"/>
        <v>424102</v>
      </c>
      <c r="F13" s="209">
        <f t="shared" si="2"/>
        <v>411295</v>
      </c>
      <c r="G13" s="209">
        <f t="shared" si="2"/>
        <v>478029</v>
      </c>
      <c r="H13" s="209">
        <f t="shared" si="2"/>
        <v>583032</v>
      </c>
      <c r="I13" s="209">
        <f t="shared" si="2"/>
        <v>696524</v>
      </c>
      <c r="J13" s="209">
        <f t="shared" si="2"/>
        <v>765778</v>
      </c>
      <c r="K13" s="209">
        <f t="shared" si="2"/>
        <v>877137</v>
      </c>
      <c r="L13" s="209">
        <f t="shared" si="2"/>
        <v>995565</v>
      </c>
    </row>
    <row r="16" spans="1:19" x14ac:dyDescent="0.25">
      <c r="A16" s="207" t="s">
        <v>202</v>
      </c>
      <c r="B16" s="208" t="s">
        <v>203</v>
      </c>
    </row>
    <row r="18" spans="1:19" ht="15.75" x14ac:dyDescent="0.25">
      <c r="B18" s="37" t="s">
        <v>61</v>
      </c>
      <c r="C18" s="21">
        <v>2010</v>
      </c>
      <c r="D18" s="21">
        <v>2011</v>
      </c>
      <c r="E18" s="21">
        <v>2012</v>
      </c>
      <c r="F18" s="21">
        <v>2013</v>
      </c>
      <c r="G18" s="21">
        <v>2014</v>
      </c>
      <c r="H18" s="21">
        <v>2015</v>
      </c>
      <c r="I18" s="21">
        <v>2016</v>
      </c>
      <c r="J18" s="21">
        <v>2017</v>
      </c>
      <c r="K18" s="21">
        <v>2018</v>
      </c>
      <c r="L18" s="21">
        <v>2019</v>
      </c>
      <c r="N18" s="211" t="s">
        <v>61</v>
      </c>
      <c r="O18" s="21">
        <v>2015</v>
      </c>
      <c r="P18" s="21">
        <v>2016</v>
      </c>
      <c r="Q18" s="21">
        <v>2017</v>
      </c>
      <c r="R18" s="21">
        <v>2018</v>
      </c>
      <c r="S18" s="21">
        <v>2019</v>
      </c>
    </row>
    <row r="19" spans="1:19" ht="15.75" x14ac:dyDescent="0.25">
      <c r="B19" s="59" t="s">
        <v>72</v>
      </c>
      <c r="C19" s="45">
        <v>49130</v>
      </c>
      <c r="D19" s="70">
        <v>59844</v>
      </c>
      <c r="E19" s="70">
        <v>68065</v>
      </c>
      <c r="F19" s="70">
        <v>78332</v>
      </c>
      <c r="G19" s="70">
        <v>83791</v>
      </c>
      <c r="H19" s="70">
        <v>121298</v>
      </c>
      <c r="I19" s="111">
        <v>135606</v>
      </c>
      <c r="J19" s="111">
        <v>130140</v>
      </c>
      <c r="K19" s="70">
        <v>177925</v>
      </c>
      <c r="L19" s="70">
        <v>205011</v>
      </c>
      <c r="N19" s="59" t="s">
        <v>72</v>
      </c>
      <c r="O19" s="70">
        <v>121298</v>
      </c>
      <c r="P19" s="111">
        <v>135606</v>
      </c>
      <c r="Q19" s="111">
        <v>130140</v>
      </c>
      <c r="R19" s="70">
        <v>177925</v>
      </c>
      <c r="S19" s="70">
        <v>205011</v>
      </c>
    </row>
    <row r="20" spans="1:19" ht="15.75" x14ac:dyDescent="0.25">
      <c r="B20" s="59" t="s">
        <v>67</v>
      </c>
      <c r="C20" s="43">
        <v>313628</v>
      </c>
      <c r="D20" s="43">
        <v>380000</v>
      </c>
      <c r="E20" s="43">
        <v>418149</v>
      </c>
      <c r="F20" s="43">
        <v>406274</v>
      </c>
      <c r="G20" s="44">
        <v>467763</v>
      </c>
      <c r="H20" s="43">
        <v>568017</v>
      </c>
      <c r="I20" s="43">
        <v>675781</v>
      </c>
      <c r="J20" s="43">
        <v>742145</v>
      </c>
      <c r="K20" s="43">
        <v>851060</v>
      </c>
      <c r="L20" s="43">
        <v>964961</v>
      </c>
      <c r="N20" s="59" t="s">
        <v>67</v>
      </c>
      <c r="O20" s="43">
        <v>568017</v>
      </c>
      <c r="P20" s="43">
        <v>675781</v>
      </c>
      <c r="Q20" s="43">
        <v>742145</v>
      </c>
      <c r="R20" s="43">
        <v>851060</v>
      </c>
      <c r="S20" s="43">
        <v>964961</v>
      </c>
    </row>
    <row r="21" spans="1:19" x14ac:dyDescent="0.25">
      <c r="B21" s="203" t="s">
        <v>206</v>
      </c>
      <c r="C21" s="186">
        <f>C$20/C$19</f>
        <v>6.3836352534093219</v>
      </c>
      <c r="D21" s="186">
        <f t="shared" ref="D21:L21" si="3">D$20/D$19</f>
        <v>6.3498429249381729</v>
      </c>
      <c r="E21" s="186">
        <f t="shared" si="3"/>
        <v>6.1433776537133626</v>
      </c>
      <c r="F21" s="186">
        <f t="shared" si="3"/>
        <v>5.1865648777000457</v>
      </c>
      <c r="G21" s="186">
        <f t="shared" si="3"/>
        <v>5.5824969268775879</v>
      </c>
      <c r="H21" s="186">
        <f t="shared" si="3"/>
        <v>4.6828224702798069</v>
      </c>
      <c r="I21" s="186">
        <f t="shared" si="3"/>
        <v>4.9834151881185198</v>
      </c>
      <c r="J21" s="186">
        <f t="shared" si="3"/>
        <v>5.702666359305363</v>
      </c>
      <c r="K21" s="186">
        <f t="shared" si="3"/>
        <v>4.7832513699592525</v>
      </c>
      <c r="L21" s="186">
        <f t="shared" si="3"/>
        <v>4.706874265283326</v>
      </c>
      <c r="N21" s="203" t="s">
        <v>206</v>
      </c>
      <c r="O21" s="186">
        <v>4.6828224702798069</v>
      </c>
      <c r="P21" s="186">
        <v>4.9834151881185198</v>
      </c>
      <c r="Q21" s="186">
        <v>5.702666359305363</v>
      </c>
      <c r="R21" s="186">
        <v>4.7832513699592525</v>
      </c>
      <c r="S21" s="186">
        <v>4.706874265283326</v>
      </c>
    </row>
    <row r="23" spans="1:19" x14ac:dyDescent="0.25">
      <c r="A23" s="207" t="s">
        <v>204</v>
      </c>
      <c r="B23" s="208" t="s">
        <v>205</v>
      </c>
    </row>
    <row r="25" spans="1:19" ht="15.75" x14ac:dyDescent="0.25">
      <c r="B25" s="37" t="s">
        <v>61</v>
      </c>
      <c r="C25" s="21">
        <v>2010</v>
      </c>
      <c r="D25" s="21">
        <v>2011</v>
      </c>
      <c r="E25" s="21">
        <v>2012</v>
      </c>
      <c r="F25" s="21">
        <v>2013</v>
      </c>
      <c r="G25" s="21">
        <v>2014</v>
      </c>
      <c r="H25" s="21">
        <v>2015</v>
      </c>
      <c r="I25" s="21">
        <v>2016</v>
      </c>
      <c r="J25" s="21">
        <v>2017</v>
      </c>
      <c r="K25" s="21">
        <v>2018</v>
      </c>
      <c r="L25" s="21">
        <v>2019</v>
      </c>
      <c r="N25" s="211" t="s">
        <v>61</v>
      </c>
      <c r="O25" s="21">
        <v>2015</v>
      </c>
      <c r="P25" s="21">
        <v>2016</v>
      </c>
      <c r="Q25" s="21">
        <v>2017</v>
      </c>
      <c r="R25" s="21">
        <v>2018</v>
      </c>
      <c r="S25" s="21">
        <v>2019</v>
      </c>
    </row>
    <row r="26" spans="1:19" ht="15.75" x14ac:dyDescent="0.25">
      <c r="B26" s="59" t="s">
        <v>67</v>
      </c>
      <c r="C26" s="43">
        <v>313628</v>
      </c>
      <c r="D26" s="43">
        <v>380000</v>
      </c>
      <c r="E26" s="43">
        <v>418149</v>
      </c>
      <c r="F26" s="43">
        <v>406274</v>
      </c>
      <c r="G26" s="44">
        <v>467763</v>
      </c>
      <c r="H26" s="43">
        <v>568017</v>
      </c>
      <c r="I26" s="43">
        <v>675781</v>
      </c>
      <c r="J26" s="43">
        <v>742145</v>
      </c>
      <c r="K26" s="43">
        <v>851060</v>
      </c>
      <c r="L26" s="43">
        <v>964961</v>
      </c>
      <c r="N26" s="59" t="s">
        <v>67</v>
      </c>
      <c r="O26" s="43">
        <v>568017</v>
      </c>
      <c r="P26" s="43">
        <v>675781</v>
      </c>
      <c r="Q26" s="43">
        <v>742145</v>
      </c>
      <c r="R26" s="43">
        <v>851060</v>
      </c>
      <c r="S26" s="43">
        <v>964961</v>
      </c>
    </row>
    <row r="27" spans="1:19" ht="15.75" x14ac:dyDescent="0.25">
      <c r="B27" s="59" t="s">
        <v>68</v>
      </c>
      <c r="C27" s="43">
        <v>157419</v>
      </c>
      <c r="D27" s="43">
        <v>132686</v>
      </c>
      <c r="E27" s="43">
        <v>125162</v>
      </c>
      <c r="F27" s="43">
        <v>151670</v>
      </c>
      <c r="G27" s="44">
        <v>180144</v>
      </c>
      <c r="H27" s="43">
        <v>217840</v>
      </c>
      <c r="I27" s="43">
        <v>213911</v>
      </c>
      <c r="J27" s="43">
        <v>243636</v>
      </c>
      <c r="K27" s="43">
        <v>310132</v>
      </c>
      <c r="L27" s="43">
        <v>342360</v>
      </c>
      <c r="N27" s="59" t="s">
        <v>68</v>
      </c>
      <c r="O27" s="43">
        <v>217840</v>
      </c>
      <c r="P27" s="43">
        <v>213911</v>
      </c>
      <c r="Q27" s="43">
        <v>243636</v>
      </c>
      <c r="R27" s="43">
        <v>310132</v>
      </c>
      <c r="S27" s="43">
        <v>342360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Pasiva</vt:lpstr>
      <vt:lpstr>Odvětví</vt:lpstr>
      <vt:lpstr>Horizontální analýza</vt:lpstr>
      <vt:lpstr>Vertikální analýza</vt:lpstr>
      <vt:lpstr>Zadluženost</vt:lpstr>
      <vt:lpstr>Likvidita</vt:lpstr>
      <vt:lpstr>Rentabilita</vt:lpstr>
      <vt:lpstr>Finanční páka</vt:lpstr>
      <vt:lpstr>Bilanční pravidla</vt:lpstr>
      <vt:lpstr>Bod indiference</vt:lpstr>
      <vt:lpstr>Náklady</vt:lpstr>
      <vt:lpstr>Benchmarking - re</vt:lpstr>
      <vt:lpstr>U-křivka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2021-03-16T19:14:55Z</dcterms:created>
  <dcterms:modified xsi:type="dcterms:W3CDTF">2021-03-30T10:53:18Z</dcterms:modified>
</cp:coreProperties>
</file>