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shop\Downloads\"/>
    </mc:Choice>
  </mc:AlternateContent>
  <xr:revisionPtr revIDLastSave="0" documentId="13_ncr:1_{4AAFA3C1-A892-4C8E-9909-84ADFBC2084E}" xr6:coauthVersionLast="46" xr6:coauthVersionMax="46" xr10:uidLastSave="{00000000-0000-0000-0000-000000000000}"/>
  <bookViews>
    <workbookView xWindow="-110" yWindow="-110" windowWidth="19420" windowHeight="10420" xr2:uid="{00000000-000D-0000-FFFF-FFFF00000000}"/>
  </bookViews>
  <sheets>
    <sheet name="DP" sheetId="16" r:id="rId1"/>
    <sheet name="MB - celková hodnota půdy" sheetId="15" r:id="rId2"/>
    <sheet name="MB - mimoprodukční f.p." sheetId="14" r:id="rId3"/>
    <sheet name="MB - produkční f.p." sheetId="13" r:id="rId4"/>
    <sheet name="MB - produkční proměnné" sheetId="11" r:id="rId5"/>
    <sheet name="MB - produkční stabilní" sheetId="12" r:id="rId6"/>
    <sheet name="Body" sheetId="2" r:id="rId7"/>
    <sheet name="Statistika okresy" sheetId="10" r:id="rId8"/>
    <sheet name="Saaty matice vah" sheetId="5" r:id="rId9"/>
    <sheet name="Souradnice" sheetId="9" r:id="rId10"/>
    <sheet name="Zdroj data" sheetId="1" r:id="rId11"/>
    <sheet name="List2" sheetId="6" state="hidden" r:id="rId12"/>
    <sheet name="Zdroj hloubka okresy" sheetId="7" r:id="rId13"/>
    <sheet name="Odhad BD" sheetId="3" state="hidden" r:id="rId14"/>
  </sheets>
  <definedNames>
    <definedName name="_xlnm._FilterDatabase" localSheetId="1" hidden="1">'MB - celková hodnota půdy'!$A$1:$A$48</definedName>
    <definedName name="_xlnm._FilterDatabase" localSheetId="13" hidden="1">'Odhad BD'!$A$1:$I$692</definedName>
    <definedName name="_xlnm._FilterDatabase" localSheetId="7" hidden="1">'Statistika okresy'!$A$6:$AK$6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8" i="14" l="1"/>
  <c r="B48" i="15"/>
  <c r="C48" i="14"/>
  <c r="B48" i="14"/>
  <c r="C48" i="13"/>
  <c r="D48" i="13"/>
  <c r="E48" i="13"/>
  <c r="F48" i="13"/>
  <c r="G48" i="13"/>
  <c r="B48" i="13"/>
  <c r="C48" i="12"/>
  <c r="D48" i="12"/>
  <c r="E48" i="12"/>
  <c r="F48" i="12"/>
  <c r="G48" i="12"/>
  <c r="H48" i="12"/>
  <c r="I48" i="12"/>
  <c r="B48" i="12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B48" i="11"/>
  <c r="N3" i="10"/>
  <c r="D3" i="2"/>
  <c r="E3" i="2"/>
  <c r="F3" i="2"/>
  <c r="G3" i="2"/>
  <c r="H3" i="2"/>
  <c r="I3" i="2"/>
  <c r="L3" i="2"/>
  <c r="M3" i="2"/>
  <c r="N3" i="2"/>
  <c r="O3" i="2"/>
  <c r="P3" i="2"/>
  <c r="S3" i="2"/>
  <c r="T3" i="2"/>
  <c r="U3" i="2"/>
  <c r="X3" i="2"/>
  <c r="Y3" i="2"/>
  <c r="AA3" i="2"/>
  <c r="AB3" i="2"/>
  <c r="AA107" i="10"/>
  <c r="AB107" i="10"/>
  <c r="S107" i="10"/>
  <c r="T107" i="10"/>
  <c r="U107" i="10"/>
  <c r="X107" i="10"/>
  <c r="Y107" i="10"/>
  <c r="D107" i="10"/>
  <c r="E107" i="10"/>
  <c r="F107" i="10"/>
  <c r="G107" i="10"/>
  <c r="H107" i="10"/>
  <c r="I107" i="10"/>
  <c r="L107" i="10"/>
  <c r="M107" i="10"/>
  <c r="N107" i="10"/>
  <c r="O107" i="10"/>
  <c r="P107" i="10"/>
  <c r="I173" i="10"/>
  <c r="I8" i="10"/>
  <c r="I12" i="10"/>
  <c r="AT35" i="2"/>
  <c r="AJ30" i="2" s="1"/>
  <c r="S17" i="2"/>
  <c r="S121" i="10" s="1"/>
  <c r="P2" i="9"/>
  <c r="P3" i="9" s="1"/>
  <c r="Q2" i="9"/>
  <c r="Q3" i="9" s="1"/>
  <c r="R2" i="9"/>
  <c r="R3" i="9" s="1"/>
  <c r="S2" i="9"/>
  <c r="S3" i="9" s="1"/>
  <c r="T2" i="9"/>
  <c r="T3" i="9" s="1"/>
  <c r="U2" i="9"/>
  <c r="U3" i="9" s="1"/>
  <c r="V2" i="9"/>
  <c r="V3" i="9" s="1"/>
  <c r="P4" i="9"/>
  <c r="Q4" i="9"/>
  <c r="R4" i="9"/>
  <c r="S4" i="9"/>
  <c r="T4" i="9"/>
  <c r="U4" i="9"/>
  <c r="V4" i="9"/>
  <c r="O4" i="9"/>
  <c r="O2" i="9"/>
  <c r="O3" i="9" s="1"/>
  <c r="I30" i="5"/>
  <c r="J28" i="5" s="1"/>
  <c r="I29" i="5"/>
  <c r="J29" i="5" s="1"/>
  <c r="I28" i="5"/>
  <c r="AA15" i="2"/>
  <c r="AA119" i="10" s="1"/>
  <c r="AA16" i="2"/>
  <c r="AA120" i="10" s="1"/>
  <c r="AA17" i="2"/>
  <c r="AA121" i="10" s="1"/>
  <c r="AA18" i="2"/>
  <c r="AA122" i="10" s="1"/>
  <c r="AA19" i="2"/>
  <c r="AA123" i="10" s="1"/>
  <c r="AA20" i="2"/>
  <c r="AA124" i="10" s="1"/>
  <c r="AA21" i="2"/>
  <c r="AA125" i="10" s="1"/>
  <c r="AA22" i="2"/>
  <c r="AA126" i="10" s="1"/>
  <c r="AA23" i="2"/>
  <c r="AA127" i="10" s="1"/>
  <c r="AA24" i="2"/>
  <c r="AA128" i="10" s="1"/>
  <c r="AA25" i="2"/>
  <c r="AA129" i="10" s="1"/>
  <c r="AA26" i="2"/>
  <c r="AA130" i="10" s="1"/>
  <c r="AA27" i="2"/>
  <c r="AA131" i="10" s="1"/>
  <c r="AA28" i="2"/>
  <c r="AA132" i="10" s="1"/>
  <c r="AA29" i="2"/>
  <c r="AA133" i="10" s="1"/>
  <c r="AA30" i="2"/>
  <c r="AA134" i="10" s="1"/>
  <c r="AA31" i="2"/>
  <c r="AA135" i="10" s="1"/>
  <c r="AA32" i="2"/>
  <c r="AA136" i="10" s="1"/>
  <c r="AA33" i="2"/>
  <c r="AA137" i="10" s="1"/>
  <c r="AA34" i="2"/>
  <c r="AA138" i="10" s="1"/>
  <c r="AA35" i="2"/>
  <c r="AA139" i="10" s="1"/>
  <c r="AA36" i="2"/>
  <c r="AA140" i="10" s="1"/>
  <c r="AA37" i="2"/>
  <c r="AA141" i="10" s="1"/>
  <c r="AA38" i="2"/>
  <c r="AA142" i="10" s="1"/>
  <c r="AA39" i="2"/>
  <c r="AA143" i="10" s="1"/>
  <c r="AA40" i="2"/>
  <c r="AA144" i="10" s="1"/>
  <c r="AA41" i="2"/>
  <c r="AA145" i="10" s="1"/>
  <c r="AA42" i="2"/>
  <c r="AA146" i="10" s="1"/>
  <c r="AA43" i="2"/>
  <c r="AA147" i="10" s="1"/>
  <c r="AA44" i="2"/>
  <c r="AA148" i="10" s="1"/>
  <c r="AA45" i="2"/>
  <c r="AA149" i="10" s="1"/>
  <c r="AA46" i="2"/>
  <c r="AA47" i="2"/>
  <c r="AA150" i="10" s="1"/>
  <c r="AA48" i="2"/>
  <c r="AA151" i="10" s="1"/>
  <c r="AA49" i="2"/>
  <c r="AA152" i="10" s="1"/>
  <c r="AA50" i="2"/>
  <c r="AA153" i="10" s="1"/>
  <c r="AA51" i="2"/>
  <c r="AA154" i="10" s="1"/>
  <c r="AA52" i="2"/>
  <c r="AA155" i="10" s="1"/>
  <c r="AA53" i="2"/>
  <c r="AA61" i="10" s="1"/>
  <c r="AA54" i="2"/>
  <c r="AA62" i="10" s="1"/>
  <c r="AA55" i="2"/>
  <c r="AA63" i="10" s="1"/>
  <c r="AA56" i="2"/>
  <c r="AA64" i="10" s="1"/>
  <c r="AA57" i="2"/>
  <c r="AA65" i="10" s="1"/>
  <c r="AA58" i="2"/>
  <c r="AA66" i="10" s="1"/>
  <c r="AA59" i="2"/>
  <c r="AA67" i="10" s="1"/>
  <c r="AA60" i="2"/>
  <c r="AA68" i="10" s="1"/>
  <c r="AA61" i="2"/>
  <c r="AA69" i="10" s="1"/>
  <c r="AA62" i="2"/>
  <c r="AA70" i="10" s="1"/>
  <c r="AA63" i="2"/>
  <c r="AA71" i="10" s="1"/>
  <c r="AA64" i="2"/>
  <c r="AA72" i="10" s="1"/>
  <c r="AA65" i="2"/>
  <c r="AA73" i="10" s="1"/>
  <c r="AA66" i="2"/>
  <c r="AA7" i="10" s="1"/>
  <c r="AA67" i="2"/>
  <c r="AA8" i="10" s="1"/>
  <c r="AA68" i="2"/>
  <c r="AA9" i="10" s="1"/>
  <c r="AA69" i="2"/>
  <c r="AA10" i="10" s="1"/>
  <c r="AA70" i="2"/>
  <c r="AA11" i="10" s="1"/>
  <c r="AA71" i="2"/>
  <c r="AA12" i="10" s="1"/>
  <c r="AA72" i="2"/>
  <c r="AA13" i="10" s="1"/>
  <c r="AA73" i="2"/>
  <c r="AA14" i="10" s="1"/>
  <c r="AA74" i="2"/>
  <c r="AA75" i="2"/>
  <c r="AA15" i="10" s="1"/>
  <c r="AA76" i="2"/>
  <c r="AA16" i="10" s="1"/>
  <c r="AA77" i="2"/>
  <c r="AA17" i="10" s="1"/>
  <c r="AA78" i="2"/>
  <c r="AA18" i="10" s="1"/>
  <c r="AA79" i="2"/>
  <c r="AA80" i="2"/>
  <c r="AA19" i="10" s="1"/>
  <c r="AA81" i="2"/>
  <c r="AA20" i="10" s="1"/>
  <c r="AA82" i="2"/>
  <c r="AA156" i="10" s="1"/>
  <c r="AA83" i="2"/>
  <c r="AA157" i="10" s="1"/>
  <c r="AA84" i="2"/>
  <c r="AA158" i="10" s="1"/>
  <c r="AA85" i="2"/>
  <c r="AA159" i="10" s="1"/>
  <c r="AA86" i="2"/>
  <c r="AA160" i="10" s="1"/>
  <c r="AA87" i="2"/>
  <c r="AA161" i="10" s="1"/>
  <c r="AA88" i="2"/>
  <c r="AA162" i="10" s="1"/>
  <c r="AA89" i="2"/>
  <c r="AA163" i="10" s="1"/>
  <c r="AA90" i="2"/>
  <c r="AA164" i="10" s="1"/>
  <c r="AA91" i="2"/>
  <c r="AA165" i="10" s="1"/>
  <c r="AA92" i="2"/>
  <c r="AA166" i="10" s="1"/>
  <c r="AA93" i="2"/>
  <c r="AA167" i="10" s="1"/>
  <c r="AA94" i="2"/>
  <c r="AA168" i="10" s="1"/>
  <c r="AA95" i="2"/>
  <c r="AA169" i="10" s="1"/>
  <c r="AA96" i="2"/>
  <c r="AA170" i="10" s="1"/>
  <c r="AA97" i="2"/>
  <c r="AA171" i="10" s="1"/>
  <c r="AA98" i="2"/>
  <c r="AA172" i="10" s="1"/>
  <c r="AA99" i="2"/>
  <c r="AA173" i="10" s="1"/>
  <c r="AA100" i="2"/>
  <c r="AA21" i="10" s="1"/>
  <c r="AA101" i="2"/>
  <c r="AA22" i="10" s="1"/>
  <c r="AA102" i="2"/>
  <c r="AA23" i="10" s="1"/>
  <c r="AA103" i="2"/>
  <c r="AA24" i="10" s="1"/>
  <c r="AA104" i="2"/>
  <c r="AA25" i="10" s="1"/>
  <c r="AA105" i="2"/>
  <c r="AA26" i="10" s="1"/>
  <c r="AA106" i="2"/>
  <c r="AA27" i="10" s="1"/>
  <c r="AA107" i="2"/>
  <c r="AA28" i="10" s="1"/>
  <c r="AA108" i="2"/>
  <c r="AA29" i="10" s="1"/>
  <c r="AA109" i="2"/>
  <c r="AA30" i="10" s="1"/>
  <c r="AA110" i="2"/>
  <c r="AA31" i="10" s="1"/>
  <c r="AA111" i="2"/>
  <c r="AA32" i="10" s="1"/>
  <c r="AA112" i="2"/>
  <c r="AA33" i="10" s="1"/>
  <c r="AA113" i="2"/>
  <c r="AA34" i="10" s="1"/>
  <c r="AA114" i="2"/>
  <c r="AA35" i="10" s="1"/>
  <c r="AA115" i="2"/>
  <c r="AA36" i="10" s="1"/>
  <c r="AA116" i="2"/>
  <c r="AA37" i="10" s="1"/>
  <c r="AA117" i="2"/>
  <c r="AA38" i="10" s="1"/>
  <c r="AA118" i="2"/>
  <c r="AA39" i="10" s="1"/>
  <c r="AA119" i="2"/>
  <c r="AA40" i="10" s="1"/>
  <c r="AA120" i="2"/>
  <c r="AA41" i="10" s="1"/>
  <c r="AA121" i="2"/>
  <c r="AA42" i="10" s="1"/>
  <c r="AA122" i="2"/>
  <c r="AA43" i="10" s="1"/>
  <c r="AA123" i="2"/>
  <c r="AA44" i="10" s="1"/>
  <c r="AA124" i="2"/>
  <c r="AA45" i="10" s="1"/>
  <c r="AA125" i="2"/>
  <c r="AA46" i="10" s="1"/>
  <c r="AA126" i="2"/>
  <c r="AA47" i="10" s="1"/>
  <c r="AA127" i="2"/>
  <c r="AA48" i="10" s="1"/>
  <c r="AA128" i="2"/>
  <c r="AA49" i="10" s="1"/>
  <c r="AA129" i="2"/>
  <c r="AA50" i="10" s="1"/>
  <c r="AA130" i="2"/>
  <c r="AA51" i="10" s="1"/>
  <c r="AA131" i="2"/>
  <c r="AA52" i="10" s="1"/>
  <c r="AA132" i="2"/>
  <c r="AA53" i="10" s="1"/>
  <c r="AA133" i="2"/>
  <c r="AA54" i="10" s="1"/>
  <c r="AA134" i="2"/>
  <c r="AA55" i="10" s="1"/>
  <c r="AA135" i="2"/>
  <c r="AA56" i="10" s="1"/>
  <c r="AA136" i="2"/>
  <c r="AA57" i="10" s="1"/>
  <c r="AA137" i="2"/>
  <c r="AA58" i="10" s="1"/>
  <c r="AA138" i="2"/>
  <c r="AA59" i="10" s="1"/>
  <c r="AA139" i="2"/>
  <c r="AA60" i="10" s="1"/>
  <c r="AA140" i="2"/>
  <c r="AA74" i="10" s="1"/>
  <c r="AA141" i="2"/>
  <c r="AA75" i="10" s="1"/>
  <c r="AA142" i="2"/>
  <c r="AA76" i="10" s="1"/>
  <c r="AA143" i="2"/>
  <c r="AA77" i="10" s="1"/>
  <c r="AA144" i="2"/>
  <c r="AA78" i="10" s="1"/>
  <c r="AA145" i="2"/>
  <c r="AA79" i="10" s="1"/>
  <c r="AA146" i="2"/>
  <c r="AA80" i="10" s="1"/>
  <c r="AA147" i="2"/>
  <c r="AA81" i="10" s="1"/>
  <c r="AA148" i="2"/>
  <c r="AA82" i="10" s="1"/>
  <c r="AA149" i="2"/>
  <c r="AA83" i="10" s="1"/>
  <c r="AA150" i="2"/>
  <c r="AA84" i="10" s="1"/>
  <c r="AA151" i="2"/>
  <c r="AA85" i="10" s="1"/>
  <c r="AA152" i="2"/>
  <c r="AA86" i="10" s="1"/>
  <c r="AA153" i="2"/>
  <c r="AA87" i="10" s="1"/>
  <c r="AA154" i="2"/>
  <c r="AA88" i="10" s="1"/>
  <c r="AA155" i="2"/>
  <c r="AA89" i="10" s="1"/>
  <c r="AA156" i="2"/>
  <c r="AA90" i="10" s="1"/>
  <c r="AA157" i="2"/>
  <c r="AA91" i="10" s="1"/>
  <c r="AA158" i="2"/>
  <c r="AA92" i="10" s="1"/>
  <c r="AA159" i="2"/>
  <c r="AA93" i="10" s="1"/>
  <c r="AA160" i="2"/>
  <c r="AA94" i="10" s="1"/>
  <c r="AA161" i="2"/>
  <c r="AA95" i="10" s="1"/>
  <c r="AA162" i="2"/>
  <c r="AA96" i="10" s="1"/>
  <c r="AA163" i="2"/>
  <c r="AA97" i="10" s="1"/>
  <c r="AA164" i="2"/>
  <c r="AA98" i="10" s="1"/>
  <c r="AA165" i="2"/>
  <c r="AA99" i="10" s="1"/>
  <c r="AA166" i="2"/>
  <c r="AA100" i="10" s="1"/>
  <c r="AA167" i="2"/>
  <c r="AA101" i="10" s="1"/>
  <c r="AA168" i="2"/>
  <c r="AA102" i="10" s="1"/>
  <c r="AA169" i="2"/>
  <c r="AA103" i="10" s="1"/>
  <c r="AA170" i="2"/>
  <c r="AA104" i="10" s="1"/>
  <c r="AA171" i="2"/>
  <c r="AA105" i="10" s="1"/>
  <c r="AA172" i="2"/>
  <c r="AA106" i="10" s="1"/>
  <c r="AA4" i="2"/>
  <c r="AA108" i="10" s="1"/>
  <c r="AA5" i="2"/>
  <c r="AA109" i="10" s="1"/>
  <c r="AA6" i="2"/>
  <c r="AA110" i="10" s="1"/>
  <c r="AA7" i="2"/>
  <c r="AA111" i="10" s="1"/>
  <c r="AA4" i="10" s="1"/>
  <c r="AA8" i="2"/>
  <c r="AA112" i="10" s="1"/>
  <c r="AA9" i="2"/>
  <c r="AA113" i="10" s="1"/>
  <c r="AA10" i="2"/>
  <c r="AA114" i="10" s="1"/>
  <c r="AA11" i="2"/>
  <c r="AA115" i="10" s="1"/>
  <c r="AA12" i="2"/>
  <c r="AA116" i="10" s="1"/>
  <c r="AA13" i="2"/>
  <c r="AA117" i="10" s="1"/>
  <c r="AA14" i="2"/>
  <c r="AA118" i="10" s="1"/>
  <c r="AB17" i="2"/>
  <c r="AB121" i="10" s="1"/>
  <c r="AB18" i="2"/>
  <c r="AB122" i="10" s="1"/>
  <c r="AB19" i="2"/>
  <c r="AB123" i="10" s="1"/>
  <c r="AB20" i="2"/>
  <c r="AB124" i="10" s="1"/>
  <c r="AB21" i="2"/>
  <c r="AB125" i="10" s="1"/>
  <c r="AB22" i="2"/>
  <c r="AB126" i="10" s="1"/>
  <c r="AB23" i="2"/>
  <c r="AB127" i="10" s="1"/>
  <c r="AB24" i="2"/>
  <c r="AB128" i="10" s="1"/>
  <c r="AB25" i="2"/>
  <c r="AB129" i="10" s="1"/>
  <c r="AB26" i="2"/>
  <c r="AB130" i="10" s="1"/>
  <c r="AB27" i="2"/>
  <c r="AB131" i="10" s="1"/>
  <c r="AB28" i="2"/>
  <c r="AB132" i="10" s="1"/>
  <c r="AB29" i="2"/>
  <c r="AB133" i="10" s="1"/>
  <c r="AB30" i="2"/>
  <c r="AB134" i="10" s="1"/>
  <c r="AB31" i="2"/>
  <c r="AB135" i="10" s="1"/>
  <c r="AB32" i="2"/>
  <c r="AB136" i="10" s="1"/>
  <c r="AB33" i="2"/>
  <c r="AB137" i="10" s="1"/>
  <c r="AB34" i="2"/>
  <c r="AB138" i="10" s="1"/>
  <c r="AB35" i="2"/>
  <c r="AB139" i="10" s="1"/>
  <c r="AB36" i="2"/>
  <c r="AB140" i="10" s="1"/>
  <c r="AB37" i="2"/>
  <c r="AB141" i="10" s="1"/>
  <c r="AB38" i="2"/>
  <c r="AB142" i="10" s="1"/>
  <c r="AB39" i="2"/>
  <c r="AB143" i="10" s="1"/>
  <c r="AB40" i="2"/>
  <c r="AB144" i="10" s="1"/>
  <c r="AB41" i="2"/>
  <c r="AB145" i="10" s="1"/>
  <c r="AB42" i="2"/>
  <c r="AB146" i="10" s="1"/>
  <c r="AB43" i="2"/>
  <c r="AB147" i="10" s="1"/>
  <c r="AB44" i="2"/>
  <c r="AB148" i="10" s="1"/>
  <c r="AB45" i="2"/>
  <c r="AB149" i="10" s="1"/>
  <c r="AB46" i="2"/>
  <c r="AB47" i="2"/>
  <c r="AB150" i="10" s="1"/>
  <c r="AB48" i="2"/>
  <c r="AB151" i="10" s="1"/>
  <c r="AB49" i="2"/>
  <c r="AB152" i="10" s="1"/>
  <c r="AB50" i="2"/>
  <c r="AB153" i="10" s="1"/>
  <c r="AB51" i="2"/>
  <c r="AB154" i="10" s="1"/>
  <c r="AB52" i="2"/>
  <c r="AB155" i="10" s="1"/>
  <c r="AB53" i="2"/>
  <c r="AB61" i="10" s="1"/>
  <c r="AB54" i="2"/>
  <c r="AB62" i="10" s="1"/>
  <c r="AB55" i="2"/>
  <c r="AB63" i="10" s="1"/>
  <c r="AB56" i="2"/>
  <c r="AB64" i="10" s="1"/>
  <c r="AB57" i="2"/>
  <c r="AB65" i="10" s="1"/>
  <c r="AB58" i="2"/>
  <c r="AB66" i="10" s="1"/>
  <c r="AB59" i="2"/>
  <c r="AB67" i="10" s="1"/>
  <c r="AB60" i="2"/>
  <c r="AB68" i="10" s="1"/>
  <c r="AB61" i="2"/>
  <c r="AB69" i="10" s="1"/>
  <c r="AB62" i="2"/>
  <c r="AB70" i="10" s="1"/>
  <c r="AB63" i="2"/>
  <c r="AB71" i="10" s="1"/>
  <c r="AB64" i="2"/>
  <c r="AB72" i="10" s="1"/>
  <c r="AB65" i="2"/>
  <c r="AB73" i="10" s="1"/>
  <c r="AB66" i="2"/>
  <c r="AB7" i="10" s="1"/>
  <c r="AB67" i="2"/>
  <c r="AB8" i="10" s="1"/>
  <c r="AB68" i="2"/>
  <c r="AB9" i="10" s="1"/>
  <c r="AB69" i="2"/>
  <c r="AB10" i="10" s="1"/>
  <c r="AB70" i="2"/>
  <c r="AB11" i="10" s="1"/>
  <c r="AB71" i="2"/>
  <c r="AB12" i="10" s="1"/>
  <c r="AB72" i="2"/>
  <c r="AB13" i="10" s="1"/>
  <c r="AB73" i="2"/>
  <c r="AB14" i="10" s="1"/>
  <c r="AB74" i="2"/>
  <c r="AB75" i="2"/>
  <c r="AB15" i="10" s="1"/>
  <c r="AB76" i="2"/>
  <c r="AB16" i="10" s="1"/>
  <c r="AB77" i="2"/>
  <c r="AB17" i="10" s="1"/>
  <c r="AB78" i="2"/>
  <c r="AB18" i="10" s="1"/>
  <c r="AB79" i="2"/>
  <c r="AB80" i="2"/>
  <c r="AB19" i="10" s="1"/>
  <c r="AB81" i="2"/>
  <c r="AB20" i="10" s="1"/>
  <c r="AB82" i="2"/>
  <c r="AB156" i="10" s="1"/>
  <c r="AB83" i="2"/>
  <c r="AB157" i="10" s="1"/>
  <c r="AB84" i="2"/>
  <c r="AB158" i="10" s="1"/>
  <c r="AB85" i="2"/>
  <c r="AB159" i="10" s="1"/>
  <c r="AB86" i="2"/>
  <c r="AB160" i="10" s="1"/>
  <c r="AB87" i="2"/>
  <c r="AB161" i="10" s="1"/>
  <c r="AB88" i="2"/>
  <c r="AB162" i="10" s="1"/>
  <c r="AB89" i="2"/>
  <c r="AB163" i="10" s="1"/>
  <c r="AB90" i="2"/>
  <c r="AB164" i="10" s="1"/>
  <c r="AB91" i="2"/>
  <c r="AB165" i="10" s="1"/>
  <c r="AB92" i="2"/>
  <c r="AB166" i="10" s="1"/>
  <c r="AB93" i="2"/>
  <c r="AB167" i="10" s="1"/>
  <c r="AB94" i="2"/>
  <c r="AB168" i="10" s="1"/>
  <c r="AB95" i="2"/>
  <c r="AB169" i="10" s="1"/>
  <c r="AB96" i="2"/>
  <c r="AB170" i="10" s="1"/>
  <c r="AB97" i="2"/>
  <c r="AB171" i="10" s="1"/>
  <c r="AB98" i="2"/>
  <c r="AB172" i="10" s="1"/>
  <c r="AB99" i="2"/>
  <c r="AB173" i="10" s="1"/>
  <c r="AB100" i="2"/>
  <c r="AB21" i="10" s="1"/>
  <c r="AB101" i="2"/>
  <c r="AB22" i="10" s="1"/>
  <c r="AB102" i="2"/>
  <c r="AB23" i="10" s="1"/>
  <c r="AB103" i="2"/>
  <c r="AB24" i="10" s="1"/>
  <c r="AB104" i="2"/>
  <c r="AB25" i="10" s="1"/>
  <c r="AB105" i="2"/>
  <c r="AB26" i="10" s="1"/>
  <c r="AB106" i="2"/>
  <c r="AB27" i="10" s="1"/>
  <c r="AB107" i="2"/>
  <c r="AB28" i="10" s="1"/>
  <c r="AB108" i="2"/>
  <c r="AB29" i="10" s="1"/>
  <c r="AB109" i="2"/>
  <c r="AB30" i="10" s="1"/>
  <c r="AB110" i="2"/>
  <c r="AB31" i="10" s="1"/>
  <c r="AB111" i="2"/>
  <c r="AB32" i="10" s="1"/>
  <c r="AB112" i="2"/>
  <c r="AB33" i="10" s="1"/>
  <c r="AB113" i="2"/>
  <c r="AB34" i="10" s="1"/>
  <c r="AB114" i="2"/>
  <c r="AB35" i="10" s="1"/>
  <c r="AB115" i="2"/>
  <c r="AB36" i="10" s="1"/>
  <c r="AB116" i="2"/>
  <c r="AB37" i="10" s="1"/>
  <c r="AB117" i="2"/>
  <c r="AB38" i="10" s="1"/>
  <c r="AB118" i="2"/>
  <c r="AB39" i="10" s="1"/>
  <c r="AB119" i="2"/>
  <c r="AB40" i="10" s="1"/>
  <c r="AB120" i="2"/>
  <c r="AB41" i="10" s="1"/>
  <c r="AB121" i="2"/>
  <c r="AB42" i="10" s="1"/>
  <c r="AB122" i="2"/>
  <c r="AB43" i="10" s="1"/>
  <c r="AB123" i="2"/>
  <c r="AB44" i="10" s="1"/>
  <c r="AB124" i="2"/>
  <c r="AB45" i="10" s="1"/>
  <c r="AB125" i="2"/>
  <c r="AB46" i="10" s="1"/>
  <c r="AB126" i="2"/>
  <c r="AB47" i="10" s="1"/>
  <c r="AB127" i="2"/>
  <c r="AB48" i="10" s="1"/>
  <c r="AB128" i="2"/>
  <c r="AB49" i="10" s="1"/>
  <c r="AB129" i="2"/>
  <c r="AB50" i="10" s="1"/>
  <c r="AB130" i="2"/>
  <c r="AB51" i="10" s="1"/>
  <c r="AB131" i="2"/>
  <c r="AB52" i="10" s="1"/>
  <c r="AB132" i="2"/>
  <c r="AB53" i="10" s="1"/>
  <c r="AB133" i="2"/>
  <c r="AB54" i="10" s="1"/>
  <c r="AB134" i="2"/>
  <c r="AB55" i="10" s="1"/>
  <c r="AB135" i="2"/>
  <c r="AB56" i="10" s="1"/>
  <c r="AB136" i="2"/>
  <c r="AB57" i="10" s="1"/>
  <c r="AB137" i="2"/>
  <c r="AB58" i="10" s="1"/>
  <c r="AB138" i="2"/>
  <c r="AB59" i="10" s="1"/>
  <c r="AB139" i="2"/>
  <c r="AB60" i="10" s="1"/>
  <c r="AB140" i="2"/>
  <c r="AB74" i="10" s="1"/>
  <c r="AB141" i="2"/>
  <c r="AB75" i="10" s="1"/>
  <c r="AB142" i="2"/>
  <c r="AB76" i="10" s="1"/>
  <c r="AB143" i="2"/>
  <c r="AB77" i="10" s="1"/>
  <c r="AB144" i="2"/>
  <c r="AB78" i="10" s="1"/>
  <c r="AB145" i="2"/>
  <c r="AB79" i="10" s="1"/>
  <c r="AB146" i="2"/>
  <c r="AB80" i="10" s="1"/>
  <c r="AB147" i="2"/>
  <c r="AB81" i="10" s="1"/>
  <c r="AB148" i="2"/>
  <c r="AB82" i="10" s="1"/>
  <c r="AB149" i="2"/>
  <c r="AB83" i="10" s="1"/>
  <c r="AB150" i="2"/>
  <c r="AB84" i="10" s="1"/>
  <c r="AB151" i="2"/>
  <c r="AB85" i="10" s="1"/>
  <c r="AB152" i="2"/>
  <c r="AB86" i="10" s="1"/>
  <c r="AB153" i="2"/>
  <c r="AB87" i="10" s="1"/>
  <c r="AB154" i="2"/>
  <c r="AB88" i="10" s="1"/>
  <c r="AB155" i="2"/>
  <c r="AB89" i="10" s="1"/>
  <c r="AB156" i="2"/>
  <c r="AB90" i="10" s="1"/>
  <c r="AB157" i="2"/>
  <c r="AB91" i="10" s="1"/>
  <c r="AB158" i="2"/>
  <c r="AB92" i="10" s="1"/>
  <c r="AB159" i="2"/>
  <c r="AB93" i="10" s="1"/>
  <c r="AB160" i="2"/>
  <c r="AB94" i="10" s="1"/>
  <c r="AB161" i="2"/>
  <c r="AB95" i="10" s="1"/>
  <c r="AB162" i="2"/>
  <c r="AB96" i="10" s="1"/>
  <c r="AB163" i="2"/>
  <c r="AB97" i="10" s="1"/>
  <c r="AB164" i="2"/>
  <c r="AB98" i="10" s="1"/>
  <c r="AB165" i="2"/>
  <c r="AB99" i="10" s="1"/>
  <c r="AB166" i="2"/>
  <c r="AB100" i="10" s="1"/>
  <c r="AB167" i="2"/>
  <c r="AB101" i="10" s="1"/>
  <c r="AB168" i="2"/>
  <c r="AB102" i="10" s="1"/>
  <c r="AB169" i="2"/>
  <c r="AB103" i="10" s="1"/>
  <c r="AB170" i="2"/>
  <c r="AB104" i="10" s="1"/>
  <c r="AB171" i="2"/>
  <c r="AB105" i="10" s="1"/>
  <c r="AB172" i="2"/>
  <c r="AB106" i="10" s="1"/>
  <c r="AB4" i="2"/>
  <c r="AB108" i="10" s="1"/>
  <c r="AB5" i="2"/>
  <c r="AB109" i="10" s="1"/>
  <c r="AB6" i="2"/>
  <c r="AB110" i="10" s="1"/>
  <c r="AB7" i="2"/>
  <c r="AB111" i="10" s="1"/>
  <c r="AB8" i="2"/>
  <c r="AB112" i="10" s="1"/>
  <c r="AB9" i="2"/>
  <c r="AB113" i="10" s="1"/>
  <c r="AB10" i="2"/>
  <c r="AB114" i="10" s="1"/>
  <c r="AB11" i="2"/>
  <c r="AB115" i="10" s="1"/>
  <c r="AB12" i="2"/>
  <c r="AB116" i="10" s="1"/>
  <c r="AB13" i="2"/>
  <c r="AB117" i="10" s="1"/>
  <c r="AB14" i="2"/>
  <c r="AB118" i="10" s="1"/>
  <c r="AB15" i="2"/>
  <c r="AB119" i="10" s="1"/>
  <c r="AB16" i="2"/>
  <c r="AB120" i="10" s="1"/>
  <c r="G44" i="2"/>
  <c r="G148" i="10" s="1"/>
  <c r="G45" i="2"/>
  <c r="G149" i="10" s="1"/>
  <c r="G46" i="2"/>
  <c r="C30" i="5"/>
  <c r="B30" i="5"/>
  <c r="F4" i="5"/>
  <c r="F46" i="2"/>
  <c r="F47" i="2"/>
  <c r="F150" i="10" s="1"/>
  <c r="G38" i="2"/>
  <c r="G142" i="10" s="1"/>
  <c r="G36" i="2"/>
  <c r="G140" i="10" s="1"/>
  <c r="G37" i="2"/>
  <c r="G141" i="10" s="1"/>
  <c r="I73" i="2"/>
  <c r="I14" i="10" s="1"/>
  <c r="I74" i="2"/>
  <c r="I75" i="2"/>
  <c r="I15" i="10" s="1"/>
  <c r="I76" i="2"/>
  <c r="I16" i="10" s="1"/>
  <c r="I77" i="2"/>
  <c r="I17" i="10" s="1"/>
  <c r="I78" i="2"/>
  <c r="I18" i="10" s="1"/>
  <c r="I79" i="2"/>
  <c r="I80" i="2"/>
  <c r="I19" i="10" s="1"/>
  <c r="I81" i="2"/>
  <c r="I20" i="10" s="1"/>
  <c r="I82" i="2"/>
  <c r="I156" i="10" s="1"/>
  <c r="I83" i="2"/>
  <c r="I157" i="10" s="1"/>
  <c r="I84" i="2"/>
  <c r="I158" i="10" s="1"/>
  <c r="I85" i="2"/>
  <c r="I159" i="10" s="1"/>
  <c r="I86" i="2"/>
  <c r="I160" i="10" s="1"/>
  <c r="I87" i="2"/>
  <c r="I161" i="10" s="1"/>
  <c r="I88" i="2"/>
  <c r="I162" i="10" s="1"/>
  <c r="I89" i="2"/>
  <c r="I163" i="10" s="1"/>
  <c r="I90" i="2"/>
  <c r="I164" i="10" s="1"/>
  <c r="I91" i="2"/>
  <c r="I165" i="10" s="1"/>
  <c r="I92" i="2"/>
  <c r="I166" i="10" s="1"/>
  <c r="I93" i="2"/>
  <c r="I167" i="10" s="1"/>
  <c r="I94" i="2"/>
  <c r="I168" i="10" s="1"/>
  <c r="I95" i="2"/>
  <c r="I169" i="10" s="1"/>
  <c r="I96" i="2"/>
  <c r="I170" i="10" s="1"/>
  <c r="I97" i="2"/>
  <c r="I171" i="10" s="1"/>
  <c r="I98" i="2"/>
  <c r="I172" i="10" s="1"/>
  <c r="I99" i="2"/>
  <c r="I100" i="2"/>
  <c r="I21" i="10" s="1"/>
  <c r="I101" i="2"/>
  <c r="I22" i="10" s="1"/>
  <c r="I102" i="2"/>
  <c r="I23" i="10" s="1"/>
  <c r="I103" i="2"/>
  <c r="I24" i="10" s="1"/>
  <c r="I104" i="2"/>
  <c r="I25" i="10" s="1"/>
  <c r="I105" i="2"/>
  <c r="I26" i="10" s="1"/>
  <c r="I106" i="2"/>
  <c r="I27" i="10" s="1"/>
  <c r="I107" i="2"/>
  <c r="I28" i="10" s="1"/>
  <c r="I108" i="2"/>
  <c r="I29" i="10" s="1"/>
  <c r="I109" i="2"/>
  <c r="I30" i="10" s="1"/>
  <c r="I110" i="2"/>
  <c r="I31" i="10" s="1"/>
  <c r="I111" i="2"/>
  <c r="I32" i="10" s="1"/>
  <c r="I112" i="2"/>
  <c r="I33" i="10" s="1"/>
  <c r="I113" i="2"/>
  <c r="I34" i="10" s="1"/>
  <c r="I114" i="2"/>
  <c r="I35" i="10" s="1"/>
  <c r="I115" i="2"/>
  <c r="I36" i="10" s="1"/>
  <c r="I116" i="2"/>
  <c r="I37" i="10" s="1"/>
  <c r="I117" i="2"/>
  <c r="I38" i="10" s="1"/>
  <c r="I118" i="2"/>
  <c r="I39" i="10" s="1"/>
  <c r="I119" i="2"/>
  <c r="I40" i="10" s="1"/>
  <c r="I120" i="2"/>
  <c r="I41" i="10" s="1"/>
  <c r="I121" i="2"/>
  <c r="I42" i="10" s="1"/>
  <c r="I122" i="2"/>
  <c r="I43" i="10" s="1"/>
  <c r="I123" i="2"/>
  <c r="I44" i="10" s="1"/>
  <c r="I124" i="2"/>
  <c r="I45" i="10" s="1"/>
  <c r="I125" i="2"/>
  <c r="I46" i="10" s="1"/>
  <c r="I126" i="2"/>
  <c r="I47" i="10" s="1"/>
  <c r="I127" i="2"/>
  <c r="I48" i="10" s="1"/>
  <c r="I128" i="2"/>
  <c r="I49" i="10" s="1"/>
  <c r="I129" i="2"/>
  <c r="I50" i="10" s="1"/>
  <c r="I130" i="2"/>
  <c r="I51" i="10" s="1"/>
  <c r="I131" i="2"/>
  <c r="I52" i="10" s="1"/>
  <c r="I132" i="2"/>
  <c r="I53" i="10" s="1"/>
  <c r="I133" i="2"/>
  <c r="I54" i="10" s="1"/>
  <c r="I134" i="2"/>
  <c r="I55" i="10" s="1"/>
  <c r="I135" i="2"/>
  <c r="I56" i="10" s="1"/>
  <c r="I136" i="2"/>
  <c r="I57" i="10" s="1"/>
  <c r="I137" i="2"/>
  <c r="I58" i="10" s="1"/>
  <c r="I138" i="2"/>
  <c r="I59" i="10" s="1"/>
  <c r="I139" i="2"/>
  <c r="I60" i="10" s="1"/>
  <c r="I140" i="2"/>
  <c r="I74" i="10" s="1"/>
  <c r="I141" i="2"/>
  <c r="I75" i="10" s="1"/>
  <c r="I142" i="2"/>
  <c r="I76" i="10" s="1"/>
  <c r="I143" i="2"/>
  <c r="I77" i="10" s="1"/>
  <c r="I144" i="2"/>
  <c r="I78" i="10" s="1"/>
  <c r="I145" i="2"/>
  <c r="I79" i="10" s="1"/>
  <c r="I146" i="2"/>
  <c r="I80" i="10" s="1"/>
  <c r="I147" i="2"/>
  <c r="I81" i="10" s="1"/>
  <c r="I148" i="2"/>
  <c r="I82" i="10" s="1"/>
  <c r="I149" i="2"/>
  <c r="I83" i="10" s="1"/>
  <c r="I150" i="2"/>
  <c r="I84" i="10" s="1"/>
  <c r="I151" i="2"/>
  <c r="I85" i="10" s="1"/>
  <c r="I152" i="2"/>
  <c r="I86" i="10" s="1"/>
  <c r="I153" i="2"/>
  <c r="I87" i="10" s="1"/>
  <c r="I154" i="2"/>
  <c r="I88" i="10" s="1"/>
  <c r="I155" i="2"/>
  <c r="I89" i="10" s="1"/>
  <c r="I156" i="2"/>
  <c r="I90" i="10" s="1"/>
  <c r="I157" i="2"/>
  <c r="I91" i="10" s="1"/>
  <c r="I158" i="2"/>
  <c r="I92" i="10" s="1"/>
  <c r="I159" i="2"/>
  <c r="I93" i="10" s="1"/>
  <c r="I160" i="2"/>
  <c r="I94" i="10" s="1"/>
  <c r="I161" i="2"/>
  <c r="I95" i="10" s="1"/>
  <c r="I162" i="2"/>
  <c r="I96" i="10" s="1"/>
  <c r="I163" i="2"/>
  <c r="I97" i="10" s="1"/>
  <c r="I164" i="2"/>
  <c r="I98" i="10" s="1"/>
  <c r="I165" i="2"/>
  <c r="I99" i="10" s="1"/>
  <c r="I166" i="2"/>
  <c r="I100" i="10" s="1"/>
  <c r="I167" i="2"/>
  <c r="I101" i="10" s="1"/>
  <c r="I168" i="2"/>
  <c r="I102" i="10" s="1"/>
  <c r="I169" i="2"/>
  <c r="I103" i="10" s="1"/>
  <c r="I170" i="2"/>
  <c r="I104" i="10" s="1"/>
  <c r="I171" i="2"/>
  <c r="I105" i="10" s="1"/>
  <c r="I172" i="2"/>
  <c r="I106" i="10" s="1"/>
  <c r="I34" i="2"/>
  <c r="I138" i="10" s="1"/>
  <c r="I35" i="2"/>
  <c r="I139" i="10" s="1"/>
  <c r="I36" i="2"/>
  <c r="I140" i="10" s="1"/>
  <c r="I37" i="2"/>
  <c r="I141" i="10" s="1"/>
  <c r="I38" i="2"/>
  <c r="I142" i="10" s="1"/>
  <c r="I39" i="2"/>
  <c r="I143" i="10" s="1"/>
  <c r="I40" i="2"/>
  <c r="I144" i="10" s="1"/>
  <c r="I41" i="2"/>
  <c r="I145" i="10" s="1"/>
  <c r="I42" i="2"/>
  <c r="I146" i="10" s="1"/>
  <c r="I43" i="2"/>
  <c r="I147" i="10" s="1"/>
  <c r="I44" i="2"/>
  <c r="I148" i="10" s="1"/>
  <c r="I45" i="2"/>
  <c r="I149" i="10" s="1"/>
  <c r="I46" i="2"/>
  <c r="I47" i="2"/>
  <c r="I150" i="10" s="1"/>
  <c r="I48" i="2"/>
  <c r="I151" i="10" s="1"/>
  <c r="I49" i="2"/>
  <c r="I152" i="10" s="1"/>
  <c r="I50" i="2"/>
  <c r="I153" i="10" s="1"/>
  <c r="I51" i="2"/>
  <c r="I154" i="10" s="1"/>
  <c r="I52" i="2"/>
  <c r="I155" i="10" s="1"/>
  <c r="I53" i="2"/>
  <c r="I61" i="10" s="1"/>
  <c r="I54" i="2"/>
  <c r="I62" i="10" s="1"/>
  <c r="I55" i="2"/>
  <c r="I63" i="10" s="1"/>
  <c r="I56" i="2"/>
  <c r="I64" i="10" s="1"/>
  <c r="I57" i="2"/>
  <c r="I65" i="10" s="1"/>
  <c r="I58" i="2"/>
  <c r="I66" i="10" s="1"/>
  <c r="I59" i="2"/>
  <c r="I67" i="10" s="1"/>
  <c r="I60" i="2"/>
  <c r="I68" i="10" s="1"/>
  <c r="I61" i="2"/>
  <c r="I69" i="10" s="1"/>
  <c r="I62" i="2"/>
  <c r="I70" i="10" s="1"/>
  <c r="I63" i="2"/>
  <c r="I71" i="10" s="1"/>
  <c r="I64" i="2"/>
  <c r="I72" i="10" s="1"/>
  <c r="I65" i="2"/>
  <c r="I73" i="10" s="1"/>
  <c r="I66" i="2"/>
  <c r="I7" i="10" s="1"/>
  <c r="I67" i="2"/>
  <c r="I68" i="2"/>
  <c r="I9" i="10" s="1"/>
  <c r="I69" i="2"/>
  <c r="I10" i="10" s="1"/>
  <c r="I70" i="2"/>
  <c r="I11" i="10" s="1"/>
  <c r="I71" i="2"/>
  <c r="I72" i="2"/>
  <c r="I13" i="10" s="1"/>
  <c r="I4" i="2"/>
  <c r="I108" i="10" s="1"/>
  <c r="I5" i="2"/>
  <c r="I109" i="10" s="1"/>
  <c r="I6" i="2"/>
  <c r="I110" i="10" s="1"/>
  <c r="I7" i="2"/>
  <c r="I111" i="10" s="1"/>
  <c r="I8" i="2"/>
  <c r="I112" i="10" s="1"/>
  <c r="I9" i="2"/>
  <c r="I113" i="10" s="1"/>
  <c r="I10" i="2"/>
  <c r="I114" i="10" s="1"/>
  <c r="I11" i="2"/>
  <c r="I115" i="10" s="1"/>
  <c r="I12" i="2"/>
  <c r="I116" i="10" s="1"/>
  <c r="I13" i="2"/>
  <c r="I117" i="10" s="1"/>
  <c r="I14" i="2"/>
  <c r="I118" i="10" s="1"/>
  <c r="I15" i="2"/>
  <c r="I119" i="10" s="1"/>
  <c r="I16" i="2"/>
  <c r="I120" i="10" s="1"/>
  <c r="I17" i="2"/>
  <c r="I121" i="10" s="1"/>
  <c r="I18" i="2"/>
  <c r="I122" i="10" s="1"/>
  <c r="I19" i="2"/>
  <c r="I123" i="10" s="1"/>
  <c r="I20" i="2"/>
  <c r="I124" i="10" s="1"/>
  <c r="I21" i="2"/>
  <c r="I125" i="10" s="1"/>
  <c r="I22" i="2"/>
  <c r="I126" i="10" s="1"/>
  <c r="I23" i="2"/>
  <c r="I127" i="10" s="1"/>
  <c r="I24" i="2"/>
  <c r="I128" i="10" s="1"/>
  <c r="I25" i="2"/>
  <c r="I129" i="10" s="1"/>
  <c r="I26" i="2"/>
  <c r="I130" i="10" s="1"/>
  <c r="I27" i="2"/>
  <c r="I131" i="10" s="1"/>
  <c r="I28" i="2"/>
  <c r="I132" i="10" s="1"/>
  <c r="I29" i="2"/>
  <c r="I133" i="10" s="1"/>
  <c r="I30" i="2"/>
  <c r="I134" i="10" s="1"/>
  <c r="I31" i="2"/>
  <c r="I135" i="10" s="1"/>
  <c r="I32" i="2"/>
  <c r="I136" i="10" s="1"/>
  <c r="I33" i="2"/>
  <c r="I137" i="10" s="1"/>
  <c r="H139" i="2"/>
  <c r="H60" i="10" s="1"/>
  <c r="H140" i="2"/>
  <c r="H74" i="10" s="1"/>
  <c r="H141" i="2"/>
  <c r="H75" i="10" s="1"/>
  <c r="H142" i="2"/>
  <c r="H76" i="10" s="1"/>
  <c r="H143" i="2"/>
  <c r="H77" i="10" s="1"/>
  <c r="H144" i="2"/>
  <c r="H78" i="10" s="1"/>
  <c r="H145" i="2"/>
  <c r="H79" i="10" s="1"/>
  <c r="H146" i="2"/>
  <c r="H80" i="10" s="1"/>
  <c r="H147" i="2"/>
  <c r="H81" i="10" s="1"/>
  <c r="H148" i="2"/>
  <c r="H82" i="10" s="1"/>
  <c r="H149" i="2"/>
  <c r="H83" i="10" s="1"/>
  <c r="H150" i="2"/>
  <c r="H84" i="10" s="1"/>
  <c r="H151" i="2"/>
  <c r="H85" i="10" s="1"/>
  <c r="W26" i="1"/>
  <c r="R26" i="2" s="1"/>
  <c r="R130" i="10" s="1"/>
  <c r="W27" i="1"/>
  <c r="W28" i="1"/>
  <c r="W29" i="1"/>
  <c r="R29" i="2" s="1"/>
  <c r="R133" i="10" s="1"/>
  <c r="W30" i="1"/>
  <c r="W31" i="1"/>
  <c r="W32" i="1"/>
  <c r="W33" i="1"/>
  <c r="W34" i="1"/>
  <c r="W35" i="1"/>
  <c r="W36" i="1"/>
  <c r="W39" i="1"/>
  <c r="R39" i="2" s="1"/>
  <c r="R143" i="10" s="1"/>
  <c r="W40" i="1"/>
  <c r="W42" i="1"/>
  <c r="W43" i="1"/>
  <c r="W44" i="1"/>
  <c r="R44" i="2" s="1"/>
  <c r="R148" i="10" s="1"/>
  <c r="W45" i="1"/>
  <c r="W46" i="1"/>
  <c r="W47" i="1"/>
  <c r="W48" i="1"/>
  <c r="R48" i="2" s="1"/>
  <c r="R151" i="10" s="1"/>
  <c r="W49" i="1"/>
  <c r="W50" i="1"/>
  <c r="W51" i="1"/>
  <c r="W53" i="1"/>
  <c r="W55" i="1"/>
  <c r="W57" i="1"/>
  <c r="R57" i="2" s="1"/>
  <c r="R65" i="10" s="1"/>
  <c r="W60" i="1"/>
  <c r="W64" i="1"/>
  <c r="W65" i="1"/>
  <c r="W66" i="1"/>
  <c r="W70" i="1"/>
  <c r="W71" i="1"/>
  <c r="R71" i="2" s="1"/>
  <c r="R12" i="10" s="1"/>
  <c r="W72" i="1"/>
  <c r="W73" i="1"/>
  <c r="W75" i="1"/>
  <c r="W76" i="1"/>
  <c r="W77" i="1"/>
  <c r="W78" i="1"/>
  <c r="W79" i="1"/>
  <c r="W81" i="1"/>
  <c r="W82" i="1"/>
  <c r="W83" i="1"/>
  <c r="W84" i="1"/>
  <c r="W85" i="1"/>
  <c r="R85" i="2" s="1"/>
  <c r="R159" i="10" s="1"/>
  <c r="W87" i="1"/>
  <c r="W88" i="1"/>
  <c r="W89" i="1"/>
  <c r="W90" i="1"/>
  <c r="R90" i="2" s="1"/>
  <c r="R164" i="10" s="1"/>
  <c r="W92" i="1"/>
  <c r="W93" i="1"/>
  <c r="W94" i="1"/>
  <c r="W95" i="1"/>
  <c r="W97" i="1"/>
  <c r="W98" i="1"/>
  <c r="W99" i="1"/>
  <c r="W100" i="1"/>
  <c r="W101" i="1"/>
  <c r="W103" i="1"/>
  <c r="W104" i="1"/>
  <c r="W106" i="1"/>
  <c r="R106" i="2" s="1"/>
  <c r="R27" i="10" s="1"/>
  <c r="W107" i="1"/>
  <c r="W109" i="1"/>
  <c r="R109" i="2" s="1"/>
  <c r="R30" i="10" s="1"/>
  <c r="W110" i="1"/>
  <c r="W111" i="1"/>
  <c r="W113" i="1"/>
  <c r="W114" i="1"/>
  <c r="W116" i="1"/>
  <c r="W117" i="1"/>
  <c r="W118" i="1"/>
  <c r="W120" i="1"/>
  <c r="W121" i="1"/>
  <c r="W122" i="1"/>
  <c r="W123" i="1"/>
  <c r="W124" i="1"/>
  <c r="W125" i="1"/>
  <c r="W126" i="1"/>
  <c r="R126" i="2" s="1"/>
  <c r="R47" i="10" s="1"/>
  <c r="W128" i="1"/>
  <c r="W130" i="1"/>
  <c r="W131" i="1"/>
  <c r="W132" i="1"/>
  <c r="R132" i="2" s="1"/>
  <c r="R53" i="10" s="1"/>
  <c r="W137" i="1"/>
  <c r="W139" i="1"/>
  <c r="R139" i="2" s="1"/>
  <c r="R60" i="10" s="1"/>
  <c r="W140" i="1"/>
  <c r="W145" i="1"/>
  <c r="R145" i="2" s="1"/>
  <c r="R79" i="10" s="1"/>
  <c r="W150" i="1"/>
  <c r="W152" i="1"/>
  <c r="W153" i="1"/>
  <c r="W155" i="1"/>
  <c r="R155" i="2" s="1"/>
  <c r="R89" i="10" s="1"/>
  <c r="W156" i="1"/>
  <c r="R156" i="2" s="1"/>
  <c r="R90" i="10" s="1"/>
  <c r="W159" i="1"/>
  <c r="R159" i="2" s="1"/>
  <c r="R93" i="10" s="1"/>
  <c r="W160" i="1"/>
  <c r="W161" i="1"/>
  <c r="R161" i="2" s="1"/>
  <c r="R95" i="10" s="1"/>
  <c r="W162" i="1"/>
  <c r="W163" i="1"/>
  <c r="R163" i="2" s="1"/>
  <c r="R97" i="10" s="1"/>
  <c r="W165" i="1"/>
  <c r="W170" i="1"/>
  <c r="R170" i="2" s="1"/>
  <c r="R104" i="10" s="1"/>
  <c r="W171" i="1"/>
  <c r="W172" i="1"/>
  <c r="W15" i="1"/>
  <c r="W16" i="1"/>
  <c r="R16" i="2" s="1"/>
  <c r="R120" i="10" s="1"/>
  <c r="W17" i="1"/>
  <c r="W19" i="1"/>
  <c r="R19" i="2" s="1"/>
  <c r="R123" i="10" s="1"/>
  <c r="W21" i="1"/>
  <c r="R21" i="2" s="1"/>
  <c r="R125" i="10" s="1"/>
  <c r="W22" i="1"/>
  <c r="R22" i="2" s="1"/>
  <c r="R126" i="10" s="1"/>
  <c r="W23" i="1"/>
  <c r="R23" i="2" s="1"/>
  <c r="R127" i="10" s="1"/>
  <c r="W24" i="1"/>
  <c r="R24" i="2" s="1"/>
  <c r="R128" i="10" s="1"/>
  <c r="W4" i="1"/>
  <c r="R4" i="2" s="1"/>
  <c r="R108" i="10" s="1"/>
  <c r="W5" i="1"/>
  <c r="R5" i="2" s="1"/>
  <c r="R109" i="10" s="1"/>
  <c r="W6" i="1"/>
  <c r="R6" i="2" s="1"/>
  <c r="R110" i="10" s="1"/>
  <c r="W7" i="1"/>
  <c r="W8" i="1"/>
  <c r="W9" i="1"/>
  <c r="R9" i="2" s="1"/>
  <c r="R113" i="10" s="1"/>
  <c r="W10" i="1"/>
  <c r="R10" i="2" s="1"/>
  <c r="R114" i="10" s="1"/>
  <c r="W11" i="1"/>
  <c r="W12" i="1"/>
  <c r="W13" i="1"/>
  <c r="W3" i="1"/>
  <c r="R3" i="2" s="1"/>
  <c r="R107" i="10" s="1"/>
  <c r="V3" i="1"/>
  <c r="Q3" i="2" s="1"/>
  <c r="Q107" i="10" s="1"/>
  <c r="V4" i="1"/>
  <c r="V5" i="1"/>
  <c r="V6" i="1"/>
  <c r="Q6" i="2" s="1"/>
  <c r="Q110" i="10" s="1"/>
  <c r="V7" i="1"/>
  <c r="Q7" i="2" s="1"/>
  <c r="Q111" i="10" s="1"/>
  <c r="V8" i="1"/>
  <c r="V9" i="1"/>
  <c r="Q9" i="2" s="1"/>
  <c r="Q113" i="10" s="1"/>
  <c r="V10" i="1"/>
  <c r="Q10" i="2" s="1"/>
  <c r="Q114" i="10" s="1"/>
  <c r="V11" i="1"/>
  <c r="Q11" i="2" s="1"/>
  <c r="Q115" i="10" s="1"/>
  <c r="V12" i="1"/>
  <c r="V13" i="1"/>
  <c r="V15" i="1"/>
  <c r="V16" i="1"/>
  <c r="Q16" i="2" s="1"/>
  <c r="Q120" i="10" s="1"/>
  <c r="V17" i="1"/>
  <c r="V19" i="1"/>
  <c r="V21" i="1"/>
  <c r="V22" i="1"/>
  <c r="V23" i="1"/>
  <c r="V24" i="1"/>
  <c r="Q24" i="2" s="1"/>
  <c r="Q128" i="10" s="1"/>
  <c r="V26" i="1"/>
  <c r="V27" i="1"/>
  <c r="V28" i="1"/>
  <c r="V29" i="1"/>
  <c r="Q29" i="2" s="1"/>
  <c r="Q133" i="10" s="1"/>
  <c r="V30" i="1"/>
  <c r="V31" i="1"/>
  <c r="Q31" i="2" s="1"/>
  <c r="Q135" i="10" s="1"/>
  <c r="V32" i="1"/>
  <c r="V33" i="1"/>
  <c r="V34" i="1"/>
  <c r="V35" i="1"/>
  <c r="V36" i="1"/>
  <c r="Q36" i="2" s="1"/>
  <c r="Q140" i="10" s="1"/>
  <c r="V39" i="1"/>
  <c r="Q39" i="2" s="1"/>
  <c r="Q143" i="10" s="1"/>
  <c r="V40" i="1"/>
  <c r="V42" i="1"/>
  <c r="V43" i="1"/>
  <c r="V44" i="1"/>
  <c r="Q44" i="2" s="1"/>
  <c r="Q148" i="10" s="1"/>
  <c r="V45" i="1"/>
  <c r="V46" i="1"/>
  <c r="V47" i="1"/>
  <c r="V48" i="1"/>
  <c r="Q48" i="2" s="1"/>
  <c r="Q151" i="10" s="1"/>
  <c r="V49" i="1"/>
  <c r="V50" i="1"/>
  <c r="V51" i="1"/>
  <c r="V53" i="1"/>
  <c r="V55" i="1"/>
  <c r="Q55" i="2" s="1"/>
  <c r="Q63" i="10" s="1"/>
  <c r="V57" i="1"/>
  <c r="Q57" i="2" s="1"/>
  <c r="Q65" i="10" s="1"/>
  <c r="V60" i="1"/>
  <c r="Q60" i="2" s="1"/>
  <c r="Q68" i="10" s="1"/>
  <c r="V64" i="1"/>
  <c r="V65" i="1"/>
  <c r="V66" i="1"/>
  <c r="V70" i="1"/>
  <c r="V71" i="1"/>
  <c r="Q71" i="2" s="1"/>
  <c r="Q12" i="10" s="1"/>
  <c r="V72" i="1"/>
  <c r="V73" i="1"/>
  <c r="Q73" i="2" s="1"/>
  <c r="Q14" i="10" s="1"/>
  <c r="V75" i="1"/>
  <c r="V76" i="1"/>
  <c r="V77" i="1"/>
  <c r="Q77" i="2" s="1"/>
  <c r="Q17" i="10" s="1"/>
  <c r="V78" i="1"/>
  <c r="V79" i="1"/>
  <c r="V81" i="1"/>
  <c r="Q81" i="2" s="1"/>
  <c r="Q20" i="10" s="1"/>
  <c r="V82" i="1"/>
  <c r="V83" i="1"/>
  <c r="Q83" i="2" s="1"/>
  <c r="Q157" i="10" s="1"/>
  <c r="V84" i="1"/>
  <c r="V85" i="1"/>
  <c r="Q85" i="2" s="1"/>
  <c r="Q159" i="10" s="1"/>
  <c r="V87" i="1"/>
  <c r="V88" i="1"/>
  <c r="V89" i="1"/>
  <c r="V90" i="1"/>
  <c r="Q90" i="2" s="1"/>
  <c r="Q164" i="10" s="1"/>
  <c r="V92" i="1"/>
  <c r="V93" i="1"/>
  <c r="Q93" i="2" s="1"/>
  <c r="Q167" i="10" s="1"/>
  <c r="V94" i="1"/>
  <c r="V95" i="1"/>
  <c r="V97" i="1"/>
  <c r="V98" i="1"/>
  <c r="V99" i="1"/>
  <c r="V100" i="1"/>
  <c r="V101" i="1"/>
  <c r="V103" i="1"/>
  <c r="V104" i="1"/>
  <c r="V106" i="1"/>
  <c r="V107" i="1"/>
  <c r="Q107" i="2" s="1"/>
  <c r="Q28" i="10" s="1"/>
  <c r="V109" i="1"/>
  <c r="V110" i="1"/>
  <c r="V111" i="1"/>
  <c r="V113" i="1"/>
  <c r="V114" i="1"/>
  <c r="V116" i="1"/>
  <c r="V117" i="1"/>
  <c r="V118" i="1"/>
  <c r="V120" i="1"/>
  <c r="Q120" i="2" s="1"/>
  <c r="Q41" i="10" s="1"/>
  <c r="V121" i="1"/>
  <c r="V122" i="1"/>
  <c r="V123" i="1"/>
  <c r="V124" i="1"/>
  <c r="Q124" i="2" s="1"/>
  <c r="Q45" i="10" s="1"/>
  <c r="V125" i="1"/>
  <c r="V126" i="1"/>
  <c r="Q126" i="2" s="1"/>
  <c r="Q47" i="10" s="1"/>
  <c r="V128" i="1"/>
  <c r="V130" i="1"/>
  <c r="V131" i="1"/>
  <c r="V132" i="1"/>
  <c r="Q132" i="2" s="1"/>
  <c r="Q53" i="10" s="1"/>
  <c r="V137" i="1"/>
  <c r="V139" i="1"/>
  <c r="Q139" i="2" s="1"/>
  <c r="Q60" i="10" s="1"/>
  <c r="V140" i="1"/>
  <c r="V145" i="1"/>
  <c r="Q145" i="2" s="1"/>
  <c r="Q79" i="10" s="1"/>
  <c r="V150" i="1"/>
  <c r="Q150" i="2" s="1"/>
  <c r="Q84" i="10" s="1"/>
  <c r="V152" i="1"/>
  <c r="V153" i="1"/>
  <c r="V155" i="1"/>
  <c r="V156" i="1"/>
  <c r="Q156" i="2" s="1"/>
  <c r="Q90" i="10" s="1"/>
  <c r="V159" i="1"/>
  <c r="V160" i="1"/>
  <c r="Q160" i="2" s="1"/>
  <c r="Q94" i="10" s="1"/>
  <c r="V161" i="1"/>
  <c r="Q161" i="2" s="1"/>
  <c r="Q95" i="10" s="1"/>
  <c r="V162" i="1"/>
  <c r="Q162" i="2" s="1"/>
  <c r="Q96" i="10" s="1"/>
  <c r="V163" i="1"/>
  <c r="Q163" i="2" s="1"/>
  <c r="Q97" i="10" s="1"/>
  <c r="V165" i="1"/>
  <c r="V170" i="1"/>
  <c r="V171" i="1"/>
  <c r="V172" i="1"/>
  <c r="Q32" i="2"/>
  <c r="Q136" i="10" s="1"/>
  <c r="Q92" i="2"/>
  <c r="Q166" i="10" s="1"/>
  <c r="F7" i="7"/>
  <c r="W80" i="1" s="1"/>
  <c r="R80" i="2" s="1"/>
  <c r="R19" i="10" s="1"/>
  <c r="F9" i="7"/>
  <c r="W74" i="1" s="1"/>
  <c r="R74" i="2" s="1"/>
  <c r="F11" i="7"/>
  <c r="W69" i="1" s="1"/>
  <c r="R69" i="2" s="1"/>
  <c r="R10" i="10" s="1"/>
  <c r="F12" i="7"/>
  <c r="W67" i="1" s="1"/>
  <c r="R67" i="2" s="1"/>
  <c r="R8" i="10" s="1"/>
  <c r="F13" i="7"/>
  <c r="W68" i="1" s="1"/>
  <c r="F20" i="7"/>
  <c r="W133" i="1" s="1"/>
  <c r="F25" i="7"/>
  <c r="W119" i="1" s="1"/>
  <c r="R119" i="2" s="1"/>
  <c r="R40" i="10" s="1"/>
  <c r="F30" i="7"/>
  <c r="W115" i="1" s="1"/>
  <c r="F31" i="7"/>
  <c r="W136" i="1" s="1"/>
  <c r="R136" i="2" s="1"/>
  <c r="R57" i="10" s="1"/>
  <c r="F33" i="7"/>
  <c r="W129" i="1" s="1"/>
  <c r="R129" i="2" s="1"/>
  <c r="R50" i="10" s="1"/>
  <c r="F37" i="7"/>
  <c r="W135" i="1" s="1"/>
  <c r="R135" i="2" s="1"/>
  <c r="R56" i="10" s="1"/>
  <c r="F39" i="7"/>
  <c r="W105" i="1" s="1"/>
  <c r="R105" i="2" s="1"/>
  <c r="R26" i="10" s="1"/>
  <c r="F40" i="7"/>
  <c r="W127" i="1" s="1"/>
  <c r="R127" i="2" s="1"/>
  <c r="R48" i="10" s="1"/>
  <c r="F43" i="7"/>
  <c r="W112" i="1" s="1"/>
  <c r="F44" i="7"/>
  <c r="W134" i="1" s="1"/>
  <c r="R134" i="2" s="1"/>
  <c r="R55" i="10" s="1"/>
  <c r="F47" i="7"/>
  <c r="W138" i="1" s="1"/>
  <c r="F54" i="7"/>
  <c r="W108" i="1" s="1"/>
  <c r="R108" i="2" s="1"/>
  <c r="R29" i="10" s="1"/>
  <c r="F55" i="7"/>
  <c r="W102" i="1" s="1"/>
  <c r="F58" i="7"/>
  <c r="W63" i="1" s="1"/>
  <c r="R63" i="2" s="1"/>
  <c r="R71" i="10" s="1"/>
  <c r="F59" i="7"/>
  <c r="W58" i="1" s="1"/>
  <c r="R58" i="2" s="1"/>
  <c r="R66" i="10" s="1"/>
  <c r="F61" i="7"/>
  <c r="W56" i="1" s="1"/>
  <c r="R56" i="2" s="1"/>
  <c r="R64" i="10" s="1"/>
  <c r="F64" i="7"/>
  <c r="W61" i="1" s="1"/>
  <c r="R61" i="2" s="1"/>
  <c r="R69" i="10" s="1"/>
  <c r="F65" i="7"/>
  <c r="W59" i="1" s="1"/>
  <c r="R59" i="2" s="1"/>
  <c r="R67" i="10" s="1"/>
  <c r="F69" i="7"/>
  <c r="W62" i="1" s="1"/>
  <c r="R62" i="2" s="1"/>
  <c r="R70" i="10" s="1"/>
  <c r="F70" i="7"/>
  <c r="W54" i="1" s="1"/>
  <c r="R54" i="2" s="1"/>
  <c r="R62" i="10" s="1"/>
  <c r="F72" i="7"/>
  <c r="W167" i="1" s="1"/>
  <c r="R167" i="2" s="1"/>
  <c r="R101" i="10" s="1"/>
  <c r="F73" i="7"/>
  <c r="W157" i="1" s="1"/>
  <c r="R157" i="2" s="1"/>
  <c r="R91" i="10" s="1"/>
  <c r="F75" i="7"/>
  <c r="W147" i="1" s="1"/>
  <c r="F76" i="7"/>
  <c r="W146" i="1" s="1"/>
  <c r="R146" i="2" s="1"/>
  <c r="R80" i="10" s="1"/>
  <c r="F77" i="7"/>
  <c r="W154" i="1" s="1"/>
  <c r="R154" i="2" s="1"/>
  <c r="R88" i="10" s="1"/>
  <c r="F78" i="7"/>
  <c r="W164" i="1" s="1"/>
  <c r="R164" i="2" s="1"/>
  <c r="R98" i="10" s="1"/>
  <c r="F79" i="7"/>
  <c r="W144" i="1" s="1"/>
  <c r="R144" i="2" s="1"/>
  <c r="R78" i="10" s="1"/>
  <c r="F83" i="7"/>
  <c r="W168" i="1" s="1"/>
  <c r="F85" i="7"/>
  <c r="W142" i="1" s="1"/>
  <c r="R142" i="2" s="1"/>
  <c r="R76" i="10" s="1"/>
  <c r="F86" i="7"/>
  <c r="W143" i="1" s="1"/>
  <c r="R143" i="2" s="1"/>
  <c r="R77" i="10" s="1"/>
  <c r="F87" i="7"/>
  <c r="W166" i="1" s="1"/>
  <c r="R166" i="2" s="1"/>
  <c r="R100" i="10" s="1"/>
  <c r="F88" i="7"/>
  <c r="W141" i="1" s="1"/>
  <c r="R141" i="2" s="1"/>
  <c r="R75" i="10" s="1"/>
  <c r="F92" i="7"/>
  <c r="W151" i="1" s="1"/>
  <c r="R151" i="2" s="1"/>
  <c r="R85" i="10" s="1"/>
  <c r="F94" i="7"/>
  <c r="W148" i="1" s="1"/>
  <c r="R148" i="2" s="1"/>
  <c r="R82" i="10" s="1"/>
  <c r="F99" i="7"/>
  <c r="W158" i="1" s="1"/>
  <c r="R158" i="2" s="1"/>
  <c r="R92" i="10" s="1"/>
  <c r="F102" i="7"/>
  <c r="W169" i="1" s="1"/>
  <c r="F103" i="7"/>
  <c r="W149" i="1" s="1"/>
  <c r="R149" i="2" s="1"/>
  <c r="R83" i="10" s="1"/>
  <c r="F104" i="7"/>
  <c r="W38" i="1" s="1"/>
  <c r="R38" i="2" s="1"/>
  <c r="R142" i="10" s="1"/>
  <c r="F105" i="7"/>
  <c r="W52" i="1" s="1"/>
  <c r="R52" i="2" s="1"/>
  <c r="R155" i="10" s="1"/>
  <c r="F106" i="7"/>
  <c r="W20" i="1" s="1"/>
  <c r="F107" i="7"/>
  <c r="W25" i="1" s="1"/>
  <c r="R25" i="2" s="1"/>
  <c r="R129" i="10" s="1"/>
  <c r="F114" i="7"/>
  <c r="W14" i="1" s="1"/>
  <c r="R14" i="2" s="1"/>
  <c r="R118" i="10" s="1"/>
  <c r="F119" i="7"/>
  <c r="W18" i="1" s="1"/>
  <c r="F123" i="7"/>
  <c r="W37" i="1" s="1"/>
  <c r="R37" i="2" s="1"/>
  <c r="R141" i="10" s="1"/>
  <c r="F139" i="7"/>
  <c r="W41" i="1" s="1"/>
  <c r="R41" i="2" s="1"/>
  <c r="R145" i="10" s="1"/>
  <c r="F155" i="7"/>
  <c r="W86" i="1" s="1"/>
  <c r="R86" i="2" s="1"/>
  <c r="R160" i="10" s="1"/>
  <c r="F160" i="7"/>
  <c r="W96" i="1" s="1"/>
  <c r="R96" i="2" s="1"/>
  <c r="R170" i="10" s="1"/>
  <c r="F163" i="7"/>
  <c r="W91" i="1" s="1"/>
  <c r="R91" i="2" s="1"/>
  <c r="R165" i="10" s="1"/>
  <c r="U16" i="2"/>
  <c r="U120" i="10" s="1"/>
  <c r="U17" i="2"/>
  <c r="U121" i="10" s="1"/>
  <c r="U18" i="2"/>
  <c r="U122" i="10" s="1"/>
  <c r="U19" i="2"/>
  <c r="U123" i="10" s="1"/>
  <c r="U20" i="2"/>
  <c r="U124" i="10" s="1"/>
  <c r="U21" i="2"/>
  <c r="U125" i="10" s="1"/>
  <c r="U22" i="2"/>
  <c r="U126" i="10" s="1"/>
  <c r="U23" i="2"/>
  <c r="U127" i="10" s="1"/>
  <c r="U24" i="2"/>
  <c r="U128" i="10" s="1"/>
  <c r="U4" i="2"/>
  <c r="U108" i="10" s="1"/>
  <c r="U5" i="2"/>
  <c r="U109" i="10" s="1"/>
  <c r="U6" i="2"/>
  <c r="U110" i="10" s="1"/>
  <c r="U7" i="2"/>
  <c r="U111" i="10" s="1"/>
  <c r="U8" i="2"/>
  <c r="U112" i="10" s="1"/>
  <c r="U9" i="2"/>
  <c r="U113" i="10" s="1"/>
  <c r="U10" i="2"/>
  <c r="U114" i="10" s="1"/>
  <c r="U11" i="2"/>
  <c r="U115" i="10" s="1"/>
  <c r="U12" i="2"/>
  <c r="U116" i="10" s="1"/>
  <c r="U13" i="2"/>
  <c r="U117" i="10" s="1"/>
  <c r="U14" i="2"/>
  <c r="U118" i="10" s="1"/>
  <c r="U15" i="2"/>
  <c r="U119" i="10" s="1"/>
  <c r="BO4" i="1"/>
  <c r="V4" i="2" s="1"/>
  <c r="V108" i="10" s="1"/>
  <c r="BP4" i="1"/>
  <c r="W4" i="2" s="1"/>
  <c r="W108" i="10" s="1"/>
  <c r="BO5" i="1"/>
  <c r="V5" i="2" s="1"/>
  <c r="V109" i="10" s="1"/>
  <c r="BP5" i="1"/>
  <c r="W5" i="2" s="1"/>
  <c r="W109" i="10" s="1"/>
  <c r="BO6" i="1"/>
  <c r="V6" i="2" s="1"/>
  <c r="V110" i="10" s="1"/>
  <c r="BP6" i="1"/>
  <c r="W6" i="2" s="1"/>
  <c r="W110" i="10" s="1"/>
  <c r="BO7" i="1"/>
  <c r="V7" i="2" s="1"/>
  <c r="V111" i="10" s="1"/>
  <c r="BP7" i="1"/>
  <c r="W7" i="2" s="1"/>
  <c r="W111" i="10" s="1"/>
  <c r="BO8" i="1"/>
  <c r="V8" i="2" s="1"/>
  <c r="V112" i="10" s="1"/>
  <c r="BP8" i="1"/>
  <c r="W8" i="2" s="1"/>
  <c r="W112" i="10" s="1"/>
  <c r="BO9" i="1"/>
  <c r="V9" i="2" s="1"/>
  <c r="V113" i="10" s="1"/>
  <c r="BP9" i="1"/>
  <c r="W9" i="2" s="1"/>
  <c r="W113" i="10" s="1"/>
  <c r="BO10" i="1"/>
  <c r="V10" i="2" s="1"/>
  <c r="V114" i="10" s="1"/>
  <c r="BP10" i="1"/>
  <c r="W10" i="2" s="1"/>
  <c r="W114" i="10" s="1"/>
  <c r="BO11" i="1"/>
  <c r="V11" i="2" s="1"/>
  <c r="V115" i="10" s="1"/>
  <c r="BP11" i="1"/>
  <c r="W11" i="2" s="1"/>
  <c r="W115" i="10" s="1"/>
  <c r="BO12" i="1"/>
  <c r="V12" i="2" s="1"/>
  <c r="V116" i="10" s="1"/>
  <c r="BP12" i="1"/>
  <c r="W12" i="2" s="1"/>
  <c r="W116" i="10" s="1"/>
  <c r="BO13" i="1"/>
  <c r="V13" i="2" s="1"/>
  <c r="V117" i="10" s="1"/>
  <c r="BP13" i="1"/>
  <c r="W13" i="2" s="1"/>
  <c r="W117" i="10" s="1"/>
  <c r="BO14" i="1"/>
  <c r="V14" i="2" s="1"/>
  <c r="V118" i="10" s="1"/>
  <c r="BP14" i="1"/>
  <c r="W14" i="2" s="1"/>
  <c r="W118" i="10" s="1"/>
  <c r="BO15" i="1"/>
  <c r="V15" i="2" s="1"/>
  <c r="V119" i="10" s="1"/>
  <c r="BP15" i="1"/>
  <c r="W15" i="2" s="1"/>
  <c r="W119" i="10" s="1"/>
  <c r="BO16" i="1"/>
  <c r="V16" i="2" s="1"/>
  <c r="V120" i="10" s="1"/>
  <c r="BP16" i="1"/>
  <c r="W16" i="2" s="1"/>
  <c r="W120" i="10" s="1"/>
  <c r="BO17" i="1"/>
  <c r="V17" i="2" s="1"/>
  <c r="V121" i="10" s="1"/>
  <c r="BP17" i="1"/>
  <c r="W17" i="2" s="1"/>
  <c r="W121" i="10" s="1"/>
  <c r="BO18" i="1"/>
  <c r="V18" i="2" s="1"/>
  <c r="V122" i="10" s="1"/>
  <c r="BP18" i="1"/>
  <c r="W18" i="2" s="1"/>
  <c r="W122" i="10" s="1"/>
  <c r="BO19" i="1"/>
  <c r="V19" i="2" s="1"/>
  <c r="V123" i="10" s="1"/>
  <c r="BP19" i="1"/>
  <c r="W19" i="2" s="1"/>
  <c r="W123" i="10" s="1"/>
  <c r="BO20" i="1"/>
  <c r="V20" i="2" s="1"/>
  <c r="V124" i="10" s="1"/>
  <c r="BP20" i="1"/>
  <c r="W20" i="2" s="1"/>
  <c r="W124" i="10" s="1"/>
  <c r="BO21" i="1"/>
  <c r="V21" i="2" s="1"/>
  <c r="V125" i="10" s="1"/>
  <c r="BP21" i="1"/>
  <c r="W21" i="2" s="1"/>
  <c r="W125" i="10" s="1"/>
  <c r="BO22" i="1"/>
  <c r="V22" i="2" s="1"/>
  <c r="V126" i="10" s="1"/>
  <c r="BP22" i="1"/>
  <c r="W22" i="2" s="1"/>
  <c r="W126" i="10" s="1"/>
  <c r="BO23" i="1"/>
  <c r="V23" i="2" s="1"/>
  <c r="V127" i="10" s="1"/>
  <c r="BP23" i="1"/>
  <c r="W23" i="2" s="1"/>
  <c r="W127" i="10" s="1"/>
  <c r="BO24" i="1"/>
  <c r="V24" i="2" s="1"/>
  <c r="V128" i="10" s="1"/>
  <c r="BP24" i="1"/>
  <c r="W24" i="2" s="1"/>
  <c r="W128" i="10" s="1"/>
  <c r="BO25" i="1"/>
  <c r="V25" i="2" s="1"/>
  <c r="V129" i="10" s="1"/>
  <c r="BP25" i="1"/>
  <c r="W25" i="2" s="1"/>
  <c r="W129" i="10" s="1"/>
  <c r="BO26" i="1"/>
  <c r="V26" i="2" s="1"/>
  <c r="V130" i="10" s="1"/>
  <c r="BP26" i="1"/>
  <c r="W26" i="2" s="1"/>
  <c r="W130" i="10" s="1"/>
  <c r="BO27" i="1"/>
  <c r="V27" i="2" s="1"/>
  <c r="V131" i="10" s="1"/>
  <c r="BP27" i="1"/>
  <c r="W27" i="2" s="1"/>
  <c r="W131" i="10" s="1"/>
  <c r="BO28" i="1"/>
  <c r="V28" i="2" s="1"/>
  <c r="V132" i="10" s="1"/>
  <c r="BP28" i="1"/>
  <c r="W28" i="2" s="1"/>
  <c r="W132" i="10" s="1"/>
  <c r="BO29" i="1"/>
  <c r="V29" i="2" s="1"/>
  <c r="V133" i="10" s="1"/>
  <c r="BP29" i="1"/>
  <c r="W29" i="2" s="1"/>
  <c r="W133" i="10" s="1"/>
  <c r="BO30" i="1"/>
  <c r="V30" i="2" s="1"/>
  <c r="V134" i="10" s="1"/>
  <c r="BP30" i="1"/>
  <c r="W30" i="2" s="1"/>
  <c r="W134" i="10" s="1"/>
  <c r="BO31" i="1"/>
  <c r="V31" i="2" s="1"/>
  <c r="V135" i="10" s="1"/>
  <c r="BP31" i="1"/>
  <c r="W31" i="2" s="1"/>
  <c r="W135" i="10" s="1"/>
  <c r="BO32" i="1"/>
  <c r="V32" i="2" s="1"/>
  <c r="V136" i="10" s="1"/>
  <c r="BP32" i="1"/>
  <c r="W32" i="2" s="1"/>
  <c r="W136" i="10" s="1"/>
  <c r="BO33" i="1"/>
  <c r="V33" i="2" s="1"/>
  <c r="V137" i="10" s="1"/>
  <c r="BP33" i="1"/>
  <c r="W33" i="2" s="1"/>
  <c r="W137" i="10" s="1"/>
  <c r="BO34" i="1"/>
  <c r="V34" i="2" s="1"/>
  <c r="V138" i="10" s="1"/>
  <c r="BP34" i="1"/>
  <c r="W34" i="2" s="1"/>
  <c r="W138" i="10" s="1"/>
  <c r="BO35" i="1"/>
  <c r="V35" i="2" s="1"/>
  <c r="V139" i="10" s="1"/>
  <c r="BP35" i="1"/>
  <c r="W35" i="2" s="1"/>
  <c r="W139" i="10" s="1"/>
  <c r="BO36" i="1"/>
  <c r="V36" i="2" s="1"/>
  <c r="V140" i="10" s="1"/>
  <c r="BP36" i="1"/>
  <c r="W36" i="2" s="1"/>
  <c r="W140" i="10" s="1"/>
  <c r="BO37" i="1"/>
  <c r="V37" i="2" s="1"/>
  <c r="V141" i="10" s="1"/>
  <c r="BP37" i="1"/>
  <c r="W37" i="2" s="1"/>
  <c r="W141" i="10" s="1"/>
  <c r="BO38" i="1"/>
  <c r="V38" i="2" s="1"/>
  <c r="V142" i="10" s="1"/>
  <c r="BP38" i="1"/>
  <c r="W38" i="2" s="1"/>
  <c r="W142" i="10" s="1"/>
  <c r="BO39" i="1"/>
  <c r="V39" i="2" s="1"/>
  <c r="V143" i="10" s="1"/>
  <c r="BP39" i="1"/>
  <c r="W39" i="2" s="1"/>
  <c r="W143" i="10" s="1"/>
  <c r="BO40" i="1"/>
  <c r="V40" i="2" s="1"/>
  <c r="V144" i="10" s="1"/>
  <c r="BP40" i="1"/>
  <c r="W40" i="2" s="1"/>
  <c r="W144" i="10" s="1"/>
  <c r="BO41" i="1"/>
  <c r="V41" i="2" s="1"/>
  <c r="V145" i="10" s="1"/>
  <c r="BP41" i="1"/>
  <c r="W41" i="2" s="1"/>
  <c r="W145" i="10" s="1"/>
  <c r="BO42" i="1"/>
  <c r="V42" i="2" s="1"/>
  <c r="V146" i="10" s="1"/>
  <c r="BP42" i="1"/>
  <c r="W42" i="2" s="1"/>
  <c r="W146" i="10" s="1"/>
  <c r="BO43" i="1"/>
  <c r="V43" i="2" s="1"/>
  <c r="V147" i="10" s="1"/>
  <c r="BP43" i="1"/>
  <c r="W43" i="2" s="1"/>
  <c r="W147" i="10" s="1"/>
  <c r="BO44" i="1"/>
  <c r="V44" i="2" s="1"/>
  <c r="V148" i="10" s="1"/>
  <c r="BP44" i="1"/>
  <c r="W44" i="2" s="1"/>
  <c r="W148" i="10" s="1"/>
  <c r="BO45" i="1"/>
  <c r="V45" i="2" s="1"/>
  <c r="V149" i="10" s="1"/>
  <c r="BP45" i="1"/>
  <c r="W45" i="2" s="1"/>
  <c r="W149" i="10" s="1"/>
  <c r="BO46" i="1"/>
  <c r="V46" i="2" s="1"/>
  <c r="BP46" i="1"/>
  <c r="W46" i="2" s="1"/>
  <c r="BO47" i="1"/>
  <c r="V47" i="2" s="1"/>
  <c r="V150" i="10" s="1"/>
  <c r="BP47" i="1"/>
  <c r="W47" i="2" s="1"/>
  <c r="W150" i="10" s="1"/>
  <c r="BO48" i="1"/>
  <c r="V48" i="2" s="1"/>
  <c r="V151" i="10" s="1"/>
  <c r="BP48" i="1"/>
  <c r="W48" i="2" s="1"/>
  <c r="W151" i="10" s="1"/>
  <c r="BO49" i="1"/>
  <c r="V49" i="2" s="1"/>
  <c r="V152" i="10" s="1"/>
  <c r="BP49" i="1"/>
  <c r="W49" i="2" s="1"/>
  <c r="W152" i="10" s="1"/>
  <c r="BO50" i="1"/>
  <c r="V50" i="2" s="1"/>
  <c r="V153" i="10" s="1"/>
  <c r="BP50" i="1"/>
  <c r="W50" i="2" s="1"/>
  <c r="W153" i="10" s="1"/>
  <c r="BO51" i="1"/>
  <c r="V51" i="2" s="1"/>
  <c r="V154" i="10" s="1"/>
  <c r="BP51" i="1"/>
  <c r="W51" i="2" s="1"/>
  <c r="W154" i="10" s="1"/>
  <c r="BO52" i="1"/>
  <c r="V52" i="2" s="1"/>
  <c r="V155" i="10" s="1"/>
  <c r="BP52" i="1"/>
  <c r="W52" i="2" s="1"/>
  <c r="W155" i="10" s="1"/>
  <c r="BO53" i="1"/>
  <c r="V53" i="2" s="1"/>
  <c r="V61" i="10" s="1"/>
  <c r="BP53" i="1"/>
  <c r="W53" i="2" s="1"/>
  <c r="W61" i="10" s="1"/>
  <c r="W3" i="10" s="1"/>
  <c r="BO54" i="1"/>
  <c r="V54" i="2" s="1"/>
  <c r="V62" i="10" s="1"/>
  <c r="BP54" i="1"/>
  <c r="W54" i="2" s="1"/>
  <c r="W62" i="10" s="1"/>
  <c r="BO55" i="1"/>
  <c r="V55" i="2" s="1"/>
  <c r="V63" i="10" s="1"/>
  <c r="BP55" i="1"/>
  <c r="W55" i="2" s="1"/>
  <c r="W63" i="10" s="1"/>
  <c r="BO56" i="1"/>
  <c r="V56" i="2" s="1"/>
  <c r="V64" i="10" s="1"/>
  <c r="BP56" i="1"/>
  <c r="W56" i="2" s="1"/>
  <c r="W64" i="10" s="1"/>
  <c r="BO57" i="1"/>
  <c r="V57" i="2" s="1"/>
  <c r="V65" i="10" s="1"/>
  <c r="BP57" i="1"/>
  <c r="W57" i="2" s="1"/>
  <c r="W65" i="10" s="1"/>
  <c r="BO58" i="1"/>
  <c r="V58" i="2" s="1"/>
  <c r="V66" i="10" s="1"/>
  <c r="BP58" i="1"/>
  <c r="W58" i="2" s="1"/>
  <c r="W66" i="10" s="1"/>
  <c r="BO59" i="1"/>
  <c r="V59" i="2" s="1"/>
  <c r="V67" i="10" s="1"/>
  <c r="BP59" i="1"/>
  <c r="W59" i="2" s="1"/>
  <c r="W67" i="10" s="1"/>
  <c r="BO60" i="1"/>
  <c r="V60" i="2" s="1"/>
  <c r="V68" i="10" s="1"/>
  <c r="BP60" i="1"/>
  <c r="W60" i="2" s="1"/>
  <c r="W68" i="10" s="1"/>
  <c r="BO61" i="1"/>
  <c r="V61" i="2" s="1"/>
  <c r="V69" i="10" s="1"/>
  <c r="BP61" i="1"/>
  <c r="W61" i="2" s="1"/>
  <c r="W69" i="10" s="1"/>
  <c r="BO62" i="1"/>
  <c r="V62" i="2" s="1"/>
  <c r="V70" i="10" s="1"/>
  <c r="BP62" i="1"/>
  <c r="W62" i="2" s="1"/>
  <c r="W70" i="10" s="1"/>
  <c r="BO63" i="1"/>
  <c r="V63" i="2" s="1"/>
  <c r="V71" i="10" s="1"/>
  <c r="BP63" i="1"/>
  <c r="W63" i="2" s="1"/>
  <c r="W71" i="10" s="1"/>
  <c r="BO64" i="1"/>
  <c r="V64" i="2" s="1"/>
  <c r="V72" i="10" s="1"/>
  <c r="BP64" i="1"/>
  <c r="W64" i="2" s="1"/>
  <c r="W72" i="10" s="1"/>
  <c r="BO65" i="1"/>
  <c r="V65" i="2" s="1"/>
  <c r="V73" i="10" s="1"/>
  <c r="BP65" i="1"/>
  <c r="W65" i="2" s="1"/>
  <c r="W73" i="10" s="1"/>
  <c r="BO66" i="1"/>
  <c r="V66" i="2" s="1"/>
  <c r="V7" i="10" s="1"/>
  <c r="BP66" i="1"/>
  <c r="W66" i="2" s="1"/>
  <c r="W7" i="10" s="1"/>
  <c r="BO67" i="1"/>
  <c r="V67" i="2" s="1"/>
  <c r="V8" i="10" s="1"/>
  <c r="BP67" i="1"/>
  <c r="W67" i="2" s="1"/>
  <c r="W8" i="10" s="1"/>
  <c r="BO68" i="1"/>
  <c r="V68" i="2" s="1"/>
  <c r="V9" i="10" s="1"/>
  <c r="BP68" i="1"/>
  <c r="W68" i="2" s="1"/>
  <c r="W9" i="10" s="1"/>
  <c r="BO69" i="1"/>
  <c r="V69" i="2" s="1"/>
  <c r="V10" i="10" s="1"/>
  <c r="BP69" i="1"/>
  <c r="W69" i="2" s="1"/>
  <c r="W10" i="10" s="1"/>
  <c r="BO70" i="1"/>
  <c r="V70" i="2" s="1"/>
  <c r="V11" i="10" s="1"/>
  <c r="BP70" i="1"/>
  <c r="W70" i="2" s="1"/>
  <c r="W11" i="10" s="1"/>
  <c r="BO71" i="1"/>
  <c r="V71" i="2" s="1"/>
  <c r="V12" i="10" s="1"/>
  <c r="BP71" i="1"/>
  <c r="W71" i="2" s="1"/>
  <c r="W12" i="10" s="1"/>
  <c r="BO72" i="1"/>
  <c r="V72" i="2" s="1"/>
  <c r="V13" i="10" s="1"/>
  <c r="BP72" i="1"/>
  <c r="W72" i="2" s="1"/>
  <c r="W13" i="10" s="1"/>
  <c r="BO73" i="1"/>
  <c r="V73" i="2" s="1"/>
  <c r="V14" i="10" s="1"/>
  <c r="BP73" i="1"/>
  <c r="W73" i="2" s="1"/>
  <c r="W14" i="10" s="1"/>
  <c r="BO74" i="1"/>
  <c r="V74" i="2" s="1"/>
  <c r="BP74" i="1"/>
  <c r="W74" i="2" s="1"/>
  <c r="BO75" i="1"/>
  <c r="V75" i="2" s="1"/>
  <c r="V15" i="10" s="1"/>
  <c r="BP75" i="1"/>
  <c r="W75" i="2" s="1"/>
  <c r="W15" i="10" s="1"/>
  <c r="BO76" i="1"/>
  <c r="V76" i="2" s="1"/>
  <c r="V16" i="10" s="1"/>
  <c r="BP76" i="1"/>
  <c r="W76" i="2" s="1"/>
  <c r="W16" i="10" s="1"/>
  <c r="BO77" i="1"/>
  <c r="V77" i="2" s="1"/>
  <c r="V17" i="10" s="1"/>
  <c r="BP77" i="1"/>
  <c r="W77" i="2" s="1"/>
  <c r="W17" i="10" s="1"/>
  <c r="BO78" i="1"/>
  <c r="V78" i="2" s="1"/>
  <c r="V18" i="10" s="1"/>
  <c r="BP78" i="1"/>
  <c r="W78" i="2" s="1"/>
  <c r="W18" i="10" s="1"/>
  <c r="BO79" i="1"/>
  <c r="V79" i="2" s="1"/>
  <c r="BP79" i="1"/>
  <c r="W79" i="2" s="1"/>
  <c r="BO80" i="1"/>
  <c r="V80" i="2" s="1"/>
  <c r="V19" i="10" s="1"/>
  <c r="BP80" i="1"/>
  <c r="W80" i="2" s="1"/>
  <c r="W19" i="10" s="1"/>
  <c r="BO81" i="1"/>
  <c r="V81" i="2" s="1"/>
  <c r="V20" i="10" s="1"/>
  <c r="BP81" i="1"/>
  <c r="W81" i="2" s="1"/>
  <c r="W20" i="10" s="1"/>
  <c r="BO82" i="1"/>
  <c r="V82" i="2" s="1"/>
  <c r="V156" i="10" s="1"/>
  <c r="BP82" i="1"/>
  <c r="W82" i="2" s="1"/>
  <c r="W156" i="10" s="1"/>
  <c r="BO83" i="1"/>
  <c r="V83" i="2" s="1"/>
  <c r="V157" i="10" s="1"/>
  <c r="BP83" i="1"/>
  <c r="W83" i="2" s="1"/>
  <c r="W157" i="10" s="1"/>
  <c r="BO84" i="1"/>
  <c r="V84" i="2" s="1"/>
  <c r="V158" i="10" s="1"/>
  <c r="BP84" i="1"/>
  <c r="W84" i="2" s="1"/>
  <c r="W158" i="10" s="1"/>
  <c r="BO85" i="1"/>
  <c r="V85" i="2" s="1"/>
  <c r="V159" i="10" s="1"/>
  <c r="BP85" i="1"/>
  <c r="W85" i="2" s="1"/>
  <c r="W159" i="10" s="1"/>
  <c r="BO86" i="1"/>
  <c r="V86" i="2" s="1"/>
  <c r="V160" i="10" s="1"/>
  <c r="BP86" i="1"/>
  <c r="W86" i="2" s="1"/>
  <c r="W160" i="10" s="1"/>
  <c r="BO87" i="1"/>
  <c r="V87" i="2" s="1"/>
  <c r="V161" i="10" s="1"/>
  <c r="BP87" i="1"/>
  <c r="W87" i="2" s="1"/>
  <c r="W161" i="10" s="1"/>
  <c r="BO88" i="1"/>
  <c r="V88" i="2" s="1"/>
  <c r="V162" i="10" s="1"/>
  <c r="BP88" i="1"/>
  <c r="W88" i="2" s="1"/>
  <c r="W162" i="10" s="1"/>
  <c r="BO89" i="1"/>
  <c r="V89" i="2" s="1"/>
  <c r="V163" i="10" s="1"/>
  <c r="BP89" i="1"/>
  <c r="W89" i="2" s="1"/>
  <c r="W163" i="10" s="1"/>
  <c r="BO90" i="1"/>
  <c r="V90" i="2" s="1"/>
  <c r="V164" i="10" s="1"/>
  <c r="BP90" i="1"/>
  <c r="W90" i="2" s="1"/>
  <c r="W164" i="10" s="1"/>
  <c r="BO91" i="1"/>
  <c r="V91" i="2" s="1"/>
  <c r="V165" i="10" s="1"/>
  <c r="BP91" i="1"/>
  <c r="W91" i="2" s="1"/>
  <c r="W165" i="10" s="1"/>
  <c r="BO92" i="1"/>
  <c r="V92" i="2" s="1"/>
  <c r="V166" i="10" s="1"/>
  <c r="BP92" i="1"/>
  <c r="W92" i="2" s="1"/>
  <c r="W166" i="10" s="1"/>
  <c r="BO93" i="1"/>
  <c r="V93" i="2" s="1"/>
  <c r="V167" i="10" s="1"/>
  <c r="BP93" i="1"/>
  <c r="W93" i="2" s="1"/>
  <c r="W167" i="10" s="1"/>
  <c r="BO94" i="1"/>
  <c r="V94" i="2" s="1"/>
  <c r="V168" i="10" s="1"/>
  <c r="BP94" i="1"/>
  <c r="W94" i="2" s="1"/>
  <c r="W168" i="10" s="1"/>
  <c r="BO95" i="1"/>
  <c r="V95" i="2" s="1"/>
  <c r="V169" i="10" s="1"/>
  <c r="BP95" i="1"/>
  <c r="W95" i="2" s="1"/>
  <c r="W169" i="10" s="1"/>
  <c r="BO96" i="1"/>
  <c r="V96" i="2" s="1"/>
  <c r="V170" i="10" s="1"/>
  <c r="BP96" i="1"/>
  <c r="W96" i="2" s="1"/>
  <c r="W170" i="10" s="1"/>
  <c r="BO97" i="1"/>
  <c r="V97" i="2" s="1"/>
  <c r="V171" i="10" s="1"/>
  <c r="BP97" i="1"/>
  <c r="W97" i="2" s="1"/>
  <c r="W171" i="10" s="1"/>
  <c r="BO98" i="1"/>
  <c r="V98" i="2" s="1"/>
  <c r="V172" i="10" s="1"/>
  <c r="BP98" i="1"/>
  <c r="W98" i="2" s="1"/>
  <c r="W172" i="10" s="1"/>
  <c r="BO99" i="1"/>
  <c r="V99" i="2" s="1"/>
  <c r="V173" i="10" s="1"/>
  <c r="BP99" i="1"/>
  <c r="W99" i="2" s="1"/>
  <c r="W173" i="10" s="1"/>
  <c r="BO100" i="1"/>
  <c r="V100" i="2" s="1"/>
  <c r="V21" i="10" s="1"/>
  <c r="BP100" i="1"/>
  <c r="W100" i="2" s="1"/>
  <c r="W21" i="10" s="1"/>
  <c r="BO101" i="1"/>
  <c r="V101" i="2" s="1"/>
  <c r="V22" i="10" s="1"/>
  <c r="BP101" i="1"/>
  <c r="W101" i="2" s="1"/>
  <c r="W22" i="10" s="1"/>
  <c r="BO102" i="1"/>
  <c r="V102" i="2" s="1"/>
  <c r="V23" i="10" s="1"/>
  <c r="BP102" i="1"/>
  <c r="W102" i="2" s="1"/>
  <c r="W23" i="10" s="1"/>
  <c r="BO103" i="1"/>
  <c r="V103" i="2" s="1"/>
  <c r="V24" i="10" s="1"/>
  <c r="BP103" i="1"/>
  <c r="W103" i="2" s="1"/>
  <c r="W24" i="10" s="1"/>
  <c r="BO104" i="1"/>
  <c r="V104" i="2" s="1"/>
  <c r="V25" i="10" s="1"/>
  <c r="BP104" i="1"/>
  <c r="W104" i="2" s="1"/>
  <c r="W25" i="10" s="1"/>
  <c r="BO105" i="1"/>
  <c r="V105" i="2" s="1"/>
  <c r="V26" i="10" s="1"/>
  <c r="BP105" i="1"/>
  <c r="W105" i="2" s="1"/>
  <c r="W26" i="10" s="1"/>
  <c r="BO106" i="1"/>
  <c r="V106" i="2" s="1"/>
  <c r="V27" i="10" s="1"/>
  <c r="BP106" i="1"/>
  <c r="W106" i="2" s="1"/>
  <c r="W27" i="10" s="1"/>
  <c r="BO107" i="1"/>
  <c r="V107" i="2" s="1"/>
  <c r="V28" i="10" s="1"/>
  <c r="BP107" i="1"/>
  <c r="W107" i="2" s="1"/>
  <c r="W28" i="10" s="1"/>
  <c r="BO108" i="1"/>
  <c r="V108" i="2" s="1"/>
  <c r="V29" i="10" s="1"/>
  <c r="BP108" i="1"/>
  <c r="W108" i="2" s="1"/>
  <c r="W29" i="10" s="1"/>
  <c r="BO109" i="1"/>
  <c r="V109" i="2" s="1"/>
  <c r="V30" i="10" s="1"/>
  <c r="BP109" i="1"/>
  <c r="W109" i="2" s="1"/>
  <c r="W30" i="10" s="1"/>
  <c r="BO110" i="1"/>
  <c r="V110" i="2" s="1"/>
  <c r="V31" i="10" s="1"/>
  <c r="BP110" i="1"/>
  <c r="W110" i="2" s="1"/>
  <c r="W31" i="10" s="1"/>
  <c r="BO111" i="1"/>
  <c r="V111" i="2" s="1"/>
  <c r="V32" i="10" s="1"/>
  <c r="BP111" i="1"/>
  <c r="W111" i="2" s="1"/>
  <c r="W32" i="10" s="1"/>
  <c r="BO112" i="1"/>
  <c r="V112" i="2" s="1"/>
  <c r="V33" i="10" s="1"/>
  <c r="BP112" i="1"/>
  <c r="W112" i="2" s="1"/>
  <c r="W33" i="10" s="1"/>
  <c r="BO113" i="1"/>
  <c r="V113" i="2" s="1"/>
  <c r="V34" i="10" s="1"/>
  <c r="BP113" i="1"/>
  <c r="W113" i="2" s="1"/>
  <c r="W34" i="10" s="1"/>
  <c r="BO114" i="1"/>
  <c r="V114" i="2" s="1"/>
  <c r="V35" i="10" s="1"/>
  <c r="BP114" i="1"/>
  <c r="W114" i="2" s="1"/>
  <c r="W35" i="10" s="1"/>
  <c r="BO115" i="1"/>
  <c r="V115" i="2" s="1"/>
  <c r="V36" i="10" s="1"/>
  <c r="BP115" i="1"/>
  <c r="W115" i="2" s="1"/>
  <c r="W36" i="10" s="1"/>
  <c r="BO116" i="1"/>
  <c r="V116" i="2" s="1"/>
  <c r="V37" i="10" s="1"/>
  <c r="BP116" i="1"/>
  <c r="W116" i="2" s="1"/>
  <c r="W37" i="10" s="1"/>
  <c r="BO117" i="1"/>
  <c r="V117" i="2" s="1"/>
  <c r="V38" i="10" s="1"/>
  <c r="BP117" i="1"/>
  <c r="W117" i="2" s="1"/>
  <c r="W38" i="10" s="1"/>
  <c r="BO118" i="1"/>
  <c r="V118" i="2" s="1"/>
  <c r="V39" i="10" s="1"/>
  <c r="BP118" i="1"/>
  <c r="W118" i="2" s="1"/>
  <c r="W39" i="10" s="1"/>
  <c r="BO119" i="1"/>
  <c r="V119" i="2" s="1"/>
  <c r="V40" i="10" s="1"/>
  <c r="BP119" i="1"/>
  <c r="W119" i="2" s="1"/>
  <c r="W40" i="10" s="1"/>
  <c r="BO120" i="1"/>
  <c r="V120" i="2" s="1"/>
  <c r="V41" i="10" s="1"/>
  <c r="BP120" i="1"/>
  <c r="W120" i="2" s="1"/>
  <c r="W41" i="10" s="1"/>
  <c r="BO121" i="1"/>
  <c r="V121" i="2" s="1"/>
  <c r="V42" i="10" s="1"/>
  <c r="BP121" i="1"/>
  <c r="W121" i="2" s="1"/>
  <c r="W42" i="10" s="1"/>
  <c r="BO122" i="1"/>
  <c r="V122" i="2" s="1"/>
  <c r="V43" i="10" s="1"/>
  <c r="BP122" i="1"/>
  <c r="W122" i="2" s="1"/>
  <c r="W43" i="10" s="1"/>
  <c r="BO123" i="1"/>
  <c r="V123" i="2" s="1"/>
  <c r="V44" i="10" s="1"/>
  <c r="BP123" i="1"/>
  <c r="W123" i="2" s="1"/>
  <c r="W44" i="10" s="1"/>
  <c r="BO124" i="1"/>
  <c r="V124" i="2" s="1"/>
  <c r="V45" i="10" s="1"/>
  <c r="BP124" i="1"/>
  <c r="W124" i="2" s="1"/>
  <c r="W45" i="10" s="1"/>
  <c r="BO125" i="1"/>
  <c r="V125" i="2" s="1"/>
  <c r="V46" i="10" s="1"/>
  <c r="BP125" i="1"/>
  <c r="W125" i="2" s="1"/>
  <c r="W46" i="10" s="1"/>
  <c r="BO126" i="1"/>
  <c r="V126" i="2" s="1"/>
  <c r="V47" i="10" s="1"/>
  <c r="BP126" i="1"/>
  <c r="W126" i="2" s="1"/>
  <c r="W47" i="10" s="1"/>
  <c r="BO127" i="1"/>
  <c r="V127" i="2" s="1"/>
  <c r="V48" i="10" s="1"/>
  <c r="BP127" i="1"/>
  <c r="W127" i="2" s="1"/>
  <c r="W48" i="10" s="1"/>
  <c r="BO128" i="1"/>
  <c r="V128" i="2" s="1"/>
  <c r="V49" i="10" s="1"/>
  <c r="BP128" i="1"/>
  <c r="W128" i="2" s="1"/>
  <c r="W49" i="10" s="1"/>
  <c r="BO129" i="1"/>
  <c r="V129" i="2" s="1"/>
  <c r="V50" i="10" s="1"/>
  <c r="BP129" i="1"/>
  <c r="W129" i="2" s="1"/>
  <c r="W50" i="10" s="1"/>
  <c r="BO130" i="1"/>
  <c r="V130" i="2" s="1"/>
  <c r="V51" i="10" s="1"/>
  <c r="BP130" i="1"/>
  <c r="W130" i="2" s="1"/>
  <c r="W51" i="10" s="1"/>
  <c r="BO131" i="1"/>
  <c r="V131" i="2" s="1"/>
  <c r="V52" i="10" s="1"/>
  <c r="BP131" i="1"/>
  <c r="W131" i="2" s="1"/>
  <c r="W52" i="10" s="1"/>
  <c r="BO132" i="1"/>
  <c r="V132" i="2" s="1"/>
  <c r="V53" i="10" s="1"/>
  <c r="BP132" i="1"/>
  <c r="W132" i="2" s="1"/>
  <c r="W53" i="10" s="1"/>
  <c r="BO133" i="1"/>
  <c r="V133" i="2" s="1"/>
  <c r="V54" i="10" s="1"/>
  <c r="BP133" i="1"/>
  <c r="W133" i="2" s="1"/>
  <c r="W54" i="10" s="1"/>
  <c r="BO134" i="1"/>
  <c r="V134" i="2" s="1"/>
  <c r="V55" i="10" s="1"/>
  <c r="BP134" i="1"/>
  <c r="W134" i="2" s="1"/>
  <c r="W55" i="10" s="1"/>
  <c r="BO135" i="1"/>
  <c r="V135" i="2" s="1"/>
  <c r="V56" i="10" s="1"/>
  <c r="BP135" i="1"/>
  <c r="W135" i="2" s="1"/>
  <c r="W56" i="10" s="1"/>
  <c r="BO136" i="1"/>
  <c r="V136" i="2" s="1"/>
  <c r="V57" i="10" s="1"/>
  <c r="BP136" i="1"/>
  <c r="W136" i="2" s="1"/>
  <c r="W57" i="10" s="1"/>
  <c r="BO137" i="1"/>
  <c r="V137" i="2" s="1"/>
  <c r="V58" i="10" s="1"/>
  <c r="BP137" i="1"/>
  <c r="W137" i="2" s="1"/>
  <c r="W58" i="10" s="1"/>
  <c r="BO138" i="1"/>
  <c r="V138" i="2" s="1"/>
  <c r="V59" i="10" s="1"/>
  <c r="BP138" i="1"/>
  <c r="W138" i="2" s="1"/>
  <c r="W59" i="10" s="1"/>
  <c r="BO139" i="1"/>
  <c r="V139" i="2" s="1"/>
  <c r="V60" i="10" s="1"/>
  <c r="BP139" i="1"/>
  <c r="W139" i="2" s="1"/>
  <c r="W60" i="10" s="1"/>
  <c r="BO140" i="1"/>
  <c r="V140" i="2" s="1"/>
  <c r="V74" i="10" s="1"/>
  <c r="BP140" i="1"/>
  <c r="W140" i="2" s="1"/>
  <c r="W74" i="10" s="1"/>
  <c r="BO141" i="1"/>
  <c r="V141" i="2" s="1"/>
  <c r="V75" i="10" s="1"/>
  <c r="BP141" i="1"/>
  <c r="W141" i="2" s="1"/>
  <c r="W75" i="10" s="1"/>
  <c r="BO142" i="1"/>
  <c r="V142" i="2" s="1"/>
  <c r="V76" i="10" s="1"/>
  <c r="BP142" i="1"/>
  <c r="W142" i="2" s="1"/>
  <c r="W76" i="10" s="1"/>
  <c r="BO143" i="1"/>
  <c r="V143" i="2" s="1"/>
  <c r="V77" i="10" s="1"/>
  <c r="BP143" i="1"/>
  <c r="W143" i="2" s="1"/>
  <c r="W77" i="10" s="1"/>
  <c r="BO144" i="1"/>
  <c r="V144" i="2" s="1"/>
  <c r="V78" i="10" s="1"/>
  <c r="BP144" i="1"/>
  <c r="W144" i="2" s="1"/>
  <c r="W78" i="10" s="1"/>
  <c r="BO145" i="1"/>
  <c r="V145" i="2" s="1"/>
  <c r="V79" i="10" s="1"/>
  <c r="BP145" i="1"/>
  <c r="W145" i="2" s="1"/>
  <c r="W79" i="10" s="1"/>
  <c r="BO146" i="1"/>
  <c r="V146" i="2" s="1"/>
  <c r="V80" i="10" s="1"/>
  <c r="BP146" i="1"/>
  <c r="W146" i="2" s="1"/>
  <c r="W80" i="10" s="1"/>
  <c r="BO147" i="1"/>
  <c r="V147" i="2" s="1"/>
  <c r="V81" i="10" s="1"/>
  <c r="BP147" i="1"/>
  <c r="W147" i="2" s="1"/>
  <c r="W81" i="10" s="1"/>
  <c r="BO148" i="1"/>
  <c r="V148" i="2" s="1"/>
  <c r="V82" i="10" s="1"/>
  <c r="BP148" i="1"/>
  <c r="W148" i="2" s="1"/>
  <c r="W82" i="10" s="1"/>
  <c r="BO149" i="1"/>
  <c r="V149" i="2" s="1"/>
  <c r="V83" i="10" s="1"/>
  <c r="BP149" i="1"/>
  <c r="W149" i="2" s="1"/>
  <c r="W83" i="10" s="1"/>
  <c r="BO150" i="1"/>
  <c r="V150" i="2" s="1"/>
  <c r="V84" i="10" s="1"/>
  <c r="BP150" i="1"/>
  <c r="W150" i="2" s="1"/>
  <c r="W84" i="10" s="1"/>
  <c r="BO151" i="1"/>
  <c r="V151" i="2" s="1"/>
  <c r="V85" i="10" s="1"/>
  <c r="BP151" i="1"/>
  <c r="W151" i="2" s="1"/>
  <c r="W85" i="10" s="1"/>
  <c r="BO152" i="1"/>
  <c r="V152" i="2" s="1"/>
  <c r="V86" i="10" s="1"/>
  <c r="BP152" i="1"/>
  <c r="W152" i="2" s="1"/>
  <c r="W86" i="10" s="1"/>
  <c r="BO153" i="1"/>
  <c r="V153" i="2" s="1"/>
  <c r="V87" i="10" s="1"/>
  <c r="BP153" i="1"/>
  <c r="W153" i="2" s="1"/>
  <c r="W87" i="10" s="1"/>
  <c r="BO154" i="1"/>
  <c r="V154" i="2" s="1"/>
  <c r="V88" i="10" s="1"/>
  <c r="BP154" i="1"/>
  <c r="W154" i="2" s="1"/>
  <c r="W88" i="10" s="1"/>
  <c r="BO155" i="1"/>
  <c r="V155" i="2" s="1"/>
  <c r="V89" i="10" s="1"/>
  <c r="BP155" i="1"/>
  <c r="W155" i="2" s="1"/>
  <c r="W89" i="10" s="1"/>
  <c r="BO156" i="1"/>
  <c r="V156" i="2" s="1"/>
  <c r="V90" i="10" s="1"/>
  <c r="BP156" i="1"/>
  <c r="W156" i="2" s="1"/>
  <c r="W90" i="10" s="1"/>
  <c r="BO157" i="1"/>
  <c r="V157" i="2" s="1"/>
  <c r="V91" i="10" s="1"/>
  <c r="BP157" i="1"/>
  <c r="W157" i="2" s="1"/>
  <c r="W91" i="10" s="1"/>
  <c r="BO158" i="1"/>
  <c r="V158" i="2" s="1"/>
  <c r="V92" i="10" s="1"/>
  <c r="BP158" i="1"/>
  <c r="W158" i="2" s="1"/>
  <c r="W92" i="10" s="1"/>
  <c r="BO159" i="1"/>
  <c r="V159" i="2" s="1"/>
  <c r="V93" i="10" s="1"/>
  <c r="BP159" i="1"/>
  <c r="W159" i="2" s="1"/>
  <c r="W93" i="10" s="1"/>
  <c r="BO160" i="1"/>
  <c r="V160" i="2" s="1"/>
  <c r="V94" i="10" s="1"/>
  <c r="BP160" i="1"/>
  <c r="W160" i="2" s="1"/>
  <c r="W94" i="10" s="1"/>
  <c r="BO161" i="1"/>
  <c r="V161" i="2" s="1"/>
  <c r="V95" i="10" s="1"/>
  <c r="BP161" i="1"/>
  <c r="W161" i="2" s="1"/>
  <c r="W95" i="10" s="1"/>
  <c r="BO162" i="1"/>
  <c r="V162" i="2" s="1"/>
  <c r="V96" i="10" s="1"/>
  <c r="BP162" i="1"/>
  <c r="W162" i="2" s="1"/>
  <c r="W96" i="10" s="1"/>
  <c r="BO163" i="1"/>
  <c r="V163" i="2" s="1"/>
  <c r="V97" i="10" s="1"/>
  <c r="BP163" i="1"/>
  <c r="W163" i="2" s="1"/>
  <c r="W97" i="10" s="1"/>
  <c r="BO164" i="1"/>
  <c r="V164" i="2" s="1"/>
  <c r="V98" i="10" s="1"/>
  <c r="BP164" i="1"/>
  <c r="W164" i="2" s="1"/>
  <c r="W98" i="10" s="1"/>
  <c r="BO165" i="1"/>
  <c r="V165" i="2" s="1"/>
  <c r="V99" i="10" s="1"/>
  <c r="BP165" i="1"/>
  <c r="W165" i="2" s="1"/>
  <c r="W99" i="10" s="1"/>
  <c r="BO166" i="1"/>
  <c r="V166" i="2" s="1"/>
  <c r="V100" i="10" s="1"/>
  <c r="BP166" i="1"/>
  <c r="W166" i="2" s="1"/>
  <c r="W100" i="10" s="1"/>
  <c r="BO167" i="1"/>
  <c r="V167" i="2" s="1"/>
  <c r="V101" i="10" s="1"/>
  <c r="BP167" i="1"/>
  <c r="W167" i="2" s="1"/>
  <c r="W101" i="10" s="1"/>
  <c r="BO168" i="1"/>
  <c r="V168" i="2" s="1"/>
  <c r="V102" i="10" s="1"/>
  <c r="BP168" i="1"/>
  <c r="W168" i="2" s="1"/>
  <c r="W102" i="10" s="1"/>
  <c r="BO169" i="1"/>
  <c r="V169" i="2" s="1"/>
  <c r="V103" i="10" s="1"/>
  <c r="BP169" i="1"/>
  <c r="W169" i="2" s="1"/>
  <c r="W103" i="10" s="1"/>
  <c r="BO170" i="1"/>
  <c r="V170" i="2" s="1"/>
  <c r="V104" i="10" s="1"/>
  <c r="BP170" i="1"/>
  <c r="W170" i="2" s="1"/>
  <c r="W104" i="10" s="1"/>
  <c r="BO171" i="1"/>
  <c r="V171" i="2" s="1"/>
  <c r="V105" i="10" s="1"/>
  <c r="BP171" i="1"/>
  <c r="W171" i="2" s="1"/>
  <c r="W105" i="10" s="1"/>
  <c r="BO172" i="1"/>
  <c r="V172" i="2" s="1"/>
  <c r="V106" i="10" s="1"/>
  <c r="BP172" i="1"/>
  <c r="W172" i="2" s="1"/>
  <c r="W106" i="10" s="1"/>
  <c r="BP3" i="1"/>
  <c r="W3" i="2" s="1"/>
  <c r="W107" i="10" s="1"/>
  <c r="BO3" i="1"/>
  <c r="V3" i="2" s="1"/>
  <c r="V107" i="10" s="1"/>
  <c r="Q21" i="2"/>
  <c r="Q125" i="10" s="1"/>
  <c r="Q23" i="2"/>
  <c r="Q127" i="10" s="1"/>
  <c r="R30" i="2"/>
  <c r="R134" i="10" s="1"/>
  <c r="R31" i="2"/>
  <c r="R135" i="10" s="1"/>
  <c r="R32" i="2"/>
  <c r="R136" i="10" s="1"/>
  <c r="R33" i="2"/>
  <c r="R137" i="10" s="1"/>
  <c r="R34" i="2"/>
  <c r="R138" i="10" s="1"/>
  <c r="Q35" i="2"/>
  <c r="Q139" i="10" s="1"/>
  <c r="R35" i="2"/>
  <c r="R139" i="10" s="1"/>
  <c r="R40" i="2"/>
  <c r="R144" i="10" s="1"/>
  <c r="R42" i="2"/>
  <c r="R146" i="10" s="1"/>
  <c r="R45" i="2"/>
  <c r="R149" i="10" s="1"/>
  <c r="R46" i="2"/>
  <c r="Q47" i="2"/>
  <c r="Q150" i="10" s="1"/>
  <c r="R47" i="2"/>
  <c r="R150" i="10" s="1"/>
  <c r="R49" i="2"/>
  <c r="R152" i="10" s="1"/>
  <c r="R50" i="2"/>
  <c r="R153" i="10" s="1"/>
  <c r="R53" i="2"/>
  <c r="R61" i="10" s="1"/>
  <c r="R55" i="2"/>
  <c r="R63" i="10" s="1"/>
  <c r="R65" i="2"/>
  <c r="R73" i="10" s="1"/>
  <c r="R66" i="2"/>
  <c r="R7" i="10" s="1"/>
  <c r="R70" i="2"/>
  <c r="R11" i="10" s="1"/>
  <c r="R73" i="2"/>
  <c r="R14" i="10" s="1"/>
  <c r="R75" i="2"/>
  <c r="R15" i="10" s="1"/>
  <c r="R77" i="2"/>
  <c r="R17" i="10" s="1"/>
  <c r="R78" i="2"/>
  <c r="R18" i="10" s="1"/>
  <c r="Q79" i="2"/>
  <c r="R82" i="2"/>
  <c r="R156" i="10" s="1"/>
  <c r="R83" i="2"/>
  <c r="R157" i="10" s="1"/>
  <c r="Q87" i="2"/>
  <c r="Q161" i="10" s="1"/>
  <c r="Q89" i="2"/>
  <c r="Q163" i="10" s="1"/>
  <c r="R89" i="2"/>
  <c r="R163" i="10" s="1"/>
  <c r="R93" i="2"/>
  <c r="R167" i="10" s="1"/>
  <c r="R94" i="2"/>
  <c r="R168" i="10" s="1"/>
  <c r="R95" i="2"/>
  <c r="R169" i="10" s="1"/>
  <c r="R97" i="2"/>
  <c r="R171" i="10" s="1"/>
  <c r="R98" i="2"/>
  <c r="R172" i="10" s="1"/>
  <c r="Q99" i="2"/>
  <c r="Q173" i="10" s="1"/>
  <c r="R101" i="2"/>
  <c r="R22" i="10" s="1"/>
  <c r="R104" i="2"/>
  <c r="R25" i="10" s="1"/>
  <c r="R110" i="2"/>
  <c r="R31" i="10" s="1"/>
  <c r="R113" i="2"/>
  <c r="R34" i="10" s="1"/>
  <c r="R114" i="2"/>
  <c r="R35" i="10" s="1"/>
  <c r="R118" i="2"/>
  <c r="R39" i="10" s="1"/>
  <c r="Q121" i="2"/>
  <c r="Q42" i="10" s="1"/>
  <c r="R121" i="2"/>
  <c r="R42" i="10" s="1"/>
  <c r="R130" i="2"/>
  <c r="R51" i="10" s="1"/>
  <c r="R137" i="2"/>
  <c r="R58" i="10" s="1"/>
  <c r="R140" i="2"/>
  <c r="R74" i="10" s="1"/>
  <c r="R150" i="2"/>
  <c r="R84" i="10" s="1"/>
  <c r="R160" i="2"/>
  <c r="R94" i="10" s="1"/>
  <c r="R162" i="2"/>
  <c r="R96" i="10" s="1"/>
  <c r="R165" i="2"/>
  <c r="R99" i="10" s="1"/>
  <c r="Q4" i="2"/>
  <c r="Q108" i="10" s="1"/>
  <c r="Q5" i="2"/>
  <c r="Q109" i="10" s="1"/>
  <c r="Q17" i="2"/>
  <c r="Q121" i="10" s="1"/>
  <c r="BN12" i="1"/>
  <c r="BN13" i="1"/>
  <c r="BN15" i="1"/>
  <c r="BN16" i="1"/>
  <c r="BN17" i="1"/>
  <c r="BN19" i="1"/>
  <c r="BN21" i="1"/>
  <c r="BN22" i="1"/>
  <c r="BN23" i="1"/>
  <c r="BN24" i="1"/>
  <c r="BN26" i="1"/>
  <c r="BN27" i="1"/>
  <c r="BN28" i="1"/>
  <c r="BN29" i="1"/>
  <c r="BN30" i="1"/>
  <c r="BN31" i="1"/>
  <c r="BN32" i="1"/>
  <c r="BN33" i="1"/>
  <c r="BN34" i="1"/>
  <c r="BN35" i="1"/>
  <c r="BN36" i="1"/>
  <c r="BN39" i="1"/>
  <c r="BN40" i="1"/>
  <c r="BN42" i="1"/>
  <c r="BN43" i="1"/>
  <c r="BN44" i="1"/>
  <c r="BN45" i="1"/>
  <c r="BN46" i="1"/>
  <c r="BN47" i="1"/>
  <c r="BN48" i="1"/>
  <c r="BN49" i="1"/>
  <c r="BN50" i="1"/>
  <c r="BN51" i="1"/>
  <c r="BN53" i="1"/>
  <c r="BN55" i="1"/>
  <c r="BN57" i="1"/>
  <c r="BN60" i="1"/>
  <c r="BN64" i="1"/>
  <c r="BN65" i="1"/>
  <c r="BN66" i="1"/>
  <c r="BN70" i="1"/>
  <c r="BN71" i="1"/>
  <c r="BN72" i="1"/>
  <c r="BN73" i="1"/>
  <c r="BN75" i="1"/>
  <c r="BN76" i="1"/>
  <c r="BN77" i="1"/>
  <c r="BN78" i="1"/>
  <c r="BN79" i="1"/>
  <c r="BN81" i="1"/>
  <c r="BN82" i="1"/>
  <c r="BN83" i="1"/>
  <c r="BN84" i="1"/>
  <c r="BN85" i="1"/>
  <c r="BN87" i="1"/>
  <c r="BN88" i="1"/>
  <c r="BN89" i="1"/>
  <c r="BN90" i="1"/>
  <c r="BN92" i="1"/>
  <c r="BN93" i="1"/>
  <c r="BN94" i="1"/>
  <c r="BN95" i="1"/>
  <c r="BN97" i="1"/>
  <c r="BN98" i="1"/>
  <c r="BN99" i="1"/>
  <c r="BN100" i="1"/>
  <c r="BN101" i="1"/>
  <c r="BN103" i="1"/>
  <c r="BN104" i="1"/>
  <c r="BN106" i="1"/>
  <c r="BN107" i="1"/>
  <c r="BN109" i="1"/>
  <c r="BN110" i="1"/>
  <c r="BN111" i="1"/>
  <c r="BN113" i="1"/>
  <c r="BN114" i="1"/>
  <c r="BN116" i="1"/>
  <c r="BN117" i="1"/>
  <c r="BN118" i="1"/>
  <c r="BN120" i="1"/>
  <c r="BN121" i="1"/>
  <c r="BN122" i="1"/>
  <c r="BN123" i="1"/>
  <c r="BN124" i="1"/>
  <c r="BN125" i="1"/>
  <c r="BN126" i="1"/>
  <c r="BN128" i="1"/>
  <c r="BN130" i="1"/>
  <c r="BN131" i="1"/>
  <c r="BN132" i="1"/>
  <c r="BN137" i="1"/>
  <c r="BN139" i="1"/>
  <c r="BN140" i="1"/>
  <c r="BN145" i="1"/>
  <c r="BN150" i="1"/>
  <c r="BN152" i="1"/>
  <c r="BN153" i="1"/>
  <c r="BN155" i="1"/>
  <c r="BN156" i="1"/>
  <c r="BN159" i="1"/>
  <c r="BN160" i="1"/>
  <c r="BN161" i="1"/>
  <c r="BN162" i="1"/>
  <c r="BN163" i="1"/>
  <c r="BN165" i="1"/>
  <c r="BN170" i="1"/>
  <c r="BN171" i="1"/>
  <c r="BN172" i="1"/>
  <c r="BN4" i="1"/>
  <c r="BN5" i="1"/>
  <c r="BN6" i="1"/>
  <c r="BN7" i="1"/>
  <c r="BN8" i="1"/>
  <c r="BN9" i="1"/>
  <c r="BN10" i="1"/>
  <c r="BN11" i="1"/>
  <c r="BN3" i="1"/>
  <c r="E139" i="7"/>
  <c r="BN41" i="1" s="1"/>
  <c r="E25" i="7"/>
  <c r="BN119" i="1" s="1"/>
  <c r="E92" i="2"/>
  <c r="E93" i="2"/>
  <c r="E167" i="10" s="1"/>
  <c r="E94" i="2"/>
  <c r="E168" i="10" s="1"/>
  <c r="E95" i="2"/>
  <c r="E96" i="2"/>
  <c r="E97" i="2"/>
  <c r="E171" i="10" s="1"/>
  <c r="E98" i="2"/>
  <c r="E172" i="10" s="1"/>
  <c r="E99" i="2"/>
  <c r="E100" i="2"/>
  <c r="E21" i="10" s="1"/>
  <c r="E101" i="2"/>
  <c r="E102" i="2"/>
  <c r="E103" i="2"/>
  <c r="E24" i="10" s="1"/>
  <c r="E104" i="2"/>
  <c r="E25" i="10" s="1"/>
  <c r="E105" i="2"/>
  <c r="S79" i="2"/>
  <c r="S80" i="2"/>
  <c r="S19" i="10" s="1"/>
  <c r="S81" i="2"/>
  <c r="S20" i="10" s="1"/>
  <c r="S82" i="2"/>
  <c r="S156" i="10" s="1"/>
  <c r="S83" i="2"/>
  <c r="S157" i="10" s="1"/>
  <c r="S84" i="2"/>
  <c r="S158" i="10" s="1"/>
  <c r="S85" i="2"/>
  <c r="S159" i="10" s="1"/>
  <c r="S86" i="2"/>
  <c r="S160" i="10" s="1"/>
  <c r="S87" i="2"/>
  <c r="S161" i="10" s="1"/>
  <c r="G3" i="7"/>
  <c r="H3" i="7"/>
  <c r="G4" i="7"/>
  <c r="H4" i="7"/>
  <c r="G5" i="7"/>
  <c r="H5" i="7"/>
  <c r="G6" i="7"/>
  <c r="H6" i="7"/>
  <c r="G7" i="7"/>
  <c r="H7" i="7"/>
  <c r="G8" i="7"/>
  <c r="H8" i="7"/>
  <c r="G9" i="7"/>
  <c r="H9" i="7"/>
  <c r="G10" i="7"/>
  <c r="H10" i="7"/>
  <c r="G11" i="7"/>
  <c r="H11" i="7"/>
  <c r="G12" i="7"/>
  <c r="H12" i="7"/>
  <c r="G13" i="7"/>
  <c r="H13" i="7"/>
  <c r="G14" i="7"/>
  <c r="H14" i="7"/>
  <c r="G15" i="7"/>
  <c r="H15" i="7"/>
  <c r="G16" i="7"/>
  <c r="H16" i="7"/>
  <c r="G17" i="7"/>
  <c r="H17" i="7"/>
  <c r="G18" i="7"/>
  <c r="H18" i="7"/>
  <c r="G19" i="7"/>
  <c r="H19" i="7"/>
  <c r="G20" i="7"/>
  <c r="H20" i="7"/>
  <c r="G21" i="7"/>
  <c r="H21" i="7"/>
  <c r="G22" i="7"/>
  <c r="H22" i="7"/>
  <c r="G23" i="7"/>
  <c r="H23" i="7"/>
  <c r="G24" i="7"/>
  <c r="H24" i="7"/>
  <c r="G25" i="7"/>
  <c r="H25" i="7"/>
  <c r="G26" i="7"/>
  <c r="H26" i="7"/>
  <c r="G27" i="7"/>
  <c r="H27" i="7"/>
  <c r="G28" i="7"/>
  <c r="H28" i="7"/>
  <c r="G29" i="7"/>
  <c r="H29" i="7"/>
  <c r="G30" i="7"/>
  <c r="H30" i="7"/>
  <c r="G31" i="7"/>
  <c r="H31" i="7"/>
  <c r="G32" i="7"/>
  <c r="H32" i="7"/>
  <c r="G33" i="7"/>
  <c r="H33" i="7"/>
  <c r="G34" i="7"/>
  <c r="H34" i="7"/>
  <c r="G35" i="7"/>
  <c r="H35" i="7"/>
  <c r="G36" i="7"/>
  <c r="H36" i="7"/>
  <c r="G37" i="7"/>
  <c r="H37" i="7"/>
  <c r="G38" i="7"/>
  <c r="H38" i="7"/>
  <c r="G39" i="7"/>
  <c r="H39" i="7"/>
  <c r="G40" i="7"/>
  <c r="H40" i="7"/>
  <c r="G41" i="7"/>
  <c r="H41" i="7"/>
  <c r="G42" i="7"/>
  <c r="H42" i="7"/>
  <c r="G43" i="7"/>
  <c r="H43" i="7"/>
  <c r="G44" i="7"/>
  <c r="H44" i="7"/>
  <c r="G45" i="7"/>
  <c r="H45" i="7"/>
  <c r="G46" i="7"/>
  <c r="H46" i="7"/>
  <c r="G47" i="7"/>
  <c r="H47" i="7"/>
  <c r="G48" i="7"/>
  <c r="H48" i="7"/>
  <c r="G49" i="7"/>
  <c r="H49" i="7"/>
  <c r="G50" i="7"/>
  <c r="H50" i="7"/>
  <c r="G51" i="7"/>
  <c r="H51" i="7"/>
  <c r="G52" i="7"/>
  <c r="H52" i="7"/>
  <c r="G53" i="7"/>
  <c r="H53" i="7"/>
  <c r="G54" i="7"/>
  <c r="H54" i="7"/>
  <c r="G55" i="7"/>
  <c r="H55" i="7"/>
  <c r="G56" i="7"/>
  <c r="H56" i="7"/>
  <c r="G57" i="7"/>
  <c r="H57" i="7"/>
  <c r="G58" i="7"/>
  <c r="H58" i="7"/>
  <c r="G59" i="7"/>
  <c r="H59" i="7"/>
  <c r="G60" i="7"/>
  <c r="H60" i="7"/>
  <c r="G61" i="7"/>
  <c r="H61" i="7"/>
  <c r="G62" i="7"/>
  <c r="H62" i="7"/>
  <c r="G63" i="7"/>
  <c r="H63" i="7"/>
  <c r="G64" i="7"/>
  <c r="H64" i="7"/>
  <c r="G65" i="7"/>
  <c r="H65" i="7"/>
  <c r="G66" i="7"/>
  <c r="H66" i="7"/>
  <c r="G67" i="7"/>
  <c r="H67" i="7"/>
  <c r="G68" i="7"/>
  <c r="H68" i="7"/>
  <c r="G69" i="7"/>
  <c r="H69" i="7"/>
  <c r="G70" i="7"/>
  <c r="H70" i="7"/>
  <c r="G71" i="7"/>
  <c r="H71" i="7"/>
  <c r="G72" i="7"/>
  <c r="H72" i="7"/>
  <c r="G73" i="7"/>
  <c r="H73" i="7"/>
  <c r="G74" i="7"/>
  <c r="H74" i="7"/>
  <c r="G75" i="7"/>
  <c r="H75" i="7"/>
  <c r="G76" i="7"/>
  <c r="H76" i="7"/>
  <c r="G77" i="7"/>
  <c r="H77" i="7"/>
  <c r="G78" i="7"/>
  <c r="H78" i="7"/>
  <c r="G79" i="7"/>
  <c r="H79" i="7"/>
  <c r="G80" i="7"/>
  <c r="H80" i="7"/>
  <c r="G81" i="7"/>
  <c r="H81" i="7"/>
  <c r="G82" i="7"/>
  <c r="H82" i="7"/>
  <c r="G83" i="7"/>
  <c r="H83" i="7"/>
  <c r="G84" i="7"/>
  <c r="H84" i="7"/>
  <c r="G85" i="7"/>
  <c r="H85" i="7"/>
  <c r="G86" i="7"/>
  <c r="H86" i="7"/>
  <c r="G87" i="7"/>
  <c r="H87" i="7"/>
  <c r="G88" i="7"/>
  <c r="H88" i="7"/>
  <c r="G89" i="7"/>
  <c r="H89" i="7"/>
  <c r="G90" i="7"/>
  <c r="H90" i="7"/>
  <c r="G91" i="7"/>
  <c r="H91" i="7"/>
  <c r="G92" i="7"/>
  <c r="H92" i="7"/>
  <c r="G93" i="7"/>
  <c r="H93" i="7"/>
  <c r="G94" i="7"/>
  <c r="H94" i="7"/>
  <c r="G95" i="7"/>
  <c r="H95" i="7"/>
  <c r="G96" i="7"/>
  <c r="H96" i="7"/>
  <c r="G97" i="7"/>
  <c r="H97" i="7"/>
  <c r="G98" i="7"/>
  <c r="H98" i="7"/>
  <c r="G99" i="7"/>
  <c r="H99" i="7"/>
  <c r="G100" i="7"/>
  <c r="H100" i="7"/>
  <c r="G101" i="7"/>
  <c r="H101" i="7"/>
  <c r="G102" i="7"/>
  <c r="H102" i="7"/>
  <c r="G103" i="7"/>
  <c r="H103" i="7"/>
  <c r="G104" i="7"/>
  <c r="H104" i="7"/>
  <c r="G105" i="7"/>
  <c r="H105" i="7"/>
  <c r="G106" i="7"/>
  <c r="H106" i="7"/>
  <c r="G107" i="7"/>
  <c r="H107" i="7"/>
  <c r="G108" i="7"/>
  <c r="H108" i="7"/>
  <c r="G109" i="7"/>
  <c r="H109" i="7"/>
  <c r="G110" i="7"/>
  <c r="H110" i="7"/>
  <c r="G111" i="7"/>
  <c r="H111" i="7"/>
  <c r="G112" i="7"/>
  <c r="H112" i="7"/>
  <c r="G113" i="7"/>
  <c r="H113" i="7"/>
  <c r="G114" i="7"/>
  <c r="H114" i="7"/>
  <c r="G115" i="7"/>
  <c r="H115" i="7"/>
  <c r="G116" i="7"/>
  <c r="H116" i="7"/>
  <c r="G117" i="7"/>
  <c r="H117" i="7"/>
  <c r="G118" i="7"/>
  <c r="H118" i="7"/>
  <c r="G119" i="7"/>
  <c r="H119" i="7"/>
  <c r="G120" i="7"/>
  <c r="H120" i="7"/>
  <c r="G121" i="7"/>
  <c r="H121" i="7"/>
  <c r="G122" i="7"/>
  <c r="H122" i="7"/>
  <c r="G123" i="7"/>
  <c r="H123" i="7"/>
  <c r="G124" i="7"/>
  <c r="H124" i="7"/>
  <c r="G125" i="7"/>
  <c r="H125" i="7"/>
  <c r="G126" i="7"/>
  <c r="H126" i="7"/>
  <c r="G127" i="7"/>
  <c r="H127" i="7"/>
  <c r="G128" i="7"/>
  <c r="H128" i="7"/>
  <c r="G129" i="7"/>
  <c r="H129" i="7"/>
  <c r="G130" i="7"/>
  <c r="H130" i="7"/>
  <c r="G131" i="7"/>
  <c r="H131" i="7"/>
  <c r="G132" i="7"/>
  <c r="H132" i="7"/>
  <c r="G133" i="7"/>
  <c r="H133" i="7"/>
  <c r="G134" i="7"/>
  <c r="H134" i="7"/>
  <c r="G135" i="7"/>
  <c r="H135" i="7"/>
  <c r="G136" i="7"/>
  <c r="H136" i="7"/>
  <c r="G137" i="7"/>
  <c r="H137" i="7"/>
  <c r="G138" i="7"/>
  <c r="H138" i="7"/>
  <c r="G139" i="7"/>
  <c r="H139" i="7"/>
  <c r="G140" i="7"/>
  <c r="H140" i="7"/>
  <c r="G141" i="7"/>
  <c r="H141" i="7"/>
  <c r="G142" i="7"/>
  <c r="H142" i="7"/>
  <c r="G143" i="7"/>
  <c r="H143" i="7"/>
  <c r="G144" i="7"/>
  <c r="H144" i="7"/>
  <c r="G145" i="7"/>
  <c r="H145" i="7"/>
  <c r="G146" i="7"/>
  <c r="H146" i="7"/>
  <c r="G147" i="7"/>
  <c r="H147" i="7"/>
  <c r="G148" i="7"/>
  <c r="H148" i="7"/>
  <c r="G149" i="7"/>
  <c r="H149" i="7"/>
  <c r="G150" i="7"/>
  <c r="H150" i="7"/>
  <c r="G151" i="7"/>
  <c r="H151" i="7"/>
  <c r="G152" i="7"/>
  <c r="H152" i="7"/>
  <c r="G153" i="7"/>
  <c r="H153" i="7"/>
  <c r="G154" i="7"/>
  <c r="H154" i="7"/>
  <c r="G155" i="7"/>
  <c r="H155" i="7"/>
  <c r="G156" i="7"/>
  <c r="H156" i="7"/>
  <c r="G157" i="7"/>
  <c r="H157" i="7"/>
  <c r="G158" i="7"/>
  <c r="H158" i="7"/>
  <c r="G159" i="7"/>
  <c r="H159" i="7"/>
  <c r="G160" i="7"/>
  <c r="H160" i="7"/>
  <c r="G161" i="7"/>
  <c r="H161" i="7"/>
  <c r="G162" i="7"/>
  <c r="H162" i="7"/>
  <c r="G163" i="7"/>
  <c r="H163" i="7"/>
  <c r="G164" i="7"/>
  <c r="H164" i="7"/>
  <c r="G165" i="7"/>
  <c r="H165" i="7"/>
  <c r="G166" i="7"/>
  <c r="H166" i="7"/>
  <c r="G167" i="7"/>
  <c r="H167" i="7"/>
  <c r="G168" i="7"/>
  <c r="H168" i="7"/>
  <c r="G169" i="7"/>
  <c r="H169" i="7"/>
  <c r="J169" i="7"/>
  <c r="G170" i="7"/>
  <c r="H170" i="7"/>
  <c r="G171" i="7"/>
  <c r="H171" i="7"/>
  <c r="G2" i="7"/>
  <c r="H2" i="7"/>
  <c r="E20" i="7"/>
  <c r="E30" i="7"/>
  <c r="BN115" i="1" s="1"/>
  <c r="E31" i="7"/>
  <c r="E33" i="7"/>
  <c r="E37" i="7"/>
  <c r="E39" i="7"/>
  <c r="E40" i="7"/>
  <c r="E43" i="7"/>
  <c r="E44" i="7"/>
  <c r="E47" i="7"/>
  <c r="BN138" i="1" s="1"/>
  <c r="E54" i="7"/>
  <c r="E55" i="7"/>
  <c r="E58" i="7"/>
  <c r="E59" i="7"/>
  <c r="E61" i="7"/>
  <c r="E64" i="7"/>
  <c r="E65" i="7"/>
  <c r="E69" i="7"/>
  <c r="BN62" i="1" s="1"/>
  <c r="E70" i="7"/>
  <c r="E72" i="7"/>
  <c r="E73" i="7"/>
  <c r="E75" i="7"/>
  <c r="E76" i="7"/>
  <c r="E77" i="7"/>
  <c r="E78" i="7"/>
  <c r="E79" i="7"/>
  <c r="E83" i="7"/>
  <c r="E85" i="7"/>
  <c r="E86" i="7"/>
  <c r="E87" i="7"/>
  <c r="E88" i="7"/>
  <c r="E92" i="7"/>
  <c r="E94" i="7"/>
  <c r="E99" i="7"/>
  <c r="E102" i="7"/>
  <c r="E103" i="7"/>
  <c r="E104" i="7"/>
  <c r="E105" i="7"/>
  <c r="E106" i="7"/>
  <c r="E107" i="7"/>
  <c r="E114" i="7"/>
  <c r="E119" i="7"/>
  <c r="E123" i="7"/>
  <c r="E155" i="7"/>
  <c r="E160" i="7"/>
  <c r="E163" i="7"/>
  <c r="E7" i="7"/>
  <c r="E9" i="7"/>
  <c r="E11" i="7"/>
  <c r="E12" i="7"/>
  <c r="E13" i="7"/>
  <c r="P692" i="3"/>
  <c r="P691" i="3"/>
  <c r="P690" i="3"/>
  <c r="P689" i="3"/>
  <c r="P688" i="3"/>
  <c r="P687" i="3"/>
  <c r="P686" i="3"/>
  <c r="P685" i="3"/>
  <c r="P684" i="3"/>
  <c r="P683" i="3"/>
  <c r="P682" i="3"/>
  <c r="P681" i="3"/>
  <c r="P680" i="3"/>
  <c r="P679" i="3"/>
  <c r="P678" i="3"/>
  <c r="P677" i="3"/>
  <c r="P676" i="3"/>
  <c r="P675" i="3"/>
  <c r="P674" i="3"/>
  <c r="P673" i="3"/>
  <c r="P672" i="3"/>
  <c r="P671" i="3"/>
  <c r="P670" i="3"/>
  <c r="P669" i="3"/>
  <c r="P668" i="3"/>
  <c r="P667" i="3"/>
  <c r="P666" i="3"/>
  <c r="P665" i="3"/>
  <c r="P664" i="3"/>
  <c r="P663" i="3"/>
  <c r="P662" i="3"/>
  <c r="P661" i="3"/>
  <c r="P660" i="3"/>
  <c r="P659" i="3"/>
  <c r="P658" i="3"/>
  <c r="P657" i="3"/>
  <c r="P656" i="3"/>
  <c r="P655" i="3"/>
  <c r="P654" i="3"/>
  <c r="P653" i="3"/>
  <c r="P652" i="3"/>
  <c r="P651" i="3"/>
  <c r="P650" i="3"/>
  <c r="P649" i="3"/>
  <c r="P648" i="3"/>
  <c r="P647" i="3"/>
  <c r="P646" i="3"/>
  <c r="P645" i="3"/>
  <c r="P644" i="3"/>
  <c r="P643" i="3"/>
  <c r="P642" i="3"/>
  <c r="P641" i="3"/>
  <c r="P640" i="3"/>
  <c r="P639" i="3"/>
  <c r="P638" i="3"/>
  <c r="P637" i="3"/>
  <c r="P636" i="3"/>
  <c r="P635" i="3"/>
  <c r="P634" i="3"/>
  <c r="P633" i="3"/>
  <c r="P632" i="3"/>
  <c r="P631" i="3"/>
  <c r="P630" i="3"/>
  <c r="P629" i="3"/>
  <c r="P628" i="3"/>
  <c r="P627" i="3"/>
  <c r="P626" i="3"/>
  <c r="P625" i="3"/>
  <c r="P624" i="3"/>
  <c r="P623" i="3"/>
  <c r="P622" i="3"/>
  <c r="P621" i="3"/>
  <c r="P620" i="3"/>
  <c r="P619" i="3"/>
  <c r="P618" i="3"/>
  <c r="P617" i="3"/>
  <c r="P616" i="3"/>
  <c r="P615" i="3"/>
  <c r="P614" i="3"/>
  <c r="P613" i="3"/>
  <c r="P612" i="3"/>
  <c r="P611" i="3"/>
  <c r="P610" i="3"/>
  <c r="P609" i="3"/>
  <c r="P608" i="3"/>
  <c r="P607" i="3"/>
  <c r="P606" i="3"/>
  <c r="P605" i="3"/>
  <c r="P604" i="3"/>
  <c r="P603" i="3"/>
  <c r="P602" i="3"/>
  <c r="P601" i="3"/>
  <c r="P600" i="3"/>
  <c r="P599" i="3"/>
  <c r="P598" i="3"/>
  <c r="P597" i="3"/>
  <c r="P596" i="3"/>
  <c r="P595" i="3"/>
  <c r="P594" i="3"/>
  <c r="P593" i="3"/>
  <c r="P592" i="3"/>
  <c r="P591" i="3"/>
  <c r="P590" i="3"/>
  <c r="P589" i="3"/>
  <c r="P588" i="3"/>
  <c r="P587" i="3"/>
  <c r="P586" i="3"/>
  <c r="P585" i="3"/>
  <c r="P584" i="3"/>
  <c r="P583" i="3"/>
  <c r="P582" i="3"/>
  <c r="P581" i="3"/>
  <c r="P580" i="3"/>
  <c r="P579" i="3"/>
  <c r="P578" i="3"/>
  <c r="P577" i="3"/>
  <c r="P576" i="3"/>
  <c r="P575" i="3"/>
  <c r="P574" i="3"/>
  <c r="P573" i="3"/>
  <c r="P572" i="3"/>
  <c r="P571" i="3"/>
  <c r="P570" i="3"/>
  <c r="P569" i="3"/>
  <c r="P568" i="3"/>
  <c r="P567" i="3"/>
  <c r="P566" i="3"/>
  <c r="P565" i="3"/>
  <c r="P564" i="3"/>
  <c r="P563" i="3"/>
  <c r="P562" i="3"/>
  <c r="P561" i="3"/>
  <c r="P560" i="3"/>
  <c r="P559" i="3"/>
  <c r="P558" i="3"/>
  <c r="P557" i="3"/>
  <c r="P556" i="3"/>
  <c r="P555" i="3"/>
  <c r="P554" i="3"/>
  <c r="P553" i="3"/>
  <c r="P552" i="3"/>
  <c r="P551" i="3"/>
  <c r="P550" i="3"/>
  <c r="P549" i="3"/>
  <c r="P548" i="3"/>
  <c r="P547" i="3"/>
  <c r="P546" i="3"/>
  <c r="P545" i="3"/>
  <c r="P544" i="3"/>
  <c r="P543" i="3"/>
  <c r="P542" i="3"/>
  <c r="P541" i="3"/>
  <c r="P540" i="3"/>
  <c r="P539" i="3"/>
  <c r="P538" i="3"/>
  <c r="P537" i="3"/>
  <c r="P536" i="3"/>
  <c r="P535" i="3"/>
  <c r="P534" i="3"/>
  <c r="P533" i="3"/>
  <c r="P532" i="3"/>
  <c r="P531" i="3"/>
  <c r="P530" i="3"/>
  <c r="P529" i="3"/>
  <c r="P528" i="3"/>
  <c r="P527" i="3"/>
  <c r="P526" i="3"/>
  <c r="P525" i="3"/>
  <c r="P524" i="3"/>
  <c r="P523" i="3"/>
  <c r="P522" i="3"/>
  <c r="P521" i="3"/>
  <c r="P520" i="3"/>
  <c r="P519" i="3"/>
  <c r="P518" i="3"/>
  <c r="P517" i="3"/>
  <c r="P516" i="3"/>
  <c r="P515" i="3"/>
  <c r="P514" i="3"/>
  <c r="P513" i="3"/>
  <c r="P512" i="3"/>
  <c r="P511" i="3"/>
  <c r="P510" i="3"/>
  <c r="P509" i="3"/>
  <c r="P508" i="3"/>
  <c r="P507" i="3"/>
  <c r="P506" i="3"/>
  <c r="P505" i="3"/>
  <c r="P504" i="3"/>
  <c r="P503" i="3"/>
  <c r="P502" i="3"/>
  <c r="P501" i="3"/>
  <c r="P500" i="3"/>
  <c r="P499" i="3"/>
  <c r="P498" i="3"/>
  <c r="P497" i="3"/>
  <c r="P496" i="3"/>
  <c r="P495" i="3"/>
  <c r="P494" i="3"/>
  <c r="P493" i="3"/>
  <c r="P492" i="3"/>
  <c r="P491" i="3"/>
  <c r="P490" i="3"/>
  <c r="P489" i="3"/>
  <c r="P488" i="3"/>
  <c r="P487" i="3"/>
  <c r="P486" i="3"/>
  <c r="P485" i="3"/>
  <c r="P484" i="3"/>
  <c r="P483" i="3"/>
  <c r="P482" i="3"/>
  <c r="P481" i="3"/>
  <c r="P480" i="3"/>
  <c r="P479" i="3"/>
  <c r="P478" i="3"/>
  <c r="P477" i="3"/>
  <c r="P476" i="3"/>
  <c r="P475" i="3"/>
  <c r="P474" i="3"/>
  <c r="P473" i="3"/>
  <c r="P472" i="3"/>
  <c r="P471" i="3"/>
  <c r="P470" i="3"/>
  <c r="P469" i="3"/>
  <c r="P468" i="3"/>
  <c r="P467" i="3"/>
  <c r="P466" i="3"/>
  <c r="P465" i="3"/>
  <c r="P464" i="3"/>
  <c r="P463" i="3"/>
  <c r="P462" i="3"/>
  <c r="P461" i="3"/>
  <c r="P460" i="3"/>
  <c r="P459" i="3"/>
  <c r="P458" i="3"/>
  <c r="P457" i="3"/>
  <c r="P456" i="3"/>
  <c r="P455" i="3"/>
  <c r="P454" i="3"/>
  <c r="P453" i="3"/>
  <c r="P452" i="3"/>
  <c r="P451" i="3"/>
  <c r="P450" i="3"/>
  <c r="P449" i="3"/>
  <c r="P448" i="3"/>
  <c r="P447" i="3"/>
  <c r="P446" i="3"/>
  <c r="P445" i="3"/>
  <c r="P444" i="3"/>
  <c r="P443" i="3"/>
  <c r="P442" i="3"/>
  <c r="P441" i="3"/>
  <c r="P440" i="3"/>
  <c r="P439" i="3"/>
  <c r="P438" i="3"/>
  <c r="P437" i="3"/>
  <c r="P436" i="3"/>
  <c r="P435" i="3"/>
  <c r="P434" i="3"/>
  <c r="P433" i="3"/>
  <c r="P432" i="3"/>
  <c r="P431" i="3"/>
  <c r="P430" i="3"/>
  <c r="P429" i="3"/>
  <c r="P428" i="3"/>
  <c r="P427" i="3"/>
  <c r="P426" i="3"/>
  <c r="P425" i="3"/>
  <c r="P424" i="3"/>
  <c r="P423" i="3"/>
  <c r="P422" i="3"/>
  <c r="P421" i="3"/>
  <c r="P420" i="3"/>
  <c r="P419" i="3"/>
  <c r="P418" i="3"/>
  <c r="P417" i="3"/>
  <c r="P416" i="3"/>
  <c r="P415" i="3"/>
  <c r="P414" i="3"/>
  <c r="P413" i="3"/>
  <c r="P412" i="3"/>
  <c r="P411" i="3"/>
  <c r="P410" i="3"/>
  <c r="P409" i="3"/>
  <c r="P408" i="3"/>
  <c r="P407" i="3"/>
  <c r="P406" i="3"/>
  <c r="P405" i="3"/>
  <c r="P404" i="3"/>
  <c r="P403" i="3"/>
  <c r="P402" i="3"/>
  <c r="P401" i="3"/>
  <c r="P400" i="3"/>
  <c r="P399" i="3"/>
  <c r="P398" i="3"/>
  <c r="P397" i="3"/>
  <c r="P396" i="3"/>
  <c r="P395" i="3"/>
  <c r="P394" i="3"/>
  <c r="P393" i="3"/>
  <c r="P392" i="3"/>
  <c r="P391" i="3"/>
  <c r="P390" i="3"/>
  <c r="P389" i="3"/>
  <c r="P388" i="3"/>
  <c r="P387" i="3"/>
  <c r="P386" i="3"/>
  <c r="P385" i="3"/>
  <c r="P384" i="3"/>
  <c r="P383" i="3"/>
  <c r="P382" i="3"/>
  <c r="P381" i="3"/>
  <c r="P380" i="3"/>
  <c r="P379" i="3"/>
  <c r="P378" i="3"/>
  <c r="P377" i="3"/>
  <c r="P376" i="3"/>
  <c r="P375" i="3"/>
  <c r="P374" i="3"/>
  <c r="P373" i="3"/>
  <c r="P372" i="3"/>
  <c r="P371" i="3"/>
  <c r="P370" i="3"/>
  <c r="P369" i="3"/>
  <c r="P368" i="3"/>
  <c r="P367" i="3"/>
  <c r="P366" i="3"/>
  <c r="P365" i="3"/>
  <c r="P364" i="3"/>
  <c r="P363" i="3"/>
  <c r="P362" i="3"/>
  <c r="P361" i="3"/>
  <c r="P360" i="3"/>
  <c r="P359" i="3"/>
  <c r="P358" i="3"/>
  <c r="P357" i="3"/>
  <c r="P356" i="3"/>
  <c r="P355" i="3"/>
  <c r="P354" i="3"/>
  <c r="P353" i="3"/>
  <c r="P352" i="3"/>
  <c r="P351" i="3"/>
  <c r="P350" i="3"/>
  <c r="P349" i="3"/>
  <c r="P348" i="3"/>
  <c r="P347" i="3"/>
  <c r="P346" i="3"/>
  <c r="P345" i="3"/>
  <c r="P344" i="3"/>
  <c r="P343" i="3"/>
  <c r="P342" i="3"/>
  <c r="P341" i="3"/>
  <c r="P340" i="3"/>
  <c r="P339" i="3"/>
  <c r="P338" i="3"/>
  <c r="P337" i="3"/>
  <c r="P336" i="3"/>
  <c r="P335" i="3"/>
  <c r="P334" i="3"/>
  <c r="P333" i="3"/>
  <c r="P332" i="3"/>
  <c r="P331" i="3"/>
  <c r="P330" i="3"/>
  <c r="P329" i="3"/>
  <c r="P328" i="3"/>
  <c r="P327" i="3"/>
  <c r="P326" i="3"/>
  <c r="P325" i="3"/>
  <c r="P324" i="3"/>
  <c r="P323" i="3"/>
  <c r="P322" i="3"/>
  <c r="P321" i="3"/>
  <c r="P320" i="3"/>
  <c r="P319" i="3"/>
  <c r="P318" i="3"/>
  <c r="P317" i="3"/>
  <c r="P316" i="3"/>
  <c r="P315" i="3"/>
  <c r="P314" i="3"/>
  <c r="P313" i="3"/>
  <c r="P312" i="3"/>
  <c r="P311" i="3"/>
  <c r="P310" i="3"/>
  <c r="P309" i="3"/>
  <c r="P308" i="3"/>
  <c r="P307" i="3"/>
  <c r="P306" i="3"/>
  <c r="P305" i="3"/>
  <c r="P304" i="3"/>
  <c r="P303" i="3"/>
  <c r="P302" i="3"/>
  <c r="P301" i="3"/>
  <c r="P300" i="3"/>
  <c r="P299" i="3"/>
  <c r="P298" i="3"/>
  <c r="P297" i="3"/>
  <c r="P296" i="3"/>
  <c r="P295" i="3"/>
  <c r="P294" i="3"/>
  <c r="P293" i="3"/>
  <c r="P292" i="3"/>
  <c r="P291" i="3"/>
  <c r="P290" i="3"/>
  <c r="P289" i="3"/>
  <c r="P288" i="3"/>
  <c r="P287" i="3"/>
  <c r="P286" i="3"/>
  <c r="P285" i="3"/>
  <c r="P284" i="3"/>
  <c r="P283" i="3"/>
  <c r="P282" i="3"/>
  <c r="P281" i="3"/>
  <c r="P280" i="3"/>
  <c r="P279" i="3"/>
  <c r="P278" i="3"/>
  <c r="P277" i="3"/>
  <c r="P276" i="3"/>
  <c r="P275" i="3"/>
  <c r="P274" i="3"/>
  <c r="P273" i="3"/>
  <c r="P272" i="3"/>
  <c r="P271" i="3"/>
  <c r="P270" i="3"/>
  <c r="P269" i="3"/>
  <c r="P268" i="3"/>
  <c r="P267" i="3"/>
  <c r="P266" i="3"/>
  <c r="P265" i="3"/>
  <c r="P264" i="3"/>
  <c r="P263" i="3"/>
  <c r="P262" i="3"/>
  <c r="P261" i="3"/>
  <c r="P260" i="3"/>
  <c r="P259" i="3"/>
  <c r="P258" i="3"/>
  <c r="P257" i="3"/>
  <c r="P256" i="3"/>
  <c r="P255" i="3"/>
  <c r="P254" i="3"/>
  <c r="P253" i="3"/>
  <c r="P252" i="3"/>
  <c r="P251" i="3"/>
  <c r="P250" i="3"/>
  <c r="P249" i="3"/>
  <c r="P248" i="3"/>
  <c r="P247" i="3"/>
  <c r="P246" i="3"/>
  <c r="P245" i="3"/>
  <c r="P244" i="3"/>
  <c r="P243" i="3"/>
  <c r="P242" i="3"/>
  <c r="P241" i="3"/>
  <c r="P240" i="3"/>
  <c r="P239" i="3"/>
  <c r="P238" i="3"/>
  <c r="P237" i="3"/>
  <c r="P236" i="3"/>
  <c r="P235" i="3"/>
  <c r="P234" i="3"/>
  <c r="P233" i="3"/>
  <c r="P232" i="3"/>
  <c r="P231" i="3"/>
  <c r="P230" i="3"/>
  <c r="P229" i="3"/>
  <c r="P228" i="3"/>
  <c r="P227" i="3"/>
  <c r="P226" i="3"/>
  <c r="P225" i="3"/>
  <c r="P224" i="3"/>
  <c r="P223" i="3"/>
  <c r="P222" i="3"/>
  <c r="P221" i="3"/>
  <c r="P220" i="3"/>
  <c r="P219" i="3"/>
  <c r="P218" i="3"/>
  <c r="P217" i="3"/>
  <c r="P216" i="3"/>
  <c r="P215" i="3"/>
  <c r="P214" i="3"/>
  <c r="P213" i="3"/>
  <c r="P212" i="3"/>
  <c r="P211" i="3"/>
  <c r="P210" i="3"/>
  <c r="P209" i="3"/>
  <c r="P208" i="3"/>
  <c r="P207" i="3"/>
  <c r="P206" i="3"/>
  <c r="P205" i="3"/>
  <c r="P204" i="3"/>
  <c r="P203" i="3"/>
  <c r="P202" i="3"/>
  <c r="P201" i="3"/>
  <c r="P200" i="3"/>
  <c r="P199" i="3"/>
  <c r="P198" i="3"/>
  <c r="P197" i="3"/>
  <c r="P196" i="3"/>
  <c r="P195" i="3"/>
  <c r="P194" i="3"/>
  <c r="P193" i="3"/>
  <c r="P192" i="3"/>
  <c r="P191" i="3"/>
  <c r="P190" i="3"/>
  <c r="P189" i="3"/>
  <c r="P188" i="3"/>
  <c r="P187" i="3"/>
  <c r="P186" i="3"/>
  <c r="P185" i="3"/>
  <c r="P184" i="3"/>
  <c r="P183" i="3"/>
  <c r="P182" i="3"/>
  <c r="P181" i="3"/>
  <c r="P180" i="3"/>
  <c r="P179" i="3"/>
  <c r="P178" i="3"/>
  <c r="P177" i="3"/>
  <c r="P176" i="3"/>
  <c r="P175" i="3"/>
  <c r="P174" i="3"/>
  <c r="P173" i="3"/>
  <c r="P172" i="3"/>
  <c r="P171" i="3"/>
  <c r="P170" i="3"/>
  <c r="P169" i="3"/>
  <c r="P168" i="3"/>
  <c r="P167" i="3"/>
  <c r="P166" i="3"/>
  <c r="P165" i="3"/>
  <c r="P164" i="3"/>
  <c r="P163" i="3"/>
  <c r="P162" i="3"/>
  <c r="P161" i="3"/>
  <c r="P160" i="3"/>
  <c r="P159" i="3"/>
  <c r="P158" i="3"/>
  <c r="P157" i="3"/>
  <c r="P156" i="3"/>
  <c r="P155" i="3"/>
  <c r="P154" i="3"/>
  <c r="P153" i="3"/>
  <c r="P152" i="3"/>
  <c r="P151" i="3"/>
  <c r="P150" i="3"/>
  <c r="P149" i="3"/>
  <c r="P148" i="3"/>
  <c r="P147" i="3"/>
  <c r="P146" i="3"/>
  <c r="P145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P132" i="3"/>
  <c r="P131" i="3"/>
  <c r="P130" i="3"/>
  <c r="P129" i="3"/>
  <c r="P128" i="3"/>
  <c r="P127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P114" i="3"/>
  <c r="P113" i="3"/>
  <c r="P112" i="3"/>
  <c r="P111" i="3"/>
  <c r="P110" i="3"/>
  <c r="P109" i="3"/>
  <c r="P108" i="3"/>
  <c r="P107" i="3"/>
  <c r="P106" i="3"/>
  <c r="P105" i="3"/>
  <c r="P104" i="3"/>
  <c r="P103" i="3"/>
  <c r="P102" i="3"/>
  <c r="P101" i="3"/>
  <c r="P100" i="3"/>
  <c r="P99" i="3"/>
  <c r="P98" i="3"/>
  <c r="P97" i="3"/>
  <c r="P96" i="3"/>
  <c r="P95" i="3"/>
  <c r="P94" i="3"/>
  <c r="P93" i="3"/>
  <c r="P92" i="3"/>
  <c r="P91" i="3"/>
  <c r="P90" i="3"/>
  <c r="P89" i="3"/>
  <c r="P88" i="3"/>
  <c r="P87" i="3"/>
  <c r="P86" i="3"/>
  <c r="P85" i="3"/>
  <c r="P84" i="3"/>
  <c r="P83" i="3"/>
  <c r="P82" i="3"/>
  <c r="P81" i="3"/>
  <c r="P80" i="3"/>
  <c r="P79" i="3"/>
  <c r="P78" i="3"/>
  <c r="P77" i="3"/>
  <c r="P76" i="3"/>
  <c r="P75" i="3"/>
  <c r="P74" i="3"/>
  <c r="P73" i="3"/>
  <c r="P72" i="3"/>
  <c r="P71" i="3"/>
  <c r="P70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/>
  <c r="P10" i="3"/>
  <c r="P9" i="3"/>
  <c r="P8" i="3"/>
  <c r="P7" i="3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3" i="2"/>
  <c r="G56" i="2"/>
  <c r="G64" i="10" s="1"/>
  <c r="G57" i="2"/>
  <c r="G65" i="10" s="1"/>
  <c r="G58" i="2"/>
  <c r="G66" i="10" s="1"/>
  <c r="G59" i="2"/>
  <c r="G67" i="10" s="1"/>
  <c r="G60" i="2"/>
  <c r="G68" i="10" s="1"/>
  <c r="G61" i="2"/>
  <c r="G69" i="10" s="1"/>
  <c r="G62" i="2"/>
  <c r="G70" i="10" s="1"/>
  <c r="G63" i="2"/>
  <c r="G71" i="10" s="1"/>
  <c r="G64" i="2"/>
  <c r="G72" i="10" s="1"/>
  <c r="G65" i="2"/>
  <c r="G73" i="10" s="1"/>
  <c r="G66" i="2"/>
  <c r="G7" i="10" s="1"/>
  <c r="G67" i="2"/>
  <c r="G8" i="10" s="1"/>
  <c r="G68" i="2"/>
  <c r="G9" i="10" s="1"/>
  <c r="G69" i="2"/>
  <c r="G10" i="10" s="1"/>
  <c r="G70" i="2"/>
  <c r="G11" i="10" s="1"/>
  <c r="G71" i="2"/>
  <c r="G12" i="10" s="1"/>
  <c r="G72" i="2"/>
  <c r="G13" i="10" s="1"/>
  <c r="G73" i="2"/>
  <c r="G14" i="10" s="1"/>
  <c r="G74" i="2"/>
  <c r="G75" i="2"/>
  <c r="G15" i="10" s="1"/>
  <c r="G76" i="2"/>
  <c r="G16" i="10" s="1"/>
  <c r="G77" i="2"/>
  <c r="G17" i="10" s="1"/>
  <c r="G78" i="2"/>
  <c r="G18" i="10" s="1"/>
  <c r="G79" i="2"/>
  <c r="G80" i="2"/>
  <c r="G19" i="10" s="1"/>
  <c r="G81" i="2"/>
  <c r="G20" i="10" s="1"/>
  <c r="G82" i="2"/>
  <c r="G156" i="10" s="1"/>
  <c r="G83" i="2"/>
  <c r="G157" i="10" s="1"/>
  <c r="G84" i="2"/>
  <c r="G158" i="10" s="1"/>
  <c r="G85" i="2"/>
  <c r="G159" i="10" s="1"/>
  <c r="G86" i="2"/>
  <c r="G160" i="10" s="1"/>
  <c r="G87" i="2"/>
  <c r="G161" i="10" s="1"/>
  <c r="G88" i="2"/>
  <c r="G162" i="10" s="1"/>
  <c r="G89" i="2"/>
  <c r="G163" i="10" s="1"/>
  <c r="G90" i="2"/>
  <c r="G164" i="10" s="1"/>
  <c r="G91" i="2"/>
  <c r="G165" i="10" s="1"/>
  <c r="G92" i="2"/>
  <c r="G166" i="10" s="1"/>
  <c r="G93" i="2"/>
  <c r="G167" i="10" s="1"/>
  <c r="G94" i="2"/>
  <c r="G168" i="10" s="1"/>
  <c r="G95" i="2"/>
  <c r="G169" i="10" s="1"/>
  <c r="G96" i="2"/>
  <c r="G170" i="10" s="1"/>
  <c r="G97" i="2"/>
  <c r="G171" i="10" s="1"/>
  <c r="G98" i="2"/>
  <c r="G172" i="10" s="1"/>
  <c r="G99" i="2"/>
  <c r="G173" i="10" s="1"/>
  <c r="G100" i="2"/>
  <c r="G21" i="10" s="1"/>
  <c r="G101" i="2"/>
  <c r="G22" i="10" s="1"/>
  <c r="G102" i="2"/>
  <c r="G23" i="10" s="1"/>
  <c r="G103" i="2"/>
  <c r="G24" i="10" s="1"/>
  <c r="G104" i="2"/>
  <c r="G25" i="10" s="1"/>
  <c r="G105" i="2"/>
  <c r="G26" i="10" s="1"/>
  <c r="G106" i="2"/>
  <c r="G27" i="10" s="1"/>
  <c r="G107" i="2"/>
  <c r="G28" i="10" s="1"/>
  <c r="G108" i="2"/>
  <c r="G29" i="10" s="1"/>
  <c r="G109" i="2"/>
  <c r="G30" i="10" s="1"/>
  <c r="G110" i="2"/>
  <c r="G31" i="10" s="1"/>
  <c r="G111" i="2"/>
  <c r="G32" i="10" s="1"/>
  <c r="G112" i="2"/>
  <c r="G33" i="10" s="1"/>
  <c r="G113" i="2"/>
  <c r="G34" i="10" s="1"/>
  <c r="G114" i="2"/>
  <c r="G35" i="10" s="1"/>
  <c r="G115" i="2"/>
  <c r="G36" i="10" s="1"/>
  <c r="G116" i="2"/>
  <c r="G37" i="10" s="1"/>
  <c r="G117" i="2"/>
  <c r="G38" i="10" s="1"/>
  <c r="G118" i="2"/>
  <c r="G39" i="10" s="1"/>
  <c r="G119" i="2"/>
  <c r="G40" i="10" s="1"/>
  <c r="G120" i="2"/>
  <c r="G41" i="10" s="1"/>
  <c r="G121" i="2"/>
  <c r="G42" i="10" s="1"/>
  <c r="G122" i="2"/>
  <c r="G43" i="10" s="1"/>
  <c r="G123" i="2"/>
  <c r="G44" i="10" s="1"/>
  <c r="G124" i="2"/>
  <c r="G45" i="10" s="1"/>
  <c r="G125" i="2"/>
  <c r="G46" i="10" s="1"/>
  <c r="G126" i="2"/>
  <c r="G47" i="10" s="1"/>
  <c r="G127" i="2"/>
  <c r="G48" i="10" s="1"/>
  <c r="G128" i="2"/>
  <c r="G49" i="10" s="1"/>
  <c r="G129" i="2"/>
  <c r="G50" i="10" s="1"/>
  <c r="G130" i="2"/>
  <c r="G51" i="10" s="1"/>
  <c r="G131" i="2"/>
  <c r="G52" i="10" s="1"/>
  <c r="G132" i="2"/>
  <c r="G53" i="10" s="1"/>
  <c r="G133" i="2"/>
  <c r="G54" i="10" s="1"/>
  <c r="G134" i="2"/>
  <c r="G55" i="10" s="1"/>
  <c r="G135" i="2"/>
  <c r="G56" i="10" s="1"/>
  <c r="G136" i="2"/>
  <c r="G57" i="10" s="1"/>
  <c r="G137" i="2"/>
  <c r="G58" i="10" s="1"/>
  <c r="G138" i="2"/>
  <c r="G59" i="10" s="1"/>
  <c r="G139" i="2"/>
  <c r="G60" i="10" s="1"/>
  <c r="G140" i="2"/>
  <c r="G74" i="10" s="1"/>
  <c r="G141" i="2"/>
  <c r="G75" i="10" s="1"/>
  <c r="G142" i="2"/>
  <c r="G76" i="10" s="1"/>
  <c r="G143" i="2"/>
  <c r="G77" i="10" s="1"/>
  <c r="G144" i="2"/>
  <c r="G78" i="10" s="1"/>
  <c r="G145" i="2"/>
  <c r="G79" i="10" s="1"/>
  <c r="G146" i="2"/>
  <c r="G80" i="10" s="1"/>
  <c r="G147" i="2"/>
  <c r="G81" i="10" s="1"/>
  <c r="G148" i="2"/>
  <c r="G82" i="10" s="1"/>
  <c r="G149" i="2"/>
  <c r="G83" i="10" s="1"/>
  <c r="G150" i="2"/>
  <c r="G84" i="10" s="1"/>
  <c r="G151" i="2"/>
  <c r="G85" i="10" s="1"/>
  <c r="G152" i="2"/>
  <c r="G86" i="10" s="1"/>
  <c r="G153" i="2"/>
  <c r="G87" i="10" s="1"/>
  <c r="G154" i="2"/>
  <c r="G88" i="10" s="1"/>
  <c r="G155" i="2"/>
  <c r="G89" i="10" s="1"/>
  <c r="G156" i="2"/>
  <c r="G90" i="10" s="1"/>
  <c r="G157" i="2"/>
  <c r="G91" i="10" s="1"/>
  <c r="G47" i="2"/>
  <c r="G150" i="10" s="1"/>
  <c r="G48" i="2"/>
  <c r="G151" i="10" s="1"/>
  <c r="G49" i="2"/>
  <c r="G152" i="10" s="1"/>
  <c r="G50" i="2"/>
  <c r="G153" i="10" s="1"/>
  <c r="G51" i="2"/>
  <c r="G154" i="10" s="1"/>
  <c r="G52" i="2"/>
  <c r="G155" i="10" s="1"/>
  <c r="G53" i="2"/>
  <c r="G61" i="10" s="1"/>
  <c r="G54" i="2"/>
  <c r="G62" i="10" s="1"/>
  <c r="G55" i="2"/>
  <c r="G63" i="10" s="1"/>
  <c r="Y82" i="2"/>
  <c r="Y156" i="10" s="1"/>
  <c r="D81" i="2"/>
  <c r="D20" i="10" s="1"/>
  <c r="E81" i="2"/>
  <c r="E20" i="10" s="1"/>
  <c r="F81" i="2"/>
  <c r="F20" i="10" s="1"/>
  <c r="H81" i="2"/>
  <c r="H20" i="10" s="1"/>
  <c r="L81" i="2"/>
  <c r="L20" i="10" s="1"/>
  <c r="M81" i="2"/>
  <c r="M20" i="10" s="1"/>
  <c r="N81" i="2"/>
  <c r="N20" i="10" s="1"/>
  <c r="O81" i="2"/>
  <c r="O20" i="10" s="1"/>
  <c r="P81" i="2"/>
  <c r="P20" i="10" s="1"/>
  <c r="T81" i="2"/>
  <c r="T20" i="10" s="1"/>
  <c r="U81" i="2"/>
  <c r="U20" i="10" s="1"/>
  <c r="X81" i="2"/>
  <c r="X20" i="10" s="1"/>
  <c r="Y81" i="2"/>
  <c r="Y20" i="10" s="1"/>
  <c r="D82" i="2"/>
  <c r="D156" i="10" s="1"/>
  <c r="E82" i="2"/>
  <c r="E156" i="10" s="1"/>
  <c r="F82" i="2"/>
  <c r="F156" i="10" s="1"/>
  <c r="H82" i="2"/>
  <c r="H156" i="10" s="1"/>
  <c r="L82" i="2"/>
  <c r="L156" i="10" s="1"/>
  <c r="M82" i="2"/>
  <c r="M156" i="10" s="1"/>
  <c r="N82" i="2"/>
  <c r="N156" i="10" s="1"/>
  <c r="O82" i="2"/>
  <c r="O156" i="10" s="1"/>
  <c r="P82" i="2"/>
  <c r="P156" i="10" s="1"/>
  <c r="T82" i="2"/>
  <c r="T156" i="10" s="1"/>
  <c r="U82" i="2"/>
  <c r="U156" i="10" s="1"/>
  <c r="X82" i="2"/>
  <c r="X156" i="10" s="1"/>
  <c r="G167" i="2"/>
  <c r="G101" i="10" s="1"/>
  <c r="G168" i="2"/>
  <c r="G102" i="10" s="1"/>
  <c r="G169" i="2"/>
  <c r="G103" i="10" s="1"/>
  <c r="G170" i="2"/>
  <c r="G104" i="10" s="1"/>
  <c r="G171" i="2"/>
  <c r="G105" i="10" s="1"/>
  <c r="G172" i="2"/>
  <c r="G106" i="10" s="1"/>
  <c r="I18" i="5"/>
  <c r="I19" i="5"/>
  <c r="I20" i="5"/>
  <c r="I21" i="5"/>
  <c r="I22" i="5"/>
  <c r="G23" i="5"/>
  <c r="S22" i="5" s="1"/>
  <c r="F23" i="5"/>
  <c r="R19" i="5" s="1"/>
  <c r="E23" i="5"/>
  <c r="Q17" i="5" s="1"/>
  <c r="D23" i="5"/>
  <c r="P21" i="5" s="1"/>
  <c r="C23" i="5"/>
  <c r="O18" i="5" s="1"/>
  <c r="B23" i="5"/>
  <c r="N19" i="5" s="1"/>
  <c r="I17" i="5"/>
  <c r="I12" i="5"/>
  <c r="W8" i="5" s="1"/>
  <c r="H12" i="5"/>
  <c r="V5" i="5" s="1"/>
  <c r="G12" i="5"/>
  <c r="U11" i="5" s="1"/>
  <c r="D11" i="5"/>
  <c r="D12" i="5" s="1"/>
  <c r="C11" i="5"/>
  <c r="B11" i="5"/>
  <c r="U10" i="5"/>
  <c r="B10" i="5"/>
  <c r="K9" i="5"/>
  <c r="V8" i="5"/>
  <c r="C8" i="5"/>
  <c r="K7" i="5"/>
  <c r="K6" i="5"/>
  <c r="W5" i="5"/>
  <c r="K5" i="5"/>
  <c r="E4" i="5"/>
  <c r="E12" i="5" s="1"/>
  <c r="V3" i="10" l="1"/>
  <c r="E26" i="10"/>
  <c r="E22" i="10"/>
  <c r="E173" i="10"/>
  <c r="E169" i="10"/>
  <c r="V4" i="5"/>
  <c r="Q18" i="5"/>
  <c r="E23" i="10"/>
  <c r="E170" i="10"/>
  <c r="E166" i="10"/>
  <c r="W4" i="10"/>
  <c r="Q12" i="2"/>
  <c r="Q116" i="10" s="1"/>
  <c r="V5" i="9"/>
  <c r="V6" i="9" s="1"/>
  <c r="V7" i="9" s="1"/>
  <c r="V8" i="9" s="1"/>
  <c r="V9" i="9" s="1"/>
  <c r="AJ19" i="2"/>
  <c r="AC123" i="10" s="1"/>
  <c r="AJ14" i="2"/>
  <c r="AJ10" i="2"/>
  <c r="AJ6" i="2"/>
  <c r="AJ18" i="2"/>
  <c r="AC122" i="10" s="1"/>
  <c r="AJ13" i="2"/>
  <c r="AJ9" i="2"/>
  <c r="AJ5" i="2"/>
  <c r="AJ21" i="2"/>
  <c r="AC125" i="10" s="1"/>
  <c r="AJ17" i="2"/>
  <c r="AJ12" i="2"/>
  <c r="AJ8" i="2"/>
  <c r="AJ4" i="2"/>
  <c r="AC108" i="10" s="1"/>
  <c r="AJ20" i="2"/>
  <c r="AJ15" i="2"/>
  <c r="AJ11" i="2"/>
  <c r="AJ7" i="2"/>
  <c r="AC111" i="10" s="1"/>
  <c r="AJ16" i="2"/>
  <c r="AJ28" i="2"/>
  <c r="AJ24" i="2"/>
  <c r="AJ169" i="2"/>
  <c r="AC103" i="10" s="1"/>
  <c r="AJ165" i="2"/>
  <c r="AJ161" i="2"/>
  <c r="AJ157" i="2"/>
  <c r="AJ153" i="2"/>
  <c r="AC87" i="10" s="1"/>
  <c r="AJ149" i="2"/>
  <c r="AJ145" i="2"/>
  <c r="AJ141" i="2"/>
  <c r="AJ137" i="2"/>
  <c r="AC58" i="10" s="1"/>
  <c r="AJ133" i="2"/>
  <c r="AJ129" i="2"/>
  <c r="AJ125" i="2"/>
  <c r="AJ121" i="2"/>
  <c r="AC42" i="10" s="1"/>
  <c r="AJ117" i="2"/>
  <c r="AJ113" i="2"/>
  <c r="AJ109" i="2"/>
  <c r="AJ105" i="2"/>
  <c r="AC26" i="10" s="1"/>
  <c r="AJ101" i="2"/>
  <c r="AJ97" i="2"/>
  <c r="AJ93" i="2"/>
  <c r="AJ89" i="2"/>
  <c r="AC163" i="10" s="1"/>
  <c r="AJ85" i="2"/>
  <c r="AJ81" i="2"/>
  <c r="AJ77" i="2"/>
  <c r="AJ73" i="2"/>
  <c r="AC14" i="10" s="1"/>
  <c r="AJ69" i="2"/>
  <c r="AJ65" i="2"/>
  <c r="AJ61" i="2"/>
  <c r="AJ57" i="2"/>
  <c r="AC65" i="10" s="1"/>
  <c r="AJ53" i="2"/>
  <c r="AJ49" i="2"/>
  <c r="AJ45" i="2"/>
  <c r="AJ41" i="2"/>
  <c r="AC145" i="10" s="1"/>
  <c r="AJ37" i="2"/>
  <c r="AJ33" i="2"/>
  <c r="AJ27" i="2"/>
  <c r="AJ23" i="2"/>
  <c r="AC127" i="10" s="1"/>
  <c r="AJ172" i="2"/>
  <c r="AJ168" i="2"/>
  <c r="AJ164" i="2"/>
  <c r="AJ160" i="2"/>
  <c r="AC94" i="10" s="1"/>
  <c r="AJ156" i="2"/>
  <c r="AJ152" i="2"/>
  <c r="AJ148" i="2"/>
  <c r="AC82" i="10" s="1"/>
  <c r="AJ144" i="2"/>
  <c r="AC78" i="10" s="1"/>
  <c r="AJ140" i="2"/>
  <c r="AJ136" i="2"/>
  <c r="AJ132" i="2"/>
  <c r="AC53" i="10" s="1"/>
  <c r="AJ128" i="2"/>
  <c r="AC49" i="10" s="1"/>
  <c r="AJ124" i="2"/>
  <c r="AJ120" i="2"/>
  <c r="AJ116" i="2"/>
  <c r="AJ112" i="2"/>
  <c r="AC33" i="10" s="1"/>
  <c r="AJ108" i="2"/>
  <c r="AJ104" i="2"/>
  <c r="AJ100" i="2"/>
  <c r="AJ96" i="2"/>
  <c r="AC170" i="10" s="1"/>
  <c r="AJ92" i="2"/>
  <c r="AJ88" i="2"/>
  <c r="AJ84" i="2"/>
  <c r="AC158" i="10" s="1"/>
  <c r="AJ80" i="2"/>
  <c r="AC19" i="10" s="1"/>
  <c r="AJ76" i="2"/>
  <c r="AJ72" i="2"/>
  <c r="AJ68" i="2"/>
  <c r="AC9" i="10" s="1"/>
  <c r="AJ64" i="2"/>
  <c r="AC72" i="10" s="1"/>
  <c r="AJ60" i="2"/>
  <c r="AJ56" i="2"/>
  <c r="AJ52" i="2"/>
  <c r="AJ48" i="2"/>
  <c r="AC151" i="10" s="1"/>
  <c r="AJ44" i="2"/>
  <c r="AJ40" i="2"/>
  <c r="AJ36" i="2"/>
  <c r="AJ32" i="2"/>
  <c r="AC136" i="10" s="1"/>
  <c r="AJ3" i="2"/>
  <c r="AJ26" i="2"/>
  <c r="AJ22" i="2"/>
  <c r="AC126" i="10" s="1"/>
  <c r="AJ171" i="2"/>
  <c r="AJ167" i="2"/>
  <c r="AJ163" i="2"/>
  <c r="AC97" i="10" s="1"/>
  <c r="AJ159" i="2"/>
  <c r="AJ155" i="2"/>
  <c r="AC89" i="10" s="1"/>
  <c r="AJ151" i="2"/>
  <c r="AJ147" i="2"/>
  <c r="AC81" i="10" s="1"/>
  <c r="AJ143" i="2"/>
  <c r="AJ139" i="2"/>
  <c r="AJ135" i="2"/>
  <c r="AJ131" i="2"/>
  <c r="AC52" i="10" s="1"/>
  <c r="AJ127" i="2"/>
  <c r="AJ123" i="2"/>
  <c r="AJ119" i="2"/>
  <c r="AJ115" i="2"/>
  <c r="AC36" i="10" s="1"/>
  <c r="AJ111" i="2"/>
  <c r="AJ107" i="2"/>
  <c r="AJ103" i="2"/>
  <c r="AJ99" i="2"/>
  <c r="AC173" i="10" s="1"/>
  <c r="AJ95" i="2"/>
  <c r="AJ91" i="2"/>
  <c r="AJ87" i="2"/>
  <c r="AJ83" i="2"/>
  <c r="AC157" i="10" s="1"/>
  <c r="AJ79" i="2"/>
  <c r="AR79" i="2" s="1"/>
  <c r="AJ75" i="2"/>
  <c r="AJ71" i="2"/>
  <c r="AJ67" i="2"/>
  <c r="AC8" i="10" s="1"/>
  <c r="AJ63" i="2"/>
  <c r="AC71" i="10" s="1"/>
  <c r="AJ59" i="2"/>
  <c r="AJ55" i="2"/>
  <c r="AJ51" i="2"/>
  <c r="AC154" i="10" s="1"/>
  <c r="AJ47" i="2"/>
  <c r="AJ43" i="2"/>
  <c r="AJ39" i="2"/>
  <c r="AJ35" i="2"/>
  <c r="AC139" i="10" s="1"/>
  <c r="AJ31" i="2"/>
  <c r="AJ29" i="2"/>
  <c r="AC133" i="10" s="1"/>
  <c r="AJ25" i="2"/>
  <c r="AC117" i="10"/>
  <c r="AJ170" i="2"/>
  <c r="AC104" i="10" s="1"/>
  <c r="AJ166" i="2"/>
  <c r="AC100" i="10" s="1"/>
  <c r="AJ162" i="2"/>
  <c r="AJ158" i="2"/>
  <c r="AJ154" i="2"/>
  <c r="AJ150" i="2"/>
  <c r="AC84" i="10" s="1"/>
  <c r="AJ146" i="2"/>
  <c r="AJ142" i="2"/>
  <c r="AC76" i="10" s="1"/>
  <c r="AJ138" i="2"/>
  <c r="AC59" i="10" s="1"/>
  <c r="AJ134" i="2"/>
  <c r="AC55" i="10" s="1"/>
  <c r="AJ130" i="2"/>
  <c r="AJ126" i="2"/>
  <c r="AC47" i="10" s="1"/>
  <c r="AJ122" i="2"/>
  <c r="AJ118" i="2"/>
  <c r="AJ114" i="2"/>
  <c r="AJ110" i="2"/>
  <c r="AC31" i="10" s="1"/>
  <c r="AJ106" i="2"/>
  <c r="AJ102" i="2"/>
  <c r="AJ98" i="2"/>
  <c r="AJ94" i="2"/>
  <c r="AC168" i="10" s="1"/>
  <c r="AJ90" i="2"/>
  <c r="AC164" i="10" s="1"/>
  <c r="AJ86" i="2"/>
  <c r="AJ82" i="2"/>
  <c r="AJ78" i="2"/>
  <c r="AC18" i="10" s="1"/>
  <c r="AJ74" i="2"/>
  <c r="AR74" i="2" s="1"/>
  <c r="AJ70" i="2"/>
  <c r="AJ66" i="2"/>
  <c r="AJ62" i="2"/>
  <c r="AC70" i="10" s="1"/>
  <c r="AJ58" i="2"/>
  <c r="AJ54" i="2"/>
  <c r="AJ50" i="2"/>
  <c r="AJ46" i="2"/>
  <c r="AR46" i="2" s="1"/>
  <c r="AJ42" i="2"/>
  <c r="AC146" i="10" s="1"/>
  <c r="AJ38" i="2"/>
  <c r="AJ34" i="2"/>
  <c r="AC128" i="10"/>
  <c r="AC124" i="10"/>
  <c r="AC118" i="10"/>
  <c r="AC114" i="10"/>
  <c r="AC110" i="10"/>
  <c r="AC119" i="10"/>
  <c r="AC109" i="10"/>
  <c r="AC112" i="10"/>
  <c r="S5" i="9"/>
  <c r="S6" i="9" s="1"/>
  <c r="S7" i="9" s="1"/>
  <c r="S8" i="9" s="1"/>
  <c r="S9" i="9" s="1"/>
  <c r="P5" i="9"/>
  <c r="P6" i="9" s="1"/>
  <c r="P7" i="9" s="1"/>
  <c r="P8" i="9" s="1"/>
  <c r="P9" i="9" s="1"/>
  <c r="R5" i="9"/>
  <c r="R6" i="9" s="1"/>
  <c r="R7" i="9" s="1"/>
  <c r="R8" i="9" s="1"/>
  <c r="R9" i="9" s="1"/>
  <c r="T5" i="9"/>
  <c r="T6" i="9" s="1"/>
  <c r="T7" i="9" s="1"/>
  <c r="T8" i="9" s="1"/>
  <c r="T9" i="9" s="1"/>
  <c r="O5" i="9"/>
  <c r="O6" i="9" s="1"/>
  <c r="O7" i="9" s="1"/>
  <c r="O8" i="9" s="1"/>
  <c r="O9" i="9" s="1"/>
  <c r="U5" i="9"/>
  <c r="U6" i="9" s="1"/>
  <c r="U7" i="9" s="1"/>
  <c r="U8" i="9" s="1"/>
  <c r="U9" i="9" s="1"/>
  <c r="Q5" i="9"/>
  <c r="Q6" i="9" s="1"/>
  <c r="Q7" i="9" s="1"/>
  <c r="Q8" i="9" s="1"/>
  <c r="Q9" i="9" s="1"/>
  <c r="I3" i="10"/>
  <c r="I4" i="10"/>
  <c r="V4" i="10"/>
  <c r="AB3" i="10"/>
  <c r="AA3" i="10"/>
  <c r="AB4" i="10"/>
  <c r="AA2" i="10"/>
  <c r="AB2" i="10"/>
  <c r="G2" i="10"/>
  <c r="AC96" i="10"/>
  <c r="AC88" i="10"/>
  <c r="AC80" i="10"/>
  <c r="AC99" i="10"/>
  <c r="AC91" i="10"/>
  <c r="AC83" i="10"/>
  <c r="AC75" i="10"/>
  <c r="AC92" i="10"/>
  <c r="AC95" i="10"/>
  <c r="AC79" i="10"/>
  <c r="AC54" i="10"/>
  <c r="AC50" i="10"/>
  <c r="AC46" i="10"/>
  <c r="AC38" i="10"/>
  <c r="AC34" i="10"/>
  <c r="AC30" i="10"/>
  <c r="AC22" i="10"/>
  <c r="AC171" i="10"/>
  <c r="AC167" i="10"/>
  <c r="AC159" i="10"/>
  <c r="AC20" i="10"/>
  <c r="AC17" i="10"/>
  <c r="AC10" i="10"/>
  <c r="AC73" i="10"/>
  <c r="AC69" i="10"/>
  <c r="AC61" i="10"/>
  <c r="AC152" i="10"/>
  <c r="AC149" i="10"/>
  <c r="AC141" i="10"/>
  <c r="AC137" i="10"/>
  <c r="AC129" i="10"/>
  <c r="AC121" i="10"/>
  <c r="AC113" i="10"/>
  <c r="AC51" i="10"/>
  <c r="AC43" i="10"/>
  <c r="AC39" i="10"/>
  <c r="AC35" i="10"/>
  <c r="AC27" i="10"/>
  <c r="AC23" i="10"/>
  <c r="AC172" i="10"/>
  <c r="AC160" i="10"/>
  <c r="AC156" i="10"/>
  <c r="AC11" i="10"/>
  <c r="AC7" i="10"/>
  <c r="AC66" i="10"/>
  <c r="AC62" i="10"/>
  <c r="AC153" i="10"/>
  <c r="AC142" i="10"/>
  <c r="AC138" i="10"/>
  <c r="AC134" i="10"/>
  <c r="AC130" i="10"/>
  <c r="AC105" i="10"/>
  <c r="AC101" i="10"/>
  <c r="AC93" i="10"/>
  <c r="AC85" i="10"/>
  <c r="AC77" i="10"/>
  <c r="AC60" i="10"/>
  <c r="AC56" i="10"/>
  <c r="AC48" i="10"/>
  <c r="AC44" i="10"/>
  <c r="AC40" i="10"/>
  <c r="AC32" i="10"/>
  <c r="AC28" i="10"/>
  <c r="AC24" i="10"/>
  <c r="AC169" i="10"/>
  <c r="AC165" i="10"/>
  <c r="AC161" i="10"/>
  <c r="AC15" i="10"/>
  <c r="AC12" i="10"/>
  <c r="AC67" i="10"/>
  <c r="AC63" i="10"/>
  <c r="AC150" i="10"/>
  <c r="AC147" i="10"/>
  <c r="AC143" i="10"/>
  <c r="AC135" i="10"/>
  <c r="AC131" i="10"/>
  <c r="AC115" i="10"/>
  <c r="AC106" i="10"/>
  <c r="AC102" i="10"/>
  <c r="AC98" i="10"/>
  <c r="AC90" i="10"/>
  <c r="AC86" i="10"/>
  <c r="AC74" i="10"/>
  <c r="AC57" i="10"/>
  <c r="AC45" i="10"/>
  <c r="AC41" i="10"/>
  <c r="AC37" i="10"/>
  <c r="AC29" i="10"/>
  <c r="AC25" i="10"/>
  <c r="AC21" i="10"/>
  <c r="AC166" i="10"/>
  <c r="AC162" i="10"/>
  <c r="AC16" i="10"/>
  <c r="AC13" i="10"/>
  <c r="AC68" i="10"/>
  <c r="AC64" i="10"/>
  <c r="AC155" i="10"/>
  <c r="AC148" i="10"/>
  <c r="AC144" i="10"/>
  <c r="AC140" i="10"/>
  <c r="AC132" i="10"/>
  <c r="AC120" i="10"/>
  <c r="AC116" i="10"/>
  <c r="AC107" i="10"/>
  <c r="Q137" i="2"/>
  <c r="Q58" i="10" s="1"/>
  <c r="R122" i="2"/>
  <c r="R43" i="10" s="1"/>
  <c r="R117" i="2"/>
  <c r="R38" i="10" s="1"/>
  <c r="R111" i="2"/>
  <c r="R32" i="10" s="1"/>
  <c r="R100" i="2"/>
  <c r="R21" i="10" s="1"/>
  <c r="R81" i="2"/>
  <c r="R20" i="10" s="1"/>
  <c r="R76" i="2"/>
  <c r="R16" i="10" s="1"/>
  <c r="R64" i="2"/>
  <c r="R72" i="10" s="1"/>
  <c r="Q100" i="2"/>
  <c r="Q21" i="10" s="1"/>
  <c r="Q64" i="2"/>
  <c r="Q72" i="10" s="1"/>
  <c r="Q53" i="2"/>
  <c r="Q61" i="10" s="1"/>
  <c r="R125" i="2"/>
  <c r="R46" i="10" s="1"/>
  <c r="Q113" i="2"/>
  <c r="Q34" i="10" s="1"/>
  <c r="R103" i="2"/>
  <c r="R24" i="10" s="1"/>
  <c r="R102" i="2"/>
  <c r="R23" i="10" s="1"/>
  <c r="R112" i="2"/>
  <c r="R33" i="10" s="1"/>
  <c r="R133" i="2"/>
  <c r="R54" i="10" s="1"/>
  <c r="Q116" i="2"/>
  <c r="Q37" i="10" s="1"/>
  <c r="Q70" i="2"/>
  <c r="Q11" i="10" s="1"/>
  <c r="Q28" i="2"/>
  <c r="Q132" i="10" s="1"/>
  <c r="R8" i="2"/>
  <c r="R112" i="10" s="1"/>
  <c r="R15" i="2"/>
  <c r="R119" i="10" s="1"/>
  <c r="R116" i="2"/>
  <c r="R37" i="10" s="1"/>
  <c r="R99" i="2"/>
  <c r="R173" i="10" s="1"/>
  <c r="R84" i="2"/>
  <c r="R158" i="10" s="1"/>
  <c r="R79" i="2"/>
  <c r="R60" i="2"/>
  <c r="R68" i="10" s="1"/>
  <c r="R3" i="10" s="1"/>
  <c r="R51" i="2"/>
  <c r="R154" i="10" s="1"/>
  <c r="R43" i="2"/>
  <c r="R147" i="10" s="1"/>
  <c r="R36" i="2"/>
  <c r="R140" i="10" s="1"/>
  <c r="R28" i="2"/>
  <c r="R132" i="10" s="1"/>
  <c r="Q170" i="2"/>
  <c r="Q104" i="10" s="1"/>
  <c r="Q76" i="2"/>
  <c r="Q16" i="10" s="1"/>
  <c r="Q33" i="2"/>
  <c r="Q137" i="10" s="1"/>
  <c r="Q8" i="2"/>
  <c r="Q112" i="10" s="1"/>
  <c r="R153" i="2"/>
  <c r="R87" i="10" s="1"/>
  <c r="R131" i="2"/>
  <c r="R52" i="10" s="1"/>
  <c r="R20" i="2"/>
  <c r="R124" i="10" s="1"/>
  <c r="R169" i="2"/>
  <c r="R103" i="10" s="1"/>
  <c r="R168" i="2"/>
  <c r="R102" i="10" s="1"/>
  <c r="R68" i="2"/>
  <c r="R9" i="10" s="1"/>
  <c r="Q128" i="2"/>
  <c r="Q49" i="10" s="1"/>
  <c r="Q130" i="2"/>
  <c r="Q51" i="10" s="1"/>
  <c r="Q98" i="2"/>
  <c r="Q172" i="10" s="1"/>
  <c r="Q66" i="2"/>
  <c r="Q7" i="10" s="1"/>
  <c r="Q50" i="2"/>
  <c r="Q153" i="10" s="1"/>
  <c r="Q22" i="2"/>
  <c r="Q126" i="10" s="1"/>
  <c r="R11" i="2"/>
  <c r="R115" i="10" s="1"/>
  <c r="R7" i="2"/>
  <c r="R111" i="10" s="1"/>
  <c r="R4" i="10" s="1"/>
  <c r="R172" i="2"/>
  <c r="R106" i="10" s="1"/>
  <c r="R152" i="2"/>
  <c r="R86" i="10" s="1"/>
  <c r="R124" i="2"/>
  <c r="R45" i="10" s="1"/>
  <c r="R120" i="2"/>
  <c r="R41" i="10" s="1"/>
  <c r="R88" i="2"/>
  <c r="R162" i="10" s="1"/>
  <c r="Q19" i="2"/>
  <c r="Q123" i="10" s="1"/>
  <c r="R13" i="2"/>
  <c r="R117" i="10" s="1"/>
  <c r="Q165" i="2"/>
  <c r="Q99" i="10" s="1"/>
  <c r="Q123" i="2"/>
  <c r="Q44" i="10" s="1"/>
  <c r="Q94" i="2"/>
  <c r="Q168" i="10" s="1"/>
  <c r="R18" i="2"/>
  <c r="R122" i="10" s="1"/>
  <c r="R147" i="2"/>
  <c r="R81" i="10" s="1"/>
  <c r="R138" i="2"/>
  <c r="R59" i="10" s="1"/>
  <c r="R115" i="2"/>
  <c r="R36" i="10" s="1"/>
  <c r="R12" i="2"/>
  <c r="R116" i="10" s="1"/>
  <c r="R27" i="2"/>
  <c r="R131" i="10" s="1"/>
  <c r="Q118" i="2"/>
  <c r="Q39" i="10" s="1"/>
  <c r="Q82" i="2"/>
  <c r="Q156" i="10" s="1"/>
  <c r="Q34" i="2"/>
  <c r="Q138" i="10" s="1"/>
  <c r="Q26" i="2"/>
  <c r="Q130" i="10" s="1"/>
  <c r="R17" i="2"/>
  <c r="R121" i="10" s="1"/>
  <c r="R171" i="2"/>
  <c r="R105" i="10" s="1"/>
  <c r="R128" i="2"/>
  <c r="R49" i="10" s="1"/>
  <c r="R123" i="2"/>
  <c r="R44" i="10" s="1"/>
  <c r="R107" i="2"/>
  <c r="R28" i="10" s="1"/>
  <c r="R92" i="2"/>
  <c r="R166" i="10" s="1"/>
  <c r="R87" i="2"/>
  <c r="R161" i="10" s="1"/>
  <c r="R72" i="2"/>
  <c r="R13" i="10" s="1"/>
  <c r="N18" i="5"/>
  <c r="U5" i="5"/>
  <c r="U7" i="5"/>
  <c r="Q20" i="5"/>
  <c r="S21" i="5"/>
  <c r="O22" i="5"/>
  <c r="V10" i="5"/>
  <c r="S19" i="5"/>
  <c r="V6" i="5"/>
  <c r="W7" i="5"/>
  <c r="V9" i="5"/>
  <c r="W10" i="5"/>
  <c r="V11" i="5"/>
  <c r="N17" i="5"/>
  <c r="S18" i="5"/>
  <c r="P20" i="5"/>
  <c r="N21" i="5"/>
  <c r="V7" i="5"/>
  <c r="C12" i="5"/>
  <c r="Q5" i="5" s="1"/>
  <c r="O17" i="5"/>
  <c r="Q21" i="5"/>
  <c r="P18" i="5"/>
  <c r="N20" i="5"/>
  <c r="S8" i="5"/>
  <c r="S10" i="5"/>
  <c r="S7" i="5"/>
  <c r="S5" i="5"/>
  <c r="BN25" i="1"/>
  <c r="V25" i="1"/>
  <c r="Q25" i="2" s="1"/>
  <c r="Q129" i="10" s="1"/>
  <c r="BN151" i="1"/>
  <c r="V151" i="1"/>
  <c r="Q151" i="2" s="1"/>
  <c r="Q85" i="10" s="1"/>
  <c r="BN112" i="1"/>
  <c r="V112" i="1"/>
  <c r="R18" i="5"/>
  <c r="BN74" i="1"/>
  <c r="V74" i="1"/>
  <c r="Q74" i="2" s="1"/>
  <c r="BN154" i="1"/>
  <c r="V154" i="1"/>
  <c r="Q154" i="2" s="1"/>
  <c r="Q88" i="10" s="1"/>
  <c r="BN61" i="1"/>
  <c r="V61" i="1"/>
  <c r="Q11" i="5"/>
  <c r="S20" i="5"/>
  <c r="Q22" i="5"/>
  <c r="P19" i="5"/>
  <c r="N22" i="5"/>
  <c r="BN80" i="1"/>
  <c r="V80" i="1"/>
  <c r="Q80" i="2" s="1"/>
  <c r="Q19" i="10" s="1"/>
  <c r="BN20" i="1"/>
  <c r="V20" i="1"/>
  <c r="Q20" i="2" s="1"/>
  <c r="Q124" i="10" s="1"/>
  <c r="BN141" i="1"/>
  <c r="V141" i="1"/>
  <c r="BN146" i="1"/>
  <c r="V146" i="1"/>
  <c r="Q146" i="2" s="1"/>
  <c r="Q80" i="10" s="1"/>
  <c r="BN56" i="1"/>
  <c r="V56" i="1"/>
  <c r="BN127" i="1"/>
  <c r="V127" i="1"/>
  <c r="Q127" i="2" s="1"/>
  <c r="Q48" i="10" s="1"/>
  <c r="BN91" i="1"/>
  <c r="V91" i="1"/>
  <c r="BN52" i="1"/>
  <c r="V52" i="1"/>
  <c r="BN166" i="1"/>
  <c r="V166" i="1"/>
  <c r="Q166" i="2" s="1"/>
  <c r="Q100" i="10" s="1"/>
  <c r="BN147" i="1"/>
  <c r="V147" i="1"/>
  <c r="BN58" i="1"/>
  <c r="V58" i="1"/>
  <c r="Q58" i="2" s="1"/>
  <c r="Q66" i="10" s="1"/>
  <c r="BN105" i="1"/>
  <c r="V105" i="1"/>
  <c r="BN157" i="1"/>
  <c r="V157" i="1"/>
  <c r="S17" i="5"/>
  <c r="R22" i="5"/>
  <c r="Q19" i="5"/>
  <c r="U19" i="5" s="1"/>
  <c r="O21" i="5"/>
  <c r="BN86" i="1"/>
  <c r="V86" i="1"/>
  <c r="BN149" i="1"/>
  <c r="V149" i="1"/>
  <c r="Q149" i="2" s="1"/>
  <c r="Q83" i="10" s="1"/>
  <c r="BN142" i="1"/>
  <c r="V142" i="1"/>
  <c r="BN167" i="1"/>
  <c r="V167" i="1"/>
  <c r="Q167" i="2" s="1"/>
  <c r="Q101" i="10" s="1"/>
  <c r="BN102" i="1"/>
  <c r="V102" i="1"/>
  <c r="BN129" i="1"/>
  <c r="V129" i="1"/>
  <c r="BN96" i="1"/>
  <c r="V96" i="1"/>
  <c r="Q96" i="2" s="1"/>
  <c r="Q170" i="10" s="1"/>
  <c r="BN63" i="1"/>
  <c r="V63" i="1"/>
  <c r="R21" i="5"/>
  <c r="BN68" i="1"/>
  <c r="V68" i="1"/>
  <c r="Q68" i="2" s="1"/>
  <c r="Q9" i="10" s="1"/>
  <c r="BN37" i="1"/>
  <c r="V37" i="1"/>
  <c r="BN169" i="1"/>
  <c r="V169" i="1"/>
  <c r="BN168" i="1"/>
  <c r="V168" i="1"/>
  <c r="BN54" i="1"/>
  <c r="V54" i="1"/>
  <c r="Q54" i="2" s="1"/>
  <c r="Q62" i="10" s="1"/>
  <c r="BN108" i="1"/>
  <c r="V108" i="1"/>
  <c r="BN136" i="1"/>
  <c r="V136" i="1"/>
  <c r="Q136" i="2" s="1"/>
  <c r="Q57" i="10" s="1"/>
  <c r="BN143" i="1"/>
  <c r="V143" i="1"/>
  <c r="R20" i="5"/>
  <c r="P22" i="5"/>
  <c r="O19" i="5"/>
  <c r="BN67" i="1"/>
  <c r="V67" i="1"/>
  <c r="BN18" i="1"/>
  <c r="V18" i="1"/>
  <c r="BN158" i="1"/>
  <c r="V158" i="1"/>
  <c r="Q158" i="2" s="1"/>
  <c r="Q92" i="10" s="1"/>
  <c r="BN144" i="1"/>
  <c r="V144" i="1"/>
  <c r="Q144" i="2" s="1"/>
  <c r="Q78" i="10" s="1"/>
  <c r="I23" i="5"/>
  <c r="J22" i="5" s="1"/>
  <c r="K22" i="5" s="1"/>
  <c r="BN38" i="1"/>
  <c r="V38" i="1"/>
  <c r="Q38" i="2" s="1"/>
  <c r="Q142" i="10" s="1"/>
  <c r="BN135" i="1"/>
  <c r="V135" i="1"/>
  <c r="S4" i="5"/>
  <c r="R17" i="5"/>
  <c r="O20" i="5"/>
  <c r="K4" i="5"/>
  <c r="U4" i="5"/>
  <c r="U6" i="5"/>
  <c r="U8" i="5"/>
  <c r="P17" i="5"/>
  <c r="BN69" i="1"/>
  <c r="V69" i="1"/>
  <c r="BN14" i="1"/>
  <c r="V14" i="1"/>
  <c r="BN148" i="1"/>
  <c r="V148" i="1"/>
  <c r="Q148" i="2" s="1"/>
  <c r="Q82" i="10" s="1"/>
  <c r="BN164" i="1"/>
  <c r="V164" i="1"/>
  <c r="BN59" i="1"/>
  <c r="V59" i="1"/>
  <c r="BN134" i="1"/>
  <c r="V134" i="1"/>
  <c r="Q134" i="2" s="1"/>
  <c r="Q55" i="10" s="1"/>
  <c r="BN133" i="1"/>
  <c r="V133" i="1"/>
  <c r="V115" i="1"/>
  <c r="Q115" i="2" s="1"/>
  <c r="Q36" i="10" s="1"/>
  <c r="V138" i="1"/>
  <c r="Q138" i="2" s="1"/>
  <c r="Q59" i="10" s="1"/>
  <c r="V41" i="1"/>
  <c r="V119" i="1"/>
  <c r="V62" i="1"/>
  <c r="Q9" i="5"/>
  <c r="Q10" i="5"/>
  <c r="Q7" i="5"/>
  <c r="Q6" i="5"/>
  <c r="R10" i="5"/>
  <c r="R7" i="5"/>
  <c r="R5" i="5"/>
  <c r="R11" i="5"/>
  <c r="R8" i="5"/>
  <c r="R4" i="5"/>
  <c r="R6" i="5"/>
  <c r="R9" i="5"/>
  <c r="K8" i="5"/>
  <c r="Q8" i="5"/>
  <c r="S9" i="5"/>
  <c r="W9" i="5"/>
  <c r="S11" i="5"/>
  <c r="W11" i="5"/>
  <c r="B12" i="5"/>
  <c r="P10" i="5" s="1"/>
  <c r="F12" i="5"/>
  <c r="W4" i="5"/>
  <c r="W6" i="5"/>
  <c r="K10" i="5"/>
  <c r="S6" i="5"/>
  <c r="U9" i="5"/>
  <c r="K11" i="5"/>
  <c r="U21" i="5" l="1"/>
  <c r="P11" i="5"/>
  <c r="J18" i="5"/>
  <c r="AC3" i="10"/>
  <c r="AC4" i="10"/>
  <c r="AC2" i="10"/>
  <c r="I2" i="10"/>
  <c r="K28" i="5"/>
  <c r="Q14" i="2"/>
  <c r="Q118" i="10" s="1"/>
  <c r="Q13" i="2"/>
  <c r="Q117" i="10" s="1"/>
  <c r="Q4" i="10" s="1"/>
  <c r="Q135" i="2"/>
  <c r="Q56" i="10" s="1"/>
  <c r="Q103" i="2"/>
  <c r="Q24" i="10" s="1"/>
  <c r="Q143" i="2"/>
  <c r="Q77" i="10" s="1"/>
  <c r="Q111" i="2"/>
  <c r="Q32" i="10" s="1"/>
  <c r="Q168" i="2"/>
  <c r="Q102" i="10" s="1"/>
  <c r="Q171" i="2"/>
  <c r="Q105" i="10" s="1"/>
  <c r="Q155" i="2"/>
  <c r="Q89" i="10" s="1"/>
  <c r="Q18" i="2"/>
  <c r="Q122" i="10" s="1"/>
  <c r="Q15" i="2"/>
  <c r="Q119" i="10" s="1"/>
  <c r="Q63" i="2"/>
  <c r="Q71" i="10" s="1"/>
  <c r="Q153" i="2"/>
  <c r="Q87" i="10" s="1"/>
  <c r="Q129" i="2"/>
  <c r="Q50" i="10" s="1"/>
  <c r="Q97" i="2"/>
  <c r="Q171" i="10" s="1"/>
  <c r="Q157" i="2"/>
  <c r="Q91" i="10" s="1"/>
  <c r="Q125" i="2"/>
  <c r="Q46" i="10" s="1"/>
  <c r="Q91" i="2"/>
  <c r="Q165" i="10" s="1"/>
  <c r="Q65" i="2"/>
  <c r="Q73" i="10" s="1"/>
  <c r="Q56" i="2"/>
  <c r="Q64" i="10" s="1"/>
  <c r="Q3" i="10" s="1"/>
  <c r="Q40" i="2"/>
  <c r="Q144" i="10" s="1"/>
  <c r="Q141" i="2"/>
  <c r="Q75" i="10" s="1"/>
  <c r="Q109" i="2"/>
  <c r="Q30" i="10" s="1"/>
  <c r="Q95" i="2"/>
  <c r="Q169" i="10" s="1"/>
  <c r="Q140" i="2"/>
  <c r="Q74" i="10" s="1"/>
  <c r="Q37" i="2"/>
  <c r="Q141" i="10" s="1"/>
  <c r="Q27" i="2"/>
  <c r="Q131" i="10" s="1"/>
  <c r="Q62" i="2"/>
  <c r="Q70" i="10" s="1"/>
  <c r="Q46" i="2"/>
  <c r="Q119" i="2"/>
  <c r="Q40" i="10" s="1"/>
  <c r="Q88" i="2"/>
  <c r="Q162" i="10" s="1"/>
  <c r="Q133" i="2"/>
  <c r="Q54" i="10" s="1"/>
  <c r="Q101" i="2"/>
  <c r="Q22" i="10" s="1"/>
  <c r="Q59" i="2"/>
  <c r="Q67" i="10" s="1"/>
  <c r="Q43" i="2"/>
  <c r="Q147" i="10" s="1"/>
  <c r="Q69" i="2"/>
  <c r="Q10" i="10" s="1"/>
  <c r="Q51" i="2"/>
  <c r="Q154" i="10" s="1"/>
  <c r="Q169" i="2"/>
  <c r="Q103" i="10" s="1"/>
  <c r="Q172" i="2"/>
  <c r="Q106" i="10" s="1"/>
  <c r="Q122" i="2"/>
  <c r="Q43" i="10" s="1"/>
  <c r="Q84" i="2"/>
  <c r="Q158" i="10" s="1"/>
  <c r="Q164" i="2"/>
  <c r="Q98" i="10" s="1"/>
  <c r="Q131" i="2"/>
  <c r="Q52" i="10" s="1"/>
  <c r="Q108" i="2"/>
  <c r="Q29" i="10" s="1"/>
  <c r="Q78" i="2"/>
  <c r="Q18" i="10" s="1"/>
  <c r="Q61" i="2"/>
  <c r="Q69" i="10" s="1"/>
  <c r="Q45" i="2"/>
  <c r="Q149" i="10" s="1"/>
  <c r="Q41" i="2"/>
  <c r="Q145" i="10" s="1"/>
  <c r="Q30" i="2"/>
  <c r="Q134" i="10" s="1"/>
  <c r="Q67" i="2"/>
  <c r="Q8" i="10" s="1"/>
  <c r="Q49" i="2"/>
  <c r="Q152" i="10" s="1"/>
  <c r="Q102" i="2"/>
  <c r="Q23" i="10" s="1"/>
  <c r="Q72" i="2"/>
  <c r="Q13" i="10" s="1"/>
  <c r="Q142" i="2"/>
  <c r="Q76" i="10" s="1"/>
  <c r="Q110" i="2"/>
  <c r="Q31" i="10" s="1"/>
  <c r="Q86" i="2"/>
  <c r="Q160" i="10" s="1"/>
  <c r="Q159" i="2"/>
  <c r="Q93" i="10" s="1"/>
  <c r="Q105" i="2"/>
  <c r="Q26" i="10" s="1"/>
  <c r="Q75" i="2"/>
  <c r="Q15" i="10" s="1"/>
  <c r="Q147" i="2"/>
  <c r="Q81" i="10" s="1"/>
  <c r="Q52" i="2"/>
  <c r="Q155" i="10" s="1"/>
  <c r="Q152" i="2"/>
  <c r="Q86" i="10" s="1"/>
  <c r="Q112" i="2"/>
  <c r="Q33" i="10" s="1"/>
  <c r="Q42" i="2"/>
  <c r="Q146" i="10" s="1"/>
  <c r="Q114" i="2"/>
  <c r="Q35" i="10" s="1"/>
  <c r="Q117" i="2"/>
  <c r="Q38" i="10" s="1"/>
  <c r="Q104" i="2"/>
  <c r="Q25" i="10" s="1"/>
  <c r="Q106" i="2"/>
  <c r="Q27" i="10" s="1"/>
  <c r="Q4" i="5"/>
  <c r="U17" i="5"/>
  <c r="U20" i="5"/>
  <c r="U18" i="5"/>
  <c r="J17" i="5"/>
  <c r="K17" i="5" s="1"/>
  <c r="U22" i="5"/>
  <c r="J19" i="5"/>
  <c r="K19" i="5" s="1"/>
  <c r="J20" i="5"/>
  <c r="K20" i="5" s="1"/>
  <c r="K18" i="5"/>
  <c r="J21" i="5"/>
  <c r="K21" i="5" s="1"/>
  <c r="T6" i="5"/>
  <c r="T8" i="5"/>
  <c r="T11" i="5"/>
  <c r="Y11" i="5" s="1"/>
  <c r="T9" i="5"/>
  <c r="T10" i="5"/>
  <c r="Y10" i="5" s="1"/>
  <c r="T7" i="5"/>
  <c r="T5" i="5"/>
  <c r="P6" i="5"/>
  <c r="P4" i="5"/>
  <c r="P9" i="5"/>
  <c r="P8" i="5"/>
  <c r="P7" i="5"/>
  <c r="P5" i="5"/>
  <c r="K12" i="5"/>
  <c r="L10" i="5" s="1"/>
  <c r="M10" i="5" s="1"/>
  <c r="T4" i="5"/>
  <c r="Y5" i="5" l="1"/>
  <c r="Y6" i="5"/>
  <c r="Y7" i="5"/>
  <c r="Y8" i="5"/>
  <c r="J23" i="5"/>
  <c r="K23" i="5" s="1"/>
  <c r="V18" i="5"/>
  <c r="W18" i="5" s="1"/>
  <c r="K29" i="5"/>
  <c r="J30" i="5"/>
  <c r="K30" i="5" s="1"/>
  <c r="U23" i="5"/>
  <c r="V20" i="5"/>
  <c r="W20" i="5" s="1"/>
  <c r="V17" i="5"/>
  <c r="W17" i="5" s="1"/>
  <c r="V22" i="5"/>
  <c r="W22" i="5" s="1"/>
  <c r="V19" i="5"/>
  <c r="W19" i="5" s="1"/>
  <c r="V21" i="5"/>
  <c r="W21" i="5" s="1"/>
  <c r="L11" i="5"/>
  <c r="M11" i="5" s="1"/>
  <c r="Y4" i="5"/>
  <c r="L9" i="5"/>
  <c r="M9" i="5" s="1"/>
  <c r="L7" i="5"/>
  <c r="M7" i="5" s="1"/>
  <c r="L4" i="5"/>
  <c r="L6" i="5"/>
  <c r="M6" i="5" s="1"/>
  <c r="L5" i="5"/>
  <c r="M5" i="5" s="1"/>
  <c r="Y9" i="5"/>
  <c r="L8" i="5"/>
  <c r="M8" i="5" s="1"/>
  <c r="W23" i="5" l="1"/>
  <c r="X23" i="5" s="1"/>
  <c r="Y23" i="5" s="1"/>
  <c r="Y22" i="5" s="1"/>
  <c r="L12" i="5"/>
  <c r="M12" i="5" s="1"/>
  <c r="M4" i="5"/>
  <c r="Z9" i="5"/>
  <c r="AA9" i="5" s="1"/>
  <c r="Z5" i="5"/>
  <c r="AA5" i="5" s="1"/>
  <c r="Y12" i="5"/>
  <c r="Z7" i="5"/>
  <c r="AA7" i="5" s="1"/>
  <c r="Z4" i="5"/>
  <c r="AA4" i="5" s="1"/>
  <c r="Z8" i="5"/>
  <c r="AA8" i="5" s="1"/>
  <c r="Z6" i="5"/>
  <c r="AA6" i="5" s="1"/>
  <c r="Z10" i="5"/>
  <c r="AA10" i="5" s="1"/>
  <c r="Z11" i="5"/>
  <c r="AA11" i="5" s="1"/>
  <c r="R2" i="10" l="1"/>
  <c r="AA12" i="5"/>
  <c r="AB12" i="5" s="1"/>
  <c r="AC12" i="5" s="1"/>
  <c r="Q2" i="10" l="1"/>
  <c r="S4" i="2"/>
  <c r="S108" i="10" s="1"/>
  <c r="S5" i="2"/>
  <c r="S109" i="10" s="1"/>
  <c r="S6" i="2"/>
  <c r="S110" i="10" s="1"/>
  <c r="S7" i="2"/>
  <c r="S111" i="10" s="1"/>
  <c r="S8" i="2"/>
  <c r="S112" i="10" s="1"/>
  <c r="S9" i="2"/>
  <c r="S113" i="10" s="1"/>
  <c r="S10" i="2"/>
  <c r="S114" i="10" s="1"/>
  <c r="S11" i="2"/>
  <c r="S115" i="10" s="1"/>
  <c r="S12" i="2"/>
  <c r="S116" i="10" s="1"/>
  <c r="S13" i="2"/>
  <c r="S117" i="10" s="1"/>
  <c r="S14" i="2"/>
  <c r="S118" i="10" s="1"/>
  <c r="S15" i="2"/>
  <c r="S119" i="10" s="1"/>
  <c r="S16" i="2"/>
  <c r="S120" i="10" s="1"/>
  <c r="S18" i="2"/>
  <c r="S122" i="10" s="1"/>
  <c r="S19" i="2"/>
  <c r="S123" i="10" s="1"/>
  <c r="S20" i="2"/>
  <c r="S124" i="10" s="1"/>
  <c r="S21" i="2"/>
  <c r="S125" i="10" s="1"/>
  <c r="S22" i="2"/>
  <c r="S126" i="10" s="1"/>
  <c r="S23" i="2"/>
  <c r="S127" i="10" s="1"/>
  <c r="S24" i="2"/>
  <c r="S128" i="10" s="1"/>
  <c r="S25" i="2"/>
  <c r="S129" i="10" s="1"/>
  <c r="S26" i="2"/>
  <c r="S130" i="10" s="1"/>
  <c r="S27" i="2"/>
  <c r="S131" i="10" s="1"/>
  <c r="S28" i="2"/>
  <c r="S132" i="10" s="1"/>
  <c r="S29" i="2"/>
  <c r="S133" i="10" s="1"/>
  <c r="S30" i="2"/>
  <c r="S134" i="10" s="1"/>
  <c r="S31" i="2"/>
  <c r="S135" i="10" s="1"/>
  <c r="S32" i="2"/>
  <c r="S136" i="10" s="1"/>
  <c r="S33" i="2"/>
  <c r="S137" i="10" s="1"/>
  <c r="S34" i="2"/>
  <c r="S138" i="10" s="1"/>
  <c r="S35" i="2"/>
  <c r="S139" i="10" s="1"/>
  <c r="S36" i="2"/>
  <c r="S140" i="10" s="1"/>
  <c r="S37" i="2"/>
  <c r="S141" i="10" s="1"/>
  <c r="S38" i="2"/>
  <c r="S142" i="10" s="1"/>
  <c r="S39" i="2"/>
  <c r="S143" i="10" s="1"/>
  <c r="S40" i="2"/>
  <c r="S144" i="10" s="1"/>
  <c r="S41" i="2"/>
  <c r="S145" i="10" s="1"/>
  <c r="S42" i="2"/>
  <c r="S146" i="10" s="1"/>
  <c r="S43" i="2"/>
  <c r="S147" i="10" s="1"/>
  <c r="S44" i="2"/>
  <c r="S148" i="10" s="1"/>
  <c r="S45" i="2"/>
  <c r="S149" i="10" s="1"/>
  <c r="S46" i="2"/>
  <c r="S47" i="2"/>
  <c r="S150" i="10" s="1"/>
  <c r="S48" i="2"/>
  <c r="S151" i="10" s="1"/>
  <c r="S49" i="2"/>
  <c r="S152" i="10" s="1"/>
  <c r="S50" i="2"/>
  <c r="S153" i="10" s="1"/>
  <c r="S51" i="2"/>
  <c r="S154" i="10" s="1"/>
  <c r="S52" i="2"/>
  <c r="S155" i="10" s="1"/>
  <c r="S53" i="2"/>
  <c r="S61" i="10" s="1"/>
  <c r="S54" i="2"/>
  <c r="S62" i="10" s="1"/>
  <c r="S55" i="2"/>
  <c r="S63" i="10" s="1"/>
  <c r="S56" i="2"/>
  <c r="S64" i="10" s="1"/>
  <c r="S57" i="2"/>
  <c r="S65" i="10" s="1"/>
  <c r="S58" i="2"/>
  <c r="S66" i="10" s="1"/>
  <c r="S59" i="2"/>
  <c r="S67" i="10" s="1"/>
  <c r="S60" i="2"/>
  <c r="S68" i="10" s="1"/>
  <c r="S61" i="2"/>
  <c r="S69" i="10" s="1"/>
  <c r="S62" i="2"/>
  <c r="S70" i="10" s="1"/>
  <c r="S63" i="2"/>
  <c r="S71" i="10" s="1"/>
  <c r="S64" i="2"/>
  <c r="S72" i="10" s="1"/>
  <c r="S65" i="2"/>
  <c r="S73" i="10" s="1"/>
  <c r="S66" i="2"/>
  <c r="S7" i="10" s="1"/>
  <c r="S67" i="2"/>
  <c r="S8" i="10" s="1"/>
  <c r="S68" i="2"/>
  <c r="S9" i="10" s="1"/>
  <c r="S69" i="2"/>
  <c r="S10" i="10" s="1"/>
  <c r="S70" i="2"/>
  <c r="S11" i="10" s="1"/>
  <c r="S71" i="2"/>
  <c r="S12" i="10" s="1"/>
  <c r="S72" i="2"/>
  <c r="S13" i="10" s="1"/>
  <c r="S73" i="2"/>
  <c r="S14" i="10" s="1"/>
  <c r="S74" i="2"/>
  <c r="S75" i="2"/>
  <c r="S15" i="10" s="1"/>
  <c r="S76" i="2"/>
  <c r="S16" i="10" s="1"/>
  <c r="S77" i="2"/>
  <c r="S17" i="10" s="1"/>
  <c r="S78" i="2"/>
  <c r="S18" i="10" s="1"/>
  <c r="S88" i="2"/>
  <c r="S162" i="10" s="1"/>
  <c r="S89" i="2"/>
  <c r="S163" i="10" s="1"/>
  <c r="S90" i="2"/>
  <c r="S164" i="10" s="1"/>
  <c r="S91" i="2"/>
  <c r="S165" i="10" s="1"/>
  <c r="S92" i="2"/>
  <c r="S166" i="10" s="1"/>
  <c r="S93" i="2"/>
  <c r="S167" i="10" s="1"/>
  <c r="S94" i="2"/>
  <c r="S168" i="10" s="1"/>
  <c r="S95" i="2"/>
  <c r="S169" i="10" s="1"/>
  <c r="S96" i="2"/>
  <c r="S170" i="10" s="1"/>
  <c r="S97" i="2"/>
  <c r="S171" i="10" s="1"/>
  <c r="S98" i="2"/>
  <c r="S172" i="10" s="1"/>
  <c r="S99" i="2"/>
  <c r="S173" i="10" s="1"/>
  <c r="S100" i="2"/>
  <c r="S21" i="10" s="1"/>
  <c r="S101" i="2"/>
  <c r="S22" i="10" s="1"/>
  <c r="S102" i="2"/>
  <c r="S23" i="10" s="1"/>
  <c r="S103" i="2"/>
  <c r="S24" i="10" s="1"/>
  <c r="S104" i="2"/>
  <c r="S25" i="10" s="1"/>
  <c r="S105" i="2"/>
  <c r="S26" i="10" s="1"/>
  <c r="S106" i="2"/>
  <c r="S27" i="10" s="1"/>
  <c r="S107" i="2"/>
  <c r="S28" i="10" s="1"/>
  <c r="S108" i="2"/>
  <c r="S29" i="10" s="1"/>
  <c r="S109" i="2"/>
  <c r="S30" i="10" s="1"/>
  <c r="S110" i="2"/>
  <c r="S31" i="10" s="1"/>
  <c r="S111" i="2"/>
  <c r="S32" i="10" s="1"/>
  <c r="S112" i="2"/>
  <c r="S33" i="10" s="1"/>
  <c r="S113" i="2"/>
  <c r="S34" i="10" s="1"/>
  <c r="S114" i="2"/>
  <c r="S35" i="10" s="1"/>
  <c r="S115" i="2"/>
  <c r="S36" i="10" s="1"/>
  <c r="S116" i="2"/>
  <c r="S37" i="10" s="1"/>
  <c r="S117" i="2"/>
  <c r="S38" i="10" s="1"/>
  <c r="S118" i="2"/>
  <c r="S39" i="10" s="1"/>
  <c r="S119" i="2"/>
  <c r="S40" i="10" s="1"/>
  <c r="S120" i="2"/>
  <c r="S41" i="10" s="1"/>
  <c r="S121" i="2"/>
  <c r="S42" i="10" s="1"/>
  <c r="S122" i="2"/>
  <c r="S43" i="10" s="1"/>
  <c r="S123" i="2"/>
  <c r="S44" i="10" s="1"/>
  <c r="S124" i="2"/>
  <c r="S45" i="10" s="1"/>
  <c r="S125" i="2"/>
  <c r="S46" i="10" s="1"/>
  <c r="S126" i="2"/>
  <c r="S47" i="10" s="1"/>
  <c r="S127" i="2"/>
  <c r="S48" i="10" s="1"/>
  <c r="S128" i="2"/>
  <c r="S49" i="10" s="1"/>
  <c r="S129" i="2"/>
  <c r="S50" i="10" s="1"/>
  <c r="S130" i="2"/>
  <c r="S51" i="10" s="1"/>
  <c r="S131" i="2"/>
  <c r="S52" i="10" s="1"/>
  <c r="S132" i="2"/>
  <c r="S53" i="10" s="1"/>
  <c r="S133" i="2"/>
  <c r="S54" i="10" s="1"/>
  <c r="S134" i="2"/>
  <c r="S55" i="10" s="1"/>
  <c r="S135" i="2"/>
  <c r="S56" i="10" s="1"/>
  <c r="S136" i="2"/>
  <c r="S57" i="10" s="1"/>
  <c r="S137" i="2"/>
  <c r="S58" i="10" s="1"/>
  <c r="S138" i="2"/>
  <c r="S59" i="10" s="1"/>
  <c r="S139" i="2"/>
  <c r="S60" i="10" s="1"/>
  <c r="S140" i="2"/>
  <c r="S74" i="10" s="1"/>
  <c r="S141" i="2"/>
  <c r="S75" i="10" s="1"/>
  <c r="S142" i="2"/>
  <c r="S76" i="10" s="1"/>
  <c r="S143" i="2"/>
  <c r="S77" i="10" s="1"/>
  <c r="S144" i="2"/>
  <c r="S78" i="10" s="1"/>
  <c r="S145" i="2"/>
  <c r="S79" i="10" s="1"/>
  <c r="S146" i="2"/>
  <c r="S80" i="10" s="1"/>
  <c r="S147" i="2"/>
  <c r="S81" i="10" s="1"/>
  <c r="S148" i="2"/>
  <c r="S82" i="10" s="1"/>
  <c r="S149" i="2"/>
  <c r="S83" i="10" s="1"/>
  <c r="S150" i="2"/>
  <c r="S84" i="10" s="1"/>
  <c r="S151" i="2"/>
  <c r="S85" i="10" s="1"/>
  <c r="S152" i="2"/>
  <c r="S86" i="10" s="1"/>
  <c r="S153" i="2"/>
  <c r="S87" i="10" s="1"/>
  <c r="S154" i="2"/>
  <c r="S88" i="10" s="1"/>
  <c r="S155" i="2"/>
  <c r="S89" i="10" s="1"/>
  <c r="S156" i="2"/>
  <c r="S90" i="10" s="1"/>
  <c r="S157" i="2"/>
  <c r="S91" i="10" s="1"/>
  <c r="S158" i="2"/>
  <c r="S92" i="10" s="1"/>
  <c r="S159" i="2"/>
  <c r="S93" i="10" s="1"/>
  <c r="S160" i="2"/>
  <c r="S94" i="10" s="1"/>
  <c r="S161" i="2"/>
  <c r="S95" i="10" s="1"/>
  <c r="S162" i="2"/>
  <c r="S96" i="10" s="1"/>
  <c r="S163" i="2"/>
  <c r="S97" i="10" s="1"/>
  <c r="S164" i="2"/>
  <c r="S98" i="10" s="1"/>
  <c r="S165" i="2"/>
  <c r="S99" i="10" s="1"/>
  <c r="S166" i="2"/>
  <c r="S100" i="10" s="1"/>
  <c r="S167" i="2"/>
  <c r="S101" i="10" s="1"/>
  <c r="S168" i="2"/>
  <c r="S102" i="10" s="1"/>
  <c r="S169" i="2"/>
  <c r="S103" i="10" s="1"/>
  <c r="S170" i="2"/>
  <c r="S104" i="10" s="1"/>
  <c r="S171" i="2"/>
  <c r="S105" i="10" s="1"/>
  <c r="S172" i="2"/>
  <c r="S106" i="10" s="1"/>
  <c r="T4" i="2"/>
  <c r="T108" i="10" s="1"/>
  <c r="T5" i="2"/>
  <c r="T109" i="10" s="1"/>
  <c r="T6" i="2"/>
  <c r="T110" i="10" s="1"/>
  <c r="T7" i="2"/>
  <c r="T111" i="10" s="1"/>
  <c r="T8" i="2"/>
  <c r="T112" i="10" s="1"/>
  <c r="T9" i="2"/>
  <c r="T113" i="10" s="1"/>
  <c r="T10" i="2"/>
  <c r="T114" i="10" s="1"/>
  <c r="T11" i="2"/>
  <c r="T115" i="10" s="1"/>
  <c r="T12" i="2"/>
  <c r="T116" i="10" s="1"/>
  <c r="T13" i="2"/>
  <c r="T117" i="10" s="1"/>
  <c r="T14" i="2"/>
  <c r="T118" i="10" s="1"/>
  <c r="T15" i="2"/>
  <c r="T119" i="10" s="1"/>
  <c r="T16" i="2"/>
  <c r="T120" i="10" s="1"/>
  <c r="T17" i="2"/>
  <c r="T121" i="10" s="1"/>
  <c r="T18" i="2"/>
  <c r="T122" i="10" s="1"/>
  <c r="T19" i="2"/>
  <c r="T123" i="10" s="1"/>
  <c r="T20" i="2"/>
  <c r="T124" i="10" s="1"/>
  <c r="T21" i="2"/>
  <c r="T125" i="10" s="1"/>
  <c r="T22" i="2"/>
  <c r="T126" i="10" s="1"/>
  <c r="T23" i="2"/>
  <c r="T127" i="10" s="1"/>
  <c r="T24" i="2"/>
  <c r="T128" i="10" s="1"/>
  <c r="T25" i="2"/>
  <c r="T129" i="10" s="1"/>
  <c r="T26" i="2"/>
  <c r="T130" i="10" s="1"/>
  <c r="T27" i="2"/>
  <c r="T131" i="10" s="1"/>
  <c r="T28" i="2"/>
  <c r="T132" i="10" s="1"/>
  <c r="T29" i="2"/>
  <c r="T133" i="10" s="1"/>
  <c r="T30" i="2"/>
  <c r="T134" i="10" s="1"/>
  <c r="T31" i="2"/>
  <c r="T135" i="10" s="1"/>
  <c r="T32" i="2"/>
  <c r="T136" i="10" s="1"/>
  <c r="T33" i="2"/>
  <c r="T137" i="10" s="1"/>
  <c r="T34" i="2"/>
  <c r="T138" i="10" s="1"/>
  <c r="T35" i="2"/>
  <c r="T139" i="10" s="1"/>
  <c r="T36" i="2"/>
  <c r="T140" i="10" s="1"/>
  <c r="T37" i="2"/>
  <c r="T141" i="10" s="1"/>
  <c r="T38" i="2"/>
  <c r="T142" i="10" s="1"/>
  <c r="T39" i="2"/>
  <c r="T143" i="10" s="1"/>
  <c r="T40" i="2"/>
  <c r="T144" i="10" s="1"/>
  <c r="T41" i="2"/>
  <c r="T145" i="10" s="1"/>
  <c r="T42" i="2"/>
  <c r="T146" i="10" s="1"/>
  <c r="T43" i="2"/>
  <c r="T147" i="10" s="1"/>
  <c r="T44" i="2"/>
  <c r="T148" i="10" s="1"/>
  <c r="T45" i="2"/>
  <c r="T149" i="10" s="1"/>
  <c r="T46" i="2"/>
  <c r="T47" i="2"/>
  <c r="T150" i="10" s="1"/>
  <c r="T48" i="2"/>
  <c r="T151" i="10" s="1"/>
  <c r="T49" i="2"/>
  <c r="T152" i="10" s="1"/>
  <c r="T50" i="2"/>
  <c r="T153" i="10" s="1"/>
  <c r="T51" i="2"/>
  <c r="T154" i="10" s="1"/>
  <c r="T52" i="2"/>
  <c r="T155" i="10" s="1"/>
  <c r="T53" i="2"/>
  <c r="T61" i="10" s="1"/>
  <c r="T54" i="2"/>
  <c r="T62" i="10" s="1"/>
  <c r="T55" i="2"/>
  <c r="T63" i="10" s="1"/>
  <c r="T56" i="2"/>
  <c r="T64" i="10" s="1"/>
  <c r="T57" i="2"/>
  <c r="T65" i="10" s="1"/>
  <c r="T58" i="2"/>
  <c r="T66" i="10" s="1"/>
  <c r="T59" i="2"/>
  <c r="T67" i="10" s="1"/>
  <c r="T60" i="2"/>
  <c r="T68" i="10" s="1"/>
  <c r="T61" i="2"/>
  <c r="T69" i="10" s="1"/>
  <c r="T62" i="2"/>
  <c r="T70" i="10" s="1"/>
  <c r="T63" i="2"/>
  <c r="T71" i="10" s="1"/>
  <c r="T64" i="2"/>
  <c r="T72" i="10" s="1"/>
  <c r="T65" i="2"/>
  <c r="T73" i="10" s="1"/>
  <c r="T66" i="2"/>
  <c r="T7" i="10" s="1"/>
  <c r="T2" i="10" s="1"/>
  <c r="T67" i="2"/>
  <c r="T8" i="10" s="1"/>
  <c r="T68" i="2"/>
  <c r="T9" i="10" s="1"/>
  <c r="T69" i="2"/>
  <c r="T10" i="10" s="1"/>
  <c r="T70" i="2"/>
  <c r="T11" i="10" s="1"/>
  <c r="T71" i="2"/>
  <c r="T12" i="10" s="1"/>
  <c r="T72" i="2"/>
  <c r="T13" i="10" s="1"/>
  <c r="T73" i="2"/>
  <c r="T14" i="10" s="1"/>
  <c r="T74" i="2"/>
  <c r="T75" i="2"/>
  <c r="T15" i="10" s="1"/>
  <c r="T76" i="2"/>
  <c r="T16" i="10" s="1"/>
  <c r="T77" i="2"/>
  <c r="T17" i="10" s="1"/>
  <c r="T78" i="2"/>
  <c r="T18" i="10" s="1"/>
  <c r="T79" i="2"/>
  <c r="T80" i="2"/>
  <c r="T19" i="10" s="1"/>
  <c r="T83" i="2"/>
  <c r="T157" i="10" s="1"/>
  <c r="T84" i="2"/>
  <c r="T158" i="10" s="1"/>
  <c r="T85" i="2"/>
  <c r="T159" i="10" s="1"/>
  <c r="T86" i="2"/>
  <c r="T160" i="10" s="1"/>
  <c r="T87" i="2"/>
  <c r="T161" i="10" s="1"/>
  <c r="T88" i="2"/>
  <c r="T162" i="10" s="1"/>
  <c r="T89" i="2"/>
  <c r="T163" i="10" s="1"/>
  <c r="T90" i="2"/>
  <c r="T164" i="10" s="1"/>
  <c r="T91" i="2"/>
  <c r="T165" i="10" s="1"/>
  <c r="T92" i="2"/>
  <c r="T166" i="10" s="1"/>
  <c r="T93" i="2"/>
  <c r="T167" i="10" s="1"/>
  <c r="T94" i="2"/>
  <c r="T168" i="10" s="1"/>
  <c r="T95" i="2"/>
  <c r="T169" i="10" s="1"/>
  <c r="T96" i="2"/>
  <c r="T170" i="10" s="1"/>
  <c r="T97" i="2"/>
  <c r="T171" i="10" s="1"/>
  <c r="T98" i="2"/>
  <c r="T172" i="10" s="1"/>
  <c r="T99" i="2"/>
  <c r="T173" i="10" s="1"/>
  <c r="T100" i="2"/>
  <c r="T21" i="10" s="1"/>
  <c r="T101" i="2"/>
  <c r="T22" i="10" s="1"/>
  <c r="T102" i="2"/>
  <c r="T23" i="10" s="1"/>
  <c r="T103" i="2"/>
  <c r="T24" i="10" s="1"/>
  <c r="T104" i="2"/>
  <c r="T25" i="10" s="1"/>
  <c r="T105" i="2"/>
  <c r="T26" i="10" s="1"/>
  <c r="T106" i="2"/>
  <c r="T27" i="10" s="1"/>
  <c r="T107" i="2"/>
  <c r="T28" i="10" s="1"/>
  <c r="T108" i="2"/>
  <c r="T29" i="10" s="1"/>
  <c r="T109" i="2"/>
  <c r="T30" i="10" s="1"/>
  <c r="T110" i="2"/>
  <c r="T31" i="10" s="1"/>
  <c r="T111" i="2"/>
  <c r="T32" i="10" s="1"/>
  <c r="T112" i="2"/>
  <c r="T33" i="10" s="1"/>
  <c r="T113" i="2"/>
  <c r="T34" i="10" s="1"/>
  <c r="T114" i="2"/>
  <c r="T35" i="10" s="1"/>
  <c r="T115" i="2"/>
  <c r="T36" i="10" s="1"/>
  <c r="T116" i="2"/>
  <c r="T37" i="10" s="1"/>
  <c r="T117" i="2"/>
  <c r="T38" i="10" s="1"/>
  <c r="T118" i="2"/>
  <c r="T39" i="10" s="1"/>
  <c r="T119" i="2"/>
  <c r="T40" i="10" s="1"/>
  <c r="T120" i="2"/>
  <c r="T41" i="10" s="1"/>
  <c r="T121" i="2"/>
  <c r="T42" i="10" s="1"/>
  <c r="T122" i="2"/>
  <c r="T43" i="10" s="1"/>
  <c r="T123" i="2"/>
  <c r="T44" i="10" s="1"/>
  <c r="T124" i="2"/>
  <c r="T45" i="10" s="1"/>
  <c r="T125" i="2"/>
  <c r="T46" i="10" s="1"/>
  <c r="T126" i="2"/>
  <c r="T47" i="10" s="1"/>
  <c r="T127" i="2"/>
  <c r="T48" i="10" s="1"/>
  <c r="T128" i="2"/>
  <c r="T49" i="10" s="1"/>
  <c r="T129" i="2"/>
  <c r="T50" i="10" s="1"/>
  <c r="T130" i="2"/>
  <c r="T51" i="10" s="1"/>
  <c r="T131" i="2"/>
  <c r="T52" i="10" s="1"/>
  <c r="T132" i="2"/>
  <c r="T53" i="10" s="1"/>
  <c r="T133" i="2"/>
  <c r="T54" i="10" s="1"/>
  <c r="T134" i="2"/>
  <c r="T55" i="10" s="1"/>
  <c r="T135" i="2"/>
  <c r="T56" i="10" s="1"/>
  <c r="T136" i="2"/>
  <c r="T57" i="10" s="1"/>
  <c r="T137" i="2"/>
  <c r="T58" i="10" s="1"/>
  <c r="T138" i="2"/>
  <c r="T59" i="10" s="1"/>
  <c r="T139" i="2"/>
  <c r="T60" i="10" s="1"/>
  <c r="T140" i="2"/>
  <c r="T74" i="10" s="1"/>
  <c r="T141" i="2"/>
  <c r="T75" i="10" s="1"/>
  <c r="T142" i="2"/>
  <c r="T76" i="10" s="1"/>
  <c r="T143" i="2"/>
  <c r="T77" i="10" s="1"/>
  <c r="T144" i="2"/>
  <c r="T78" i="10" s="1"/>
  <c r="T145" i="2"/>
  <c r="T79" i="10" s="1"/>
  <c r="T146" i="2"/>
  <c r="T80" i="10" s="1"/>
  <c r="T147" i="2"/>
  <c r="T81" i="10" s="1"/>
  <c r="T148" i="2"/>
  <c r="T82" i="10" s="1"/>
  <c r="T149" i="2"/>
  <c r="T83" i="10" s="1"/>
  <c r="T150" i="2"/>
  <c r="T84" i="10" s="1"/>
  <c r="T151" i="2"/>
  <c r="T85" i="10" s="1"/>
  <c r="T152" i="2"/>
  <c r="T86" i="10" s="1"/>
  <c r="T153" i="2"/>
  <c r="T87" i="10" s="1"/>
  <c r="T154" i="2"/>
  <c r="T88" i="10" s="1"/>
  <c r="T155" i="2"/>
  <c r="T89" i="10" s="1"/>
  <c r="T156" i="2"/>
  <c r="T90" i="10" s="1"/>
  <c r="T157" i="2"/>
  <c r="T91" i="10" s="1"/>
  <c r="T158" i="2"/>
  <c r="T92" i="10" s="1"/>
  <c r="T159" i="2"/>
  <c r="T93" i="10" s="1"/>
  <c r="T160" i="2"/>
  <c r="T94" i="10" s="1"/>
  <c r="T161" i="2"/>
  <c r="T95" i="10" s="1"/>
  <c r="T162" i="2"/>
  <c r="T96" i="10" s="1"/>
  <c r="T163" i="2"/>
  <c r="T97" i="10" s="1"/>
  <c r="T164" i="2"/>
  <c r="T98" i="10" s="1"/>
  <c r="T165" i="2"/>
  <c r="T99" i="10" s="1"/>
  <c r="T166" i="2"/>
  <c r="T100" i="10" s="1"/>
  <c r="T167" i="2"/>
  <c r="T101" i="10" s="1"/>
  <c r="T168" i="2"/>
  <c r="T102" i="10" s="1"/>
  <c r="T169" i="2"/>
  <c r="T103" i="10" s="1"/>
  <c r="T170" i="2"/>
  <c r="T104" i="10" s="1"/>
  <c r="T171" i="2"/>
  <c r="T105" i="10" s="1"/>
  <c r="T172" i="2"/>
  <c r="T106" i="10" s="1"/>
  <c r="M4" i="2"/>
  <c r="M108" i="10" s="1"/>
  <c r="M5" i="2"/>
  <c r="M109" i="10" s="1"/>
  <c r="M6" i="2"/>
  <c r="M110" i="10" s="1"/>
  <c r="M7" i="2"/>
  <c r="M111" i="10" s="1"/>
  <c r="M8" i="2"/>
  <c r="M112" i="10" s="1"/>
  <c r="M9" i="2"/>
  <c r="M113" i="10" s="1"/>
  <c r="M10" i="2"/>
  <c r="M114" i="10" s="1"/>
  <c r="M11" i="2"/>
  <c r="M115" i="10" s="1"/>
  <c r="M12" i="2"/>
  <c r="M116" i="10" s="1"/>
  <c r="M13" i="2"/>
  <c r="M117" i="10" s="1"/>
  <c r="M14" i="2"/>
  <c r="M118" i="10" s="1"/>
  <c r="M15" i="2"/>
  <c r="M119" i="10" s="1"/>
  <c r="M16" i="2"/>
  <c r="M120" i="10" s="1"/>
  <c r="M17" i="2"/>
  <c r="M121" i="10" s="1"/>
  <c r="M18" i="2"/>
  <c r="M122" i="10" s="1"/>
  <c r="M19" i="2"/>
  <c r="M123" i="10" s="1"/>
  <c r="M20" i="2"/>
  <c r="M124" i="10" s="1"/>
  <c r="M21" i="2"/>
  <c r="M125" i="10" s="1"/>
  <c r="M22" i="2"/>
  <c r="M126" i="10" s="1"/>
  <c r="M23" i="2"/>
  <c r="M127" i="10" s="1"/>
  <c r="M24" i="2"/>
  <c r="M128" i="10" s="1"/>
  <c r="M25" i="2"/>
  <c r="M129" i="10" s="1"/>
  <c r="M26" i="2"/>
  <c r="M130" i="10" s="1"/>
  <c r="M27" i="2"/>
  <c r="M131" i="10" s="1"/>
  <c r="M28" i="2"/>
  <c r="M132" i="10" s="1"/>
  <c r="M29" i="2"/>
  <c r="M133" i="10" s="1"/>
  <c r="M30" i="2"/>
  <c r="M134" i="10" s="1"/>
  <c r="M31" i="2"/>
  <c r="M135" i="10" s="1"/>
  <c r="M32" i="2"/>
  <c r="M136" i="10" s="1"/>
  <c r="M33" i="2"/>
  <c r="M137" i="10" s="1"/>
  <c r="M34" i="2"/>
  <c r="M138" i="10" s="1"/>
  <c r="M35" i="2"/>
  <c r="M139" i="10" s="1"/>
  <c r="M36" i="2"/>
  <c r="M140" i="10" s="1"/>
  <c r="M37" i="2"/>
  <c r="M141" i="10" s="1"/>
  <c r="M38" i="2"/>
  <c r="M142" i="10" s="1"/>
  <c r="M39" i="2"/>
  <c r="M143" i="10" s="1"/>
  <c r="M40" i="2"/>
  <c r="M144" i="10" s="1"/>
  <c r="M41" i="2"/>
  <c r="M145" i="10" s="1"/>
  <c r="M42" i="2"/>
  <c r="M146" i="10" s="1"/>
  <c r="M43" i="2"/>
  <c r="M147" i="10" s="1"/>
  <c r="M44" i="2"/>
  <c r="M148" i="10" s="1"/>
  <c r="M45" i="2"/>
  <c r="M149" i="10" s="1"/>
  <c r="M46" i="2"/>
  <c r="M47" i="2"/>
  <c r="M150" i="10" s="1"/>
  <c r="M48" i="2"/>
  <c r="M151" i="10" s="1"/>
  <c r="M49" i="2"/>
  <c r="M152" i="10" s="1"/>
  <c r="M50" i="2"/>
  <c r="M153" i="10" s="1"/>
  <c r="M51" i="2"/>
  <c r="M154" i="10" s="1"/>
  <c r="M52" i="2"/>
  <c r="M155" i="10" s="1"/>
  <c r="M53" i="2"/>
  <c r="M61" i="10" s="1"/>
  <c r="M54" i="2"/>
  <c r="M62" i="10" s="1"/>
  <c r="M55" i="2"/>
  <c r="M63" i="10" s="1"/>
  <c r="M56" i="2"/>
  <c r="M64" i="10" s="1"/>
  <c r="M57" i="2"/>
  <c r="M65" i="10" s="1"/>
  <c r="M58" i="2"/>
  <c r="M66" i="10" s="1"/>
  <c r="M59" i="2"/>
  <c r="M67" i="10" s="1"/>
  <c r="M60" i="2"/>
  <c r="M68" i="10" s="1"/>
  <c r="M61" i="2"/>
  <c r="M69" i="10" s="1"/>
  <c r="M62" i="2"/>
  <c r="M70" i="10" s="1"/>
  <c r="M63" i="2"/>
  <c r="M71" i="10" s="1"/>
  <c r="M64" i="2"/>
  <c r="M72" i="10" s="1"/>
  <c r="M65" i="2"/>
  <c r="M73" i="10" s="1"/>
  <c r="M66" i="2"/>
  <c r="M7" i="10" s="1"/>
  <c r="M67" i="2"/>
  <c r="M8" i="10" s="1"/>
  <c r="M68" i="2"/>
  <c r="M9" i="10" s="1"/>
  <c r="M69" i="2"/>
  <c r="M10" i="10" s="1"/>
  <c r="M70" i="2"/>
  <c r="M11" i="10" s="1"/>
  <c r="M71" i="2"/>
  <c r="M12" i="10" s="1"/>
  <c r="M72" i="2"/>
  <c r="M13" i="10" s="1"/>
  <c r="M73" i="2"/>
  <c r="M14" i="10" s="1"/>
  <c r="M74" i="2"/>
  <c r="M75" i="2"/>
  <c r="M15" i="10" s="1"/>
  <c r="M76" i="2"/>
  <c r="M16" i="10" s="1"/>
  <c r="M77" i="2"/>
  <c r="M17" i="10" s="1"/>
  <c r="M78" i="2"/>
  <c r="M18" i="10" s="1"/>
  <c r="M79" i="2"/>
  <c r="M80" i="2"/>
  <c r="M19" i="10" s="1"/>
  <c r="M83" i="2"/>
  <c r="M157" i="10" s="1"/>
  <c r="M84" i="2"/>
  <c r="M158" i="10" s="1"/>
  <c r="M85" i="2"/>
  <c r="M159" i="10" s="1"/>
  <c r="M86" i="2"/>
  <c r="M160" i="10" s="1"/>
  <c r="M87" i="2"/>
  <c r="M161" i="10" s="1"/>
  <c r="M88" i="2"/>
  <c r="M162" i="10" s="1"/>
  <c r="M89" i="2"/>
  <c r="M163" i="10" s="1"/>
  <c r="M90" i="2"/>
  <c r="M164" i="10" s="1"/>
  <c r="M91" i="2"/>
  <c r="M165" i="10" s="1"/>
  <c r="M92" i="2"/>
  <c r="M166" i="10" s="1"/>
  <c r="M93" i="2"/>
  <c r="M167" i="10" s="1"/>
  <c r="M94" i="2"/>
  <c r="M168" i="10" s="1"/>
  <c r="M95" i="2"/>
  <c r="M169" i="10" s="1"/>
  <c r="M96" i="2"/>
  <c r="M170" i="10" s="1"/>
  <c r="M97" i="2"/>
  <c r="M171" i="10" s="1"/>
  <c r="M98" i="2"/>
  <c r="M172" i="10" s="1"/>
  <c r="M99" i="2"/>
  <c r="M173" i="10" s="1"/>
  <c r="M100" i="2"/>
  <c r="M21" i="10" s="1"/>
  <c r="M101" i="2"/>
  <c r="M22" i="10" s="1"/>
  <c r="M102" i="2"/>
  <c r="M23" i="10" s="1"/>
  <c r="M103" i="2"/>
  <c r="M24" i="10" s="1"/>
  <c r="M104" i="2"/>
  <c r="M25" i="10" s="1"/>
  <c r="M105" i="2"/>
  <c r="M26" i="10" s="1"/>
  <c r="M106" i="2"/>
  <c r="M27" i="10" s="1"/>
  <c r="M107" i="2"/>
  <c r="M28" i="10" s="1"/>
  <c r="M108" i="2"/>
  <c r="M29" i="10" s="1"/>
  <c r="M109" i="2"/>
  <c r="M30" i="10" s="1"/>
  <c r="M110" i="2"/>
  <c r="M31" i="10" s="1"/>
  <c r="M111" i="2"/>
  <c r="M32" i="10" s="1"/>
  <c r="M112" i="2"/>
  <c r="M33" i="10" s="1"/>
  <c r="M113" i="2"/>
  <c r="M34" i="10" s="1"/>
  <c r="M114" i="2"/>
  <c r="M35" i="10" s="1"/>
  <c r="M115" i="2"/>
  <c r="M36" i="10" s="1"/>
  <c r="M116" i="2"/>
  <c r="M37" i="10" s="1"/>
  <c r="M117" i="2"/>
  <c r="M38" i="10" s="1"/>
  <c r="M118" i="2"/>
  <c r="M39" i="10" s="1"/>
  <c r="M119" i="2"/>
  <c r="M40" i="10" s="1"/>
  <c r="M120" i="2"/>
  <c r="M41" i="10" s="1"/>
  <c r="M121" i="2"/>
  <c r="M42" i="10" s="1"/>
  <c r="M122" i="2"/>
  <c r="M43" i="10" s="1"/>
  <c r="M123" i="2"/>
  <c r="M44" i="10" s="1"/>
  <c r="M124" i="2"/>
  <c r="M45" i="10" s="1"/>
  <c r="M125" i="2"/>
  <c r="M46" i="10" s="1"/>
  <c r="M126" i="2"/>
  <c r="M47" i="10" s="1"/>
  <c r="M127" i="2"/>
  <c r="M48" i="10" s="1"/>
  <c r="M128" i="2"/>
  <c r="M49" i="10" s="1"/>
  <c r="M129" i="2"/>
  <c r="M50" i="10" s="1"/>
  <c r="M130" i="2"/>
  <c r="M51" i="10" s="1"/>
  <c r="M131" i="2"/>
  <c r="M52" i="10" s="1"/>
  <c r="M132" i="2"/>
  <c r="M53" i="10" s="1"/>
  <c r="M133" i="2"/>
  <c r="M54" i="10" s="1"/>
  <c r="M134" i="2"/>
  <c r="M55" i="10" s="1"/>
  <c r="M135" i="2"/>
  <c r="M56" i="10" s="1"/>
  <c r="M136" i="2"/>
  <c r="M57" i="10" s="1"/>
  <c r="M137" i="2"/>
  <c r="M58" i="10" s="1"/>
  <c r="M138" i="2"/>
  <c r="M59" i="10" s="1"/>
  <c r="M139" i="2"/>
  <c r="M60" i="10" s="1"/>
  <c r="M140" i="2"/>
  <c r="M74" i="10" s="1"/>
  <c r="M141" i="2"/>
  <c r="M75" i="10" s="1"/>
  <c r="M142" i="2"/>
  <c r="M76" i="10" s="1"/>
  <c r="M143" i="2"/>
  <c r="M77" i="10" s="1"/>
  <c r="M144" i="2"/>
  <c r="M78" i="10" s="1"/>
  <c r="M145" i="2"/>
  <c r="M79" i="10" s="1"/>
  <c r="M146" i="2"/>
  <c r="M80" i="10" s="1"/>
  <c r="M147" i="2"/>
  <c r="M81" i="10" s="1"/>
  <c r="M148" i="2"/>
  <c r="M82" i="10" s="1"/>
  <c r="M149" i="2"/>
  <c r="M83" i="10" s="1"/>
  <c r="M150" i="2"/>
  <c r="M84" i="10" s="1"/>
  <c r="M151" i="2"/>
  <c r="M85" i="10" s="1"/>
  <c r="M152" i="2"/>
  <c r="M86" i="10" s="1"/>
  <c r="M153" i="2"/>
  <c r="M87" i="10" s="1"/>
  <c r="M154" i="2"/>
  <c r="M88" i="10" s="1"/>
  <c r="M155" i="2"/>
  <c r="M89" i="10" s="1"/>
  <c r="M156" i="2"/>
  <c r="M90" i="10" s="1"/>
  <c r="M157" i="2"/>
  <c r="M91" i="10" s="1"/>
  <c r="M158" i="2"/>
  <c r="M92" i="10" s="1"/>
  <c r="M159" i="2"/>
  <c r="M93" i="10" s="1"/>
  <c r="M160" i="2"/>
  <c r="M94" i="10" s="1"/>
  <c r="M161" i="2"/>
  <c r="M95" i="10" s="1"/>
  <c r="M162" i="2"/>
  <c r="M96" i="10" s="1"/>
  <c r="M163" i="2"/>
  <c r="M97" i="10" s="1"/>
  <c r="M164" i="2"/>
  <c r="M98" i="10" s="1"/>
  <c r="M165" i="2"/>
  <c r="M99" i="10" s="1"/>
  <c r="M166" i="2"/>
  <c r="M100" i="10" s="1"/>
  <c r="M167" i="2"/>
  <c r="M101" i="10" s="1"/>
  <c r="M168" i="2"/>
  <c r="M102" i="10" s="1"/>
  <c r="M169" i="2"/>
  <c r="M103" i="10" s="1"/>
  <c r="M170" i="2"/>
  <c r="M104" i="10" s="1"/>
  <c r="M171" i="2"/>
  <c r="M105" i="10" s="1"/>
  <c r="M172" i="2"/>
  <c r="M106" i="10" s="1"/>
  <c r="L12" i="2"/>
  <c r="L116" i="10" s="1"/>
  <c r="L13" i="2"/>
  <c r="L117" i="10" s="1"/>
  <c r="L14" i="2"/>
  <c r="L118" i="10" s="1"/>
  <c r="L15" i="2"/>
  <c r="L119" i="10" s="1"/>
  <c r="L16" i="2"/>
  <c r="L120" i="10" s="1"/>
  <c r="L17" i="2"/>
  <c r="L121" i="10" s="1"/>
  <c r="L18" i="2"/>
  <c r="L122" i="10" s="1"/>
  <c r="L19" i="2"/>
  <c r="L123" i="10" s="1"/>
  <c r="L20" i="2"/>
  <c r="L124" i="10" s="1"/>
  <c r="L21" i="2"/>
  <c r="L125" i="10" s="1"/>
  <c r="L22" i="2"/>
  <c r="L126" i="10" s="1"/>
  <c r="L23" i="2"/>
  <c r="L127" i="10" s="1"/>
  <c r="L24" i="2"/>
  <c r="L128" i="10" s="1"/>
  <c r="L25" i="2"/>
  <c r="L129" i="10" s="1"/>
  <c r="L26" i="2"/>
  <c r="L130" i="10" s="1"/>
  <c r="L27" i="2"/>
  <c r="L131" i="10" s="1"/>
  <c r="L28" i="2"/>
  <c r="L132" i="10" s="1"/>
  <c r="L29" i="2"/>
  <c r="L133" i="10" s="1"/>
  <c r="L30" i="2"/>
  <c r="L134" i="10" s="1"/>
  <c r="L31" i="2"/>
  <c r="L135" i="10" s="1"/>
  <c r="L32" i="2"/>
  <c r="L136" i="10" s="1"/>
  <c r="L33" i="2"/>
  <c r="L137" i="10" s="1"/>
  <c r="L34" i="2"/>
  <c r="L138" i="10" s="1"/>
  <c r="L35" i="2"/>
  <c r="L139" i="10" s="1"/>
  <c r="L36" i="2"/>
  <c r="L140" i="10" s="1"/>
  <c r="L37" i="2"/>
  <c r="L141" i="10" s="1"/>
  <c r="L38" i="2"/>
  <c r="L142" i="10" s="1"/>
  <c r="L39" i="2"/>
  <c r="L143" i="10" s="1"/>
  <c r="L40" i="2"/>
  <c r="L144" i="10" s="1"/>
  <c r="L41" i="2"/>
  <c r="L145" i="10" s="1"/>
  <c r="L42" i="2"/>
  <c r="L146" i="10" s="1"/>
  <c r="L43" i="2"/>
  <c r="L147" i="10" s="1"/>
  <c r="L44" i="2"/>
  <c r="L148" i="10" s="1"/>
  <c r="L45" i="2"/>
  <c r="L149" i="10" s="1"/>
  <c r="L46" i="2"/>
  <c r="L47" i="2"/>
  <c r="L150" i="10" s="1"/>
  <c r="L48" i="2"/>
  <c r="L151" i="10" s="1"/>
  <c r="L49" i="2"/>
  <c r="L152" i="10" s="1"/>
  <c r="L50" i="2"/>
  <c r="L153" i="10" s="1"/>
  <c r="L51" i="2"/>
  <c r="L154" i="10" s="1"/>
  <c r="L52" i="2"/>
  <c r="L155" i="10" s="1"/>
  <c r="L53" i="2"/>
  <c r="L61" i="10" s="1"/>
  <c r="L54" i="2"/>
  <c r="L62" i="10" s="1"/>
  <c r="L55" i="2"/>
  <c r="L63" i="10" s="1"/>
  <c r="L56" i="2"/>
  <c r="L64" i="10" s="1"/>
  <c r="L57" i="2"/>
  <c r="L65" i="10" s="1"/>
  <c r="L58" i="2"/>
  <c r="L66" i="10" s="1"/>
  <c r="L59" i="2"/>
  <c r="L67" i="10" s="1"/>
  <c r="L60" i="2"/>
  <c r="L68" i="10" s="1"/>
  <c r="L61" i="2"/>
  <c r="L69" i="10" s="1"/>
  <c r="L62" i="2"/>
  <c r="L70" i="10" s="1"/>
  <c r="L63" i="2"/>
  <c r="L71" i="10" s="1"/>
  <c r="L64" i="2"/>
  <c r="L72" i="10" s="1"/>
  <c r="L65" i="2"/>
  <c r="L73" i="10" s="1"/>
  <c r="L66" i="2"/>
  <c r="L7" i="10" s="1"/>
  <c r="L67" i="2"/>
  <c r="L8" i="10" s="1"/>
  <c r="L68" i="2"/>
  <c r="L9" i="10" s="1"/>
  <c r="L69" i="2"/>
  <c r="L10" i="10" s="1"/>
  <c r="L70" i="2"/>
  <c r="L11" i="10" s="1"/>
  <c r="L71" i="2"/>
  <c r="L12" i="10" s="1"/>
  <c r="L72" i="2"/>
  <c r="L13" i="10" s="1"/>
  <c r="L73" i="2"/>
  <c r="L14" i="10" s="1"/>
  <c r="L74" i="2"/>
  <c r="L75" i="2"/>
  <c r="L15" i="10" s="1"/>
  <c r="L76" i="2"/>
  <c r="L16" i="10" s="1"/>
  <c r="L77" i="2"/>
  <c r="L17" i="10" s="1"/>
  <c r="L78" i="2"/>
  <c r="L18" i="10" s="1"/>
  <c r="L79" i="2"/>
  <c r="L80" i="2"/>
  <c r="L19" i="10" s="1"/>
  <c r="L83" i="2"/>
  <c r="L157" i="10" s="1"/>
  <c r="L84" i="2"/>
  <c r="L158" i="10" s="1"/>
  <c r="L85" i="2"/>
  <c r="L159" i="10" s="1"/>
  <c r="L86" i="2"/>
  <c r="L160" i="10" s="1"/>
  <c r="L87" i="2"/>
  <c r="L161" i="10" s="1"/>
  <c r="L88" i="2"/>
  <c r="L162" i="10" s="1"/>
  <c r="L89" i="2"/>
  <c r="L163" i="10" s="1"/>
  <c r="L90" i="2"/>
  <c r="L164" i="10" s="1"/>
  <c r="L91" i="2"/>
  <c r="L165" i="10" s="1"/>
  <c r="L92" i="2"/>
  <c r="L166" i="10" s="1"/>
  <c r="L93" i="2"/>
  <c r="L167" i="10" s="1"/>
  <c r="L94" i="2"/>
  <c r="L168" i="10" s="1"/>
  <c r="L95" i="2"/>
  <c r="L169" i="10" s="1"/>
  <c r="L96" i="2"/>
  <c r="L170" i="10" s="1"/>
  <c r="L97" i="2"/>
  <c r="L171" i="10" s="1"/>
  <c r="L98" i="2"/>
  <c r="L172" i="10" s="1"/>
  <c r="L99" i="2"/>
  <c r="L173" i="10" s="1"/>
  <c r="L100" i="2"/>
  <c r="L21" i="10" s="1"/>
  <c r="L101" i="2"/>
  <c r="L22" i="10" s="1"/>
  <c r="L102" i="2"/>
  <c r="L23" i="10" s="1"/>
  <c r="L103" i="2"/>
  <c r="L24" i="10" s="1"/>
  <c r="L104" i="2"/>
  <c r="L25" i="10" s="1"/>
  <c r="L105" i="2"/>
  <c r="L26" i="10" s="1"/>
  <c r="L106" i="2"/>
  <c r="L27" i="10" s="1"/>
  <c r="L107" i="2"/>
  <c r="L28" i="10" s="1"/>
  <c r="L108" i="2"/>
  <c r="L29" i="10" s="1"/>
  <c r="L109" i="2"/>
  <c r="L30" i="10" s="1"/>
  <c r="L110" i="2"/>
  <c r="L31" i="10" s="1"/>
  <c r="L111" i="2"/>
  <c r="L32" i="10" s="1"/>
  <c r="L112" i="2"/>
  <c r="L33" i="10" s="1"/>
  <c r="L113" i="2"/>
  <c r="L34" i="10" s="1"/>
  <c r="L114" i="2"/>
  <c r="L35" i="10" s="1"/>
  <c r="L115" i="2"/>
  <c r="L36" i="10" s="1"/>
  <c r="L116" i="2"/>
  <c r="L37" i="10" s="1"/>
  <c r="L117" i="2"/>
  <c r="L38" i="10" s="1"/>
  <c r="L118" i="2"/>
  <c r="L39" i="10" s="1"/>
  <c r="L119" i="2"/>
  <c r="L40" i="10" s="1"/>
  <c r="L120" i="2"/>
  <c r="L41" i="10" s="1"/>
  <c r="L121" i="2"/>
  <c r="L42" i="10" s="1"/>
  <c r="L122" i="2"/>
  <c r="L43" i="10" s="1"/>
  <c r="L123" i="2"/>
  <c r="L44" i="10" s="1"/>
  <c r="L124" i="2"/>
  <c r="L45" i="10" s="1"/>
  <c r="L125" i="2"/>
  <c r="L46" i="10" s="1"/>
  <c r="L126" i="2"/>
  <c r="L47" i="10" s="1"/>
  <c r="L127" i="2"/>
  <c r="L48" i="10" s="1"/>
  <c r="L128" i="2"/>
  <c r="L49" i="10" s="1"/>
  <c r="L129" i="2"/>
  <c r="L50" i="10" s="1"/>
  <c r="L130" i="2"/>
  <c r="L51" i="10" s="1"/>
  <c r="L131" i="2"/>
  <c r="L52" i="10" s="1"/>
  <c r="L132" i="2"/>
  <c r="L53" i="10" s="1"/>
  <c r="L133" i="2"/>
  <c r="L54" i="10" s="1"/>
  <c r="L134" i="2"/>
  <c r="L55" i="10" s="1"/>
  <c r="L135" i="2"/>
  <c r="L56" i="10" s="1"/>
  <c r="L136" i="2"/>
  <c r="L57" i="10" s="1"/>
  <c r="L137" i="2"/>
  <c r="L58" i="10" s="1"/>
  <c r="L138" i="2"/>
  <c r="L59" i="10" s="1"/>
  <c r="L139" i="2"/>
  <c r="L60" i="10" s="1"/>
  <c r="L140" i="2"/>
  <c r="L74" i="10" s="1"/>
  <c r="L141" i="2"/>
  <c r="L75" i="10" s="1"/>
  <c r="L142" i="2"/>
  <c r="L76" i="10" s="1"/>
  <c r="L143" i="2"/>
  <c r="L77" i="10" s="1"/>
  <c r="L144" i="2"/>
  <c r="L78" i="10" s="1"/>
  <c r="L145" i="2"/>
  <c r="L79" i="10" s="1"/>
  <c r="L146" i="2"/>
  <c r="L80" i="10" s="1"/>
  <c r="L147" i="2"/>
  <c r="L81" i="10" s="1"/>
  <c r="L148" i="2"/>
  <c r="L82" i="10" s="1"/>
  <c r="L149" i="2"/>
  <c r="L83" i="10" s="1"/>
  <c r="L150" i="2"/>
  <c r="L84" i="10" s="1"/>
  <c r="L151" i="2"/>
  <c r="L85" i="10" s="1"/>
  <c r="L152" i="2"/>
  <c r="L86" i="10" s="1"/>
  <c r="L153" i="2"/>
  <c r="L87" i="10" s="1"/>
  <c r="L154" i="2"/>
  <c r="L88" i="10" s="1"/>
  <c r="L155" i="2"/>
  <c r="L89" i="10" s="1"/>
  <c r="L156" i="2"/>
  <c r="L90" i="10" s="1"/>
  <c r="L157" i="2"/>
  <c r="L91" i="10" s="1"/>
  <c r="L158" i="2"/>
  <c r="L92" i="10" s="1"/>
  <c r="L159" i="2"/>
  <c r="L93" i="10" s="1"/>
  <c r="L160" i="2"/>
  <c r="L94" i="10" s="1"/>
  <c r="L161" i="2"/>
  <c r="L95" i="10" s="1"/>
  <c r="L162" i="2"/>
  <c r="L96" i="10" s="1"/>
  <c r="L163" i="2"/>
  <c r="L97" i="10" s="1"/>
  <c r="L164" i="2"/>
  <c r="L98" i="10" s="1"/>
  <c r="L165" i="2"/>
  <c r="L99" i="10" s="1"/>
  <c r="L166" i="2"/>
  <c r="L100" i="10" s="1"/>
  <c r="L167" i="2"/>
  <c r="L101" i="10" s="1"/>
  <c r="L168" i="2"/>
  <c r="L102" i="10" s="1"/>
  <c r="L169" i="2"/>
  <c r="L103" i="10" s="1"/>
  <c r="L170" i="2"/>
  <c r="L104" i="10" s="1"/>
  <c r="L171" i="2"/>
  <c r="L105" i="10" s="1"/>
  <c r="L172" i="2"/>
  <c r="L106" i="10" s="1"/>
  <c r="L4" i="2"/>
  <c r="L108" i="10" s="1"/>
  <c r="L5" i="2"/>
  <c r="L109" i="10" s="1"/>
  <c r="L6" i="2"/>
  <c r="L110" i="10" s="1"/>
  <c r="L7" i="2"/>
  <c r="L111" i="10" s="1"/>
  <c r="L8" i="2"/>
  <c r="L112" i="10" s="1"/>
  <c r="L9" i="2"/>
  <c r="L113" i="10" s="1"/>
  <c r="L10" i="2"/>
  <c r="L114" i="10" s="1"/>
  <c r="L11" i="2"/>
  <c r="L115" i="10" s="1"/>
  <c r="U28" i="2"/>
  <c r="U132" i="10" s="1"/>
  <c r="U29" i="2"/>
  <c r="U133" i="10" s="1"/>
  <c r="U30" i="2"/>
  <c r="U134" i="10" s="1"/>
  <c r="U31" i="2"/>
  <c r="U135" i="10" s="1"/>
  <c r="U32" i="2"/>
  <c r="U136" i="10" s="1"/>
  <c r="U33" i="2"/>
  <c r="U137" i="10" s="1"/>
  <c r="U34" i="2"/>
  <c r="U138" i="10" s="1"/>
  <c r="U35" i="2"/>
  <c r="U139" i="10" s="1"/>
  <c r="U36" i="2"/>
  <c r="U140" i="10" s="1"/>
  <c r="U37" i="2"/>
  <c r="U141" i="10" s="1"/>
  <c r="U38" i="2"/>
  <c r="U142" i="10" s="1"/>
  <c r="U39" i="2"/>
  <c r="U143" i="10" s="1"/>
  <c r="U40" i="2"/>
  <c r="U144" i="10" s="1"/>
  <c r="U41" i="2"/>
  <c r="U145" i="10" s="1"/>
  <c r="U42" i="2"/>
  <c r="U146" i="10" s="1"/>
  <c r="U43" i="2"/>
  <c r="U147" i="10" s="1"/>
  <c r="U44" i="2"/>
  <c r="U148" i="10" s="1"/>
  <c r="U45" i="2"/>
  <c r="U149" i="10" s="1"/>
  <c r="U46" i="2"/>
  <c r="U47" i="2"/>
  <c r="U150" i="10" s="1"/>
  <c r="U48" i="2"/>
  <c r="U151" i="10" s="1"/>
  <c r="U49" i="2"/>
  <c r="U152" i="10" s="1"/>
  <c r="U50" i="2"/>
  <c r="U153" i="10" s="1"/>
  <c r="U51" i="2"/>
  <c r="U154" i="10" s="1"/>
  <c r="U52" i="2"/>
  <c r="U155" i="10" s="1"/>
  <c r="U53" i="2"/>
  <c r="U61" i="10" s="1"/>
  <c r="U54" i="2"/>
  <c r="U62" i="10" s="1"/>
  <c r="U55" i="2"/>
  <c r="U63" i="10" s="1"/>
  <c r="U56" i="2"/>
  <c r="U64" i="10" s="1"/>
  <c r="U57" i="2"/>
  <c r="U65" i="10" s="1"/>
  <c r="U58" i="2"/>
  <c r="U66" i="10" s="1"/>
  <c r="U59" i="2"/>
  <c r="U67" i="10" s="1"/>
  <c r="U60" i="2"/>
  <c r="U68" i="10" s="1"/>
  <c r="U61" i="2"/>
  <c r="U69" i="10" s="1"/>
  <c r="U62" i="2"/>
  <c r="U70" i="10" s="1"/>
  <c r="U63" i="2"/>
  <c r="U71" i="10" s="1"/>
  <c r="U64" i="2"/>
  <c r="U72" i="10" s="1"/>
  <c r="U65" i="2"/>
  <c r="U73" i="10" s="1"/>
  <c r="U66" i="2"/>
  <c r="U7" i="10" s="1"/>
  <c r="U67" i="2"/>
  <c r="U8" i="10" s="1"/>
  <c r="U68" i="2"/>
  <c r="U9" i="10" s="1"/>
  <c r="U69" i="2"/>
  <c r="U10" i="10" s="1"/>
  <c r="U70" i="2"/>
  <c r="U11" i="10" s="1"/>
  <c r="U71" i="2"/>
  <c r="U12" i="10" s="1"/>
  <c r="U72" i="2"/>
  <c r="U13" i="10" s="1"/>
  <c r="U73" i="2"/>
  <c r="U14" i="10" s="1"/>
  <c r="U74" i="2"/>
  <c r="U75" i="2"/>
  <c r="U15" i="10" s="1"/>
  <c r="U76" i="2"/>
  <c r="U16" i="10" s="1"/>
  <c r="U77" i="2"/>
  <c r="U17" i="10" s="1"/>
  <c r="U78" i="2"/>
  <c r="U18" i="10" s="1"/>
  <c r="U79" i="2"/>
  <c r="U80" i="2"/>
  <c r="U19" i="10" s="1"/>
  <c r="U83" i="2"/>
  <c r="U157" i="10" s="1"/>
  <c r="U84" i="2"/>
  <c r="U158" i="10" s="1"/>
  <c r="U85" i="2"/>
  <c r="U159" i="10" s="1"/>
  <c r="U86" i="2"/>
  <c r="U160" i="10" s="1"/>
  <c r="U87" i="2"/>
  <c r="U161" i="10" s="1"/>
  <c r="U88" i="2"/>
  <c r="U162" i="10" s="1"/>
  <c r="U89" i="2"/>
  <c r="U163" i="10" s="1"/>
  <c r="U90" i="2"/>
  <c r="U164" i="10" s="1"/>
  <c r="U91" i="2"/>
  <c r="U165" i="10" s="1"/>
  <c r="U92" i="2"/>
  <c r="U166" i="10" s="1"/>
  <c r="U93" i="2"/>
  <c r="U167" i="10" s="1"/>
  <c r="U94" i="2"/>
  <c r="U168" i="10" s="1"/>
  <c r="U95" i="2"/>
  <c r="U169" i="10" s="1"/>
  <c r="U96" i="2"/>
  <c r="U170" i="10" s="1"/>
  <c r="U97" i="2"/>
  <c r="U171" i="10" s="1"/>
  <c r="U98" i="2"/>
  <c r="U172" i="10" s="1"/>
  <c r="U99" i="2"/>
  <c r="U173" i="10" s="1"/>
  <c r="U100" i="2"/>
  <c r="U21" i="10" s="1"/>
  <c r="U101" i="2"/>
  <c r="U22" i="10" s="1"/>
  <c r="U102" i="2"/>
  <c r="U23" i="10" s="1"/>
  <c r="U103" i="2"/>
  <c r="U24" i="10" s="1"/>
  <c r="U104" i="2"/>
  <c r="U25" i="10" s="1"/>
  <c r="U105" i="2"/>
  <c r="U26" i="10" s="1"/>
  <c r="U106" i="2"/>
  <c r="U27" i="10" s="1"/>
  <c r="U107" i="2"/>
  <c r="U28" i="10" s="1"/>
  <c r="U108" i="2"/>
  <c r="U29" i="10" s="1"/>
  <c r="U109" i="2"/>
  <c r="U30" i="10" s="1"/>
  <c r="U110" i="2"/>
  <c r="U31" i="10" s="1"/>
  <c r="U111" i="2"/>
  <c r="U32" i="10" s="1"/>
  <c r="U112" i="2"/>
  <c r="U33" i="10" s="1"/>
  <c r="U113" i="2"/>
  <c r="U34" i="10" s="1"/>
  <c r="U114" i="2"/>
  <c r="U35" i="10" s="1"/>
  <c r="U115" i="2"/>
  <c r="U36" i="10" s="1"/>
  <c r="U116" i="2"/>
  <c r="U37" i="10" s="1"/>
  <c r="U117" i="2"/>
  <c r="U38" i="10" s="1"/>
  <c r="U118" i="2"/>
  <c r="U39" i="10" s="1"/>
  <c r="U119" i="2"/>
  <c r="U40" i="10" s="1"/>
  <c r="U120" i="2"/>
  <c r="U41" i="10" s="1"/>
  <c r="U121" i="2"/>
  <c r="U42" i="10" s="1"/>
  <c r="U122" i="2"/>
  <c r="U43" i="10" s="1"/>
  <c r="U123" i="2"/>
  <c r="U44" i="10" s="1"/>
  <c r="U124" i="2"/>
  <c r="U45" i="10" s="1"/>
  <c r="U125" i="2"/>
  <c r="U46" i="10" s="1"/>
  <c r="U126" i="2"/>
  <c r="U47" i="10" s="1"/>
  <c r="U127" i="2"/>
  <c r="U48" i="10" s="1"/>
  <c r="U128" i="2"/>
  <c r="U49" i="10" s="1"/>
  <c r="U129" i="2"/>
  <c r="U50" i="10" s="1"/>
  <c r="U130" i="2"/>
  <c r="U51" i="10" s="1"/>
  <c r="U131" i="2"/>
  <c r="U52" i="10" s="1"/>
  <c r="U132" i="2"/>
  <c r="U53" i="10" s="1"/>
  <c r="U133" i="2"/>
  <c r="U54" i="10" s="1"/>
  <c r="U134" i="2"/>
  <c r="U55" i="10" s="1"/>
  <c r="U135" i="2"/>
  <c r="U56" i="10" s="1"/>
  <c r="U136" i="2"/>
  <c r="U57" i="10" s="1"/>
  <c r="U137" i="2"/>
  <c r="U58" i="10" s="1"/>
  <c r="U138" i="2"/>
  <c r="U59" i="10" s="1"/>
  <c r="U139" i="2"/>
  <c r="U60" i="10" s="1"/>
  <c r="U140" i="2"/>
  <c r="U74" i="10" s="1"/>
  <c r="U141" i="2"/>
  <c r="U75" i="10" s="1"/>
  <c r="U142" i="2"/>
  <c r="U76" i="10" s="1"/>
  <c r="U143" i="2"/>
  <c r="U77" i="10" s="1"/>
  <c r="U144" i="2"/>
  <c r="U78" i="10" s="1"/>
  <c r="U145" i="2"/>
  <c r="U79" i="10" s="1"/>
  <c r="U146" i="2"/>
  <c r="U80" i="10" s="1"/>
  <c r="U147" i="2"/>
  <c r="U81" i="10" s="1"/>
  <c r="U148" i="2"/>
  <c r="U82" i="10" s="1"/>
  <c r="U149" i="2"/>
  <c r="U83" i="10" s="1"/>
  <c r="U150" i="2"/>
  <c r="U84" i="10" s="1"/>
  <c r="U151" i="2"/>
  <c r="U85" i="10" s="1"/>
  <c r="U152" i="2"/>
  <c r="U86" i="10" s="1"/>
  <c r="U153" i="2"/>
  <c r="U87" i="10" s="1"/>
  <c r="U154" i="2"/>
  <c r="U88" i="10" s="1"/>
  <c r="U155" i="2"/>
  <c r="U89" i="10" s="1"/>
  <c r="U156" i="2"/>
  <c r="U90" i="10" s="1"/>
  <c r="U157" i="2"/>
  <c r="U91" i="10" s="1"/>
  <c r="U158" i="2"/>
  <c r="U92" i="10" s="1"/>
  <c r="U159" i="2"/>
  <c r="U93" i="10" s="1"/>
  <c r="U160" i="2"/>
  <c r="U94" i="10" s="1"/>
  <c r="U161" i="2"/>
  <c r="U95" i="10" s="1"/>
  <c r="U162" i="2"/>
  <c r="U96" i="10" s="1"/>
  <c r="U163" i="2"/>
  <c r="U97" i="10" s="1"/>
  <c r="U164" i="2"/>
  <c r="U98" i="10" s="1"/>
  <c r="U165" i="2"/>
  <c r="U99" i="10" s="1"/>
  <c r="U166" i="2"/>
  <c r="U100" i="10" s="1"/>
  <c r="U167" i="2"/>
  <c r="U101" i="10" s="1"/>
  <c r="U168" i="2"/>
  <c r="U102" i="10" s="1"/>
  <c r="U169" i="2"/>
  <c r="U103" i="10" s="1"/>
  <c r="U170" i="2"/>
  <c r="U104" i="10" s="1"/>
  <c r="U171" i="2"/>
  <c r="U105" i="10" s="1"/>
  <c r="U172" i="2"/>
  <c r="U106" i="10" s="1"/>
  <c r="U25" i="2"/>
  <c r="U129" i="10" s="1"/>
  <c r="U26" i="2"/>
  <c r="U130" i="10" s="1"/>
  <c r="U27" i="2"/>
  <c r="U131" i="10" s="1"/>
  <c r="P53" i="2"/>
  <c r="P61" i="10" s="1"/>
  <c r="P54" i="2"/>
  <c r="P62" i="10" s="1"/>
  <c r="P55" i="2"/>
  <c r="P63" i="10" s="1"/>
  <c r="P56" i="2"/>
  <c r="P64" i="10" s="1"/>
  <c r="P57" i="2"/>
  <c r="P65" i="10" s="1"/>
  <c r="P58" i="2"/>
  <c r="P66" i="10" s="1"/>
  <c r="P59" i="2"/>
  <c r="P67" i="10" s="1"/>
  <c r="P60" i="2"/>
  <c r="P68" i="10" s="1"/>
  <c r="P61" i="2"/>
  <c r="P69" i="10" s="1"/>
  <c r="P62" i="2"/>
  <c r="P70" i="10" s="1"/>
  <c r="P63" i="2"/>
  <c r="P71" i="10" s="1"/>
  <c r="P64" i="2"/>
  <c r="P72" i="10" s="1"/>
  <c r="P65" i="2"/>
  <c r="P73" i="10" s="1"/>
  <c r="P66" i="2"/>
  <c r="P7" i="10" s="1"/>
  <c r="P67" i="2"/>
  <c r="P8" i="10" s="1"/>
  <c r="P68" i="2"/>
  <c r="P9" i="10" s="1"/>
  <c r="P69" i="2"/>
  <c r="P10" i="10" s="1"/>
  <c r="P70" i="2"/>
  <c r="P11" i="10" s="1"/>
  <c r="P71" i="2"/>
  <c r="P12" i="10" s="1"/>
  <c r="P72" i="2"/>
  <c r="P13" i="10" s="1"/>
  <c r="P73" i="2"/>
  <c r="P14" i="10" s="1"/>
  <c r="P74" i="2"/>
  <c r="P75" i="2"/>
  <c r="P15" i="10" s="1"/>
  <c r="P76" i="2"/>
  <c r="P16" i="10" s="1"/>
  <c r="P77" i="2"/>
  <c r="P17" i="10" s="1"/>
  <c r="P78" i="2"/>
  <c r="P18" i="10" s="1"/>
  <c r="P79" i="2"/>
  <c r="P80" i="2"/>
  <c r="P19" i="10" s="1"/>
  <c r="P83" i="2"/>
  <c r="P157" i="10" s="1"/>
  <c r="P84" i="2"/>
  <c r="P158" i="10" s="1"/>
  <c r="P85" i="2"/>
  <c r="P159" i="10" s="1"/>
  <c r="P86" i="2"/>
  <c r="P160" i="10" s="1"/>
  <c r="P87" i="2"/>
  <c r="P161" i="10" s="1"/>
  <c r="P88" i="2"/>
  <c r="P162" i="10" s="1"/>
  <c r="P89" i="2"/>
  <c r="P163" i="10" s="1"/>
  <c r="P90" i="2"/>
  <c r="P164" i="10" s="1"/>
  <c r="P91" i="2"/>
  <c r="P165" i="10" s="1"/>
  <c r="P92" i="2"/>
  <c r="P166" i="10" s="1"/>
  <c r="P93" i="2"/>
  <c r="P167" i="10" s="1"/>
  <c r="P94" i="2"/>
  <c r="P168" i="10" s="1"/>
  <c r="P95" i="2"/>
  <c r="P169" i="10" s="1"/>
  <c r="P96" i="2"/>
  <c r="P170" i="10" s="1"/>
  <c r="P97" i="2"/>
  <c r="P171" i="10" s="1"/>
  <c r="P98" i="2"/>
  <c r="P172" i="10" s="1"/>
  <c r="P99" i="2"/>
  <c r="P173" i="10" s="1"/>
  <c r="P100" i="2"/>
  <c r="P21" i="10" s="1"/>
  <c r="P101" i="2"/>
  <c r="P22" i="10" s="1"/>
  <c r="P102" i="2"/>
  <c r="P23" i="10" s="1"/>
  <c r="P103" i="2"/>
  <c r="P24" i="10" s="1"/>
  <c r="P104" i="2"/>
  <c r="P25" i="10" s="1"/>
  <c r="P105" i="2"/>
  <c r="P26" i="10" s="1"/>
  <c r="P106" i="2"/>
  <c r="P27" i="10" s="1"/>
  <c r="P107" i="2"/>
  <c r="P28" i="10" s="1"/>
  <c r="P108" i="2"/>
  <c r="P29" i="10" s="1"/>
  <c r="P109" i="2"/>
  <c r="P30" i="10" s="1"/>
  <c r="P110" i="2"/>
  <c r="P31" i="10" s="1"/>
  <c r="P111" i="2"/>
  <c r="P32" i="10" s="1"/>
  <c r="P112" i="2"/>
  <c r="P33" i="10" s="1"/>
  <c r="P113" i="2"/>
  <c r="P34" i="10" s="1"/>
  <c r="P114" i="2"/>
  <c r="P35" i="10" s="1"/>
  <c r="P115" i="2"/>
  <c r="P36" i="10" s="1"/>
  <c r="P116" i="2"/>
  <c r="P37" i="10" s="1"/>
  <c r="P117" i="2"/>
  <c r="P38" i="10" s="1"/>
  <c r="P118" i="2"/>
  <c r="P39" i="10" s="1"/>
  <c r="P119" i="2"/>
  <c r="P40" i="10" s="1"/>
  <c r="P120" i="2"/>
  <c r="P41" i="10" s="1"/>
  <c r="P121" i="2"/>
  <c r="P42" i="10" s="1"/>
  <c r="P122" i="2"/>
  <c r="P43" i="10" s="1"/>
  <c r="P123" i="2"/>
  <c r="P44" i="10" s="1"/>
  <c r="P124" i="2"/>
  <c r="P45" i="10" s="1"/>
  <c r="P125" i="2"/>
  <c r="P46" i="10" s="1"/>
  <c r="P126" i="2"/>
  <c r="P47" i="10" s="1"/>
  <c r="P127" i="2"/>
  <c r="P48" i="10" s="1"/>
  <c r="P128" i="2"/>
  <c r="P49" i="10" s="1"/>
  <c r="P129" i="2"/>
  <c r="P50" i="10" s="1"/>
  <c r="P130" i="2"/>
  <c r="P51" i="10" s="1"/>
  <c r="P131" i="2"/>
  <c r="P52" i="10" s="1"/>
  <c r="P132" i="2"/>
  <c r="P53" i="10" s="1"/>
  <c r="P133" i="2"/>
  <c r="P54" i="10" s="1"/>
  <c r="P134" i="2"/>
  <c r="P55" i="10" s="1"/>
  <c r="P135" i="2"/>
  <c r="P56" i="10" s="1"/>
  <c r="P136" i="2"/>
  <c r="P57" i="10" s="1"/>
  <c r="P137" i="2"/>
  <c r="P58" i="10" s="1"/>
  <c r="P138" i="2"/>
  <c r="P59" i="10" s="1"/>
  <c r="P139" i="2"/>
  <c r="P60" i="10" s="1"/>
  <c r="P140" i="2"/>
  <c r="P74" i="10" s="1"/>
  <c r="P141" i="2"/>
  <c r="P75" i="10" s="1"/>
  <c r="P142" i="2"/>
  <c r="P76" i="10" s="1"/>
  <c r="P143" i="2"/>
  <c r="P77" i="10" s="1"/>
  <c r="P144" i="2"/>
  <c r="P78" i="10" s="1"/>
  <c r="P145" i="2"/>
  <c r="P79" i="10" s="1"/>
  <c r="P146" i="2"/>
  <c r="P80" i="10" s="1"/>
  <c r="P147" i="2"/>
  <c r="P81" i="10" s="1"/>
  <c r="P148" i="2"/>
  <c r="P82" i="10" s="1"/>
  <c r="P149" i="2"/>
  <c r="P83" i="10" s="1"/>
  <c r="P150" i="2"/>
  <c r="P84" i="10" s="1"/>
  <c r="P151" i="2"/>
  <c r="P85" i="10" s="1"/>
  <c r="P152" i="2"/>
  <c r="P86" i="10" s="1"/>
  <c r="P153" i="2"/>
  <c r="P87" i="10" s="1"/>
  <c r="P154" i="2"/>
  <c r="P88" i="10" s="1"/>
  <c r="P155" i="2"/>
  <c r="P89" i="10" s="1"/>
  <c r="P156" i="2"/>
  <c r="P90" i="10" s="1"/>
  <c r="P157" i="2"/>
  <c r="P91" i="10" s="1"/>
  <c r="P158" i="2"/>
  <c r="P92" i="10" s="1"/>
  <c r="P159" i="2"/>
  <c r="P93" i="10" s="1"/>
  <c r="P160" i="2"/>
  <c r="P94" i="10" s="1"/>
  <c r="P161" i="2"/>
  <c r="P95" i="10" s="1"/>
  <c r="P162" i="2"/>
  <c r="P96" i="10" s="1"/>
  <c r="P163" i="2"/>
  <c r="P97" i="10" s="1"/>
  <c r="P164" i="2"/>
  <c r="P98" i="10" s="1"/>
  <c r="P165" i="2"/>
  <c r="P99" i="10" s="1"/>
  <c r="P166" i="2"/>
  <c r="P100" i="10" s="1"/>
  <c r="P167" i="2"/>
  <c r="P101" i="10" s="1"/>
  <c r="P168" i="2"/>
  <c r="P102" i="10" s="1"/>
  <c r="P169" i="2"/>
  <c r="P103" i="10" s="1"/>
  <c r="P170" i="2"/>
  <c r="P104" i="10" s="1"/>
  <c r="P171" i="2"/>
  <c r="P105" i="10" s="1"/>
  <c r="P172" i="2"/>
  <c r="P106" i="10" s="1"/>
  <c r="P4" i="2"/>
  <c r="P108" i="10" s="1"/>
  <c r="P5" i="2"/>
  <c r="P109" i="10" s="1"/>
  <c r="P6" i="2"/>
  <c r="P110" i="10" s="1"/>
  <c r="P7" i="2"/>
  <c r="P111" i="10" s="1"/>
  <c r="P8" i="2"/>
  <c r="P112" i="10" s="1"/>
  <c r="P9" i="2"/>
  <c r="P113" i="10" s="1"/>
  <c r="P10" i="2"/>
  <c r="P114" i="10" s="1"/>
  <c r="P11" i="2"/>
  <c r="P115" i="10" s="1"/>
  <c r="P12" i="2"/>
  <c r="P116" i="10" s="1"/>
  <c r="P13" i="2"/>
  <c r="P117" i="10" s="1"/>
  <c r="P14" i="2"/>
  <c r="P118" i="10" s="1"/>
  <c r="P15" i="2"/>
  <c r="P119" i="10" s="1"/>
  <c r="P16" i="2"/>
  <c r="P120" i="10" s="1"/>
  <c r="P17" i="2"/>
  <c r="P121" i="10" s="1"/>
  <c r="P18" i="2"/>
  <c r="P122" i="10" s="1"/>
  <c r="P19" i="2"/>
  <c r="P123" i="10" s="1"/>
  <c r="P20" i="2"/>
  <c r="P124" i="10" s="1"/>
  <c r="P21" i="2"/>
  <c r="P125" i="10" s="1"/>
  <c r="P22" i="2"/>
  <c r="P126" i="10" s="1"/>
  <c r="P23" i="2"/>
  <c r="P127" i="10" s="1"/>
  <c r="P24" i="2"/>
  <c r="P128" i="10" s="1"/>
  <c r="P25" i="2"/>
  <c r="P129" i="10" s="1"/>
  <c r="P26" i="2"/>
  <c r="P130" i="10" s="1"/>
  <c r="P27" i="2"/>
  <c r="P131" i="10" s="1"/>
  <c r="P28" i="2"/>
  <c r="P132" i="10" s="1"/>
  <c r="P29" i="2"/>
  <c r="P133" i="10" s="1"/>
  <c r="P30" i="2"/>
  <c r="P134" i="10" s="1"/>
  <c r="P31" i="2"/>
  <c r="P135" i="10" s="1"/>
  <c r="P32" i="2"/>
  <c r="P136" i="10" s="1"/>
  <c r="P33" i="2"/>
  <c r="P137" i="10" s="1"/>
  <c r="P34" i="2"/>
  <c r="P138" i="10" s="1"/>
  <c r="P35" i="2"/>
  <c r="P139" i="10" s="1"/>
  <c r="P36" i="2"/>
  <c r="P140" i="10" s="1"/>
  <c r="P37" i="2"/>
  <c r="P141" i="10" s="1"/>
  <c r="P38" i="2"/>
  <c r="P142" i="10" s="1"/>
  <c r="P39" i="2"/>
  <c r="P143" i="10" s="1"/>
  <c r="P40" i="2"/>
  <c r="P144" i="10" s="1"/>
  <c r="P41" i="2"/>
  <c r="P145" i="10" s="1"/>
  <c r="P42" i="2"/>
  <c r="P146" i="10" s="1"/>
  <c r="P43" i="2"/>
  <c r="P147" i="10" s="1"/>
  <c r="P44" i="2"/>
  <c r="P148" i="10" s="1"/>
  <c r="P45" i="2"/>
  <c r="P149" i="10" s="1"/>
  <c r="P46" i="2"/>
  <c r="P47" i="2"/>
  <c r="P150" i="10" s="1"/>
  <c r="P48" i="2"/>
  <c r="P151" i="10" s="1"/>
  <c r="P49" i="2"/>
  <c r="P152" i="10" s="1"/>
  <c r="P50" i="2"/>
  <c r="P153" i="10" s="1"/>
  <c r="P51" i="2"/>
  <c r="P154" i="10" s="1"/>
  <c r="P52" i="2"/>
  <c r="P155" i="10" s="1"/>
  <c r="O4" i="2"/>
  <c r="O108" i="10" s="1"/>
  <c r="O5" i="2"/>
  <c r="O109" i="10" s="1"/>
  <c r="O6" i="2"/>
  <c r="O110" i="10" s="1"/>
  <c r="O7" i="2"/>
  <c r="O111" i="10" s="1"/>
  <c r="O8" i="2"/>
  <c r="O112" i="10" s="1"/>
  <c r="O9" i="2"/>
  <c r="O113" i="10" s="1"/>
  <c r="O10" i="2"/>
  <c r="O114" i="10" s="1"/>
  <c r="O11" i="2"/>
  <c r="O115" i="10" s="1"/>
  <c r="O12" i="2"/>
  <c r="O116" i="10" s="1"/>
  <c r="O13" i="2"/>
  <c r="O117" i="10" s="1"/>
  <c r="O14" i="2"/>
  <c r="O118" i="10" s="1"/>
  <c r="O15" i="2"/>
  <c r="O119" i="10" s="1"/>
  <c r="O16" i="2"/>
  <c r="O120" i="10" s="1"/>
  <c r="O17" i="2"/>
  <c r="O121" i="10" s="1"/>
  <c r="O18" i="2"/>
  <c r="O122" i="10" s="1"/>
  <c r="O19" i="2"/>
  <c r="O123" i="10" s="1"/>
  <c r="O20" i="2"/>
  <c r="O124" i="10" s="1"/>
  <c r="O21" i="2"/>
  <c r="O125" i="10" s="1"/>
  <c r="O22" i="2"/>
  <c r="O126" i="10" s="1"/>
  <c r="O23" i="2"/>
  <c r="O127" i="10" s="1"/>
  <c r="O24" i="2"/>
  <c r="O128" i="10" s="1"/>
  <c r="O25" i="2"/>
  <c r="O129" i="10" s="1"/>
  <c r="O26" i="2"/>
  <c r="O130" i="10" s="1"/>
  <c r="O27" i="2"/>
  <c r="O131" i="10" s="1"/>
  <c r="O28" i="2"/>
  <c r="O132" i="10" s="1"/>
  <c r="O29" i="2"/>
  <c r="O133" i="10" s="1"/>
  <c r="O30" i="2"/>
  <c r="O134" i="10" s="1"/>
  <c r="O31" i="2"/>
  <c r="O135" i="10" s="1"/>
  <c r="O32" i="2"/>
  <c r="O136" i="10" s="1"/>
  <c r="O33" i="2"/>
  <c r="O137" i="10" s="1"/>
  <c r="O34" i="2"/>
  <c r="O138" i="10" s="1"/>
  <c r="O35" i="2"/>
  <c r="O139" i="10" s="1"/>
  <c r="O36" i="2"/>
  <c r="O140" i="10" s="1"/>
  <c r="O37" i="2"/>
  <c r="O141" i="10" s="1"/>
  <c r="O38" i="2"/>
  <c r="O142" i="10" s="1"/>
  <c r="O39" i="2"/>
  <c r="O143" i="10" s="1"/>
  <c r="O40" i="2"/>
  <c r="O144" i="10" s="1"/>
  <c r="O41" i="2"/>
  <c r="O145" i="10" s="1"/>
  <c r="O42" i="2"/>
  <c r="O146" i="10" s="1"/>
  <c r="O43" i="2"/>
  <c r="O147" i="10" s="1"/>
  <c r="O44" i="2"/>
  <c r="O148" i="10" s="1"/>
  <c r="O45" i="2"/>
  <c r="O149" i="10" s="1"/>
  <c r="O46" i="2"/>
  <c r="O47" i="2"/>
  <c r="O150" i="10" s="1"/>
  <c r="O48" i="2"/>
  <c r="O151" i="10" s="1"/>
  <c r="O49" i="2"/>
  <c r="O152" i="10" s="1"/>
  <c r="O50" i="2"/>
  <c r="O153" i="10" s="1"/>
  <c r="O51" i="2"/>
  <c r="O154" i="10" s="1"/>
  <c r="O52" i="2"/>
  <c r="O155" i="10" s="1"/>
  <c r="O53" i="2"/>
  <c r="O61" i="10" s="1"/>
  <c r="O54" i="2"/>
  <c r="O62" i="10" s="1"/>
  <c r="O55" i="2"/>
  <c r="O63" i="10" s="1"/>
  <c r="O56" i="2"/>
  <c r="O64" i="10" s="1"/>
  <c r="O57" i="2"/>
  <c r="O65" i="10" s="1"/>
  <c r="O58" i="2"/>
  <c r="O66" i="10" s="1"/>
  <c r="O59" i="2"/>
  <c r="O67" i="10" s="1"/>
  <c r="O60" i="2"/>
  <c r="O68" i="10" s="1"/>
  <c r="O61" i="2"/>
  <c r="O69" i="10" s="1"/>
  <c r="O62" i="2"/>
  <c r="O70" i="10" s="1"/>
  <c r="O63" i="2"/>
  <c r="O71" i="10" s="1"/>
  <c r="O64" i="2"/>
  <c r="O72" i="10" s="1"/>
  <c r="O65" i="2"/>
  <c r="O73" i="10" s="1"/>
  <c r="O66" i="2"/>
  <c r="O7" i="10" s="1"/>
  <c r="O67" i="2"/>
  <c r="O8" i="10" s="1"/>
  <c r="O68" i="2"/>
  <c r="O9" i="10" s="1"/>
  <c r="O69" i="2"/>
  <c r="O10" i="10" s="1"/>
  <c r="O70" i="2"/>
  <c r="O11" i="10" s="1"/>
  <c r="O71" i="2"/>
  <c r="O12" i="10" s="1"/>
  <c r="O72" i="2"/>
  <c r="O13" i="10" s="1"/>
  <c r="O73" i="2"/>
  <c r="O14" i="10" s="1"/>
  <c r="O74" i="2"/>
  <c r="O75" i="2"/>
  <c r="O15" i="10" s="1"/>
  <c r="O76" i="2"/>
  <c r="O16" i="10" s="1"/>
  <c r="O77" i="2"/>
  <c r="O17" i="10" s="1"/>
  <c r="O78" i="2"/>
  <c r="O18" i="10" s="1"/>
  <c r="O79" i="2"/>
  <c r="O80" i="2"/>
  <c r="O19" i="10" s="1"/>
  <c r="O83" i="2"/>
  <c r="O157" i="10" s="1"/>
  <c r="O84" i="2"/>
  <c r="O158" i="10" s="1"/>
  <c r="O85" i="2"/>
  <c r="O159" i="10" s="1"/>
  <c r="O86" i="2"/>
  <c r="O160" i="10" s="1"/>
  <c r="O87" i="2"/>
  <c r="O161" i="10" s="1"/>
  <c r="O88" i="2"/>
  <c r="O162" i="10" s="1"/>
  <c r="O89" i="2"/>
  <c r="O163" i="10" s="1"/>
  <c r="O90" i="2"/>
  <c r="O164" i="10" s="1"/>
  <c r="O91" i="2"/>
  <c r="O165" i="10" s="1"/>
  <c r="O92" i="2"/>
  <c r="O166" i="10" s="1"/>
  <c r="O93" i="2"/>
  <c r="O167" i="10" s="1"/>
  <c r="O94" i="2"/>
  <c r="O168" i="10" s="1"/>
  <c r="O95" i="2"/>
  <c r="O169" i="10" s="1"/>
  <c r="O96" i="2"/>
  <c r="O170" i="10" s="1"/>
  <c r="O97" i="2"/>
  <c r="O171" i="10" s="1"/>
  <c r="O98" i="2"/>
  <c r="O172" i="10" s="1"/>
  <c r="O99" i="2"/>
  <c r="O173" i="10" s="1"/>
  <c r="O100" i="2"/>
  <c r="O21" i="10" s="1"/>
  <c r="O101" i="2"/>
  <c r="O22" i="10" s="1"/>
  <c r="O102" i="2"/>
  <c r="O23" i="10" s="1"/>
  <c r="O103" i="2"/>
  <c r="O24" i="10" s="1"/>
  <c r="O104" i="2"/>
  <c r="O25" i="10" s="1"/>
  <c r="O105" i="2"/>
  <c r="O26" i="10" s="1"/>
  <c r="O106" i="2"/>
  <c r="O27" i="10" s="1"/>
  <c r="O107" i="2"/>
  <c r="O28" i="10" s="1"/>
  <c r="O108" i="2"/>
  <c r="O29" i="10" s="1"/>
  <c r="O109" i="2"/>
  <c r="O30" i="10" s="1"/>
  <c r="O110" i="2"/>
  <c r="O31" i="10" s="1"/>
  <c r="O111" i="2"/>
  <c r="O32" i="10" s="1"/>
  <c r="O112" i="2"/>
  <c r="O33" i="10" s="1"/>
  <c r="O113" i="2"/>
  <c r="O34" i="10" s="1"/>
  <c r="O114" i="2"/>
  <c r="O35" i="10" s="1"/>
  <c r="O115" i="2"/>
  <c r="O36" i="10" s="1"/>
  <c r="O116" i="2"/>
  <c r="O37" i="10" s="1"/>
  <c r="O117" i="2"/>
  <c r="O38" i="10" s="1"/>
  <c r="O118" i="2"/>
  <c r="O39" i="10" s="1"/>
  <c r="O119" i="2"/>
  <c r="O40" i="10" s="1"/>
  <c r="O120" i="2"/>
  <c r="O41" i="10" s="1"/>
  <c r="O121" i="2"/>
  <c r="O42" i="10" s="1"/>
  <c r="O122" i="2"/>
  <c r="O43" i="10" s="1"/>
  <c r="O123" i="2"/>
  <c r="O44" i="10" s="1"/>
  <c r="O124" i="2"/>
  <c r="O45" i="10" s="1"/>
  <c r="O125" i="2"/>
  <c r="O46" i="10" s="1"/>
  <c r="O126" i="2"/>
  <c r="O47" i="10" s="1"/>
  <c r="O127" i="2"/>
  <c r="O48" i="10" s="1"/>
  <c r="O128" i="2"/>
  <c r="O49" i="10" s="1"/>
  <c r="O129" i="2"/>
  <c r="O50" i="10" s="1"/>
  <c r="O130" i="2"/>
  <c r="O51" i="10" s="1"/>
  <c r="O131" i="2"/>
  <c r="O52" i="10" s="1"/>
  <c r="O132" i="2"/>
  <c r="O53" i="10" s="1"/>
  <c r="O133" i="2"/>
  <c r="O54" i="10" s="1"/>
  <c r="O134" i="2"/>
  <c r="O55" i="10" s="1"/>
  <c r="O135" i="2"/>
  <c r="O56" i="10" s="1"/>
  <c r="O136" i="2"/>
  <c r="O57" i="10" s="1"/>
  <c r="O137" i="2"/>
  <c r="O58" i="10" s="1"/>
  <c r="O138" i="2"/>
  <c r="O59" i="10" s="1"/>
  <c r="O139" i="2"/>
  <c r="O60" i="10" s="1"/>
  <c r="O140" i="2"/>
  <c r="O74" i="10" s="1"/>
  <c r="O141" i="2"/>
  <c r="O75" i="10" s="1"/>
  <c r="O142" i="2"/>
  <c r="O76" i="10" s="1"/>
  <c r="O143" i="2"/>
  <c r="O77" i="10" s="1"/>
  <c r="O144" i="2"/>
  <c r="O78" i="10" s="1"/>
  <c r="O145" i="2"/>
  <c r="O79" i="10" s="1"/>
  <c r="O146" i="2"/>
  <c r="O80" i="10" s="1"/>
  <c r="O147" i="2"/>
  <c r="O81" i="10" s="1"/>
  <c r="O148" i="2"/>
  <c r="O82" i="10" s="1"/>
  <c r="O149" i="2"/>
  <c r="O83" i="10" s="1"/>
  <c r="O150" i="2"/>
  <c r="O84" i="10" s="1"/>
  <c r="O151" i="2"/>
  <c r="O85" i="10" s="1"/>
  <c r="O152" i="2"/>
  <c r="O86" i="10" s="1"/>
  <c r="O153" i="2"/>
  <c r="O87" i="10" s="1"/>
  <c r="O154" i="2"/>
  <c r="O88" i="10" s="1"/>
  <c r="O155" i="2"/>
  <c r="O89" i="10" s="1"/>
  <c r="O156" i="2"/>
  <c r="O90" i="10" s="1"/>
  <c r="O157" i="2"/>
  <c r="O91" i="10" s="1"/>
  <c r="O158" i="2"/>
  <c r="O92" i="10" s="1"/>
  <c r="O159" i="2"/>
  <c r="O93" i="10" s="1"/>
  <c r="O160" i="2"/>
  <c r="O94" i="10" s="1"/>
  <c r="O161" i="2"/>
  <c r="O95" i="10" s="1"/>
  <c r="O162" i="2"/>
  <c r="O96" i="10" s="1"/>
  <c r="O163" i="2"/>
  <c r="O97" i="10" s="1"/>
  <c r="O164" i="2"/>
  <c r="O98" i="10" s="1"/>
  <c r="O165" i="2"/>
  <c r="O99" i="10" s="1"/>
  <c r="O166" i="2"/>
  <c r="O100" i="10" s="1"/>
  <c r="O167" i="2"/>
  <c r="O101" i="10" s="1"/>
  <c r="O168" i="2"/>
  <c r="O102" i="10" s="1"/>
  <c r="O169" i="2"/>
  <c r="O103" i="10" s="1"/>
  <c r="O170" i="2"/>
  <c r="O104" i="10" s="1"/>
  <c r="O171" i="2"/>
  <c r="O105" i="10" s="1"/>
  <c r="O172" i="2"/>
  <c r="O106" i="10" s="1"/>
  <c r="N4" i="2"/>
  <c r="N108" i="10" s="1"/>
  <c r="N5" i="2"/>
  <c r="N109" i="10" s="1"/>
  <c r="N6" i="2"/>
  <c r="N110" i="10" s="1"/>
  <c r="N7" i="2"/>
  <c r="N111" i="10" s="1"/>
  <c r="N8" i="2"/>
  <c r="N112" i="10" s="1"/>
  <c r="N9" i="2"/>
  <c r="N113" i="10" s="1"/>
  <c r="N10" i="2"/>
  <c r="N114" i="10" s="1"/>
  <c r="N11" i="2"/>
  <c r="N115" i="10" s="1"/>
  <c r="N12" i="2"/>
  <c r="N116" i="10" s="1"/>
  <c r="N13" i="2"/>
  <c r="N117" i="10" s="1"/>
  <c r="N14" i="2"/>
  <c r="N118" i="10" s="1"/>
  <c r="N15" i="2"/>
  <c r="N119" i="10" s="1"/>
  <c r="N16" i="2"/>
  <c r="N120" i="10" s="1"/>
  <c r="N17" i="2"/>
  <c r="N121" i="10" s="1"/>
  <c r="N18" i="2"/>
  <c r="N122" i="10" s="1"/>
  <c r="N19" i="2"/>
  <c r="N123" i="10" s="1"/>
  <c r="N20" i="2"/>
  <c r="N124" i="10" s="1"/>
  <c r="N21" i="2"/>
  <c r="N125" i="10" s="1"/>
  <c r="N22" i="2"/>
  <c r="N126" i="10" s="1"/>
  <c r="N23" i="2"/>
  <c r="N127" i="10" s="1"/>
  <c r="N24" i="2"/>
  <c r="N128" i="10" s="1"/>
  <c r="N25" i="2"/>
  <c r="N129" i="10" s="1"/>
  <c r="N26" i="2"/>
  <c r="N130" i="10" s="1"/>
  <c r="N27" i="2"/>
  <c r="N131" i="10" s="1"/>
  <c r="N28" i="2"/>
  <c r="N132" i="10" s="1"/>
  <c r="N29" i="2"/>
  <c r="N133" i="10" s="1"/>
  <c r="N30" i="2"/>
  <c r="N134" i="10" s="1"/>
  <c r="N31" i="2"/>
  <c r="N135" i="10" s="1"/>
  <c r="N32" i="2"/>
  <c r="N136" i="10" s="1"/>
  <c r="N33" i="2"/>
  <c r="N137" i="10" s="1"/>
  <c r="N34" i="2"/>
  <c r="N138" i="10" s="1"/>
  <c r="N35" i="2"/>
  <c r="N139" i="10" s="1"/>
  <c r="N36" i="2"/>
  <c r="N140" i="10" s="1"/>
  <c r="N37" i="2"/>
  <c r="N141" i="10" s="1"/>
  <c r="N38" i="2"/>
  <c r="N142" i="10" s="1"/>
  <c r="N39" i="2"/>
  <c r="N143" i="10" s="1"/>
  <c r="N40" i="2"/>
  <c r="N144" i="10" s="1"/>
  <c r="N41" i="2"/>
  <c r="N145" i="10" s="1"/>
  <c r="N42" i="2"/>
  <c r="N146" i="10" s="1"/>
  <c r="N43" i="2"/>
  <c r="N147" i="10" s="1"/>
  <c r="N44" i="2"/>
  <c r="N148" i="10" s="1"/>
  <c r="N45" i="2"/>
  <c r="N149" i="10" s="1"/>
  <c r="N46" i="2"/>
  <c r="N47" i="2"/>
  <c r="N150" i="10" s="1"/>
  <c r="N48" i="2"/>
  <c r="N151" i="10" s="1"/>
  <c r="N49" i="2"/>
  <c r="N152" i="10" s="1"/>
  <c r="N50" i="2"/>
  <c r="N153" i="10" s="1"/>
  <c r="N51" i="2"/>
  <c r="N154" i="10" s="1"/>
  <c r="N52" i="2"/>
  <c r="N155" i="10" s="1"/>
  <c r="N53" i="2"/>
  <c r="N61" i="10" s="1"/>
  <c r="N54" i="2"/>
  <c r="N62" i="10" s="1"/>
  <c r="N55" i="2"/>
  <c r="N63" i="10" s="1"/>
  <c r="N56" i="2"/>
  <c r="N64" i="10" s="1"/>
  <c r="N57" i="2"/>
  <c r="N65" i="10" s="1"/>
  <c r="N58" i="2"/>
  <c r="N66" i="10" s="1"/>
  <c r="N59" i="2"/>
  <c r="N67" i="10" s="1"/>
  <c r="N60" i="2"/>
  <c r="N68" i="10" s="1"/>
  <c r="N61" i="2"/>
  <c r="N69" i="10" s="1"/>
  <c r="N62" i="2"/>
  <c r="N70" i="10" s="1"/>
  <c r="N63" i="2"/>
  <c r="N71" i="10" s="1"/>
  <c r="N64" i="2"/>
  <c r="N72" i="10" s="1"/>
  <c r="N65" i="2"/>
  <c r="N73" i="10" s="1"/>
  <c r="N66" i="2"/>
  <c r="N7" i="10" s="1"/>
  <c r="N67" i="2"/>
  <c r="N8" i="10" s="1"/>
  <c r="N68" i="2"/>
  <c r="N9" i="10" s="1"/>
  <c r="N69" i="2"/>
  <c r="N10" i="10" s="1"/>
  <c r="N70" i="2"/>
  <c r="N11" i="10" s="1"/>
  <c r="N71" i="2"/>
  <c r="N12" i="10" s="1"/>
  <c r="N72" i="2"/>
  <c r="N13" i="10" s="1"/>
  <c r="N73" i="2"/>
  <c r="N14" i="10" s="1"/>
  <c r="N74" i="2"/>
  <c r="N75" i="2"/>
  <c r="N15" i="10" s="1"/>
  <c r="N76" i="2"/>
  <c r="N16" i="10" s="1"/>
  <c r="N77" i="2"/>
  <c r="N17" i="10" s="1"/>
  <c r="N78" i="2"/>
  <c r="N18" i="10" s="1"/>
  <c r="N79" i="2"/>
  <c r="N80" i="2"/>
  <c r="N19" i="10" s="1"/>
  <c r="N83" i="2"/>
  <c r="N157" i="10" s="1"/>
  <c r="N84" i="2"/>
  <c r="N158" i="10" s="1"/>
  <c r="N85" i="2"/>
  <c r="N159" i="10" s="1"/>
  <c r="N86" i="2"/>
  <c r="N160" i="10" s="1"/>
  <c r="N87" i="2"/>
  <c r="N161" i="10" s="1"/>
  <c r="N88" i="2"/>
  <c r="N162" i="10" s="1"/>
  <c r="N89" i="2"/>
  <c r="N163" i="10" s="1"/>
  <c r="N90" i="2"/>
  <c r="N164" i="10" s="1"/>
  <c r="N91" i="2"/>
  <c r="N165" i="10" s="1"/>
  <c r="N92" i="2"/>
  <c r="N166" i="10" s="1"/>
  <c r="N93" i="2"/>
  <c r="N167" i="10" s="1"/>
  <c r="N94" i="2"/>
  <c r="N168" i="10" s="1"/>
  <c r="N95" i="2"/>
  <c r="N169" i="10" s="1"/>
  <c r="N96" i="2"/>
  <c r="N170" i="10" s="1"/>
  <c r="N97" i="2"/>
  <c r="N171" i="10" s="1"/>
  <c r="N98" i="2"/>
  <c r="N172" i="10" s="1"/>
  <c r="N99" i="2"/>
  <c r="N173" i="10" s="1"/>
  <c r="N100" i="2"/>
  <c r="N21" i="10" s="1"/>
  <c r="N101" i="2"/>
  <c r="N22" i="10" s="1"/>
  <c r="N102" i="2"/>
  <c r="N23" i="10" s="1"/>
  <c r="N103" i="2"/>
  <c r="N24" i="10" s="1"/>
  <c r="N104" i="2"/>
  <c r="N25" i="10" s="1"/>
  <c r="N105" i="2"/>
  <c r="N26" i="10" s="1"/>
  <c r="N106" i="2"/>
  <c r="N27" i="10" s="1"/>
  <c r="N107" i="2"/>
  <c r="N28" i="10" s="1"/>
  <c r="N108" i="2"/>
  <c r="N29" i="10" s="1"/>
  <c r="N109" i="2"/>
  <c r="N30" i="10" s="1"/>
  <c r="N110" i="2"/>
  <c r="N31" i="10" s="1"/>
  <c r="N111" i="2"/>
  <c r="N32" i="10" s="1"/>
  <c r="N112" i="2"/>
  <c r="N33" i="10" s="1"/>
  <c r="N113" i="2"/>
  <c r="N34" i="10" s="1"/>
  <c r="N114" i="2"/>
  <c r="N35" i="10" s="1"/>
  <c r="N115" i="2"/>
  <c r="N36" i="10" s="1"/>
  <c r="N116" i="2"/>
  <c r="N37" i="10" s="1"/>
  <c r="N117" i="2"/>
  <c r="N38" i="10" s="1"/>
  <c r="N118" i="2"/>
  <c r="N39" i="10" s="1"/>
  <c r="N119" i="2"/>
  <c r="N40" i="10" s="1"/>
  <c r="N120" i="2"/>
  <c r="N41" i="10" s="1"/>
  <c r="N121" i="2"/>
  <c r="N42" i="10" s="1"/>
  <c r="N122" i="2"/>
  <c r="N43" i="10" s="1"/>
  <c r="N123" i="2"/>
  <c r="N44" i="10" s="1"/>
  <c r="N124" i="2"/>
  <c r="N45" i="10" s="1"/>
  <c r="N125" i="2"/>
  <c r="N46" i="10" s="1"/>
  <c r="N126" i="2"/>
  <c r="N47" i="10" s="1"/>
  <c r="N127" i="2"/>
  <c r="N48" i="10" s="1"/>
  <c r="N128" i="2"/>
  <c r="N49" i="10" s="1"/>
  <c r="N129" i="2"/>
  <c r="N50" i="10" s="1"/>
  <c r="N130" i="2"/>
  <c r="N51" i="10" s="1"/>
  <c r="N131" i="2"/>
  <c r="N52" i="10" s="1"/>
  <c r="N132" i="2"/>
  <c r="N53" i="10" s="1"/>
  <c r="N133" i="2"/>
  <c r="N54" i="10" s="1"/>
  <c r="N134" i="2"/>
  <c r="N55" i="10" s="1"/>
  <c r="N135" i="2"/>
  <c r="N56" i="10" s="1"/>
  <c r="N136" i="2"/>
  <c r="N57" i="10" s="1"/>
  <c r="N137" i="2"/>
  <c r="N58" i="10" s="1"/>
  <c r="N138" i="2"/>
  <c r="N59" i="10" s="1"/>
  <c r="N139" i="2"/>
  <c r="N60" i="10" s="1"/>
  <c r="N140" i="2"/>
  <c r="N74" i="10" s="1"/>
  <c r="N141" i="2"/>
  <c r="N75" i="10" s="1"/>
  <c r="N142" i="2"/>
  <c r="N76" i="10" s="1"/>
  <c r="N143" i="2"/>
  <c r="N77" i="10" s="1"/>
  <c r="N144" i="2"/>
  <c r="N78" i="10" s="1"/>
  <c r="N145" i="2"/>
  <c r="N79" i="10" s="1"/>
  <c r="N146" i="2"/>
  <c r="N80" i="10" s="1"/>
  <c r="N147" i="2"/>
  <c r="N81" i="10" s="1"/>
  <c r="N148" i="2"/>
  <c r="N82" i="10" s="1"/>
  <c r="N149" i="2"/>
  <c r="N83" i="10" s="1"/>
  <c r="N150" i="2"/>
  <c r="N84" i="10" s="1"/>
  <c r="N151" i="2"/>
  <c r="N85" i="10" s="1"/>
  <c r="N152" i="2"/>
  <c r="N86" i="10" s="1"/>
  <c r="N153" i="2"/>
  <c r="N87" i="10" s="1"/>
  <c r="N154" i="2"/>
  <c r="N88" i="10" s="1"/>
  <c r="N155" i="2"/>
  <c r="N89" i="10" s="1"/>
  <c r="N156" i="2"/>
  <c r="N90" i="10" s="1"/>
  <c r="N157" i="2"/>
  <c r="N91" i="10" s="1"/>
  <c r="N158" i="2"/>
  <c r="N92" i="10" s="1"/>
  <c r="N159" i="2"/>
  <c r="N93" i="10" s="1"/>
  <c r="N160" i="2"/>
  <c r="N94" i="10" s="1"/>
  <c r="N161" i="2"/>
  <c r="N95" i="10" s="1"/>
  <c r="N162" i="2"/>
  <c r="N96" i="10" s="1"/>
  <c r="N163" i="2"/>
  <c r="N97" i="10" s="1"/>
  <c r="N164" i="2"/>
  <c r="N98" i="10" s="1"/>
  <c r="N165" i="2"/>
  <c r="N99" i="10" s="1"/>
  <c r="N166" i="2"/>
  <c r="N100" i="10" s="1"/>
  <c r="N167" i="2"/>
  <c r="N101" i="10" s="1"/>
  <c r="N168" i="2"/>
  <c r="N102" i="10" s="1"/>
  <c r="N169" i="2"/>
  <c r="N103" i="10" s="1"/>
  <c r="N170" i="2"/>
  <c r="N104" i="10" s="1"/>
  <c r="N171" i="2"/>
  <c r="N105" i="10" s="1"/>
  <c r="N172" i="2"/>
  <c r="N106" i="10" s="1"/>
  <c r="H53" i="2"/>
  <c r="H61" i="10" s="1"/>
  <c r="H54" i="2"/>
  <c r="H62" i="10" s="1"/>
  <c r="H55" i="2"/>
  <c r="H63" i="10" s="1"/>
  <c r="H4" i="2"/>
  <c r="H108" i="10" s="1"/>
  <c r="H6" i="2"/>
  <c r="H110" i="10" s="1"/>
  <c r="H7" i="2"/>
  <c r="H111" i="10" s="1"/>
  <c r="H8" i="2"/>
  <c r="H112" i="10" s="1"/>
  <c r="H9" i="2"/>
  <c r="H113" i="10" s="1"/>
  <c r="H10" i="2"/>
  <c r="H114" i="10" s="1"/>
  <c r="H11" i="2"/>
  <c r="H115" i="10" s="1"/>
  <c r="H12" i="2"/>
  <c r="H116" i="10" s="1"/>
  <c r="H13" i="2"/>
  <c r="H117" i="10" s="1"/>
  <c r="H14" i="2"/>
  <c r="H118" i="10" s="1"/>
  <c r="H15" i="2"/>
  <c r="H119" i="10" s="1"/>
  <c r="H18" i="2"/>
  <c r="H122" i="10" s="1"/>
  <c r="H21" i="2"/>
  <c r="H125" i="10" s="1"/>
  <c r="H22" i="2"/>
  <c r="H126" i="10" s="1"/>
  <c r="H24" i="2"/>
  <c r="H128" i="10" s="1"/>
  <c r="H25" i="2"/>
  <c r="H129" i="10" s="1"/>
  <c r="H28" i="2"/>
  <c r="H132" i="10" s="1"/>
  <c r="H29" i="2"/>
  <c r="H133" i="10" s="1"/>
  <c r="H34" i="2"/>
  <c r="H138" i="10" s="1"/>
  <c r="H35" i="2"/>
  <c r="H139" i="10" s="1"/>
  <c r="H37" i="2"/>
  <c r="H141" i="10" s="1"/>
  <c r="H39" i="2"/>
  <c r="H143" i="10" s="1"/>
  <c r="H40" i="2"/>
  <c r="H144" i="10" s="1"/>
  <c r="H41" i="2"/>
  <c r="H145" i="10" s="1"/>
  <c r="H42" i="2"/>
  <c r="H146" i="10" s="1"/>
  <c r="H43" i="2"/>
  <c r="H147" i="10" s="1"/>
  <c r="H44" i="2"/>
  <c r="H148" i="10" s="1"/>
  <c r="H45" i="2"/>
  <c r="H149" i="10" s="1"/>
  <c r="H46" i="2"/>
  <c r="H50" i="2"/>
  <c r="H153" i="10" s="1"/>
  <c r="H66" i="2"/>
  <c r="H7" i="10" s="1"/>
  <c r="H67" i="2"/>
  <c r="H8" i="10" s="1"/>
  <c r="H69" i="2"/>
  <c r="H10" i="10" s="1"/>
  <c r="H73" i="2"/>
  <c r="H14" i="10" s="1"/>
  <c r="H78" i="2"/>
  <c r="H18" i="10" s="1"/>
  <c r="H102" i="2"/>
  <c r="H23" i="10" s="1"/>
  <c r="H115" i="2"/>
  <c r="H36" i="10" s="1"/>
  <c r="H130" i="2"/>
  <c r="H51" i="10" s="1"/>
  <c r="H131" i="2"/>
  <c r="H52" i="10" s="1"/>
  <c r="H132" i="2"/>
  <c r="H53" i="10" s="1"/>
  <c r="H136" i="2"/>
  <c r="H57" i="10" s="1"/>
  <c r="H152" i="2"/>
  <c r="H86" i="10" s="1"/>
  <c r="H160" i="2"/>
  <c r="H94" i="10" s="1"/>
  <c r="H161" i="2"/>
  <c r="H95" i="10" s="1"/>
  <c r="H162" i="2"/>
  <c r="H96" i="10" s="1"/>
  <c r="H164" i="2"/>
  <c r="H98" i="10" s="1"/>
  <c r="H165" i="2"/>
  <c r="H99" i="10" s="1"/>
  <c r="H166" i="2"/>
  <c r="H100" i="10" s="1"/>
  <c r="H172" i="2"/>
  <c r="H106" i="10" s="1"/>
  <c r="H61" i="2"/>
  <c r="H69" i="10" s="1"/>
  <c r="H62" i="2"/>
  <c r="H70" i="10" s="1"/>
  <c r="H57" i="2"/>
  <c r="H65" i="10" s="1"/>
  <c r="H58" i="2"/>
  <c r="H66" i="10" s="1"/>
  <c r="H59" i="2"/>
  <c r="H67" i="10" s="1"/>
  <c r="H60" i="2"/>
  <c r="H68" i="10" s="1"/>
  <c r="H56" i="2"/>
  <c r="H64" i="10" s="1"/>
  <c r="G4" i="2"/>
  <c r="G108" i="10" s="1"/>
  <c r="G5" i="2"/>
  <c r="G109" i="10" s="1"/>
  <c r="G6" i="2"/>
  <c r="G110" i="10" s="1"/>
  <c r="G7" i="2"/>
  <c r="G111" i="10" s="1"/>
  <c r="G8" i="2"/>
  <c r="G112" i="10" s="1"/>
  <c r="G9" i="2"/>
  <c r="G113" i="10" s="1"/>
  <c r="G10" i="2"/>
  <c r="G114" i="10" s="1"/>
  <c r="G11" i="2"/>
  <c r="G115" i="10" s="1"/>
  <c r="G12" i="2"/>
  <c r="G116" i="10" s="1"/>
  <c r="G13" i="2"/>
  <c r="G117" i="10" s="1"/>
  <c r="G14" i="2"/>
  <c r="G118" i="10" s="1"/>
  <c r="G15" i="2"/>
  <c r="G119" i="10" s="1"/>
  <c r="G16" i="2"/>
  <c r="G120" i="10" s="1"/>
  <c r="G17" i="2"/>
  <c r="G121" i="10" s="1"/>
  <c r="G18" i="2"/>
  <c r="G122" i="10" s="1"/>
  <c r="G19" i="2"/>
  <c r="G123" i="10" s="1"/>
  <c r="G20" i="2"/>
  <c r="G124" i="10" s="1"/>
  <c r="G21" i="2"/>
  <c r="G125" i="10" s="1"/>
  <c r="G22" i="2"/>
  <c r="G126" i="10" s="1"/>
  <c r="G23" i="2"/>
  <c r="G127" i="10" s="1"/>
  <c r="G24" i="2"/>
  <c r="G128" i="10" s="1"/>
  <c r="G25" i="2"/>
  <c r="G129" i="10" s="1"/>
  <c r="G26" i="2"/>
  <c r="G130" i="10" s="1"/>
  <c r="G27" i="2"/>
  <c r="G131" i="10" s="1"/>
  <c r="G28" i="2"/>
  <c r="G132" i="10" s="1"/>
  <c r="G29" i="2"/>
  <c r="G133" i="10" s="1"/>
  <c r="G30" i="2"/>
  <c r="G134" i="10" s="1"/>
  <c r="G31" i="2"/>
  <c r="G135" i="10" s="1"/>
  <c r="G32" i="2"/>
  <c r="G136" i="10" s="1"/>
  <c r="G33" i="2"/>
  <c r="G137" i="10" s="1"/>
  <c r="G34" i="2"/>
  <c r="G138" i="10" s="1"/>
  <c r="G35" i="2"/>
  <c r="G139" i="10" s="1"/>
  <c r="G39" i="2"/>
  <c r="G143" i="10" s="1"/>
  <c r="G40" i="2"/>
  <c r="G144" i="10" s="1"/>
  <c r="G41" i="2"/>
  <c r="G145" i="10" s="1"/>
  <c r="G42" i="2"/>
  <c r="G146" i="10" s="1"/>
  <c r="G43" i="2"/>
  <c r="G147" i="10" s="1"/>
  <c r="G158" i="2"/>
  <c r="G92" i="10" s="1"/>
  <c r="G159" i="2"/>
  <c r="G93" i="10" s="1"/>
  <c r="G160" i="2"/>
  <c r="G94" i="10" s="1"/>
  <c r="G161" i="2"/>
  <c r="G95" i="10" s="1"/>
  <c r="G162" i="2"/>
  <c r="G96" i="10" s="1"/>
  <c r="G163" i="2"/>
  <c r="G97" i="10" s="1"/>
  <c r="G164" i="2"/>
  <c r="G98" i="10" s="1"/>
  <c r="G165" i="2"/>
  <c r="G99" i="10" s="1"/>
  <c r="G166" i="2"/>
  <c r="G100" i="10" s="1"/>
  <c r="F4" i="2"/>
  <c r="F108" i="10" s="1"/>
  <c r="F5" i="2"/>
  <c r="F109" i="10" s="1"/>
  <c r="F6" i="2"/>
  <c r="F110" i="10" s="1"/>
  <c r="F7" i="2"/>
  <c r="F111" i="10" s="1"/>
  <c r="F8" i="2"/>
  <c r="F112" i="10" s="1"/>
  <c r="F9" i="2"/>
  <c r="F113" i="10" s="1"/>
  <c r="F10" i="2"/>
  <c r="F114" i="10" s="1"/>
  <c r="F11" i="2"/>
  <c r="F115" i="10" s="1"/>
  <c r="F12" i="2"/>
  <c r="F116" i="10" s="1"/>
  <c r="F13" i="2"/>
  <c r="F117" i="10" s="1"/>
  <c r="F14" i="2"/>
  <c r="F118" i="10" s="1"/>
  <c r="F15" i="2"/>
  <c r="F119" i="10" s="1"/>
  <c r="F16" i="2"/>
  <c r="F120" i="10" s="1"/>
  <c r="F17" i="2"/>
  <c r="F121" i="10" s="1"/>
  <c r="F18" i="2"/>
  <c r="F122" i="10" s="1"/>
  <c r="F19" i="2"/>
  <c r="F123" i="10" s="1"/>
  <c r="F20" i="2"/>
  <c r="F124" i="10" s="1"/>
  <c r="F21" i="2"/>
  <c r="F125" i="10" s="1"/>
  <c r="F22" i="2"/>
  <c r="F126" i="10" s="1"/>
  <c r="F23" i="2"/>
  <c r="F127" i="10" s="1"/>
  <c r="F24" i="2"/>
  <c r="F128" i="10" s="1"/>
  <c r="F25" i="2"/>
  <c r="F129" i="10" s="1"/>
  <c r="F26" i="2"/>
  <c r="F130" i="10" s="1"/>
  <c r="F27" i="2"/>
  <c r="F131" i="10" s="1"/>
  <c r="F28" i="2"/>
  <c r="F132" i="10" s="1"/>
  <c r="F29" i="2"/>
  <c r="F133" i="10" s="1"/>
  <c r="F30" i="2"/>
  <c r="F134" i="10" s="1"/>
  <c r="F31" i="2"/>
  <c r="F135" i="10" s="1"/>
  <c r="F32" i="2"/>
  <c r="F136" i="10" s="1"/>
  <c r="F33" i="2"/>
  <c r="F137" i="10" s="1"/>
  <c r="F34" i="2"/>
  <c r="F138" i="10" s="1"/>
  <c r="F35" i="2"/>
  <c r="F139" i="10" s="1"/>
  <c r="F36" i="2"/>
  <c r="F140" i="10" s="1"/>
  <c r="F37" i="2"/>
  <c r="F141" i="10" s="1"/>
  <c r="F38" i="2"/>
  <c r="F142" i="10" s="1"/>
  <c r="F39" i="2"/>
  <c r="F143" i="10" s="1"/>
  <c r="F40" i="2"/>
  <c r="F144" i="10" s="1"/>
  <c r="F41" i="2"/>
  <c r="F145" i="10" s="1"/>
  <c r="F42" i="2"/>
  <c r="F146" i="10" s="1"/>
  <c r="F43" i="2"/>
  <c r="F147" i="10" s="1"/>
  <c r="F44" i="2"/>
  <c r="F148" i="10" s="1"/>
  <c r="F45" i="2"/>
  <c r="F149" i="10" s="1"/>
  <c r="F48" i="2"/>
  <c r="F151" i="10" s="1"/>
  <c r="F49" i="2"/>
  <c r="F152" i="10" s="1"/>
  <c r="F50" i="2"/>
  <c r="F153" i="10" s="1"/>
  <c r="F51" i="2"/>
  <c r="F154" i="10" s="1"/>
  <c r="F52" i="2"/>
  <c r="F155" i="10" s="1"/>
  <c r="F53" i="2"/>
  <c r="F61" i="10" s="1"/>
  <c r="F54" i="2"/>
  <c r="F62" i="10" s="1"/>
  <c r="F55" i="2"/>
  <c r="F63" i="10" s="1"/>
  <c r="F56" i="2"/>
  <c r="F64" i="10" s="1"/>
  <c r="F57" i="2"/>
  <c r="F65" i="10" s="1"/>
  <c r="F58" i="2"/>
  <c r="F66" i="10" s="1"/>
  <c r="F59" i="2"/>
  <c r="F67" i="10" s="1"/>
  <c r="F60" i="2"/>
  <c r="F68" i="10" s="1"/>
  <c r="F61" i="2"/>
  <c r="F69" i="10" s="1"/>
  <c r="F62" i="2"/>
  <c r="F70" i="10" s="1"/>
  <c r="F63" i="2"/>
  <c r="F71" i="10" s="1"/>
  <c r="F64" i="2"/>
  <c r="F72" i="10" s="1"/>
  <c r="F65" i="2"/>
  <c r="F73" i="10" s="1"/>
  <c r="F66" i="2"/>
  <c r="F7" i="10" s="1"/>
  <c r="F67" i="2"/>
  <c r="F8" i="10" s="1"/>
  <c r="F68" i="2"/>
  <c r="F9" i="10" s="1"/>
  <c r="F69" i="2"/>
  <c r="F10" i="10" s="1"/>
  <c r="F70" i="2"/>
  <c r="F11" i="10" s="1"/>
  <c r="F71" i="2"/>
  <c r="F12" i="10" s="1"/>
  <c r="F72" i="2"/>
  <c r="F13" i="10" s="1"/>
  <c r="F73" i="2"/>
  <c r="F14" i="10" s="1"/>
  <c r="F74" i="2"/>
  <c r="F75" i="2"/>
  <c r="F15" i="10" s="1"/>
  <c r="F76" i="2"/>
  <c r="F16" i="10" s="1"/>
  <c r="F77" i="2"/>
  <c r="F17" i="10" s="1"/>
  <c r="F78" i="2"/>
  <c r="F18" i="10" s="1"/>
  <c r="F79" i="2"/>
  <c r="F80" i="2"/>
  <c r="F19" i="10" s="1"/>
  <c r="F83" i="2"/>
  <c r="F157" i="10" s="1"/>
  <c r="F84" i="2"/>
  <c r="F158" i="10" s="1"/>
  <c r="F85" i="2"/>
  <c r="F159" i="10" s="1"/>
  <c r="F86" i="2"/>
  <c r="F160" i="10" s="1"/>
  <c r="F87" i="2"/>
  <c r="F161" i="10" s="1"/>
  <c r="F88" i="2"/>
  <c r="F162" i="10" s="1"/>
  <c r="F89" i="2"/>
  <c r="F163" i="10" s="1"/>
  <c r="F90" i="2"/>
  <c r="F164" i="10" s="1"/>
  <c r="F91" i="2"/>
  <c r="F165" i="10" s="1"/>
  <c r="F92" i="2"/>
  <c r="F166" i="10" s="1"/>
  <c r="F93" i="2"/>
  <c r="F167" i="10" s="1"/>
  <c r="F94" i="2"/>
  <c r="F168" i="10" s="1"/>
  <c r="F95" i="2"/>
  <c r="F169" i="10" s="1"/>
  <c r="F96" i="2"/>
  <c r="F170" i="10" s="1"/>
  <c r="F97" i="2"/>
  <c r="F171" i="10" s="1"/>
  <c r="F98" i="2"/>
  <c r="F172" i="10" s="1"/>
  <c r="F99" i="2"/>
  <c r="F173" i="10" s="1"/>
  <c r="F100" i="2"/>
  <c r="F21" i="10" s="1"/>
  <c r="F101" i="2"/>
  <c r="F22" i="10" s="1"/>
  <c r="F102" i="2"/>
  <c r="F23" i="10" s="1"/>
  <c r="F103" i="2"/>
  <c r="F24" i="10" s="1"/>
  <c r="F104" i="2"/>
  <c r="F25" i="10" s="1"/>
  <c r="F105" i="2"/>
  <c r="F26" i="10" s="1"/>
  <c r="F106" i="2"/>
  <c r="F27" i="10" s="1"/>
  <c r="F107" i="2"/>
  <c r="F28" i="10" s="1"/>
  <c r="F108" i="2"/>
  <c r="F29" i="10" s="1"/>
  <c r="F109" i="2"/>
  <c r="F30" i="10" s="1"/>
  <c r="F110" i="2"/>
  <c r="F31" i="10" s="1"/>
  <c r="F111" i="2"/>
  <c r="F32" i="10" s="1"/>
  <c r="F112" i="2"/>
  <c r="F33" i="10" s="1"/>
  <c r="F113" i="2"/>
  <c r="F34" i="10" s="1"/>
  <c r="F114" i="2"/>
  <c r="F35" i="10" s="1"/>
  <c r="F115" i="2"/>
  <c r="F36" i="10" s="1"/>
  <c r="F116" i="2"/>
  <c r="F37" i="10" s="1"/>
  <c r="F117" i="2"/>
  <c r="F38" i="10" s="1"/>
  <c r="F118" i="2"/>
  <c r="F39" i="10" s="1"/>
  <c r="F119" i="2"/>
  <c r="F40" i="10" s="1"/>
  <c r="F120" i="2"/>
  <c r="F41" i="10" s="1"/>
  <c r="F121" i="2"/>
  <c r="F42" i="10" s="1"/>
  <c r="F122" i="2"/>
  <c r="F43" i="10" s="1"/>
  <c r="F123" i="2"/>
  <c r="F44" i="10" s="1"/>
  <c r="F124" i="2"/>
  <c r="F45" i="10" s="1"/>
  <c r="F125" i="2"/>
  <c r="F46" i="10" s="1"/>
  <c r="F126" i="2"/>
  <c r="F47" i="10" s="1"/>
  <c r="F127" i="2"/>
  <c r="F48" i="10" s="1"/>
  <c r="F128" i="2"/>
  <c r="F49" i="10" s="1"/>
  <c r="F129" i="2"/>
  <c r="F50" i="10" s="1"/>
  <c r="F130" i="2"/>
  <c r="F51" i="10" s="1"/>
  <c r="F131" i="2"/>
  <c r="F52" i="10" s="1"/>
  <c r="F132" i="2"/>
  <c r="F53" i="10" s="1"/>
  <c r="F133" i="2"/>
  <c r="F54" i="10" s="1"/>
  <c r="F134" i="2"/>
  <c r="F55" i="10" s="1"/>
  <c r="F135" i="2"/>
  <c r="F56" i="10" s="1"/>
  <c r="F136" i="2"/>
  <c r="F57" i="10" s="1"/>
  <c r="F137" i="2"/>
  <c r="F58" i="10" s="1"/>
  <c r="F138" i="2"/>
  <c r="F59" i="10" s="1"/>
  <c r="F139" i="2"/>
  <c r="F60" i="10" s="1"/>
  <c r="F140" i="2"/>
  <c r="F74" i="10" s="1"/>
  <c r="F141" i="2"/>
  <c r="F75" i="10" s="1"/>
  <c r="F142" i="2"/>
  <c r="F76" i="10" s="1"/>
  <c r="F143" i="2"/>
  <c r="F77" i="10" s="1"/>
  <c r="F144" i="2"/>
  <c r="F78" i="10" s="1"/>
  <c r="F145" i="2"/>
  <c r="F79" i="10" s="1"/>
  <c r="F146" i="2"/>
  <c r="F80" i="10" s="1"/>
  <c r="F147" i="2"/>
  <c r="F81" i="10" s="1"/>
  <c r="F148" i="2"/>
  <c r="F82" i="10" s="1"/>
  <c r="F149" i="2"/>
  <c r="F83" i="10" s="1"/>
  <c r="F150" i="2"/>
  <c r="F84" i="10" s="1"/>
  <c r="F151" i="2"/>
  <c r="F85" i="10" s="1"/>
  <c r="F152" i="2"/>
  <c r="F86" i="10" s="1"/>
  <c r="F153" i="2"/>
  <c r="F87" i="10" s="1"/>
  <c r="F154" i="2"/>
  <c r="F88" i="10" s="1"/>
  <c r="F155" i="2"/>
  <c r="F89" i="10" s="1"/>
  <c r="F156" i="2"/>
  <c r="F90" i="10" s="1"/>
  <c r="F157" i="2"/>
  <c r="F91" i="10" s="1"/>
  <c r="F158" i="2"/>
  <c r="F92" i="10" s="1"/>
  <c r="F159" i="2"/>
  <c r="F93" i="10" s="1"/>
  <c r="F160" i="2"/>
  <c r="F94" i="10" s="1"/>
  <c r="F161" i="2"/>
  <c r="F95" i="10" s="1"/>
  <c r="F162" i="2"/>
  <c r="F96" i="10" s="1"/>
  <c r="F163" i="2"/>
  <c r="F97" i="10" s="1"/>
  <c r="F164" i="2"/>
  <c r="F98" i="10" s="1"/>
  <c r="F165" i="2"/>
  <c r="F99" i="10" s="1"/>
  <c r="F166" i="2"/>
  <c r="F100" i="10" s="1"/>
  <c r="F167" i="2"/>
  <c r="F101" i="10" s="1"/>
  <c r="F168" i="2"/>
  <c r="F102" i="10" s="1"/>
  <c r="F169" i="2"/>
  <c r="F103" i="10" s="1"/>
  <c r="F170" i="2"/>
  <c r="F104" i="10" s="1"/>
  <c r="F171" i="2"/>
  <c r="F105" i="10" s="1"/>
  <c r="F172" i="2"/>
  <c r="F106" i="10" s="1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3" i="2"/>
  <c r="E84" i="2"/>
  <c r="E85" i="2"/>
  <c r="E86" i="2"/>
  <c r="E87" i="2"/>
  <c r="E88" i="2"/>
  <c r="E89" i="2"/>
  <c r="E90" i="2"/>
  <c r="E91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X4" i="2"/>
  <c r="X108" i="10" s="1"/>
  <c r="X5" i="2"/>
  <c r="X109" i="10" s="1"/>
  <c r="X6" i="2"/>
  <c r="X110" i="10" s="1"/>
  <c r="X7" i="2"/>
  <c r="X111" i="10" s="1"/>
  <c r="X8" i="2"/>
  <c r="X112" i="10" s="1"/>
  <c r="X9" i="2"/>
  <c r="X113" i="10" s="1"/>
  <c r="X10" i="2"/>
  <c r="X114" i="10" s="1"/>
  <c r="X11" i="2"/>
  <c r="X115" i="10" s="1"/>
  <c r="X12" i="2"/>
  <c r="X116" i="10" s="1"/>
  <c r="X13" i="2"/>
  <c r="X117" i="10" s="1"/>
  <c r="X14" i="2"/>
  <c r="X118" i="10" s="1"/>
  <c r="X15" i="2"/>
  <c r="X119" i="10" s="1"/>
  <c r="X16" i="2"/>
  <c r="X120" i="10" s="1"/>
  <c r="X17" i="2"/>
  <c r="X121" i="10" s="1"/>
  <c r="X18" i="2"/>
  <c r="X122" i="10" s="1"/>
  <c r="X19" i="2"/>
  <c r="X123" i="10" s="1"/>
  <c r="X20" i="2"/>
  <c r="X124" i="10" s="1"/>
  <c r="X21" i="2"/>
  <c r="X125" i="10" s="1"/>
  <c r="X22" i="2"/>
  <c r="X126" i="10" s="1"/>
  <c r="X23" i="2"/>
  <c r="X127" i="10" s="1"/>
  <c r="X24" i="2"/>
  <c r="X128" i="10" s="1"/>
  <c r="X25" i="2"/>
  <c r="X129" i="10" s="1"/>
  <c r="X26" i="2"/>
  <c r="X130" i="10" s="1"/>
  <c r="X27" i="2"/>
  <c r="X131" i="10" s="1"/>
  <c r="X28" i="2"/>
  <c r="X132" i="10" s="1"/>
  <c r="X29" i="2"/>
  <c r="X133" i="10" s="1"/>
  <c r="X30" i="2"/>
  <c r="X134" i="10" s="1"/>
  <c r="X31" i="2"/>
  <c r="X135" i="10" s="1"/>
  <c r="X32" i="2"/>
  <c r="X136" i="10" s="1"/>
  <c r="X33" i="2"/>
  <c r="X137" i="10" s="1"/>
  <c r="X34" i="2"/>
  <c r="X138" i="10" s="1"/>
  <c r="X35" i="2"/>
  <c r="X139" i="10" s="1"/>
  <c r="X36" i="2"/>
  <c r="X140" i="10" s="1"/>
  <c r="X37" i="2"/>
  <c r="X141" i="10" s="1"/>
  <c r="X38" i="2"/>
  <c r="X142" i="10" s="1"/>
  <c r="X39" i="2"/>
  <c r="X143" i="10" s="1"/>
  <c r="X40" i="2"/>
  <c r="X144" i="10" s="1"/>
  <c r="X41" i="2"/>
  <c r="X145" i="10" s="1"/>
  <c r="X42" i="2"/>
  <c r="X146" i="10" s="1"/>
  <c r="X43" i="2"/>
  <c r="X147" i="10" s="1"/>
  <c r="X44" i="2"/>
  <c r="X148" i="10" s="1"/>
  <c r="X45" i="2"/>
  <c r="X149" i="10" s="1"/>
  <c r="X46" i="2"/>
  <c r="X47" i="2"/>
  <c r="X150" i="10" s="1"/>
  <c r="X48" i="2"/>
  <c r="X151" i="10" s="1"/>
  <c r="X49" i="2"/>
  <c r="X152" i="10" s="1"/>
  <c r="X50" i="2"/>
  <c r="X153" i="10" s="1"/>
  <c r="X51" i="2"/>
  <c r="X154" i="10" s="1"/>
  <c r="X52" i="2"/>
  <c r="X155" i="10" s="1"/>
  <c r="X53" i="2"/>
  <c r="X61" i="10" s="1"/>
  <c r="X54" i="2"/>
  <c r="X62" i="10" s="1"/>
  <c r="X55" i="2"/>
  <c r="X63" i="10" s="1"/>
  <c r="X56" i="2"/>
  <c r="X64" i="10" s="1"/>
  <c r="X57" i="2"/>
  <c r="X65" i="10" s="1"/>
  <c r="X58" i="2"/>
  <c r="X66" i="10" s="1"/>
  <c r="X59" i="2"/>
  <c r="X67" i="10" s="1"/>
  <c r="X60" i="2"/>
  <c r="X68" i="10" s="1"/>
  <c r="X61" i="2"/>
  <c r="X69" i="10" s="1"/>
  <c r="X62" i="2"/>
  <c r="X70" i="10" s="1"/>
  <c r="X63" i="2"/>
  <c r="X71" i="10" s="1"/>
  <c r="X64" i="2"/>
  <c r="X72" i="10" s="1"/>
  <c r="X65" i="2"/>
  <c r="X73" i="10" s="1"/>
  <c r="X66" i="2"/>
  <c r="X7" i="10" s="1"/>
  <c r="X67" i="2"/>
  <c r="X8" i="10" s="1"/>
  <c r="X68" i="2"/>
  <c r="X9" i="10" s="1"/>
  <c r="X69" i="2"/>
  <c r="X10" i="10" s="1"/>
  <c r="X70" i="2"/>
  <c r="X11" i="10" s="1"/>
  <c r="X71" i="2"/>
  <c r="X12" i="10" s="1"/>
  <c r="X72" i="2"/>
  <c r="X13" i="10" s="1"/>
  <c r="X73" i="2"/>
  <c r="X14" i="10" s="1"/>
  <c r="X74" i="2"/>
  <c r="X75" i="2"/>
  <c r="X15" i="10" s="1"/>
  <c r="X76" i="2"/>
  <c r="X16" i="10" s="1"/>
  <c r="X77" i="2"/>
  <c r="X17" i="10" s="1"/>
  <c r="X78" i="2"/>
  <c r="X18" i="10" s="1"/>
  <c r="X79" i="2"/>
  <c r="X80" i="2"/>
  <c r="X19" i="10" s="1"/>
  <c r="X83" i="2"/>
  <c r="X157" i="10" s="1"/>
  <c r="X84" i="2"/>
  <c r="X158" i="10" s="1"/>
  <c r="X85" i="2"/>
  <c r="X159" i="10" s="1"/>
  <c r="X86" i="2"/>
  <c r="X160" i="10" s="1"/>
  <c r="X87" i="2"/>
  <c r="X161" i="10" s="1"/>
  <c r="X88" i="2"/>
  <c r="X162" i="10" s="1"/>
  <c r="X89" i="2"/>
  <c r="X163" i="10" s="1"/>
  <c r="X90" i="2"/>
  <c r="X164" i="10" s="1"/>
  <c r="X91" i="2"/>
  <c r="X165" i="10" s="1"/>
  <c r="X92" i="2"/>
  <c r="X166" i="10" s="1"/>
  <c r="X93" i="2"/>
  <c r="X167" i="10" s="1"/>
  <c r="X94" i="2"/>
  <c r="X168" i="10" s="1"/>
  <c r="X95" i="2"/>
  <c r="X169" i="10" s="1"/>
  <c r="X96" i="2"/>
  <c r="X170" i="10" s="1"/>
  <c r="X97" i="2"/>
  <c r="X171" i="10" s="1"/>
  <c r="X98" i="2"/>
  <c r="X172" i="10" s="1"/>
  <c r="X99" i="2"/>
  <c r="X173" i="10" s="1"/>
  <c r="X100" i="2"/>
  <c r="X21" i="10" s="1"/>
  <c r="X101" i="2"/>
  <c r="X22" i="10" s="1"/>
  <c r="X102" i="2"/>
  <c r="X23" i="10" s="1"/>
  <c r="X103" i="2"/>
  <c r="X24" i="10" s="1"/>
  <c r="X104" i="2"/>
  <c r="X25" i="10" s="1"/>
  <c r="X105" i="2"/>
  <c r="X26" i="10" s="1"/>
  <c r="X106" i="2"/>
  <c r="X27" i="10" s="1"/>
  <c r="X107" i="2"/>
  <c r="X28" i="10" s="1"/>
  <c r="X108" i="2"/>
  <c r="X29" i="10" s="1"/>
  <c r="X109" i="2"/>
  <c r="X30" i="10" s="1"/>
  <c r="X110" i="2"/>
  <c r="X31" i="10" s="1"/>
  <c r="X111" i="2"/>
  <c r="X32" i="10" s="1"/>
  <c r="X112" i="2"/>
  <c r="X33" i="10" s="1"/>
  <c r="X113" i="2"/>
  <c r="X34" i="10" s="1"/>
  <c r="X114" i="2"/>
  <c r="X35" i="10" s="1"/>
  <c r="X115" i="2"/>
  <c r="X36" i="10" s="1"/>
  <c r="X116" i="2"/>
  <c r="X37" i="10" s="1"/>
  <c r="X117" i="2"/>
  <c r="X38" i="10" s="1"/>
  <c r="X118" i="2"/>
  <c r="X39" i="10" s="1"/>
  <c r="X119" i="2"/>
  <c r="X40" i="10" s="1"/>
  <c r="X120" i="2"/>
  <c r="X41" i="10" s="1"/>
  <c r="X121" i="2"/>
  <c r="X42" i="10" s="1"/>
  <c r="X122" i="2"/>
  <c r="X43" i="10" s="1"/>
  <c r="X123" i="2"/>
  <c r="X44" i="10" s="1"/>
  <c r="X124" i="2"/>
  <c r="X45" i="10" s="1"/>
  <c r="X125" i="2"/>
  <c r="X46" i="10" s="1"/>
  <c r="X126" i="2"/>
  <c r="X47" i="10" s="1"/>
  <c r="X127" i="2"/>
  <c r="X48" i="10" s="1"/>
  <c r="X128" i="2"/>
  <c r="X49" i="10" s="1"/>
  <c r="X129" i="2"/>
  <c r="X50" i="10" s="1"/>
  <c r="X130" i="2"/>
  <c r="X51" i="10" s="1"/>
  <c r="X131" i="2"/>
  <c r="X52" i="10" s="1"/>
  <c r="X132" i="2"/>
  <c r="X53" i="10" s="1"/>
  <c r="X133" i="2"/>
  <c r="X54" i="10" s="1"/>
  <c r="X134" i="2"/>
  <c r="X55" i="10" s="1"/>
  <c r="X135" i="2"/>
  <c r="X56" i="10" s="1"/>
  <c r="X136" i="2"/>
  <c r="X57" i="10" s="1"/>
  <c r="X137" i="2"/>
  <c r="X58" i="10" s="1"/>
  <c r="X138" i="2"/>
  <c r="X59" i="10" s="1"/>
  <c r="X139" i="2"/>
  <c r="X60" i="10" s="1"/>
  <c r="X140" i="2"/>
  <c r="X74" i="10" s="1"/>
  <c r="X141" i="2"/>
  <c r="X75" i="10" s="1"/>
  <c r="X142" i="2"/>
  <c r="X76" i="10" s="1"/>
  <c r="X143" i="2"/>
  <c r="X77" i="10" s="1"/>
  <c r="X144" i="2"/>
  <c r="X78" i="10" s="1"/>
  <c r="X145" i="2"/>
  <c r="X79" i="10" s="1"/>
  <c r="X146" i="2"/>
  <c r="X80" i="10" s="1"/>
  <c r="X147" i="2"/>
  <c r="X81" i="10" s="1"/>
  <c r="X148" i="2"/>
  <c r="X82" i="10" s="1"/>
  <c r="X149" i="2"/>
  <c r="X83" i="10" s="1"/>
  <c r="X150" i="2"/>
  <c r="X84" i="10" s="1"/>
  <c r="X151" i="2"/>
  <c r="X85" i="10" s="1"/>
  <c r="X152" i="2"/>
  <c r="X86" i="10" s="1"/>
  <c r="X153" i="2"/>
  <c r="X87" i="10" s="1"/>
  <c r="X154" i="2"/>
  <c r="X88" i="10" s="1"/>
  <c r="X155" i="2"/>
  <c r="X89" i="10" s="1"/>
  <c r="X156" i="2"/>
  <c r="X90" i="10" s="1"/>
  <c r="X157" i="2"/>
  <c r="X91" i="10" s="1"/>
  <c r="X158" i="2"/>
  <c r="X92" i="10" s="1"/>
  <c r="X159" i="2"/>
  <c r="X93" i="10" s="1"/>
  <c r="X160" i="2"/>
  <c r="X94" i="10" s="1"/>
  <c r="X161" i="2"/>
  <c r="X95" i="10" s="1"/>
  <c r="X162" i="2"/>
  <c r="X96" i="10" s="1"/>
  <c r="X163" i="2"/>
  <c r="X97" i="10" s="1"/>
  <c r="X164" i="2"/>
  <c r="X98" i="10" s="1"/>
  <c r="X165" i="2"/>
  <c r="X99" i="10" s="1"/>
  <c r="X166" i="2"/>
  <c r="X100" i="10" s="1"/>
  <c r="X167" i="2"/>
  <c r="X101" i="10" s="1"/>
  <c r="X168" i="2"/>
  <c r="X102" i="10" s="1"/>
  <c r="X169" i="2"/>
  <c r="X103" i="10" s="1"/>
  <c r="X170" i="2"/>
  <c r="X104" i="10" s="1"/>
  <c r="X171" i="2"/>
  <c r="X105" i="10" s="1"/>
  <c r="X172" i="2"/>
  <c r="X106" i="10" s="1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27" i="3"/>
  <c r="O28" i="3"/>
  <c r="O29" i="3"/>
  <c r="O30" i="3"/>
  <c r="O31" i="3"/>
  <c r="O19" i="3"/>
  <c r="O20" i="3"/>
  <c r="O21" i="3"/>
  <c r="O22" i="3"/>
  <c r="O23" i="3"/>
  <c r="O24" i="3"/>
  <c r="O25" i="3"/>
  <c r="O26" i="3"/>
  <c r="O8" i="3"/>
  <c r="O9" i="3"/>
  <c r="O10" i="3"/>
  <c r="O11" i="3"/>
  <c r="O12" i="3"/>
  <c r="O13" i="3"/>
  <c r="O14" i="3"/>
  <c r="O15" i="3"/>
  <c r="O16" i="3"/>
  <c r="O17" i="3"/>
  <c r="O18" i="3"/>
  <c r="O7" i="3"/>
  <c r="L12" i="3"/>
  <c r="H8" i="3"/>
  <c r="J148" i="7" s="1"/>
  <c r="I8" i="3"/>
  <c r="K148" i="7" s="1"/>
  <c r="H9" i="3"/>
  <c r="I9" i="3"/>
  <c r="K145" i="7" s="1"/>
  <c r="H10" i="3"/>
  <c r="J128" i="7" s="1"/>
  <c r="I10" i="3"/>
  <c r="K128" i="7" s="1"/>
  <c r="H11" i="3"/>
  <c r="I11" i="3"/>
  <c r="K129" i="7" s="1"/>
  <c r="I12" i="3"/>
  <c r="K169" i="7" s="1"/>
  <c r="H13" i="3"/>
  <c r="I13" i="3"/>
  <c r="K164" i="7" s="1"/>
  <c r="H14" i="3"/>
  <c r="J118" i="7" s="1"/>
  <c r="I14" i="3"/>
  <c r="K118" i="7" s="1"/>
  <c r="H15" i="3"/>
  <c r="J127" i="7" s="1"/>
  <c r="I15" i="3"/>
  <c r="K127" i="7" s="1"/>
  <c r="H16" i="3"/>
  <c r="J168" i="7" s="1"/>
  <c r="I16" i="3"/>
  <c r="K168" i="7" s="1"/>
  <c r="H17" i="3"/>
  <c r="I17" i="3"/>
  <c r="K152" i="7" s="1"/>
  <c r="H18" i="3"/>
  <c r="J114" i="7" s="1"/>
  <c r="I18" i="3"/>
  <c r="K114" i="7" s="1"/>
  <c r="H19" i="3"/>
  <c r="I19" i="3"/>
  <c r="K124" i="7" s="1"/>
  <c r="H20" i="3"/>
  <c r="I20" i="3"/>
  <c r="K161" i="7" s="1"/>
  <c r="H21" i="3"/>
  <c r="I21" i="3"/>
  <c r="K121" i="7" s="1"/>
  <c r="H22" i="3"/>
  <c r="J119" i="7" s="1"/>
  <c r="I22" i="3"/>
  <c r="K119" i="7" s="1"/>
  <c r="H23" i="3"/>
  <c r="J110" i="7" s="1"/>
  <c r="I23" i="3"/>
  <c r="K110" i="7" s="1"/>
  <c r="H24" i="3"/>
  <c r="J106" i="7" s="1"/>
  <c r="I24" i="3"/>
  <c r="K106" i="7" s="1"/>
  <c r="H25" i="3"/>
  <c r="J137" i="7" s="1"/>
  <c r="I25" i="3"/>
  <c r="K137" i="7" s="1"/>
  <c r="H26" i="3"/>
  <c r="J171" i="7" s="1"/>
  <c r="I26" i="3"/>
  <c r="K171" i="7" s="1"/>
  <c r="H27" i="3"/>
  <c r="I27" i="3"/>
  <c r="K112" i="7" s="1"/>
  <c r="H28" i="3"/>
  <c r="J136" i="7" s="1"/>
  <c r="I28" i="3"/>
  <c r="K136" i="7" s="1"/>
  <c r="H29" i="3"/>
  <c r="J107" i="7" s="1"/>
  <c r="I29" i="3"/>
  <c r="K107" i="7" s="1"/>
  <c r="H30" i="3"/>
  <c r="J108" i="7" s="1"/>
  <c r="I30" i="3"/>
  <c r="K108" i="7" s="1"/>
  <c r="H31" i="3"/>
  <c r="J149" i="7" s="1"/>
  <c r="I31" i="3"/>
  <c r="K149" i="7" s="1"/>
  <c r="H32" i="3"/>
  <c r="I32" i="3"/>
  <c r="K120" i="7" s="1"/>
  <c r="H33" i="3"/>
  <c r="J122" i="7" s="1"/>
  <c r="I33" i="3"/>
  <c r="K122" i="7" s="1"/>
  <c r="H34" i="3"/>
  <c r="I34" i="3"/>
  <c r="K133" i="7" s="1"/>
  <c r="H35" i="3"/>
  <c r="J113" i="7" s="1"/>
  <c r="I35" i="3"/>
  <c r="K113" i="7" s="1"/>
  <c r="H36" i="3"/>
  <c r="J146" i="7" s="1"/>
  <c r="I36" i="3"/>
  <c r="K146" i="7" s="1"/>
  <c r="H37" i="3"/>
  <c r="I37" i="3"/>
  <c r="K158" i="7" s="1"/>
  <c r="H38" i="3"/>
  <c r="J130" i="7" s="1"/>
  <c r="I38" i="3"/>
  <c r="K130" i="7" s="1"/>
  <c r="H39" i="3"/>
  <c r="I39" i="3"/>
  <c r="K117" i="7" s="1"/>
  <c r="H40" i="3"/>
  <c r="I40" i="3"/>
  <c r="K125" i="7" s="1"/>
  <c r="H41" i="3"/>
  <c r="I41" i="3"/>
  <c r="K123" i="7" s="1"/>
  <c r="H42" i="3"/>
  <c r="J104" i="7" s="1"/>
  <c r="I42" i="3"/>
  <c r="K104" i="7" s="1"/>
  <c r="H43" i="3"/>
  <c r="I43" i="3"/>
  <c r="K135" i="7" s="1"/>
  <c r="H44" i="3"/>
  <c r="J134" i="7" s="1"/>
  <c r="I44" i="3"/>
  <c r="K134" i="7" s="1"/>
  <c r="H45" i="3"/>
  <c r="I45" i="3"/>
  <c r="K139" i="7" s="1"/>
  <c r="H46" i="3"/>
  <c r="J140" i="7" s="1"/>
  <c r="I46" i="3"/>
  <c r="K140" i="7" s="1"/>
  <c r="H47" i="3"/>
  <c r="I47" i="3"/>
  <c r="K147" i="7" s="1"/>
  <c r="H48" i="3"/>
  <c r="J170" i="7" s="1"/>
  <c r="I48" i="3"/>
  <c r="K170" i="7" s="1"/>
  <c r="H49" i="3"/>
  <c r="I49" i="3"/>
  <c r="K141" i="7" s="1"/>
  <c r="H50" i="3"/>
  <c r="J111" i="7" s="1"/>
  <c r="I50" i="3"/>
  <c r="K111" i="7" s="1"/>
  <c r="H51" i="3"/>
  <c r="I51" i="3"/>
  <c r="K115" i="7" s="1"/>
  <c r="H52" i="3"/>
  <c r="J109" i="7" s="1"/>
  <c r="I52" i="3"/>
  <c r="K109" i="7" s="1"/>
  <c r="H53" i="3"/>
  <c r="I53" i="3"/>
  <c r="K165" i="7" s="1"/>
  <c r="H54" i="3"/>
  <c r="J116" i="7" s="1"/>
  <c r="I54" i="3"/>
  <c r="K116" i="7" s="1"/>
  <c r="H55" i="3"/>
  <c r="I55" i="3"/>
  <c r="K138" i="7" s="1"/>
  <c r="H56" i="3"/>
  <c r="I56" i="3"/>
  <c r="K105" i="7" s="1"/>
  <c r="H57" i="3"/>
  <c r="L57" i="3" s="1"/>
  <c r="I57" i="3"/>
  <c r="H58" i="3"/>
  <c r="L58" i="3" s="1"/>
  <c r="I58" i="3"/>
  <c r="H59" i="3"/>
  <c r="L59" i="3" s="1"/>
  <c r="I59" i="3"/>
  <c r="H60" i="3"/>
  <c r="L60" i="3" s="1"/>
  <c r="I60" i="3"/>
  <c r="H61" i="3"/>
  <c r="L61" i="3" s="1"/>
  <c r="I61" i="3"/>
  <c r="H62" i="3"/>
  <c r="L62" i="3" s="1"/>
  <c r="I62" i="3"/>
  <c r="H63" i="3"/>
  <c r="L63" i="3" s="1"/>
  <c r="I63" i="3"/>
  <c r="H64" i="3"/>
  <c r="L64" i="3" s="1"/>
  <c r="I64" i="3"/>
  <c r="H65" i="3"/>
  <c r="L65" i="3" s="1"/>
  <c r="I65" i="3"/>
  <c r="H66" i="3"/>
  <c r="L66" i="3" s="1"/>
  <c r="I66" i="3"/>
  <c r="H67" i="3"/>
  <c r="L67" i="3" s="1"/>
  <c r="I67" i="3"/>
  <c r="H68" i="3"/>
  <c r="L68" i="3" s="1"/>
  <c r="I68" i="3"/>
  <c r="H69" i="3"/>
  <c r="L69" i="3" s="1"/>
  <c r="I69" i="3"/>
  <c r="H70" i="3"/>
  <c r="L70" i="3" s="1"/>
  <c r="I70" i="3"/>
  <c r="H71" i="3"/>
  <c r="L71" i="3" s="1"/>
  <c r="I71" i="3"/>
  <c r="H72" i="3"/>
  <c r="L72" i="3" s="1"/>
  <c r="I72" i="3"/>
  <c r="H73" i="3"/>
  <c r="L73" i="3" s="1"/>
  <c r="I73" i="3"/>
  <c r="H74" i="3"/>
  <c r="L74" i="3" s="1"/>
  <c r="I74" i="3"/>
  <c r="H75" i="3"/>
  <c r="L75" i="3" s="1"/>
  <c r="I75" i="3"/>
  <c r="H76" i="3"/>
  <c r="L76" i="3" s="1"/>
  <c r="I76" i="3"/>
  <c r="H77" i="3"/>
  <c r="L77" i="3" s="1"/>
  <c r="I77" i="3"/>
  <c r="H78" i="3"/>
  <c r="L78" i="3" s="1"/>
  <c r="I78" i="3"/>
  <c r="H79" i="3"/>
  <c r="L79" i="3" s="1"/>
  <c r="I79" i="3"/>
  <c r="H80" i="3"/>
  <c r="L80" i="3" s="1"/>
  <c r="I80" i="3"/>
  <c r="H81" i="3"/>
  <c r="L81" i="3" s="1"/>
  <c r="I81" i="3"/>
  <c r="H82" i="3"/>
  <c r="L82" i="3" s="1"/>
  <c r="I82" i="3"/>
  <c r="H83" i="3"/>
  <c r="L83" i="3" s="1"/>
  <c r="I83" i="3"/>
  <c r="H84" i="3"/>
  <c r="L84" i="3" s="1"/>
  <c r="I84" i="3"/>
  <c r="H85" i="3"/>
  <c r="L85" i="3" s="1"/>
  <c r="I85" i="3"/>
  <c r="H86" i="3"/>
  <c r="L86" i="3" s="1"/>
  <c r="I86" i="3"/>
  <c r="H87" i="3"/>
  <c r="L87" i="3" s="1"/>
  <c r="I87" i="3"/>
  <c r="H88" i="3"/>
  <c r="L88" i="3" s="1"/>
  <c r="I88" i="3"/>
  <c r="H89" i="3"/>
  <c r="L89" i="3" s="1"/>
  <c r="I89" i="3"/>
  <c r="H90" i="3"/>
  <c r="L90" i="3" s="1"/>
  <c r="I90" i="3"/>
  <c r="H91" i="3"/>
  <c r="L91" i="3" s="1"/>
  <c r="I91" i="3"/>
  <c r="H92" i="3"/>
  <c r="L92" i="3" s="1"/>
  <c r="I92" i="3"/>
  <c r="H93" i="3"/>
  <c r="L93" i="3" s="1"/>
  <c r="I93" i="3"/>
  <c r="H94" i="3"/>
  <c r="L94" i="3" s="1"/>
  <c r="I94" i="3"/>
  <c r="H95" i="3"/>
  <c r="L95" i="3" s="1"/>
  <c r="I95" i="3"/>
  <c r="H96" i="3"/>
  <c r="L96" i="3" s="1"/>
  <c r="I96" i="3"/>
  <c r="H97" i="3"/>
  <c r="L97" i="3" s="1"/>
  <c r="I97" i="3"/>
  <c r="H98" i="3"/>
  <c r="L98" i="3" s="1"/>
  <c r="I98" i="3"/>
  <c r="H99" i="3"/>
  <c r="L99" i="3" s="1"/>
  <c r="I99" i="3"/>
  <c r="H100" i="3"/>
  <c r="L100" i="3" s="1"/>
  <c r="I100" i="3"/>
  <c r="H101" i="3"/>
  <c r="L101" i="3" s="1"/>
  <c r="I101" i="3"/>
  <c r="H102" i="3"/>
  <c r="L102" i="3" s="1"/>
  <c r="I102" i="3"/>
  <c r="H103" i="3"/>
  <c r="L103" i="3" s="1"/>
  <c r="I103" i="3"/>
  <c r="H104" i="3"/>
  <c r="L104" i="3" s="1"/>
  <c r="I104" i="3"/>
  <c r="H105" i="3"/>
  <c r="L105" i="3" s="1"/>
  <c r="I105" i="3"/>
  <c r="H106" i="3"/>
  <c r="L106" i="3" s="1"/>
  <c r="I106" i="3"/>
  <c r="H107" i="3"/>
  <c r="L107" i="3" s="1"/>
  <c r="I107" i="3"/>
  <c r="H108" i="3"/>
  <c r="L108" i="3" s="1"/>
  <c r="I108" i="3"/>
  <c r="H109" i="3"/>
  <c r="L109" i="3" s="1"/>
  <c r="I109" i="3"/>
  <c r="H110" i="3"/>
  <c r="L110" i="3" s="1"/>
  <c r="I110" i="3"/>
  <c r="H111" i="3"/>
  <c r="L111" i="3" s="1"/>
  <c r="I111" i="3"/>
  <c r="H112" i="3"/>
  <c r="L112" i="3" s="1"/>
  <c r="I112" i="3"/>
  <c r="H113" i="3"/>
  <c r="L113" i="3" s="1"/>
  <c r="I113" i="3"/>
  <c r="H114" i="3"/>
  <c r="L114" i="3" s="1"/>
  <c r="I114" i="3"/>
  <c r="H115" i="3"/>
  <c r="L115" i="3" s="1"/>
  <c r="I115" i="3"/>
  <c r="H116" i="3"/>
  <c r="L116" i="3" s="1"/>
  <c r="I116" i="3"/>
  <c r="H117" i="3"/>
  <c r="L117" i="3" s="1"/>
  <c r="I117" i="3"/>
  <c r="H118" i="3"/>
  <c r="L118" i="3" s="1"/>
  <c r="I118" i="3"/>
  <c r="H119" i="3"/>
  <c r="L119" i="3" s="1"/>
  <c r="I119" i="3"/>
  <c r="H120" i="3"/>
  <c r="L120" i="3" s="1"/>
  <c r="I120" i="3"/>
  <c r="H121" i="3"/>
  <c r="L121" i="3" s="1"/>
  <c r="I121" i="3"/>
  <c r="H122" i="3"/>
  <c r="L122" i="3" s="1"/>
  <c r="I122" i="3"/>
  <c r="H123" i="3"/>
  <c r="L123" i="3" s="1"/>
  <c r="I123" i="3"/>
  <c r="H124" i="3"/>
  <c r="L124" i="3" s="1"/>
  <c r="I124" i="3"/>
  <c r="H125" i="3"/>
  <c r="L125" i="3" s="1"/>
  <c r="I125" i="3"/>
  <c r="H126" i="3"/>
  <c r="L126" i="3" s="1"/>
  <c r="I126" i="3"/>
  <c r="H127" i="3"/>
  <c r="L127" i="3" s="1"/>
  <c r="I127" i="3"/>
  <c r="H128" i="3"/>
  <c r="L128" i="3" s="1"/>
  <c r="I128" i="3"/>
  <c r="H129" i="3"/>
  <c r="L129" i="3" s="1"/>
  <c r="I129" i="3"/>
  <c r="H130" i="3"/>
  <c r="L130" i="3" s="1"/>
  <c r="I130" i="3"/>
  <c r="H131" i="3"/>
  <c r="L131" i="3" s="1"/>
  <c r="I131" i="3"/>
  <c r="H132" i="3"/>
  <c r="L132" i="3" s="1"/>
  <c r="I132" i="3"/>
  <c r="H133" i="3"/>
  <c r="L133" i="3" s="1"/>
  <c r="I133" i="3"/>
  <c r="H134" i="3"/>
  <c r="L134" i="3" s="1"/>
  <c r="I134" i="3"/>
  <c r="H135" i="3"/>
  <c r="L135" i="3" s="1"/>
  <c r="I135" i="3"/>
  <c r="H136" i="3"/>
  <c r="L136" i="3" s="1"/>
  <c r="I136" i="3"/>
  <c r="H137" i="3"/>
  <c r="L137" i="3" s="1"/>
  <c r="I137" i="3"/>
  <c r="H138" i="3"/>
  <c r="L138" i="3" s="1"/>
  <c r="I138" i="3"/>
  <c r="H139" i="3"/>
  <c r="L139" i="3" s="1"/>
  <c r="I139" i="3"/>
  <c r="H140" i="3"/>
  <c r="L140" i="3" s="1"/>
  <c r="I140" i="3"/>
  <c r="H141" i="3"/>
  <c r="L141" i="3" s="1"/>
  <c r="I141" i="3"/>
  <c r="H142" i="3"/>
  <c r="L142" i="3" s="1"/>
  <c r="I142" i="3"/>
  <c r="H143" i="3"/>
  <c r="L143" i="3" s="1"/>
  <c r="I143" i="3"/>
  <c r="H144" i="3"/>
  <c r="L144" i="3" s="1"/>
  <c r="I144" i="3"/>
  <c r="H145" i="3"/>
  <c r="L145" i="3" s="1"/>
  <c r="I145" i="3"/>
  <c r="H146" i="3"/>
  <c r="L146" i="3" s="1"/>
  <c r="I146" i="3"/>
  <c r="H147" i="3"/>
  <c r="L147" i="3" s="1"/>
  <c r="I147" i="3"/>
  <c r="H148" i="3"/>
  <c r="L148" i="3" s="1"/>
  <c r="I148" i="3"/>
  <c r="H149" i="3"/>
  <c r="L149" i="3" s="1"/>
  <c r="I149" i="3"/>
  <c r="H150" i="3"/>
  <c r="L150" i="3" s="1"/>
  <c r="I150" i="3"/>
  <c r="H151" i="3"/>
  <c r="L151" i="3" s="1"/>
  <c r="I151" i="3"/>
  <c r="H152" i="3"/>
  <c r="L152" i="3" s="1"/>
  <c r="I152" i="3"/>
  <c r="H153" i="3"/>
  <c r="L153" i="3" s="1"/>
  <c r="I153" i="3"/>
  <c r="H154" i="3"/>
  <c r="L154" i="3" s="1"/>
  <c r="I154" i="3"/>
  <c r="H155" i="3"/>
  <c r="L155" i="3" s="1"/>
  <c r="I155" i="3"/>
  <c r="H156" i="3"/>
  <c r="L156" i="3" s="1"/>
  <c r="I156" i="3"/>
  <c r="H157" i="3"/>
  <c r="L157" i="3" s="1"/>
  <c r="I157" i="3"/>
  <c r="H158" i="3"/>
  <c r="L158" i="3" s="1"/>
  <c r="I158" i="3"/>
  <c r="H159" i="3"/>
  <c r="L159" i="3" s="1"/>
  <c r="I159" i="3"/>
  <c r="H160" i="3"/>
  <c r="L160" i="3" s="1"/>
  <c r="I160" i="3"/>
  <c r="H161" i="3"/>
  <c r="L161" i="3" s="1"/>
  <c r="I161" i="3"/>
  <c r="H162" i="3"/>
  <c r="L162" i="3" s="1"/>
  <c r="I162" i="3"/>
  <c r="H163" i="3"/>
  <c r="L163" i="3" s="1"/>
  <c r="I163" i="3"/>
  <c r="H164" i="3"/>
  <c r="L164" i="3" s="1"/>
  <c r="I164" i="3"/>
  <c r="H165" i="3"/>
  <c r="L165" i="3" s="1"/>
  <c r="I165" i="3"/>
  <c r="H166" i="3"/>
  <c r="L166" i="3" s="1"/>
  <c r="I166" i="3"/>
  <c r="H167" i="3"/>
  <c r="L167" i="3" s="1"/>
  <c r="I167" i="3"/>
  <c r="H168" i="3"/>
  <c r="L168" i="3" s="1"/>
  <c r="I168" i="3"/>
  <c r="H169" i="3"/>
  <c r="L169" i="3" s="1"/>
  <c r="I169" i="3"/>
  <c r="H170" i="3"/>
  <c r="L170" i="3" s="1"/>
  <c r="I170" i="3"/>
  <c r="H171" i="3"/>
  <c r="L171" i="3" s="1"/>
  <c r="I171" i="3"/>
  <c r="H172" i="3"/>
  <c r="L172" i="3" s="1"/>
  <c r="I172" i="3"/>
  <c r="H173" i="3"/>
  <c r="L173" i="3" s="1"/>
  <c r="I173" i="3"/>
  <c r="H174" i="3"/>
  <c r="L174" i="3" s="1"/>
  <c r="I174" i="3"/>
  <c r="H175" i="3"/>
  <c r="L175" i="3" s="1"/>
  <c r="I175" i="3"/>
  <c r="H176" i="3"/>
  <c r="L176" i="3" s="1"/>
  <c r="I176" i="3"/>
  <c r="H177" i="3"/>
  <c r="L177" i="3" s="1"/>
  <c r="I177" i="3"/>
  <c r="H178" i="3"/>
  <c r="L178" i="3" s="1"/>
  <c r="I178" i="3"/>
  <c r="H179" i="3"/>
  <c r="L179" i="3" s="1"/>
  <c r="I179" i="3"/>
  <c r="H180" i="3"/>
  <c r="I180" i="3"/>
  <c r="K62" i="7" s="1"/>
  <c r="H181" i="3"/>
  <c r="I181" i="3"/>
  <c r="K70" i="7" s="1"/>
  <c r="H182" i="3"/>
  <c r="I182" i="3"/>
  <c r="K63" i="7" s="1"/>
  <c r="H183" i="3"/>
  <c r="I183" i="3"/>
  <c r="K61" i="7" s="1"/>
  <c r="H184" i="3"/>
  <c r="I184" i="3"/>
  <c r="K67" i="7" s="1"/>
  <c r="H185" i="3"/>
  <c r="I185" i="3"/>
  <c r="K59" i="7" s="1"/>
  <c r="H186" i="3"/>
  <c r="I186" i="3"/>
  <c r="K65" i="7" s="1"/>
  <c r="H187" i="3"/>
  <c r="I187" i="3"/>
  <c r="K68" i="7" s="1"/>
  <c r="H188" i="3"/>
  <c r="I188" i="3"/>
  <c r="K64" i="7" s="1"/>
  <c r="H189" i="3"/>
  <c r="I189" i="3"/>
  <c r="K69" i="7" s="1"/>
  <c r="H190" i="3"/>
  <c r="I190" i="3"/>
  <c r="K58" i="7" s="1"/>
  <c r="H191" i="3"/>
  <c r="I191" i="3"/>
  <c r="K66" i="7" s="1"/>
  <c r="H192" i="3"/>
  <c r="I192" i="3"/>
  <c r="K60" i="7" s="1"/>
  <c r="H193" i="3"/>
  <c r="L193" i="3" s="1"/>
  <c r="I193" i="3"/>
  <c r="H194" i="3"/>
  <c r="L194" i="3" s="1"/>
  <c r="I194" i="3"/>
  <c r="H195" i="3"/>
  <c r="L195" i="3" s="1"/>
  <c r="I195" i="3"/>
  <c r="H196" i="3"/>
  <c r="L196" i="3" s="1"/>
  <c r="I196" i="3"/>
  <c r="H197" i="3"/>
  <c r="L197" i="3" s="1"/>
  <c r="I197" i="3"/>
  <c r="H198" i="3"/>
  <c r="L198" i="3" s="1"/>
  <c r="I198" i="3"/>
  <c r="H199" i="3"/>
  <c r="L199" i="3" s="1"/>
  <c r="I199" i="3"/>
  <c r="H200" i="3"/>
  <c r="L200" i="3" s="1"/>
  <c r="I200" i="3"/>
  <c r="H201" i="3"/>
  <c r="L201" i="3" s="1"/>
  <c r="I201" i="3"/>
  <c r="H202" i="3"/>
  <c r="L202" i="3" s="1"/>
  <c r="I202" i="3"/>
  <c r="H203" i="3"/>
  <c r="L203" i="3" s="1"/>
  <c r="I203" i="3"/>
  <c r="H204" i="3"/>
  <c r="L204" i="3" s="1"/>
  <c r="I204" i="3"/>
  <c r="H205" i="3"/>
  <c r="L205" i="3" s="1"/>
  <c r="I205" i="3"/>
  <c r="H206" i="3"/>
  <c r="L206" i="3" s="1"/>
  <c r="I206" i="3"/>
  <c r="H207" i="3"/>
  <c r="L207" i="3" s="1"/>
  <c r="I207" i="3"/>
  <c r="H208" i="3"/>
  <c r="L208" i="3" s="1"/>
  <c r="I208" i="3"/>
  <c r="H209" i="3"/>
  <c r="L209" i="3" s="1"/>
  <c r="I209" i="3"/>
  <c r="H210" i="3"/>
  <c r="L210" i="3" s="1"/>
  <c r="I210" i="3"/>
  <c r="H211" i="3"/>
  <c r="L211" i="3" s="1"/>
  <c r="I211" i="3"/>
  <c r="H212" i="3"/>
  <c r="L212" i="3" s="1"/>
  <c r="I212" i="3"/>
  <c r="H213" i="3"/>
  <c r="L213" i="3" s="1"/>
  <c r="I213" i="3"/>
  <c r="H214" i="3"/>
  <c r="L214" i="3" s="1"/>
  <c r="I214" i="3"/>
  <c r="H215" i="3"/>
  <c r="L215" i="3" s="1"/>
  <c r="I215" i="3"/>
  <c r="H216" i="3"/>
  <c r="L216" i="3" s="1"/>
  <c r="I216" i="3"/>
  <c r="H217" i="3"/>
  <c r="L217" i="3" s="1"/>
  <c r="I217" i="3"/>
  <c r="H218" i="3"/>
  <c r="L218" i="3" s="1"/>
  <c r="I218" i="3"/>
  <c r="H219" i="3"/>
  <c r="L219" i="3" s="1"/>
  <c r="I219" i="3"/>
  <c r="H220" i="3"/>
  <c r="L220" i="3" s="1"/>
  <c r="I220" i="3"/>
  <c r="H221" i="3"/>
  <c r="L221" i="3" s="1"/>
  <c r="I221" i="3"/>
  <c r="H222" i="3"/>
  <c r="L222" i="3" s="1"/>
  <c r="I222" i="3"/>
  <c r="H223" i="3"/>
  <c r="L223" i="3" s="1"/>
  <c r="I223" i="3"/>
  <c r="H224" i="3"/>
  <c r="L224" i="3" s="1"/>
  <c r="I224" i="3"/>
  <c r="H225" i="3"/>
  <c r="L225" i="3" s="1"/>
  <c r="I225" i="3"/>
  <c r="H226" i="3"/>
  <c r="L226" i="3" s="1"/>
  <c r="I226" i="3"/>
  <c r="H227" i="3"/>
  <c r="L227" i="3" s="1"/>
  <c r="I227" i="3"/>
  <c r="H228" i="3"/>
  <c r="L228" i="3" s="1"/>
  <c r="I228" i="3"/>
  <c r="H229" i="3"/>
  <c r="L229" i="3" s="1"/>
  <c r="I229" i="3"/>
  <c r="H230" i="3"/>
  <c r="L230" i="3" s="1"/>
  <c r="I230" i="3"/>
  <c r="H231" i="3"/>
  <c r="L231" i="3" s="1"/>
  <c r="I231" i="3"/>
  <c r="H232" i="3"/>
  <c r="L232" i="3" s="1"/>
  <c r="I232" i="3"/>
  <c r="H233" i="3"/>
  <c r="L233" i="3" s="1"/>
  <c r="I233" i="3"/>
  <c r="H234" i="3"/>
  <c r="L234" i="3" s="1"/>
  <c r="I234" i="3"/>
  <c r="H235" i="3"/>
  <c r="L235" i="3" s="1"/>
  <c r="I235" i="3"/>
  <c r="H236" i="3"/>
  <c r="L236" i="3" s="1"/>
  <c r="I236" i="3"/>
  <c r="H237" i="3"/>
  <c r="L237" i="3" s="1"/>
  <c r="I237" i="3"/>
  <c r="H238" i="3"/>
  <c r="L238" i="3" s="1"/>
  <c r="I238" i="3"/>
  <c r="H239" i="3"/>
  <c r="L239" i="3" s="1"/>
  <c r="I239" i="3"/>
  <c r="H240" i="3"/>
  <c r="L240" i="3" s="1"/>
  <c r="I240" i="3"/>
  <c r="H241" i="3"/>
  <c r="L241" i="3" s="1"/>
  <c r="I241" i="3"/>
  <c r="H242" i="3"/>
  <c r="L242" i="3" s="1"/>
  <c r="I242" i="3"/>
  <c r="H243" i="3"/>
  <c r="L243" i="3" s="1"/>
  <c r="I243" i="3"/>
  <c r="H244" i="3"/>
  <c r="L244" i="3" s="1"/>
  <c r="I244" i="3"/>
  <c r="H245" i="3"/>
  <c r="L245" i="3" s="1"/>
  <c r="I245" i="3"/>
  <c r="H246" i="3"/>
  <c r="L246" i="3" s="1"/>
  <c r="I246" i="3"/>
  <c r="H247" i="3"/>
  <c r="L247" i="3" s="1"/>
  <c r="I247" i="3"/>
  <c r="H248" i="3"/>
  <c r="L248" i="3" s="1"/>
  <c r="I248" i="3"/>
  <c r="H249" i="3"/>
  <c r="L249" i="3" s="1"/>
  <c r="I249" i="3"/>
  <c r="H250" i="3"/>
  <c r="L250" i="3" s="1"/>
  <c r="I250" i="3"/>
  <c r="H251" i="3"/>
  <c r="L251" i="3" s="1"/>
  <c r="I251" i="3"/>
  <c r="H252" i="3"/>
  <c r="L252" i="3" s="1"/>
  <c r="I252" i="3"/>
  <c r="H253" i="3"/>
  <c r="L253" i="3" s="1"/>
  <c r="I253" i="3"/>
  <c r="H254" i="3"/>
  <c r="L254" i="3" s="1"/>
  <c r="I254" i="3"/>
  <c r="H255" i="3"/>
  <c r="L255" i="3" s="1"/>
  <c r="I255" i="3"/>
  <c r="H256" i="3"/>
  <c r="L256" i="3" s="1"/>
  <c r="I256" i="3"/>
  <c r="H257" i="3"/>
  <c r="L257" i="3" s="1"/>
  <c r="I257" i="3"/>
  <c r="H258" i="3"/>
  <c r="L258" i="3" s="1"/>
  <c r="I258" i="3"/>
  <c r="H259" i="3"/>
  <c r="L259" i="3" s="1"/>
  <c r="I259" i="3"/>
  <c r="H260" i="3"/>
  <c r="L260" i="3" s="1"/>
  <c r="I260" i="3"/>
  <c r="H261" i="3"/>
  <c r="L261" i="3" s="1"/>
  <c r="I261" i="3"/>
  <c r="H262" i="3"/>
  <c r="L262" i="3" s="1"/>
  <c r="I262" i="3"/>
  <c r="H263" i="3"/>
  <c r="L263" i="3" s="1"/>
  <c r="I263" i="3"/>
  <c r="H264" i="3"/>
  <c r="L264" i="3" s="1"/>
  <c r="I264" i="3"/>
  <c r="H265" i="3"/>
  <c r="L265" i="3" s="1"/>
  <c r="I265" i="3"/>
  <c r="H266" i="3"/>
  <c r="L266" i="3" s="1"/>
  <c r="I266" i="3"/>
  <c r="H267" i="3"/>
  <c r="L267" i="3" s="1"/>
  <c r="I267" i="3"/>
  <c r="H268" i="3"/>
  <c r="L268" i="3" s="1"/>
  <c r="I268" i="3"/>
  <c r="H269" i="3"/>
  <c r="L269" i="3" s="1"/>
  <c r="I269" i="3"/>
  <c r="H270" i="3"/>
  <c r="L270" i="3" s="1"/>
  <c r="I270" i="3"/>
  <c r="H271" i="3"/>
  <c r="L271" i="3" s="1"/>
  <c r="I271" i="3"/>
  <c r="H272" i="3"/>
  <c r="L272" i="3" s="1"/>
  <c r="I272" i="3"/>
  <c r="H273" i="3"/>
  <c r="L273" i="3" s="1"/>
  <c r="I273" i="3"/>
  <c r="H274" i="3"/>
  <c r="L274" i="3" s="1"/>
  <c r="I274" i="3"/>
  <c r="H275" i="3"/>
  <c r="L275" i="3" s="1"/>
  <c r="I275" i="3"/>
  <c r="H276" i="3"/>
  <c r="L276" i="3" s="1"/>
  <c r="I276" i="3"/>
  <c r="H277" i="3"/>
  <c r="L277" i="3" s="1"/>
  <c r="I277" i="3"/>
  <c r="H278" i="3"/>
  <c r="L278" i="3" s="1"/>
  <c r="I278" i="3"/>
  <c r="H279" i="3"/>
  <c r="L279" i="3" s="1"/>
  <c r="I279" i="3"/>
  <c r="H280" i="3"/>
  <c r="L280" i="3" s="1"/>
  <c r="I280" i="3"/>
  <c r="H281" i="3"/>
  <c r="L281" i="3" s="1"/>
  <c r="I281" i="3"/>
  <c r="H282" i="3"/>
  <c r="L282" i="3" s="1"/>
  <c r="I282" i="3"/>
  <c r="H283" i="3"/>
  <c r="L283" i="3" s="1"/>
  <c r="I283" i="3"/>
  <c r="H284" i="3"/>
  <c r="L284" i="3" s="1"/>
  <c r="I284" i="3"/>
  <c r="H285" i="3"/>
  <c r="L285" i="3" s="1"/>
  <c r="I285" i="3"/>
  <c r="H286" i="3"/>
  <c r="L286" i="3" s="1"/>
  <c r="I286" i="3"/>
  <c r="H287" i="3"/>
  <c r="L287" i="3" s="1"/>
  <c r="I287" i="3"/>
  <c r="H288" i="3"/>
  <c r="L288" i="3" s="1"/>
  <c r="I288" i="3"/>
  <c r="H289" i="3"/>
  <c r="L289" i="3" s="1"/>
  <c r="I289" i="3"/>
  <c r="H290" i="3"/>
  <c r="L290" i="3" s="1"/>
  <c r="I290" i="3"/>
  <c r="H291" i="3"/>
  <c r="L291" i="3" s="1"/>
  <c r="I291" i="3"/>
  <c r="H292" i="3"/>
  <c r="L292" i="3" s="1"/>
  <c r="I292" i="3"/>
  <c r="H293" i="3"/>
  <c r="L293" i="3" s="1"/>
  <c r="I293" i="3"/>
  <c r="H294" i="3"/>
  <c r="L294" i="3" s="1"/>
  <c r="I294" i="3"/>
  <c r="H295" i="3"/>
  <c r="L295" i="3" s="1"/>
  <c r="I295" i="3"/>
  <c r="H296" i="3"/>
  <c r="L296" i="3" s="1"/>
  <c r="I296" i="3"/>
  <c r="H297" i="3"/>
  <c r="L297" i="3" s="1"/>
  <c r="I297" i="3"/>
  <c r="H298" i="3"/>
  <c r="L298" i="3" s="1"/>
  <c r="I298" i="3"/>
  <c r="H299" i="3"/>
  <c r="L299" i="3" s="1"/>
  <c r="I299" i="3"/>
  <c r="H300" i="3"/>
  <c r="L300" i="3" s="1"/>
  <c r="I300" i="3"/>
  <c r="H301" i="3"/>
  <c r="L301" i="3" s="1"/>
  <c r="I301" i="3"/>
  <c r="H302" i="3"/>
  <c r="L302" i="3" s="1"/>
  <c r="I302" i="3"/>
  <c r="H303" i="3"/>
  <c r="L303" i="3" s="1"/>
  <c r="I303" i="3"/>
  <c r="H304" i="3"/>
  <c r="L304" i="3" s="1"/>
  <c r="I304" i="3"/>
  <c r="H305" i="3"/>
  <c r="L305" i="3" s="1"/>
  <c r="I305" i="3"/>
  <c r="H306" i="3"/>
  <c r="L306" i="3" s="1"/>
  <c r="I306" i="3"/>
  <c r="H307" i="3"/>
  <c r="L307" i="3" s="1"/>
  <c r="I307" i="3"/>
  <c r="H308" i="3"/>
  <c r="L308" i="3" s="1"/>
  <c r="I308" i="3"/>
  <c r="H309" i="3"/>
  <c r="L309" i="3" s="1"/>
  <c r="I309" i="3"/>
  <c r="H310" i="3"/>
  <c r="L310" i="3" s="1"/>
  <c r="I310" i="3"/>
  <c r="H311" i="3"/>
  <c r="L311" i="3" s="1"/>
  <c r="I311" i="3"/>
  <c r="H312" i="3"/>
  <c r="L312" i="3" s="1"/>
  <c r="I312" i="3"/>
  <c r="H313" i="3"/>
  <c r="L313" i="3" s="1"/>
  <c r="I313" i="3"/>
  <c r="H314" i="3"/>
  <c r="L314" i="3" s="1"/>
  <c r="I314" i="3"/>
  <c r="H315" i="3"/>
  <c r="L315" i="3" s="1"/>
  <c r="I315" i="3"/>
  <c r="H316" i="3"/>
  <c r="L316" i="3" s="1"/>
  <c r="I316" i="3"/>
  <c r="H317" i="3"/>
  <c r="L317" i="3" s="1"/>
  <c r="I317" i="3"/>
  <c r="H318" i="3"/>
  <c r="L318" i="3" s="1"/>
  <c r="I318" i="3"/>
  <c r="H319" i="3"/>
  <c r="L319" i="3" s="1"/>
  <c r="I319" i="3"/>
  <c r="H320" i="3"/>
  <c r="L320" i="3" s="1"/>
  <c r="I320" i="3"/>
  <c r="H321" i="3"/>
  <c r="L321" i="3" s="1"/>
  <c r="I321" i="3"/>
  <c r="H322" i="3"/>
  <c r="L322" i="3" s="1"/>
  <c r="I322" i="3"/>
  <c r="H323" i="3"/>
  <c r="L323" i="3" s="1"/>
  <c r="I323" i="3"/>
  <c r="H324" i="3"/>
  <c r="I324" i="3"/>
  <c r="K17" i="7" s="1"/>
  <c r="H325" i="3"/>
  <c r="I325" i="3"/>
  <c r="K12" i="7" s="1"/>
  <c r="H326" i="3"/>
  <c r="I326" i="3"/>
  <c r="K13" i="7" s="1"/>
  <c r="H327" i="3"/>
  <c r="I327" i="3"/>
  <c r="K11" i="7" s="1"/>
  <c r="H328" i="3"/>
  <c r="L328" i="3" s="1"/>
  <c r="I328" i="3"/>
  <c r="H329" i="3"/>
  <c r="I329" i="3"/>
  <c r="K5" i="7" s="1"/>
  <c r="H330" i="3"/>
  <c r="I330" i="3"/>
  <c r="K16" i="7" s="1"/>
  <c r="H331" i="3"/>
  <c r="I331" i="3"/>
  <c r="K15" i="7" s="1"/>
  <c r="H332" i="3"/>
  <c r="I332" i="3"/>
  <c r="K4" i="7" s="1"/>
  <c r="H333" i="3"/>
  <c r="I333" i="3"/>
  <c r="K9" i="7" s="1"/>
  <c r="H334" i="3"/>
  <c r="I334" i="3"/>
  <c r="K6" i="7" s="1"/>
  <c r="H335" i="3"/>
  <c r="I335" i="3"/>
  <c r="K3" i="7" s="1"/>
  <c r="H336" i="3"/>
  <c r="I336" i="3"/>
  <c r="K14" i="7" s="1"/>
  <c r="H337" i="3"/>
  <c r="I337" i="3"/>
  <c r="K10" i="7" s="1"/>
  <c r="H338" i="3"/>
  <c r="I338" i="3"/>
  <c r="K2" i="7" s="1"/>
  <c r="H339" i="3"/>
  <c r="L339" i="3" s="1"/>
  <c r="I339" i="3"/>
  <c r="H340" i="3"/>
  <c r="I340" i="3"/>
  <c r="K7" i="7" s="1"/>
  <c r="H341" i="3"/>
  <c r="I341" i="3"/>
  <c r="K8" i="7" s="1"/>
  <c r="H342" i="3"/>
  <c r="L342" i="3" s="1"/>
  <c r="I342" i="3"/>
  <c r="H343" i="3"/>
  <c r="L343" i="3" s="1"/>
  <c r="I343" i="3"/>
  <c r="H344" i="3"/>
  <c r="L344" i="3" s="1"/>
  <c r="I344" i="3"/>
  <c r="H345" i="3"/>
  <c r="L345" i="3" s="1"/>
  <c r="I345" i="3"/>
  <c r="H346" i="3"/>
  <c r="L346" i="3" s="1"/>
  <c r="I346" i="3"/>
  <c r="H347" i="3"/>
  <c r="L347" i="3" s="1"/>
  <c r="I347" i="3"/>
  <c r="H348" i="3"/>
  <c r="L348" i="3" s="1"/>
  <c r="I348" i="3"/>
  <c r="H349" i="3"/>
  <c r="L349" i="3" s="1"/>
  <c r="I349" i="3"/>
  <c r="H350" i="3"/>
  <c r="L350" i="3" s="1"/>
  <c r="I350" i="3"/>
  <c r="H351" i="3"/>
  <c r="L351" i="3" s="1"/>
  <c r="I351" i="3"/>
  <c r="H352" i="3"/>
  <c r="L352" i="3" s="1"/>
  <c r="I352" i="3"/>
  <c r="H353" i="3"/>
  <c r="L353" i="3" s="1"/>
  <c r="I353" i="3"/>
  <c r="H354" i="3"/>
  <c r="L354" i="3" s="1"/>
  <c r="I354" i="3"/>
  <c r="H355" i="3"/>
  <c r="L355" i="3" s="1"/>
  <c r="I355" i="3"/>
  <c r="H356" i="3"/>
  <c r="L356" i="3" s="1"/>
  <c r="I356" i="3"/>
  <c r="H357" i="3"/>
  <c r="L357" i="3" s="1"/>
  <c r="I357" i="3"/>
  <c r="H358" i="3"/>
  <c r="L358" i="3" s="1"/>
  <c r="I358" i="3"/>
  <c r="H359" i="3"/>
  <c r="L359" i="3" s="1"/>
  <c r="I359" i="3"/>
  <c r="H360" i="3"/>
  <c r="L360" i="3" s="1"/>
  <c r="I360" i="3"/>
  <c r="H361" i="3"/>
  <c r="L361" i="3" s="1"/>
  <c r="I361" i="3"/>
  <c r="H362" i="3"/>
  <c r="L362" i="3" s="1"/>
  <c r="I362" i="3"/>
  <c r="H363" i="3"/>
  <c r="L363" i="3" s="1"/>
  <c r="I363" i="3"/>
  <c r="H364" i="3"/>
  <c r="L364" i="3" s="1"/>
  <c r="I364" i="3"/>
  <c r="H365" i="3"/>
  <c r="I365" i="3"/>
  <c r="K143" i="7" s="1"/>
  <c r="H366" i="3"/>
  <c r="I366" i="3"/>
  <c r="K151" i="7" s="1"/>
  <c r="H367" i="3"/>
  <c r="I367" i="3"/>
  <c r="K131" i="7" s="1"/>
  <c r="H368" i="3"/>
  <c r="I368" i="3"/>
  <c r="K154" i="7" s="1"/>
  <c r="H369" i="3"/>
  <c r="I369" i="3"/>
  <c r="K155" i="7" s="1"/>
  <c r="H370" i="3"/>
  <c r="I370" i="3"/>
  <c r="K132" i="7" s="1"/>
  <c r="H371" i="3"/>
  <c r="I371" i="3"/>
  <c r="K150" i="7" s="1"/>
  <c r="H372" i="3"/>
  <c r="I372" i="3"/>
  <c r="K153" i="7" s="1"/>
  <c r="H373" i="3"/>
  <c r="I373" i="3"/>
  <c r="K167" i="7" s="1"/>
  <c r="H374" i="3"/>
  <c r="I374" i="3"/>
  <c r="K163" i="7" s="1"/>
  <c r="H375" i="3"/>
  <c r="I375" i="3"/>
  <c r="K162" i="7" s="1"/>
  <c r="H376" i="3"/>
  <c r="I376" i="3"/>
  <c r="K166" i="7" s="1"/>
  <c r="H377" i="3"/>
  <c r="I377" i="3"/>
  <c r="K142" i="7" s="1"/>
  <c r="H378" i="3"/>
  <c r="I378" i="3"/>
  <c r="K157" i="7" s="1"/>
  <c r="H379" i="3"/>
  <c r="I379" i="3"/>
  <c r="K160" i="7" s="1"/>
  <c r="H380" i="3"/>
  <c r="I380" i="3"/>
  <c r="K144" i="7" s="1"/>
  <c r="H381" i="3"/>
  <c r="I381" i="3"/>
  <c r="K156" i="7" s="1"/>
  <c r="H382" i="3"/>
  <c r="I382" i="3"/>
  <c r="K159" i="7" s="1"/>
  <c r="H383" i="3"/>
  <c r="L383" i="3" s="1"/>
  <c r="I383" i="3"/>
  <c r="H384" i="3"/>
  <c r="L384" i="3" s="1"/>
  <c r="I384" i="3"/>
  <c r="H385" i="3"/>
  <c r="L385" i="3" s="1"/>
  <c r="I385" i="3"/>
  <c r="H386" i="3"/>
  <c r="L386" i="3" s="1"/>
  <c r="I386" i="3"/>
  <c r="H387" i="3"/>
  <c r="L387" i="3" s="1"/>
  <c r="I387" i="3"/>
  <c r="H388" i="3"/>
  <c r="L388" i="3" s="1"/>
  <c r="I388" i="3"/>
  <c r="H389" i="3"/>
  <c r="L389" i="3" s="1"/>
  <c r="I389" i="3"/>
  <c r="H390" i="3"/>
  <c r="L390" i="3" s="1"/>
  <c r="I390" i="3"/>
  <c r="H391" i="3"/>
  <c r="L391" i="3" s="1"/>
  <c r="I391" i="3"/>
  <c r="H392" i="3"/>
  <c r="L392" i="3" s="1"/>
  <c r="I392" i="3"/>
  <c r="H393" i="3"/>
  <c r="L393" i="3" s="1"/>
  <c r="I393" i="3"/>
  <c r="H394" i="3"/>
  <c r="L394" i="3" s="1"/>
  <c r="I394" i="3"/>
  <c r="H395" i="3"/>
  <c r="L395" i="3" s="1"/>
  <c r="I395" i="3"/>
  <c r="H396" i="3"/>
  <c r="L396" i="3" s="1"/>
  <c r="I396" i="3"/>
  <c r="H397" i="3"/>
  <c r="L397" i="3" s="1"/>
  <c r="I397" i="3"/>
  <c r="H398" i="3"/>
  <c r="L398" i="3" s="1"/>
  <c r="I398" i="3"/>
  <c r="H399" i="3"/>
  <c r="L399" i="3" s="1"/>
  <c r="I399" i="3"/>
  <c r="H400" i="3"/>
  <c r="L400" i="3" s="1"/>
  <c r="I400" i="3"/>
  <c r="H401" i="3"/>
  <c r="L401" i="3" s="1"/>
  <c r="I401" i="3"/>
  <c r="H402" i="3"/>
  <c r="L402" i="3" s="1"/>
  <c r="I402" i="3"/>
  <c r="H403" i="3"/>
  <c r="L403" i="3" s="1"/>
  <c r="I403" i="3"/>
  <c r="H404" i="3"/>
  <c r="L404" i="3" s="1"/>
  <c r="I404" i="3"/>
  <c r="H405" i="3"/>
  <c r="L405" i="3" s="1"/>
  <c r="I405" i="3"/>
  <c r="H406" i="3"/>
  <c r="L406" i="3" s="1"/>
  <c r="I406" i="3"/>
  <c r="H407" i="3"/>
  <c r="L407" i="3" s="1"/>
  <c r="I407" i="3"/>
  <c r="H408" i="3"/>
  <c r="L408" i="3" s="1"/>
  <c r="I408" i="3"/>
  <c r="H409" i="3"/>
  <c r="L409" i="3" s="1"/>
  <c r="I409" i="3"/>
  <c r="H410" i="3"/>
  <c r="L410" i="3" s="1"/>
  <c r="I410" i="3"/>
  <c r="H411" i="3"/>
  <c r="L411" i="3" s="1"/>
  <c r="I411" i="3"/>
  <c r="H412" i="3"/>
  <c r="L412" i="3" s="1"/>
  <c r="I412" i="3"/>
  <c r="H413" i="3"/>
  <c r="L413" i="3" s="1"/>
  <c r="I413" i="3"/>
  <c r="H414" i="3"/>
  <c r="L414" i="3" s="1"/>
  <c r="I414" i="3"/>
  <c r="H415" i="3"/>
  <c r="L415" i="3" s="1"/>
  <c r="I415" i="3"/>
  <c r="H416" i="3"/>
  <c r="L416" i="3" s="1"/>
  <c r="I416" i="3"/>
  <c r="H417" i="3"/>
  <c r="L417" i="3" s="1"/>
  <c r="I417" i="3"/>
  <c r="H418" i="3"/>
  <c r="L418" i="3" s="1"/>
  <c r="I418" i="3"/>
  <c r="H419" i="3"/>
  <c r="L419" i="3" s="1"/>
  <c r="I419" i="3"/>
  <c r="H420" i="3"/>
  <c r="L420" i="3" s="1"/>
  <c r="I420" i="3"/>
  <c r="H421" i="3"/>
  <c r="L421" i="3" s="1"/>
  <c r="I421" i="3"/>
  <c r="H422" i="3"/>
  <c r="L422" i="3" s="1"/>
  <c r="I422" i="3"/>
  <c r="H423" i="3"/>
  <c r="L423" i="3" s="1"/>
  <c r="I423" i="3"/>
  <c r="H424" i="3"/>
  <c r="L424" i="3" s="1"/>
  <c r="I424" i="3"/>
  <c r="H425" i="3"/>
  <c r="L425" i="3" s="1"/>
  <c r="I425" i="3"/>
  <c r="H426" i="3"/>
  <c r="L426" i="3" s="1"/>
  <c r="I426" i="3"/>
  <c r="H427" i="3"/>
  <c r="L427" i="3" s="1"/>
  <c r="I427" i="3"/>
  <c r="H428" i="3"/>
  <c r="L428" i="3" s="1"/>
  <c r="I428" i="3"/>
  <c r="H429" i="3"/>
  <c r="L429" i="3" s="1"/>
  <c r="I429" i="3"/>
  <c r="H430" i="3"/>
  <c r="L430" i="3" s="1"/>
  <c r="I430" i="3"/>
  <c r="H431" i="3"/>
  <c r="L431" i="3" s="1"/>
  <c r="I431" i="3"/>
  <c r="H432" i="3"/>
  <c r="L432" i="3" s="1"/>
  <c r="I432" i="3"/>
  <c r="H433" i="3"/>
  <c r="L433" i="3" s="1"/>
  <c r="I433" i="3"/>
  <c r="H434" i="3"/>
  <c r="L434" i="3" s="1"/>
  <c r="I434" i="3"/>
  <c r="H435" i="3"/>
  <c r="L435" i="3" s="1"/>
  <c r="I435" i="3"/>
  <c r="H436" i="3"/>
  <c r="L436" i="3" s="1"/>
  <c r="I436" i="3"/>
  <c r="H437" i="3"/>
  <c r="L437" i="3" s="1"/>
  <c r="I437" i="3"/>
  <c r="H438" i="3"/>
  <c r="L438" i="3" s="1"/>
  <c r="I438" i="3"/>
  <c r="H439" i="3"/>
  <c r="L439" i="3" s="1"/>
  <c r="I439" i="3"/>
  <c r="H440" i="3"/>
  <c r="I440" i="3"/>
  <c r="K18" i="7" s="1"/>
  <c r="H441" i="3"/>
  <c r="I441" i="3"/>
  <c r="K28" i="7" s="1"/>
  <c r="H442" i="3"/>
  <c r="I442" i="3"/>
  <c r="K55" i="7" s="1"/>
  <c r="H443" i="3"/>
  <c r="I443" i="3"/>
  <c r="K52" i="7" s="1"/>
  <c r="H444" i="3"/>
  <c r="L444" i="3" s="1"/>
  <c r="I444" i="3"/>
  <c r="H445" i="3"/>
  <c r="L445" i="3" s="1"/>
  <c r="I445" i="3"/>
  <c r="H446" i="3"/>
  <c r="L446" i="3" s="1"/>
  <c r="I446" i="3"/>
  <c r="H447" i="3"/>
  <c r="L447" i="3" s="1"/>
  <c r="I447" i="3"/>
  <c r="H448" i="3"/>
  <c r="L448" i="3" s="1"/>
  <c r="I448" i="3"/>
  <c r="H449" i="3"/>
  <c r="L449" i="3" s="1"/>
  <c r="I449" i="3"/>
  <c r="H450" i="3"/>
  <c r="L450" i="3" s="1"/>
  <c r="I450" i="3"/>
  <c r="H451" i="3"/>
  <c r="L451" i="3" s="1"/>
  <c r="I451" i="3"/>
  <c r="H452" i="3"/>
  <c r="L452" i="3" s="1"/>
  <c r="I452" i="3"/>
  <c r="H453" i="3"/>
  <c r="L453" i="3" s="1"/>
  <c r="I453" i="3"/>
  <c r="H454" i="3"/>
  <c r="L454" i="3" s="1"/>
  <c r="I454" i="3"/>
  <c r="H455" i="3"/>
  <c r="L455" i="3" s="1"/>
  <c r="I455" i="3"/>
  <c r="H456" i="3"/>
  <c r="L456" i="3" s="1"/>
  <c r="I456" i="3"/>
  <c r="H457" i="3"/>
  <c r="L457" i="3" s="1"/>
  <c r="I457" i="3"/>
  <c r="H458" i="3"/>
  <c r="L458" i="3" s="1"/>
  <c r="I458" i="3"/>
  <c r="H459" i="3"/>
  <c r="L459" i="3" s="1"/>
  <c r="I459" i="3"/>
  <c r="H460" i="3"/>
  <c r="L460" i="3" s="1"/>
  <c r="I460" i="3"/>
  <c r="H461" i="3"/>
  <c r="L461" i="3" s="1"/>
  <c r="I461" i="3"/>
  <c r="H462" i="3"/>
  <c r="L462" i="3" s="1"/>
  <c r="I462" i="3"/>
  <c r="H463" i="3"/>
  <c r="L463" i="3" s="1"/>
  <c r="I463" i="3"/>
  <c r="H464" i="3"/>
  <c r="L464" i="3" s="1"/>
  <c r="I464" i="3"/>
  <c r="H465" i="3"/>
  <c r="L465" i="3" s="1"/>
  <c r="I465" i="3"/>
  <c r="H466" i="3"/>
  <c r="L466" i="3" s="1"/>
  <c r="I466" i="3"/>
  <c r="H467" i="3"/>
  <c r="L467" i="3" s="1"/>
  <c r="I467" i="3"/>
  <c r="H468" i="3"/>
  <c r="L468" i="3" s="1"/>
  <c r="I468" i="3"/>
  <c r="H469" i="3"/>
  <c r="L469" i="3" s="1"/>
  <c r="I469" i="3"/>
  <c r="H470" i="3"/>
  <c r="L470" i="3" s="1"/>
  <c r="I470" i="3"/>
  <c r="H471" i="3"/>
  <c r="L471" i="3" s="1"/>
  <c r="I471" i="3"/>
  <c r="H472" i="3"/>
  <c r="L472" i="3" s="1"/>
  <c r="I472" i="3"/>
  <c r="H473" i="3"/>
  <c r="L473" i="3" s="1"/>
  <c r="I473" i="3"/>
  <c r="H474" i="3"/>
  <c r="L474" i="3" s="1"/>
  <c r="I474" i="3"/>
  <c r="H475" i="3"/>
  <c r="L475" i="3" s="1"/>
  <c r="I475" i="3"/>
  <c r="H476" i="3"/>
  <c r="L476" i="3" s="1"/>
  <c r="I476" i="3"/>
  <c r="H477" i="3"/>
  <c r="L477" i="3" s="1"/>
  <c r="I477" i="3"/>
  <c r="H478" i="3"/>
  <c r="L478" i="3" s="1"/>
  <c r="I478" i="3"/>
  <c r="H479" i="3"/>
  <c r="L479" i="3" s="1"/>
  <c r="I479" i="3"/>
  <c r="H480" i="3"/>
  <c r="L480" i="3" s="1"/>
  <c r="I480" i="3"/>
  <c r="H481" i="3"/>
  <c r="L481" i="3" s="1"/>
  <c r="I481" i="3"/>
  <c r="H482" i="3"/>
  <c r="L482" i="3" s="1"/>
  <c r="I482" i="3"/>
  <c r="H483" i="3"/>
  <c r="L483" i="3" s="1"/>
  <c r="I483" i="3"/>
  <c r="H484" i="3"/>
  <c r="L484" i="3" s="1"/>
  <c r="I484" i="3"/>
  <c r="H485" i="3"/>
  <c r="L485" i="3" s="1"/>
  <c r="I485" i="3"/>
  <c r="H486" i="3"/>
  <c r="L486" i="3" s="1"/>
  <c r="I486" i="3"/>
  <c r="H487" i="3"/>
  <c r="L487" i="3" s="1"/>
  <c r="I487" i="3"/>
  <c r="H488" i="3"/>
  <c r="L488" i="3" s="1"/>
  <c r="I488" i="3"/>
  <c r="H489" i="3"/>
  <c r="L489" i="3" s="1"/>
  <c r="I489" i="3"/>
  <c r="H490" i="3"/>
  <c r="I490" i="3"/>
  <c r="K50" i="7" s="1"/>
  <c r="H491" i="3"/>
  <c r="I491" i="3"/>
  <c r="K39" i="7" s="1"/>
  <c r="H492" i="3"/>
  <c r="I492" i="3"/>
  <c r="K53" i="7" s="1"/>
  <c r="H493" i="3"/>
  <c r="I493" i="3"/>
  <c r="K57" i="7" s="1"/>
  <c r="H494" i="3"/>
  <c r="I494" i="3"/>
  <c r="K54" i="7" s="1"/>
  <c r="H495" i="3"/>
  <c r="I495" i="3"/>
  <c r="K41" i="7" s="1"/>
  <c r="H496" i="3"/>
  <c r="I496" i="3"/>
  <c r="K45" i="7" s="1"/>
  <c r="H497" i="3"/>
  <c r="I497" i="3"/>
  <c r="K36" i="7" s="1"/>
  <c r="H498" i="3"/>
  <c r="I498" i="3"/>
  <c r="K43" i="7" s="1"/>
  <c r="H499" i="3"/>
  <c r="I499" i="3"/>
  <c r="K51" i="7" s="1"/>
  <c r="H500" i="3"/>
  <c r="I500" i="3"/>
  <c r="K26" i="7" s="1"/>
  <c r="H501" i="3"/>
  <c r="I501" i="3"/>
  <c r="K30" i="7" s="1"/>
  <c r="H502" i="3"/>
  <c r="I502" i="3"/>
  <c r="K19" i="7" s="1"/>
  <c r="H503" i="3"/>
  <c r="I503" i="3"/>
  <c r="K48" i="7" s="1"/>
  <c r="H504" i="3"/>
  <c r="I504" i="3"/>
  <c r="K49" i="7" s="1"/>
  <c r="H505" i="3"/>
  <c r="I505" i="3"/>
  <c r="K25" i="7" s="1"/>
  <c r="H506" i="3"/>
  <c r="I506" i="3"/>
  <c r="K22" i="7" s="1"/>
  <c r="H507" i="3"/>
  <c r="I507" i="3"/>
  <c r="K32" i="7" s="1"/>
  <c r="H508" i="3"/>
  <c r="I508" i="3"/>
  <c r="K42" i="7" s="1"/>
  <c r="H509" i="3"/>
  <c r="I509" i="3"/>
  <c r="K27" i="7" s="1"/>
  <c r="H510" i="3"/>
  <c r="I510" i="3"/>
  <c r="K23" i="7" s="1"/>
  <c r="H511" i="3"/>
  <c r="I511" i="3"/>
  <c r="K21" i="7" s="1"/>
  <c r="H512" i="3"/>
  <c r="I512" i="3"/>
  <c r="K46" i="7" s="1"/>
  <c r="H513" i="3"/>
  <c r="I513" i="3"/>
  <c r="K40" i="7" s="1"/>
  <c r="H514" i="3"/>
  <c r="I514" i="3"/>
  <c r="K35" i="7" s="1"/>
  <c r="H515" i="3"/>
  <c r="I515" i="3"/>
  <c r="K33" i="7" s="1"/>
  <c r="H516" i="3"/>
  <c r="I516" i="3"/>
  <c r="K34" i="7" s="1"/>
  <c r="H517" i="3"/>
  <c r="I517" i="3"/>
  <c r="K29" i="7" s="1"/>
  <c r="H518" i="3"/>
  <c r="I518" i="3"/>
  <c r="K24" i="7" s="1"/>
  <c r="H519" i="3"/>
  <c r="I519" i="3"/>
  <c r="K20" i="7" s="1"/>
  <c r="H520" i="3"/>
  <c r="I520" i="3"/>
  <c r="K44" i="7" s="1"/>
  <c r="H521" i="3"/>
  <c r="I521" i="3"/>
  <c r="K37" i="7" s="1"/>
  <c r="H522" i="3"/>
  <c r="I522" i="3"/>
  <c r="K31" i="7" s="1"/>
  <c r="H523" i="3"/>
  <c r="I523" i="3"/>
  <c r="K38" i="7" s="1"/>
  <c r="H524" i="3"/>
  <c r="I524" i="3"/>
  <c r="K47" i="7" s="1"/>
  <c r="H525" i="3"/>
  <c r="I525" i="3"/>
  <c r="K56" i="7" s="1"/>
  <c r="H526" i="3"/>
  <c r="L526" i="3" s="1"/>
  <c r="I526" i="3"/>
  <c r="H527" i="3"/>
  <c r="L527" i="3" s="1"/>
  <c r="I527" i="3"/>
  <c r="H528" i="3"/>
  <c r="L528" i="3" s="1"/>
  <c r="I528" i="3"/>
  <c r="H529" i="3"/>
  <c r="L529" i="3" s="1"/>
  <c r="I529" i="3"/>
  <c r="H530" i="3"/>
  <c r="L530" i="3" s="1"/>
  <c r="I530" i="3"/>
  <c r="H531" i="3"/>
  <c r="L531" i="3" s="1"/>
  <c r="I531" i="3"/>
  <c r="H532" i="3"/>
  <c r="L532" i="3" s="1"/>
  <c r="I532" i="3"/>
  <c r="H533" i="3"/>
  <c r="L533" i="3" s="1"/>
  <c r="I533" i="3"/>
  <c r="H534" i="3"/>
  <c r="L534" i="3" s="1"/>
  <c r="I534" i="3"/>
  <c r="H535" i="3"/>
  <c r="L535" i="3" s="1"/>
  <c r="I535" i="3"/>
  <c r="H536" i="3"/>
  <c r="L536" i="3" s="1"/>
  <c r="I536" i="3"/>
  <c r="H537" i="3"/>
  <c r="L537" i="3" s="1"/>
  <c r="I537" i="3"/>
  <c r="H538" i="3"/>
  <c r="L538" i="3" s="1"/>
  <c r="I538" i="3"/>
  <c r="H539" i="3"/>
  <c r="L539" i="3" s="1"/>
  <c r="I539" i="3"/>
  <c r="H540" i="3"/>
  <c r="L540" i="3" s="1"/>
  <c r="I540" i="3"/>
  <c r="H541" i="3"/>
  <c r="L541" i="3" s="1"/>
  <c r="I541" i="3"/>
  <c r="H542" i="3"/>
  <c r="L542" i="3" s="1"/>
  <c r="I542" i="3"/>
  <c r="H543" i="3"/>
  <c r="L543" i="3" s="1"/>
  <c r="I543" i="3"/>
  <c r="H544" i="3"/>
  <c r="L544" i="3" s="1"/>
  <c r="I544" i="3"/>
  <c r="H545" i="3"/>
  <c r="L545" i="3" s="1"/>
  <c r="I545" i="3"/>
  <c r="H546" i="3"/>
  <c r="L546" i="3" s="1"/>
  <c r="I546" i="3"/>
  <c r="H547" i="3"/>
  <c r="L547" i="3" s="1"/>
  <c r="I547" i="3"/>
  <c r="H548" i="3"/>
  <c r="L548" i="3" s="1"/>
  <c r="I548" i="3"/>
  <c r="H549" i="3"/>
  <c r="L549" i="3" s="1"/>
  <c r="I549" i="3"/>
  <c r="H550" i="3"/>
  <c r="L550" i="3" s="1"/>
  <c r="I550" i="3"/>
  <c r="H551" i="3"/>
  <c r="L551" i="3" s="1"/>
  <c r="I551" i="3"/>
  <c r="H552" i="3"/>
  <c r="L552" i="3" s="1"/>
  <c r="I552" i="3"/>
  <c r="H553" i="3"/>
  <c r="L553" i="3" s="1"/>
  <c r="I553" i="3"/>
  <c r="H554" i="3"/>
  <c r="L554" i="3" s="1"/>
  <c r="I554" i="3"/>
  <c r="H555" i="3"/>
  <c r="L555" i="3" s="1"/>
  <c r="I555" i="3"/>
  <c r="H556" i="3"/>
  <c r="L556" i="3" s="1"/>
  <c r="I556" i="3"/>
  <c r="H557" i="3"/>
  <c r="L557" i="3" s="1"/>
  <c r="I557" i="3"/>
  <c r="H558" i="3"/>
  <c r="L558" i="3" s="1"/>
  <c r="I558" i="3"/>
  <c r="H559" i="3"/>
  <c r="L559" i="3" s="1"/>
  <c r="I559" i="3"/>
  <c r="H560" i="3"/>
  <c r="L560" i="3" s="1"/>
  <c r="I560" i="3"/>
  <c r="H561" i="3"/>
  <c r="L561" i="3" s="1"/>
  <c r="I561" i="3"/>
  <c r="H562" i="3"/>
  <c r="L562" i="3" s="1"/>
  <c r="I562" i="3"/>
  <c r="H563" i="3"/>
  <c r="L563" i="3" s="1"/>
  <c r="I563" i="3"/>
  <c r="H564" i="3"/>
  <c r="L564" i="3" s="1"/>
  <c r="I564" i="3"/>
  <c r="H565" i="3"/>
  <c r="L565" i="3" s="1"/>
  <c r="I565" i="3"/>
  <c r="H566" i="3"/>
  <c r="L566" i="3" s="1"/>
  <c r="I566" i="3"/>
  <c r="H567" i="3"/>
  <c r="L567" i="3" s="1"/>
  <c r="I567" i="3"/>
  <c r="H568" i="3"/>
  <c r="L568" i="3" s="1"/>
  <c r="I568" i="3"/>
  <c r="H569" i="3"/>
  <c r="L569" i="3" s="1"/>
  <c r="I569" i="3"/>
  <c r="H570" i="3"/>
  <c r="L570" i="3" s="1"/>
  <c r="I570" i="3"/>
  <c r="H571" i="3"/>
  <c r="L571" i="3" s="1"/>
  <c r="I571" i="3"/>
  <c r="H572" i="3"/>
  <c r="L572" i="3" s="1"/>
  <c r="I572" i="3"/>
  <c r="H573" i="3"/>
  <c r="L573" i="3" s="1"/>
  <c r="I573" i="3"/>
  <c r="H574" i="3"/>
  <c r="L574" i="3" s="1"/>
  <c r="I574" i="3"/>
  <c r="H575" i="3"/>
  <c r="L575" i="3" s="1"/>
  <c r="I575" i="3"/>
  <c r="H576" i="3"/>
  <c r="L576" i="3" s="1"/>
  <c r="I576" i="3"/>
  <c r="H577" i="3"/>
  <c r="L577" i="3" s="1"/>
  <c r="I577" i="3"/>
  <c r="H578" i="3"/>
  <c r="L578" i="3" s="1"/>
  <c r="I578" i="3"/>
  <c r="H579" i="3"/>
  <c r="L579" i="3" s="1"/>
  <c r="I579" i="3"/>
  <c r="H580" i="3"/>
  <c r="L580" i="3" s="1"/>
  <c r="I580" i="3"/>
  <c r="H581" i="3"/>
  <c r="L581" i="3" s="1"/>
  <c r="I581" i="3"/>
  <c r="H582" i="3"/>
  <c r="L582" i="3" s="1"/>
  <c r="I582" i="3"/>
  <c r="H583" i="3"/>
  <c r="L583" i="3" s="1"/>
  <c r="I583" i="3"/>
  <c r="H584" i="3"/>
  <c r="L584" i="3" s="1"/>
  <c r="I584" i="3"/>
  <c r="H585" i="3"/>
  <c r="L585" i="3" s="1"/>
  <c r="I585" i="3"/>
  <c r="H586" i="3"/>
  <c r="L586" i="3" s="1"/>
  <c r="I586" i="3"/>
  <c r="H587" i="3"/>
  <c r="L587" i="3" s="1"/>
  <c r="I587" i="3"/>
  <c r="H588" i="3"/>
  <c r="L588" i="3" s="1"/>
  <c r="I588" i="3"/>
  <c r="H589" i="3"/>
  <c r="L589" i="3" s="1"/>
  <c r="I589" i="3"/>
  <c r="H590" i="3"/>
  <c r="L590" i="3" s="1"/>
  <c r="I590" i="3"/>
  <c r="H591" i="3"/>
  <c r="L591" i="3" s="1"/>
  <c r="I591" i="3"/>
  <c r="H592" i="3"/>
  <c r="L592" i="3" s="1"/>
  <c r="I592" i="3"/>
  <c r="H593" i="3"/>
  <c r="L593" i="3" s="1"/>
  <c r="I593" i="3"/>
  <c r="H594" i="3"/>
  <c r="L594" i="3" s="1"/>
  <c r="I594" i="3"/>
  <c r="H595" i="3"/>
  <c r="L595" i="3" s="1"/>
  <c r="I595" i="3"/>
  <c r="H596" i="3"/>
  <c r="L596" i="3" s="1"/>
  <c r="I596" i="3"/>
  <c r="H597" i="3"/>
  <c r="L597" i="3" s="1"/>
  <c r="I597" i="3"/>
  <c r="H598" i="3"/>
  <c r="L598" i="3" s="1"/>
  <c r="I598" i="3"/>
  <c r="H599" i="3"/>
  <c r="L599" i="3" s="1"/>
  <c r="I599" i="3"/>
  <c r="H600" i="3"/>
  <c r="L600" i="3" s="1"/>
  <c r="I600" i="3"/>
  <c r="H601" i="3"/>
  <c r="L601" i="3" s="1"/>
  <c r="I601" i="3"/>
  <c r="H602" i="3"/>
  <c r="L602" i="3" s="1"/>
  <c r="I602" i="3"/>
  <c r="H603" i="3"/>
  <c r="L603" i="3" s="1"/>
  <c r="I603" i="3"/>
  <c r="H604" i="3"/>
  <c r="L604" i="3" s="1"/>
  <c r="I604" i="3"/>
  <c r="H605" i="3"/>
  <c r="L605" i="3" s="1"/>
  <c r="I605" i="3"/>
  <c r="H606" i="3"/>
  <c r="L606" i="3" s="1"/>
  <c r="I606" i="3"/>
  <c r="H607" i="3"/>
  <c r="L607" i="3" s="1"/>
  <c r="I607" i="3"/>
  <c r="H608" i="3"/>
  <c r="L608" i="3" s="1"/>
  <c r="I608" i="3"/>
  <c r="H609" i="3"/>
  <c r="L609" i="3" s="1"/>
  <c r="I609" i="3"/>
  <c r="H610" i="3"/>
  <c r="L610" i="3" s="1"/>
  <c r="I610" i="3"/>
  <c r="H611" i="3"/>
  <c r="L611" i="3" s="1"/>
  <c r="I611" i="3"/>
  <c r="H612" i="3"/>
  <c r="L612" i="3" s="1"/>
  <c r="I612" i="3"/>
  <c r="H613" i="3"/>
  <c r="L613" i="3" s="1"/>
  <c r="I613" i="3"/>
  <c r="H614" i="3"/>
  <c r="L614" i="3" s="1"/>
  <c r="I614" i="3"/>
  <c r="H615" i="3"/>
  <c r="L615" i="3" s="1"/>
  <c r="I615" i="3"/>
  <c r="H616" i="3"/>
  <c r="L616" i="3" s="1"/>
  <c r="I616" i="3"/>
  <c r="H617" i="3"/>
  <c r="L617" i="3" s="1"/>
  <c r="I617" i="3"/>
  <c r="H618" i="3"/>
  <c r="L618" i="3" s="1"/>
  <c r="I618" i="3"/>
  <c r="H619" i="3"/>
  <c r="L619" i="3" s="1"/>
  <c r="I619" i="3"/>
  <c r="H620" i="3"/>
  <c r="L620" i="3" s="1"/>
  <c r="I620" i="3"/>
  <c r="H621" i="3"/>
  <c r="L621" i="3" s="1"/>
  <c r="I621" i="3"/>
  <c r="H622" i="3"/>
  <c r="L622" i="3" s="1"/>
  <c r="I622" i="3"/>
  <c r="H623" i="3"/>
  <c r="L623" i="3" s="1"/>
  <c r="I623" i="3"/>
  <c r="H624" i="3"/>
  <c r="L624" i="3" s="1"/>
  <c r="I624" i="3"/>
  <c r="H625" i="3"/>
  <c r="L625" i="3" s="1"/>
  <c r="I625" i="3"/>
  <c r="H626" i="3"/>
  <c r="I626" i="3"/>
  <c r="K84" i="7" s="1"/>
  <c r="H627" i="3"/>
  <c r="I627" i="3"/>
  <c r="K88" i="7" s="1"/>
  <c r="H628" i="3"/>
  <c r="I628" i="3"/>
  <c r="K85" i="7" s="1"/>
  <c r="H629" i="3"/>
  <c r="I629" i="3"/>
  <c r="K86" i="7" s="1"/>
  <c r="H630" i="3"/>
  <c r="I630" i="3"/>
  <c r="K79" i="7" s="1"/>
  <c r="H631" i="3"/>
  <c r="I631" i="3"/>
  <c r="K95" i="7" s="1"/>
  <c r="H632" i="3"/>
  <c r="I632" i="3"/>
  <c r="K76" i="7" s="1"/>
  <c r="H633" i="3"/>
  <c r="I633" i="3"/>
  <c r="K75" i="7" s="1"/>
  <c r="H634" i="3"/>
  <c r="I634" i="3"/>
  <c r="K94" i="7" s="1"/>
  <c r="H635" i="3"/>
  <c r="I635" i="3"/>
  <c r="K103" i="7" s="1"/>
  <c r="H636" i="3"/>
  <c r="I636" i="3"/>
  <c r="K93" i="7" s="1"/>
  <c r="H637" i="3"/>
  <c r="I637" i="3"/>
  <c r="K92" i="7" s="1"/>
  <c r="H638" i="3"/>
  <c r="I638" i="3"/>
  <c r="K80" i="7" s="1"/>
  <c r="H639" i="3"/>
  <c r="I639" i="3"/>
  <c r="K100" i="7" s="1"/>
  <c r="H640" i="3"/>
  <c r="I640" i="3"/>
  <c r="K77" i="7" s="1"/>
  <c r="H641" i="3"/>
  <c r="I641" i="3"/>
  <c r="K90" i="7" s="1"/>
  <c r="H642" i="3"/>
  <c r="I642" i="3"/>
  <c r="K91" i="7" s="1"/>
  <c r="H643" i="3"/>
  <c r="I643" i="3"/>
  <c r="K73" i="7" s="1"/>
  <c r="H644" i="3"/>
  <c r="I644" i="3"/>
  <c r="K99" i="7" s="1"/>
  <c r="H645" i="3"/>
  <c r="I645" i="3"/>
  <c r="K101" i="7" s="1"/>
  <c r="H646" i="3"/>
  <c r="I646" i="3"/>
  <c r="K96" i="7" s="1"/>
  <c r="H647" i="3"/>
  <c r="I647" i="3"/>
  <c r="K71" i="7" s="1"/>
  <c r="H648" i="3"/>
  <c r="I648" i="3"/>
  <c r="K89" i="7" s="1"/>
  <c r="H649" i="3"/>
  <c r="I649" i="3"/>
  <c r="K81" i="7" s="1"/>
  <c r="H650" i="3"/>
  <c r="I650" i="3"/>
  <c r="K78" i="7" s="1"/>
  <c r="H651" i="3"/>
  <c r="I651" i="3"/>
  <c r="K74" i="7" s="1"/>
  <c r="H652" i="3"/>
  <c r="I652" i="3"/>
  <c r="K87" i="7" s="1"/>
  <c r="H653" i="3"/>
  <c r="I653" i="3"/>
  <c r="K72" i="7" s="1"/>
  <c r="H654" i="3"/>
  <c r="I654" i="3"/>
  <c r="K83" i="7" s="1"/>
  <c r="H655" i="3"/>
  <c r="I655" i="3"/>
  <c r="K102" i="7" s="1"/>
  <c r="H656" i="3"/>
  <c r="I656" i="3"/>
  <c r="K82" i="7" s="1"/>
  <c r="H657" i="3"/>
  <c r="I657" i="3"/>
  <c r="K98" i="7" s="1"/>
  <c r="H658" i="3"/>
  <c r="I658" i="3"/>
  <c r="K97" i="7" s="1"/>
  <c r="H659" i="3"/>
  <c r="L659" i="3" s="1"/>
  <c r="I659" i="3"/>
  <c r="H660" i="3"/>
  <c r="L660" i="3" s="1"/>
  <c r="I660" i="3"/>
  <c r="H661" i="3"/>
  <c r="L661" i="3" s="1"/>
  <c r="I661" i="3"/>
  <c r="H662" i="3"/>
  <c r="L662" i="3" s="1"/>
  <c r="I662" i="3"/>
  <c r="H663" i="3"/>
  <c r="L663" i="3" s="1"/>
  <c r="I663" i="3"/>
  <c r="H664" i="3"/>
  <c r="L664" i="3" s="1"/>
  <c r="I664" i="3"/>
  <c r="H665" i="3"/>
  <c r="L665" i="3" s="1"/>
  <c r="I665" i="3"/>
  <c r="H666" i="3"/>
  <c r="L666" i="3" s="1"/>
  <c r="I666" i="3"/>
  <c r="H667" i="3"/>
  <c r="L667" i="3" s="1"/>
  <c r="I667" i="3"/>
  <c r="H668" i="3"/>
  <c r="L668" i="3" s="1"/>
  <c r="I668" i="3"/>
  <c r="H669" i="3"/>
  <c r="L669" i="3" s="1"/>
  <c r="I669" i="3"/>
  <c r="H670" i="3"/>
  <c r="L670" i="3" s="1"/>
  <c r="I670" i="3"/>
  <c r="H671" i="3"/>
  <c r="L671" i="3" s="1"/>
  <c r="I671" i="3"/>
  <c r="H672" i="3"/>
  <c r="L672" i="3" s="1"/>
  <c r="I672" i="3"/>
  <c r="H673" i="3"/>
  <c r="L673" i="3" s="1"/>
  <c r="I673" i="3"/>
  <c r="H674" i="3"/>
  <c r="L674" i="3" s="1"/>
  <c r="I674" i="3"/>
  <c r="H675" i="3"/>
  <c r="L675" i="3" s="1"/>
  <c r="I675" i="3"/>
  <c r="H676" i="3"/>
  <c r="L676" i="3" s="1"/>
  <c r="I676" i="3"/>
  <c r="H677" i="3"/>
  <c r="L677" i="3" s="1"/>
  <c r="I677" i="3"/>
  <c r="H678" i="3"/>
  <c r="L678" i="3" s="1"/>
  <c r="I678" i="3"/>
  <c r="H679" i="3"/>
  <c r="L679" i="3" s="1"/>
  <c r="I679" i="3"/>
  <c r="H680" i="3"/>
  <c r="L680" i="3" s="1"/>
  <c r="I680" i="3"/>
  <c r="H681" i="3"/>
  <c r="L681" i="3" s="1"/>
  <c r="I681" i="3"/>
  <c r="H682" i="3"/>
  <c r="L682" i="3" s="1"/>
  <c r="I682" i="3"/>
  <c r="H683" i="3"/>
  <c r="L683" i="3" s="1"/>
  <c r="I683" i="3"/>
  <c r="H684" i="3"/>
  <c r="L684" i="3" s="1"/>
  <c r="I684" i="3"/>
  <c r="H685" i="3"/>
  <c r="L685" i="3" s="1"/>
  <c r="I685" i="3"/>
  <c r="H686" i="3"/>
  <c r="L686" i="3" s="1"/>
  <c r="I686" i="3"/>
  <c r="H687" i="3"/>
  <c r="L687" i="3" s="1"/>
  <c r="I687" i="3"/>
  <c r="H688" i="3"/>
  <c r="L688" i="3" s="1"/>
  <c r="I688" i="3"/>
  <c r="H689" i="3"/>
  <c r="L689" i="3" s="1"/>
  <c r="I689" i="3"/>
  <c r="H690" i="3"/>
  <c r="L690" i="3" s="1"/>
  <c r="I690" i="3"/>
  <c r="H691" i="3"/>
  <c r="L691" i="3" s="1"/>
  <c r="I691" i="3"/>
  <c r="H692" i="3"/>
  <c r="L692" i="3" s="1"/>
  <c r="I692" i="3"/>
  <c r="I7" i="3"/>
  <c r="K126" i="7" s="1"/>
  <c r="H7" i="3"/>
  <c r="J126" i="7" s="1"/>
  <c r="X4" i="10" l="1"/>
  <c r="D103" i="10"/>
  <c r="D99" i="10"/>
  <c r="D95" i="10"/>
  <c r="D91" i="10"/>
  <c r="D87" i="10"/>
  <c r="D83" i="10"/>
  <c r="D79" i="10"/>
  <c r="D75" i="10"/>
  <c r="D58" i="10"/>
  <c r="D54" i="10"/>
  <c r="D50" i="10"/>
  <c r="D46" i="10"/>
  <c r="D42" i="10"/>
  <c r="D38" i="10"/>
  <c r="D34" i="10"/>
  <c r="D30" i="10"/>
  <c r="D26" i="10"/>
  <c r="D22" i="10"/>
  <c r="D171" i="10"/>
  <c r="D167" i="10"/>
  <c r="D163" i="10"/>
  <c r="D159" i="10"/>
  <c r="D15" i="10"/>
  <c r="D12" i="10"/>
  <c r="D8" i="10"/>
  <c r="D71" i="10"/>
  <c r="D67" i="10"/>
  <c r="D63" i="10"/>
  <c r="D154" i="10"/>
  <c r="D150" i="10"/>
  <c r="D147" i="10"/>
  <c r="D143" i="10"/>
  <c r="D139" i="10"/>
  <c r="D135" i="10"/>
  <c r="D131" i="10"/>
  <c r="D127" i="10"/>
  <c r="D123" i="10"/>
  <c r="D119" i="10"/>
  <c r="D115" i="10"/>
  <c r="D111" i="10"/>
  <c r="E106" i="10"/>
  <c r="E102" i="10"/>
  <c r="E98" i="10"/>
  <c r="E94" i="10"/>
  <c r="E90" i="10"/>
  <c r="E86" i="10"/>
  <c r="E82" i="10"/>
  <c r="E78" i="10"/>
  <c r="E74" i="10"/>
  <c r="E57" i="10"/>
  <c r="E53" i="10"/>
  <c r="E49" i="10"/>
  <c r="E45" i="10"/>
  <c r="E41" i="10"/>
  <c r="E37" i="10"/>
  <c r="E33" i="10"/>
  <c r="E29" i="10"/>
  <c r="E164" i="10"/>
  <c r="E160" i="10"/>
  <c r="E19" i="10"/>
  <c r="E16" i="10"/>
  <c r="E13" i="10"/>
  <c r="E9" i="10"/>
  <c r="E72" i="10"/>
  <c r="E68" i="10"/>
  <c r="E64" i="10"/>
  <c r="E155" i="10"/>
  <c r="E151" i="10"/>
  <c r="E148" i="10"/>
  <c r="E144" i="10"/>
  <c r="E140" i="10"/>
  <c r="E136" i="10"/>
  <c r="E132" i="10"/>
  <c r="E128" i="10"/>
  <c r="E124" i="10"/>
  <c r="E120" i="10"/>
  <c r="E116" i="10"/>
  <c r="E112" i="10"/>
  <c r="E108" i="10"/>
  <c r="O4" i="10"/>
  <c r="U3" i="10"/>
  <c r="X3" i="10"/>
  <c r="D104" i="10"/>
  <c r="D96" i="10"/>
  <c r="D88" i="10"/>
  <c r="D84" i="10"/>
  <c r="D76" i="10"/>
  <c r="D51" i="10"/>
  <c r="D47" i="10"/>
  <c r="D39" i="10"/>
  <c r="D31" i="10"/>
  <c r="D172" i="10"/>
  <c r="D164" i="10"/>
  <c r="D19" i="10"/>
  <c r="D16" i="10"/>
  <c r="D9" i="10"/>
  <c r="D72" i="10"/>
  <c r="D64" i="10"/>
  <c r="D151" i="10"/>
  <c r="D144" i="10"/>
  <c r="D140" i="10"/>
  <c r="D132" i="10"/>
  <c r="D128" i="10"/>
  <c r="D120" i="10"/>
  <c r="D116" i="10"/>
  <c r="D108" i="10"/>
  <c r="E103" i="10"/>
  <c r="E91" i="10"/>
  <c r="E83" i="10"/>
  <c r="E75" i="10"/>
  <c r="E58" i="10"/>
  <c r="E46" i="10"/>
  <c r="E38" i="10"/>
  <c r="E165" i="10"/>
  <c r="E157" i="10"/>
  <c r="E10" i="10"/>
  <c r="E69" i="10"/>
  <c r="E61" i="10"/>
  <c r="E149" i="10"/>
  <c r="D106" i="10"/>
  <c r="D102" i="10"/>
  <c r="D98" i="10"/>
  <c r="D94" i="10"/>
  <c r="D90" i="10"/>
  <c r="D86" i="10"/>
  <c r="D82" i="10"/>
  <c r="D78" i="10"/>
  <c r="D74" i="10"/>
  <c r="D57" i="10"/>
  <c r="D53" i="10"/>
  <c r="D49" i="10"/>
  <c r="D45" i="10"/>
  <c r="D41" i="10"/>
  <c r="D37" i="10"/>
  <c r="D33" i="10"/>
  <c r="D29" i="10"/>
  <c r="D25" i="10"/>
  <c r="D21" i="10"/>
  <c r="D170" i="10"/>
  <c r="D166" i="10"/>
  <c r="D162" i="10"/>
  <c r="D158" i="10"/>
  <c r="D18" i="10"/>
  <c r="D11" i="10"/>
  <c r="D7" i="10"/>
  <c r="D70" i="10"/>
  <c r="D66" i="10"/>
  <c r="D62" i="10"/>
  <c r="D153" i="10"/>
  <c r="D146" i="10"/>
  <c r="D142" i="10"/>
  <c r="D138" i="10"/>
  <c r="D134" i="10"/>
  <c r="D130" i="10"/>
  <c r="D126" i="10"/>
  <c r="D122" i="10"/>
  <c r="D118" i="10"/>
  <c r="D114" i="10"/>
  <c r="D110" i="10"/>
  <c r="E105" i="10"/>
  <c r="E101" i="10"/>
  <c r="E97" i="10"/>
  <c r="E93" i="10"/>
  <c r="E89" i="10"/>
  <c r="E85" i="10"/>
  <c r="E81" i="10"/>
  <c r="E77" i="10"/>
  <c r="E60" i="10"/>
  <c r="E56" i="10"/>
  <c r="E52" i="10"/>
  <c r="E48" i="10"/>
  <c r="E44" i="10"/>
  <c r="E40" i="10"/>
  <c r="E36" i="10"/>
  <c r="E32" i="10"/>
  <c r="E28" i="10"/>
  <c r="E163" i="10"/>
  <c r="E159" i="10"/>
  <c r="E15" i="10"/>
  <c r="E12" i="10"/>
  <c r="E8" i="10"/>
  <c r="E71" i="10"/>
  <c r="E67" i="10"/>
  <c r="E63" i="10"/>
  <c r="E154" i="10"/>
  <c r="E150" i="10"/>
  <c r="E147" i="10"/>
  <c r="E143" i="10"/>
  <c r="E139" i="10"/>
  <c r="E135" i="10"/>
  <c r="E131" i="10"/>
  <c r="E127" i="10"/>
  <c r="E123" i="10"/>
  <c r="E119" i="10"/>
  <c r="E115" i="10"/>
  <c r="E111" i="10"/>
  <c r="F2" i="10"/>
  <c r="F4" i="10"/>
  <c r="N4" i="10"/>
  <c r="P4" i="10"/>
  <c r="L4" i="10"/>
  <c r="M2" i="10"/>
  <c r="T3" i="10"/>
  <c r="S3" i="10"/>
  <c r="S4" i="10"/>
  <c r="D100" i="10"/>
  <c r="D92" i="10"/>
  <c r="D80" i="10"/>
  <c r="D59" i="10"/>
  <c r="D55" i="10"/>
  <c r="D43" i="10"/>
  <c r="D35" i="10"/>
  <c r="D27" i="10"/>
  <c r="D23" i="10"/>
  <c r="D168" i="10"/>
  <c r="D160" i="10"/>
  <c r="D13" i="10"/>
  <c r="D68" i="10"/>
  <c r="D155" i="10"/>
  <c r="D148" i="10"/>
  <c r="D136" i="10"/>
  <c r="D124" i="10"/>
  <c r="D112" i="10"/>
  <c r="E99" i="10"/>
  <c r="E95" i="10"/>
  <c r="E87" i="10"/>
  <c r="E79" i="10"/>
  <c r="E54" i="10"/>
  <c r="E50" i="10"/>
  <c r="E42" i="10"/>
  <c r="E34" i="10"/>
  <c r="E30" i="10"/>
  <c r="E161" i="10"/>
  <c r="E17" i="10"/>
  <c r="E14" i="10"/>
  <c r="E73" i="10"/>
  <c r="E65" i="10"/>
  <c r="E152" i="10"/>
  <c r="D105" i="10"/>
  <c r="D101" i="10"/>
  <c r="D97" i="10"/>
  <c r="D93" i="10"/>
  <c r="D89" i="10"/>
  <c r="D85" i="10"/>
  <c r="D81" i="10"/>
  <c r="D77" i="10"/>
  <c r="D60" i="10"/>
  <c r="D56" i="10"/>
  <c r="D52" i="10"/>
  <c r="D48" i="10"/>
  <c r="D44" i="10"/>
  <c r="D40" i="10"/>
  <c r="D36" i="10"/>
  <c r="D32" i="10"/>
  <c r="D28" i="10"/>
  <c r="D24" i="10"/>
  <c r="D173" i="10"/>
  <c r="D169" i="10"/>
  <c r="D165" i="10"/>
  <c r="D161" i="10"/>
  <c r="D157" i="10"/>
  <c r="D17" i="10"/>
  <c r="D14" i="10"/>
  <c r="D10" i="10"/>
  <c r="D73" i="10"/>
  <c r="D69" i="10"/>
  <c r="D65" i="10"/>
  <c r="D61" i="10"/>
  <c r="D152" i="10"/>
  <c r="D149" i="10"/>
  <c r="D145" i="10"/>
  <c r="D141" i="10"/>
  <c r="D137" i="10"/>
  <c r="D133" i="10"/>
  <c r="D129" i="10"/>
  <c r="D125" i="10"/>
  <c r="D121" i="10"/>
  <c r="D117" i="10"/>
  <c r="D113" i="10"/>
  <c r="D109" i="10"/>
  <c r="E104" i="10"/>
  <c r="E100" i="10"/>
  <c r="E96" i="10"/>
  <c r="E92" i="10"/>
  <c r="E88" i="10"/>
  <c r="E84" i="10"/>
  <c r="E80" i="10"/>
  <c r="E76" i="10"/>
  <c r="E59" i="10"/>
  <c r="E55" i="10"/>
  <c r="E51" i="10"/>
  <c r="E47" i="10"/>
  <c r="E43" i="10"/>
  <c r="E39" i="10"/>
  <c r="E35" i="10"/>
  <c r="E31" i="10"/>
  <c r="E27" i="10"/>
  <c r="E162" i="10"/>
  <c r="E158" i="10"/>
  <c r="E18" i="10"/>
  <c r="E11" i="10"/>
  <c r="E7" i="10"/>
  <c r="E2" i="10" s="1"/>
  <c r="E70" i="10"/>
  <c r="E66" i="10"/>
  <c r="E62" i="10"/>
  <c r="E153" i="10"/>
  <c r="E146" i="10"/>
  <c r="E142" i="10"/>
  <c r="E138" i="10"/>
  <c r="E134" i="10"/>
  <c r="E130" i="10"/>
  <c r="E126" i="10"/>
  <c r="E122" i="10"/>
  <c r="E118" i="10"/>
  <c r="E114" i="10"/>
  <c r="E110" i="10"/>
  <c r="F3" i="10"/>
  <c r="G3" i="10"/>
  <c r="O2" i="10"/>
  <c r="P2" i="10"/>
  <c r="U4" i="10"/>
  <c r="L2" i="10"/>
  <c r="M3" i="10"/>
  <c r="T4" i="10"/>
  <c r="E145" i="10"/>
  <c r="E141" i="10"/>
  <c r="E137" i="10"/>
  <c r="E133" i="10"/>
  <c r="E129" i="10"/>
  <c r="E125" i="10"/>
  <c r="E121" i="10"/>
  <c r="E117" i="10"/>
  <c r="E113" i="10"/>
  <c r="E109" i="10"/>
  <c r="G4" i="10"/>
  <c r="N2" i="10"/>
  <c r="O3" i="10"/>
  <c r="P3" i="10"/>
  <c r="L3" i="10"/>
  <c r="M4" i="10"/>
  <c r="S2" i="10"/>
  <c r="V2" i="10"/>
  <c r="L653" i="3"/>
  <c r="J72" i="7"/>
  <c r="L645" i="3"/>
  <c r="J101" i="7"/>
  <c r="L641" i="3"/>
  <c r="J90" i="7"/>
  <c r="L633" i="3"/>
  <c r="J75" i="7"/>
  <c r="L629" i="3"/>
  <c r="J86" i="7"/>
  <c r="L656" i="3"/>
  <c r="J82" i="7"/>
  <c r="L652" i="3"/>
  <c r="J87" i="7"/>
  <c r="L648" i="3"/>
  <c r="J89" i="7"/>
  <c r="L644" i="3"/>
  <c r="J99" i="7"/>
  <c r="L640" i="3"/>
  <c r="J77" i="7"/>
  <c r="L636" i="3"/>
  <c r="J93" i="7"/>
  <c r="L632" i="3"/>
  <c r="J76" i="7"/>
  <c r="L628" i="3"/>
  <c r="J85" i="7"/>
  <c r="L524" i="3"/>
  <c r="J47" i="7"/>
  <c r="L520" i="3"/>
  <c r="J44" i="7"/>
  <c r="L516" i="3"/>
  <c r="J34" i="7"/>
  <c r="L512" i="3"/>
  <c r="J46" i="7"/>
  <c r="L508" i="3"/>
  <c r="J42" i="7"/>
  <c r="L504" i="3"/>
  <c r="J49" i="7"/>
  <c r="L500" i="3"/>
  <c r="J26" i="7"/>
  <c r="L496" i="3"/>
  <c r="J45" i="7"/>
  <c r="L492" i="3"/>
  <c r="J53" i="7"/>
  <c r="L440" i="3"/>
  <c r="J18" i="7"/>
  <c r="L380" i="3"/>
  <c r="J144" i="7"/>
  <c r="L376" i="3"/>
  <c r="J166" i="7"/>
  <c r="L372" i="3"/>
  <c r="J153" i="7"/>
  <c r="L368" i="3"/>
  <c r="J154" i="7"/>
  <c r="L340" i="3"/>
  <c r="J7" i="7"/>
  <c r="L336" i="3"/>
  <c r="J14" i="7"/>
  <c r="L332" i="3"/>
  <c r="J4" i="7"/>
  <c r="L324" i="3"/>
  <c r="J17" i="7"/>
  <c r="L192" i="3"/>
  <c r="J60" i="7"/>
  <c r="L188" i="3"/>
  <c r="J64" i="7"/>
  <c r="L184" i="3"/>
  <c r="J67" i="7"/>
  <c r="L180" i="3"/>
  <c r="J62" i="7"/>
  <c r="L56" i="3"/>
  <c r="J105" i="7"/>
  <c r="V40" i="3"/>
  <c r="J125" i="7"/>
  <c r="Z32" i="3"/>
  <c r="J120" i="7"/>
  <c r="AA20" i="3"/>
  <c r="J161" i="7"/>
  <c r="L657" i="3"/>
  <c r="J98" i="7"/>
  <c r="L649" i="3"/>
  <c r="J81" i="7"/>
  <c r="L637" i="3"/>
  <c r="J92" i="7"/>
  <c r="L11" i="3"/>
  <c r="J129" i="7"/>
  <c r="L655" i="3"/>
  <c r="J102" i="7"/>
  <c r="L651" i="3"/>
  <c r="J74" i="7"/>
  <c r="L647" i="3"/>
  <c r="J71" i="7"/>
  <c r="L643" i="3"/>
  <c r="J73" i="7"/>
  <c r="L639" i="3"/>
  <c r="J100" i="7"/>
  <c r="L635" i="3"/>
  <c r="J103" i="7"/>
  <c r="L631" i="3"/>
  <c r="J95" i="7"/>
  <c r="L627" i="3"/>
  <c r="J88" i="7"/>
  <c r="L523" i="3"/>
  <c r="J38" i="7"/>
  <c r="L519" i="3"/>
  <c r="J20" i="7"/>
  <c r="L515" i="3"/>
  <c r="J33" i="7"/>
  <c r="L511" i="3"/>
  <c r="J21" i="7"/>
  <c r="L507" i="3"/>
  <c r="J32" i="7"/>
  <c r="L503" i="3"/>
  <c r="J48" i="7"/>
  <c r="L499" i="3"/>
  <c r="J51" i="7"/>
  <c r="L495" i="3"/>
  <c r="J41" i="7"/>
  <c r="L491" i="3"/>
  <c r="J39" i="7"/>
  <c r="L443" i="3"/>
  <c r="J52" i="7"/>
  <c r="L379" i="3"/>
  <c r="J160" i="7"/>
  <c r="L375" i="3"/>
  <c r="J162" i="7"/>
  <c r="L371" i="3"/>
  <c r="J150" i="7"/>
  <c r="L367" i="3"/>
  <c r="J131" i="7"/>
  <c r="L335" i="3"/>
  <c r="J3" i="7"/>
  <c r="L331" i="3"/>
  <c r="J15" i="7"/>
  <c r="L327" i="3"/>
  <c r="J11" i="7"/>
  <c r="L191" i="3"/>
  <c r="J66" i="7"/>
  <c r="L187" i="3"/>
  <c r="J68" i="7"/>
  <c r="L183" i="3"/>
  <c r="J61" i="7"/>
  <c r="L55" i="3"/>
  <c r="J138" i="7"/>
  <c r="L51" i="3"/>
  <c r="J115" i="7"/>
  <c r="L47" i="3"/>
  <c r="J147" i="7"/>
  <c r="L43" i="3"/>
  <c r="J135" i="7"/>
  <c r="L39" i="3"/>
  <c r="J117" i="7"/>
  <c r="L27" i="3"/>
  <c r="J112" i="7"/>
  <c r="L19" i="3"/>
  <c r="J124" i="7"/>
  <c r="L654" i="3"/>
  <c r="J83" i="7"/>
  <c r="L646" i="3"/>
  <c r="J96" i="7"/>
  <c r="L638" i="3"/>
  <c r="J80" i="7"/>
  <c r="L518" i="3"/>
  <c r="J24" i="7"/>
  <c r="L510" i="3"/>
  <c r="J23" i="7"/>
  <c r="L502" i="3"/>
  <c r="J19" i="7"/>
  <c r="L442" i="3"/>
  <c r="J55" i="7"/>
  <c r="L382" i="3"/>
  <c r="J159" i="7"/>
  <c r="L378" i="3"/>
  <c r="J157" i="7"/>
  <c r="L374" i="3"/>
  <c r="J163" i="7"/>
  <c r="L370" i="3"/>
  <c r="J132" i="7"/>
  <c r="L366" i="3"/>
  <c r="J151" i="7"/>
  <c r="L338" i="3"/>
  <c r="J2" i="7"/>
  <c r="L330" i="3"/>
  <c r="J16" i="7"/>
  <c r="L326" i="3"/>
  <c r="J13" i="7"/>
  <c r="L658" i="3"/>
  <c r="J97" i="7"/>
  <c r="L650" i="3"/>
  <c r="J78" i="7"/>
  <c r="L642" i="3"/>
  <c r="J91" i="7"/>
  <c r="L634" i="3"/>
  <c r="J94" i="7"/>
  <c r="L630" i="3"/>
  <c r="J79" i="7"/>
  <c r="L626" i="3"/>
  <c r="J84" i="7"/>
  <c r="L522" i="3"/>
  <c r="J31" i="7"/>
  <c r="L514" i="3"/>
  <c r="J35" i="7"/>
  <c r="L506" i="3"/>
  <c r="J22" i="7"/>
  <c r="L498" i="3"/>
  <c r="J43" i="7"/>
  <c r="L494" i="3"/>
  <c r="J54" i="7"/>
  <c r="L490" i="3"/>
  <c r="J50" i="7"/>
  <c r="L334" i="3"/>
  <c r="J6" i="7"/>
  <c r="L190" i="3"/>
  <c r="J58" i="7"/>
  <c r="L186" i="3"/>
  <c r="J65" i="7"/>
  <c r="L182" i="3"/>
  <c r="J63" i="7"/>
  <c r="V34" i="3"/>
  <c r="J133" i="7"/>
  <c r="L9" i="3"/>
  <c r="J145" i="7"/>
  <c r="L525" i="3"/>
  <c r="J56" i="7"/>
  <c r="L521" i="3"/>
  <c r="J37" i="7"/>
  <c r="L517" i="3"/>
  <c r="J29" i="7"/>
  <c r="L513" i="3"/>
  <c r="J40" i="7"/>
  <c r="L509" i="3"/>
  <c r="J27" i="7"/>
  <c r="L505" i="3"/>
  <c r="J25" i="7"/>
  <c r="L501" i="3"/>
  <c r="J30" i="7"/>
  <c r="L497" i="3"/>
  <c r="J36" i="7"/>
  <c r="L493" i="3"/>
  <c r="J57" i="7"/>
  <c r="L441" i="3"/>
  <c r="J28" i="7"/>
  <c r="L381" i="3"/>
  <c r="J156" i="7"/>
  <c r="L377" i="3"/>
  <c r="J142" i="7"/>
  <c r="L373" i="3"/>
  <c r="J167" i="7"/>
  <c r="L369" i="3"/>
  <c r="J155" i="7"/>
  <c r="L365" i="3"/>
  <c r="J143" i="7"/>
  <c r="L341" i="3"/>
  <c r="J8" i="7"/>
  <c r="L337" i="3"/>
  <c r="J10" i="7"/>
  <c r="L333" i="3"/>
  <c r="J9" i="7"/>
  <c r="L329" i="3"/>
  <c r="J5" i="7"/>
  <c r="L325" i="3"/>
  <c r="J12" i="7"/>
  <c r="L189" i="3"/>
  <c r="J69" i="7"/>
  <c r="L185" i="3"/>
  <c r="J59" i="7"/>
  <c r="L181" i="3"/>
  <c r="J70" i="7"/>
  <c r="L53" i="3"/>
  <c r="J165" i="7"/>
  <c r="L49" i="3"/>
  <c r="J141" i="7"/>
  <c r="L45" i="3"/>
  <c r="J139" i="7"/>
  <c r="L41" i="3"/>
  <c r="J123" i="7"/>
  <c r="L37" i="3"/>
  <c r="J158" i="7"/>
  <c r="L21" i="3"/>
  <c r="J121" i="7"/>
  <c r="L17" i="3"/>
  <c r="J152" i="7"/>
  <c r="L13" i="3"/>
  <c r="J164" i="7"/>
  <c r="AA9" i="3"/>
  <c r="U42" i="3"/>
  <c r="U54" i="3"/>
  <c r="Z44" i="3"/>
  <c r="Z38" i="3"/>
  <c r="U46" i="3"/>
  <c r="Z50" i="3"/>
  <c r="V48" i="3"/>
  <c r="L35" i="3"/>
  <c r="V35" i="3"/>
  <c r="L33" i="3"/>
  <c r="L31" i="3"/>
  <c r="L29" i="3"/>
  <c r="L25" i="3"/>
  <c r="AA25" i="3"/>
  <c r="L23" i="3"/>
  <c r="AA23" i="3"/>
  <c r="L15" i="3"/>
  <c r="AA15" i="3"/>
  <c r="Z51" i="3"/>
  <c r="U49" i="3"/>
  <c r="Z41" i="3"/>
  <c r="V37" i="3"/>
  <c r="L10" i="3"/>
  <c r="AA10" i="3"/>
  <c r="L8" i="3"/>
  <c r="AA8" i="3"/>
  <c r="Z53" i="3"/>
  <c r="Z52" i="3"/>
  <c r="U51" i="3"/>
  <c r="V50" i="3"/>
  <c r="U48" i="3"/>
  <c r="Z45" i="3"/>
  <c r="Y44" i="3"/>
  <c r="U40" i="3"/>
  <c r="V38" i="3"/>
  <c r="Z36" i="3"/>
  <c r="AA7" i="3"/>
  <c r="L54" i="3"/>
  <c r="L52" i="3"/>
  <c r="L50" i="3"/>
  <c r="L48" i="3"/>
  <c r="L46" i="3"/>
  <c r="L44" i="3"/>
  <c r="L42" i="3"/>
  <c r="L40" i="3"/>
  <c r="L38" i="3"/>
  <c r="L36" i="3"/>
  <c r="L34" i="3"/>
  <c r="Z34" i="3"/>
  <c r="U34" i="3"/>
  <c r="L32" i="3"/>
  <c r="U32" i="3"/>
  <c r="Y32" i="3"/>
  <c r="Y30" i="3"/>
  <c r="U30" i="3"/>
  <c r="L28" i="3"/>
  <c r="W28" i="3"/>
  <c r="AA28" i="3"/>
  <c r="L26" i="3"/>
  <c r="L24" i="3"/>
  <c r="AA24" i="3"/>
  <c r="AA22" i="3"/>
  <c r="L22" i="3"/>
  <c r="L20" i="3"/>
  <c r="W20" i="3"/>
  <c r="L18" i="3"/>
  <c r="AA18" i="3"/>
  <c r="L16" i="3"/>
  <c r="AA16" i="3"/>
  <c r="L14" i="3"/>
  <c r="Z55" i="3"/>
  <c r="Z54" i="3"/>
  <c r="U53" i="3"/>
  <c r="V52" i="3"/>
  <c r="U50" i="3"/>
  <c r="Z47" i="3"/>
  <c r="Z46" i="3"/>
  <c r="V44" i="3"/>
  <c r="Z42" i="3"/>
  <c r="Z40" i="3"/>
  <c r="Z39" i="3"/>
  <c r="U38" i="3"/>
  <c r="V36" i="3"/>
  <c r="V32" i="3"/>
  <c r="Z30" i="3"/>
  <c r="AA17" i="3"/>
  <c r="L30" i="3"/>
  <c r="Z7" i="3"/>
  <c r="U55" i="3"/>
  <c r="V54" i="3"/>
  <c r="U52" i="3"/>
  <c r="Z49" i="3"/>
  <c r="Z48" i="3"/>
  <c r="U47" i="3"/>
  <c r="V46" i="3"/>
  <c r="U44" i="3"/>
  <c r="V42" i="3"/>
  <c r="Y40" i="3"/>
  <c r="Z37" i="3"/>
  <c r="U36" i="3"/>
  <c r="V30" i="3"/>
  <c r="AA26" i="3"/>
  <c r="AA14" i="3"/>
  <c r="AA12" i="3"/>
  <c r="S55" i="3"/>
  <c r="W55" i="3"/>
  <c r="Y55" i="3" s="1"/>
  <c r="AA55" i="3"/>
  <c r="T55" i="3"/>
  <c r="X55" i="3"/>
  <c r="S53" i="3"/>
  <c r="W53" i="3"/>
  <c r="AA53" i="3"/>
  <c r="T53" i="3"/>
  <c r="X53" i="3"/>
  <c r="S51" i="3"/>
  <c r="W51" i="3"/>
  <c r="Y51" i="3" s="1"/>
  <c r="AA51" i="3"/>
  <c r="T51" i="3"/>
  <c r="X51" i="3"/>
  <c r="S49" i="3"/>
  <c r="W49" i="3"/>
  <c r="AA49" i="3"/>
  <c r="T49" i="3"/>
  <c r="X49" i="3"/>
  <c r="S47" i="3"/>
  <c r="W47" i="3"/>
  <c r="AA47" i="3"/>
  <c r="T47" i="3"/>
  <c r="X47" i="3"/>
  <c r="S45" i="3"/>
  <c r="W45" i="3"/>
  <c r="AA45" i="3"/>
  <c r="U45" i="3"/>
  <c r="T45" i="3"/>
  <c r="X45" i="3"/>
  <c r="S43" i="3"/>
  <c r="W43" i="3"/>
  <c r="AA43" i="3"/>
  <c r="U43" i="3"/>
  <c r="Y43" i="3"/>
  <c r="T43" i="3"/>
  <c r="X43" i="3"/>
  <c r="S41" i="3"/>
  <c r="W41" i="3"/>
  <c r="AA41" i="3"/>
  <c r="U41" i="3"/>
  <c r="Y41" i="3"/>
  <c r="T41" i="3"/>
  <c r="X41" i="3"/>
  <c r="S39" i="3"/>
  <c r="W39" i="3"/>
  <c r="AA39" i="3"/>
  <c r="U39" i="3"/>
  <c r="T39" i="3"/>
  <c r="X39" i="3"/>
  <c r="Y39" i="3"/>
  <c r="S37" i="3"/>
  <c r="W37" i="3"/>
  <c r="AA37" i="3"/>
  <c r="U37" i="3"/>
  <c r="Y37" i="3"/>
  <c r="T37" i="3"/>
  <c r="X37" i="3"/>
  <c r="S35" i="3"/>
  <c r="W35" i="3"/>
  <c r="AA35" i="3"/>
  <c r="U35" i="3"/>
  <c r="Y35" i="3"/>
  <c r="T35" i="3"/>
  <c r="X35" i="3"/>
  <c r="S33" i="3"/>
  <c r="W33" i="3"/>
  <c r="AA33" i="3"/>
  <c r="U33" i="3"/>
  <c r="T33" i="3"/>
  <c r="X33" i="3"/>
  <c r="Y33" i="3"/>
  <c r="S31" i="3"/>
  <c r="W31" i="3"/>
  <c r="AA31" i="3"/>
  <c r="U31" i="3"/>
  <c r="Y31" i="3"/>
  <c r="T31" i="3"/>
  <c r="X31" i="3"/>
  <c r="S29" i="3"/>
  <c r="W29" i="3"/>
  <c r="AA29" i="3"/>
  <c r="Y29" i="3"/>
  <c r="T29" i="3"/>
  <c r="X29" i="3"/>
  <c r="U29" i="3"/>
  <c r="T27" i="3"/>
  <c r="X27" i="3"/>
  <c r="U27" i="3"/>
  <c r="Y27" i="3"/>
  <c r="V27" i="3"/>
  <c r="Z27" i="3"/>
  <c r="S27" i="3"/>
  <c r="W27" i="3"/>
  <c r="Y25" i="3"/>
  <c r="Z25" i="3"/>
  <c r="Y23" i="3"/>
  <c r="Z23" i="3"/>
  <c r="T21" i="3"/>
  <c r="X21" i="3"/>
  <c r="U21" i="3"/>
  <c r="Y21" i="3"/>
  <c r="V21" i="3"/>
  <c r="Z21" i="3"/>
  <c r="W21" i="3"/>
  <c r="S21" i="3"/>
  <c r="X19" i="3"/>
  <c r="Y19" i="3"/>
  <c r="Z19" i="3"/>
  <c r="X17" i="3"/>
  <c r="Y17" i="3"/>
  <c r="Z17" i="3"/>
  <c r="X15" i="3"/>
  <c r="Y15" i="3"/>
  <c r="Z15" i="3"/>
  <c r="X13" i="3"/>
  <c r="Y13" i="3"/>
  <c r="Z13" i="3"/>
  <c r="X11" i="3"/>
  <c r="Y11" i="3"/>
  <c r="Z11" i="3"/>
  <c r="X9" i="3"/>
  <c r="Y9" i="3"/>
  <c r="Z9" i="3"/>
  <c r="Y53" i="3"/>
  <c r="Y49" i="3"/>
  <c r="Y47" i="3"/>
  <c r="Y45" i="3"/>
  <c r="Z43" i="3"/>
  <c r="V41" i="3"/>
  <c r="V39" i="3"/>
  <c r="Z33" i="3"/>
  <c r="Z31" i="3"/>
  <c r="Z29" i="3"/>
  <c r="AA27" i="3"/>
  <c r="AA19" i="3"/>
  <c r="AA11" i="3"/>
  <c r="V55" i="3"/>
  <c r="V53" i="3"/>
  <c r="V51" i="3"/>
  <c r="V49" i="3"/>
  <c r="V47" i="3"/>
  <c r="V45" i="3"/>
  <c r="V43" i="3"/>
  <c r="Z35" i="3"/>
  <c r="V33" i="3"/>
  <c r="V31" i="3"/>
  <c r="V29" i="3"/>
  <c r="AA21" i="3"/>
  <c r="AA13" i="3"/>
  <c r="T28" i="3"/>
  <c r="X28" i="3"/>
  <c r="U28" i="3"/>
  <c r="Y28" i="3"/>
  <c r="V28" i="3"/>
  <c r="Z28" i="3"/>
  <c r="Y26" i="3"/>
  <c r="Z26" i="3"/>
  <c r="Y24" i="3"/>
  <c r="Z24" i="3"/>
  <c r="Y22" i="3"/>
  <c r="Z22" i="3"/>
  <c r="T20" i="3"/>
  <c r="X20" i="3"/>
  <c r="U20" i="3"/>
  <c r="Y20" i="3"/>
  <c r="V20" i="3"/>
  <c r="Z20" i="3"/>
  <c r="X18" i="3"/>
  <c r="Y18" i="3"/>
  <c r="Z18" i="3"/>
  <c r="X16" i="3"/>
  <c r="Y16" i="3"/>
  <c r="Z16" i="3"/>
  <c r="X14" i="3"/>
  <c r="Y14" i="3"/>
  <c r="Z14" i="3"/>
  <c r="X12" i="3"/>
  <c r="Y12" i="3"/>
  <c r="Z12" i="3"/>
  <c r="X10" i="3"/>
  <c r="Y10" i="3"/>
  <c r="Z10" i="3"/>
  <c r="X8" i="3"/>
  <c r="Y8" i="3"/>
  <c r="Z8" i="3"/>
  <c r="X54" i="3"/>
  <c r="T54" i="3"/>
  <c r="X52" i="3"/>
  <c r="T52" i="3"/>
  <c r="X50" i="3"/>
  <c r="T50" i="3"/>
  <c r="X48" i="3"/>
  <c r="T48" i="3"/>
  <c r="X46" i="3"/>
  <c r="T46" i="3"/>
  <c r="X44" i="3"/>
  <c r="T44" i="3"/>
  <c r="X42" i="3"/>
  <c r="T42" i="3"/>
  <c r="X40" i="3"/>
  <c r="T40" i="3"/>
  <c r="X38" i="3"/>
  <c r="T38" i="3"/>
  <c r="X36" i="3"/>
  <c r="T36" i="3"/>
  <c r="X34" i="3"/>
  <c r="T34" i="3"/>
  <c r="X32" i="3"/>
  <c r="T32" i="3"/>
  <c r="X30" i="3"/>
  <c r="T30" i="3"/>
  <c r="Y7" i="3"/>
  <c r="S28" i="3"/>
  <c r="S20" i="3"/>
  <c r="AA54" i="3"/>
  <c r="W54" i="3"/>
  <c r="Y54" i="3" s="1"/>
  <c r="S54" i="3"/>
  <c r="AA52" i="3"/>
  <c r="W52" i="3"/>
  <c r="Y52" i="3" s="1"/>
  <c r="S52" i="3"/>
  <c r="AA50" i="3"/>
  <c r="W50" i="3"/>
  <c r="Y50" i="3" s="1"/>
  <c r="S50" i="3"/>
  <c r="AA48" i="3"/>
  <c r="W48" i="3"/>
  <c r="Y48" i="3" s="1"/>
  <c r="S48" i="3"/>
  <c r="AA46" i="3"/>
  <c r="W46" i="3"/>
  <c r="Y46" i="3" s="1"/>
  <c r="S46" i="3"/>
  <c r="AA44" i="3"/>
  <c r="W44" i="3"/>
  <c r="S44" i="3"/>
  <c r="AA42" i="3"/>
  <c r="W42" i="3"/>
  <c r="Y42" i="3" s="1"/>
  <c r="S42" i="3"/>
  <c r="AA40" i="3"/>
  <c r="W40" i="3"/>
  <c r="S40" i="3"/>
  <c r="AA38" i="3"/>
  <c r="W38" i="3"/>
  <c r="Y38" i="3" s="1"/>
  <c r="S38" i="3"/>
  <c r="AA36" i="3"/>
  <c r="W36" i="3"/>
  <c r="Y36" i="3" s="1"/>
  <c r="S36" i="3"/>
  <c r="AA34" i="3"/>
  <c r="W34" i="3"/>
  <c r="Y34" i="3" s="1"/>
  <c r="S34" i="3"/>
  <c r="AA32" i="3"/>
  <c r="W32" i="3"/>
  <c r="S32" i="3"/>
  <c r="AA30" i="3"/>
  <c r="W30" i="3"/>
  <c r="S30" i="3"/>
  <c r="X7" i="3"/>
  <c r="D3" i="10" l="1"/>
  <c r="E3" i="10"/>
  <c r="D4" i="10"/>
  <c r="E4" i="10"/>
  <c r="D2" i="10"/>
  <c r="X2" i="10"/>
  <c r="U2" i="10"/>
  <c r="AU23" i="2"/>
  <c r="BI3" i="1"/>
  <c r="BI4" i="1"/>
  <c r="BI5" i="1"/>
  <c r="BI6" i="1"/>
  <c r="BI7" i="1"/>
  <c r="BI8" i="1"/>
  <c r="BI9" i="1"/>
  <c r="BI10" i="1"/>
  <c r="BI11" i="1"/>
  <c r="BI12" i="1"/>
  <c r="BI13" i="1"/>
  <c r="BI14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BI64" i="1"/>
  <c r="BI65" i="1"/>
  <c r="BI66" i="1"/>
  <c r="BI67" i="1"/>
  <c r="BI68" i="1"/>
  <c r="BI69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157" i="1"/>
  <c r="BI158" i="1"/>
  <c r="BI159" i="1"/>
  <c r="BI160" i="1"/>
  <c r="BI161" i="1"/>
  <c r="BI162" i="1"/>
  <c r="BI163" i="1"/>
  <c r="BI164" i="1"/>
  <c r="BI165" i="1"/>
  <c r="BI166" i="1"/>
  <c r="BI167" i="1"/>
  <c r="BI168" i="1"/>
  <c r="BI169" i="1"/>
  <c r="BI170" i="1"/>
  <c r="BI171" i="1"/>
  <c r="BI172" i="1"/>
  <c r="W2" i="10" l="1"/>
  <c r="BG66" i="1"/>
  <c r="AI66" i="2" s="1"/>
  <c r="BG67" i="1"/>
  <c r="AI67" i="2" s="1"/>
  <c r="BG68" i="1"/>
  <c r="AI68" i="2" s="1"/>
  <c r="BG69" i="1"/>
  <c r="AI69" i="2" s="1"/>
  <c r="BG70" i="1"/>
  <c r="AI70" i="2" s="1"/>
  <c r="BG71" i="1"/>
  <c r="AI71" i="2" s="1"/>
  <c r="BG72" i="1"/>
  <c r="AI72" i="2" s="1"/>
  <c r="BG73" i="1"/>
  <c r="AI73" i="2" s="1"/>
  <c r="BG74" i="1"/>
  <c r="BG75" i="1"/>
  <c r="BG76" i="1"/>
  <c r="AI76" i="2" s="1"/>
  <c r="BG77" i="1"/>
  <c r="AI77" i="2" s="1"/>
  <c r="BG78" i="1"/>
  <c r="AI78" i="2" s="1"/>
  <c r="BG79" i="1"/>
  <c r="BG80" i="1"/>
  <c r="AI80" i="2" s="1"/>
  <c r="BG81" i="1"/>
  <c r="AI81" i="2" s="1"/>
  <c r="BG82" i="1"/>
  <c r="AI82" i="2" s="1"/>
  <c r="BG83" i="1"/>
  <c r="AI83" i="2" s="1"/>
  <c r="BG84" i="1"/>
  <c r="AI84" i="2" s="1"/>
  <c r="BG85" i="1"/>
  <c r="BG86" i="1"/>
  <c r="BG87" i="1"/>
  <c r="BG88" i="1"/>
  <c r="BG89" i="1"/>
  <c r="BG90" i="1"/>
  <c r="AI90" i="2" s="1"/>
  <c r="BG91" i="1"/>
  <c r="AI91" i="2" s="1"/>
  <c r="BG92" i="1"/>
  <c r="AI92" i="2" s="1"/>
  <c r="BG93" i="1"/>
  <c r="BG94" i="1"/>
  <c r="AI94" i="2" s="1"/>
  <c r="BG95" i="1"/>
  <c r="AI95" i="2" s="1"/>
  <c r="BG96" i="1"/>
  <c r="BG97" i="1"/>
  <c r="AI97" i="2" s="1"/>
  <c r="BG98" i="1"/>
  <c r="AI98" i="2" s="1"/>
  <c r="BG99" i="1"/>
  <c r="AI99" i="2" s="1"/>
  <c r="BG100" i="1"/>
  <c r="BG101" i="1"/>
  <c r="BG102" i="1"/>
  <c r="AI102" i="2" s="1"/>
  <c r="BG103" i="1"/>
  <c r="AI103" i="2" s="1"/>
  <c r="BG104" i="1"/>
  <c r="AI104" i="2" s="1"/>
  <c r="BG105" i="1"/>
  <c r="AI105" i="2" s="1"/>
  <c r="BG106" i="1"/>
  <c r="AI106" i="2" s="1"/>
  <c r="BG107" i="1"/>
  <c r="AI107" i="2" s="1"/>
  <c r="BG108" i="1"/>
  <c r="AI108" i="2" s="1"/>
  <c r="BG109" i="1"/>
  <c r="AI109" i="2" s="1"/>
  <c r="BG110" i="1"/>
  <c r="AI110" i="2" s="1"/>
  <c r="BG111" i="1"/>
  <c r="AI111" i="2" s="1"/>
  <c r="BG112" i="1"/>
  <c r="AI112" i="2" s="1"/>
  <c r="BG113" i="1"/>
  <c r="BG114" i="1"/>
  <c r="AI114" i="2" s="1"/>
  <c r="BG115" i="1"/>
  <c r="AI115" i="2" s="1"/>
  <c r="BG116" i="1"/>
  <c r="AI116" i="2" s="1"/>
  <c r="BG117" i="1"/>
  <c r="AI117" i="2" s="1"/>
  <c r="BG118" i="1"/>
  <c r="AI118" i="2" s="1"/>
  <c r="BG119" i="1"/>
  <c r="AI119" i="2" s="1"/>
  <c r="BG120" i="1"/>
  <c r="AI120" i="2" s="1"/>
  <c r="BG121" i="1"/>
  <c r="AI121" i="2" s="1"/>
  <c r="BG122" i="1"/>
  <c r="BG123" i="1"/>
  <c r="AI123" i="2" s="1"/>
  <c r="BG124" i="1"/>
  <c r="AI124" i="2" s="1"/>
  <c r="BG125" i="1"/>
  <c r="AI125" i="2" s="1"/>
  <c r="BG126" i="1"/>
  <c r="AI126" i="2" s="1"/>
  <c r="BG127" i="1"/>
  <c r="AI127" i="2" s="1"/>
  <c r="BG128" i="1"/>
  <c r="AI128" i="2" s="1"/>
  <c r="BG129" i="1"/>
  <c r="AI129" i="2" s="1"/>
  <c r="BG130" i="1"/>
  <c r="AI130" i="2" s="1"/>
  <c r="BG131" i="1"/>
  <c r="AI131" i="2" s="1"/>
  <c r="BG132" i="1"/>
  <c r="AI132" i="2" s="1"/>
  <c r="BG133" i="1"/>
  <c r="AI133" i="2" s="1"/>
  <c r="BG134" i="1"/>
  <c r="AI134" i="2" s="1"/>
  <c r="BG135" i="1"/>
  <c r="AI135" i="2" s="1"/>
  <c r="BG136" i="1"/>
  <c r="AI136" i="2" s="1"/>
  <c r="BG137" i="1"/>
  <c r="AI137" i="2" s="1"/>
  <c r="BG138" i="1"/>
  <c r="AI138" i="2" s="1"/>
  <c r="BG139" i="1"/>
  <c r="AI139" i="2" s="1"/>
  <c r="BG140" i="1"/>
  <c r="AI140" i="2" s="1"/>
  <c r="BG141" i="1"/>
  <c r="AI141" i="2" s="1"/>
  <c r="BG142" i="1"/>
  <c r="AI142" i="2" s="1"/>
  <c r="BG143" i="1"/>
  <c r="AI143" i="2" s="1"/>
  <c r="BG144" i="1"/>
  <c r="AI144" i="2" s="1"/>
  <c r="BG145" i="1"/>
  <c r="AI145" i="2" s="1"/>
  <c r="BG146" i="1"/>
  <c r="AI146" i="2" s="1"/>
  <c r="BG147" i="1"/>
  <c r="AI147" i="2" s="1"/>
  <c r="BG148" i="1"/>
  <c r="AI148" i="2" s="1"/>
  <c r="BG149" i="1"/>
  <c r="AI149" i="2" s="1"/>
  <c r="BG150" i="1"/>
  <c r="AI150" i="2" s="1"/>
  <c r="BG151" i="1"/>
  <c r="AI151" i="2" s="1"/>
  <c r="BG152" i="1"/>
  <c r="AI152" i="2" s="1"/>
  <c r="BG153" i="1"/>
  <c r="AI153" i="2" s="1"/>
  <c r="BG154" i="1"/>
  <c r="AI154" i="2" s="1"/>
  <c r="BG155" i="1"/>
  <c r="AI155" i="2" s="1"/>
  <c r="BG156" i="1"/>
  <c r="AI156" i="2" s="1"/>
  <c r="BG157" i="1"/>
  <c r="AI157" i="2" s="1"/>
  <c r="BG158" i="1"/>
  <c r="BG159" i="1"/>
  <c r="AI159" i="2" s="1"/>
  <c r="BG160" i="1"/>
  <c r="AI160" i="2" s="1"/>
  <c r="BG161" i="1"/>
  <c r="AI161" i="2" s="1"/>
  <c r="BG162" i="1"/>
  <c r="AI162" i="2" s="1"/>
  <c r="BG163" i="1"/>
  <c r="AI163" i="2" s="1"/>
  <c r="BG164" i="1"/>
  <c r="AI164" i="2" s="1"/>
  <c r="BG165" i="1"/>
  <c r="AI165" i="2" s="1"/>
  <c r="BG166" i="1"/>
  <c r="AI166" i="2" s="1"/>
  <c r="BG167" i="1"/>
  <c r="BG168" i="1"/>
  <c r="BG169" i="1"/>
  <c r="BG170" i="1"/>
  <c r="AI170" i="2" s="1"/>
  <c r="BG171" i="1"/>
  <c r="AI171" i="2" s="1"/>
  <c r="BG172" i="1"/>
  <c r="AI172" i="2" s="1"/>
  <c r="BG53" i="1"/>
  <c r="AI53" i="2" s="1"/>
  <c r="BG54" i="1"/>
  <c r="AI54" i="2" s="1"/>
  <c r="BG55" i="1"/>
  <c r="AI55" i="2" s="1"/>
  <c r="BG56" i="1"/>
  <c r="BG57" i="1"/>
  <c r="BG58" i="1"/>
  <c r="BG59" i="1"/>
  <c r="BG60" i="1"/>
  <c r="AI60" i="2" s="1"/>
  <c r="BG61" i="1"/>
  <c r="AI61" i="2" s="1"/>
  <c r="BG62" i="1"/>
  <c r="AI62" i="2" s="1"/>
  <c r="BG63" i="1"/>
  <c r="BG64" i="1"/>
  <c r="BG65" i="1"/>
  <c r="AI65" i="2" s="1"/>
  <c r="BG49" i="1"/>
  <c r="BG50" i="1"/>
  <c r="AI50" i="2" s="1"/>
  <c r="BG51" i="1"/>
  <c r="BG52" i="1"/>
  <c r="BG32" i="1"/>
  <c r="BG33" i="1"/>
  <c r="BG34" i="1"/>
  <c r="BG35" i="1"/>
  <c r="BG36" i="1"/>
  <c r="BG37" i="1"/>
  <c r="AI37" i="2" s="1"/>
  <c r="BG38" i="1"/>
  <c r="BG39" i="1"/>
  <c r="AI39" i="2" s="1"/>
  <c r="BG40" i="1"/>
  <c r="AI40" i="2" s="1"/>
  <c r="BG41" i="1"/>
  <c r="AI41" i="2" s="1"/>
  <c r="BG42" i="1"/>
  <c r="AI42" i="2" s="1"/>
  <c r="BG43" i="1"/>
  <c r="AI43" i="2" s="1"/>
  <c r="BG44" i="1"/>
  <c r="AI44" i="2" s="1"/>
  <c r="BG45" i="1"/>
  <c r="AI45" i="2" s="1"/>
  <c r="BG46" i="1"/>
  <c r="AI46" i="2" s="1"/>
  <c r="BG47" i="1"/>
  <c r="BG48" i="1"/>
  <c r="BG11" i="1"/>
  <c r="BG12" i="1"/>
  <c r="BG13" i="1"/>
  <c r="BG14" i="1"/>
  <c r="BG15" i="1"/>
  <c r="BG16" i="1"/>
  <c r="BG17" i="1"/>
  <c r="BG18" i="1"/>
  <c r="BG19" i="1"/>
  <c r="BG20" i="1"/>
  <c r="BG21" i="1"/>
  <c r="AI21" i="2" s="1"/>
  <c r="BG22" i="1"/>
  <c r="AI22" i="2" s="1"/>
  <c r="BG23" i="1"/>
  <c r="AI23" i="2" s="1"/>
  <c r="BG24" i="1"/>
  <c r="AI24" i="2" s="1"/>
  <c r="BG25" i="1"/>
  <c r="AI25" i="2" s="1"/>
  <c r="BG26" i="1"/>
  <c r="BG27" i="1"/>
  <c r="BG28" i="1"/>
  <c r="AI28" i="2" s="1"/>
  <c r="BG29" i="1"/>
  <c r="AI29" i="2" s="1"/>
  <c r="BG30" i="1"/>
  <c r="BG31" i="1"/>
  <c r="BG4" i="1"/>
  <c r="BG5" i="1"/>
  <c r="BG6" i="1"/>
  <c r="BG7" i="1"/>
  <c r="BG8" i="1"/>
  <c r="BG9" i="1"/>
  <c r="BG10" i="1"/>
  <c r="BG3" i="1"/>
  <c r="AX2" i="2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Z81" i="2" s="1"/>
  <c r="Z20" i="10" s="1"/>
  <c r="BF82" i="1"/>
  <c r="Z82" i="2" s="1"/>
  <c r="Z156" i="10" s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AD115" i="2" s="1"/>
  <c r="BF116" i="1"/>
  <c r="BF117" i="1"/>
  <c r="BF118" i="1"/>
  <c r="BF119" i="1"/>
  <c r="BF120" i="1"/>
  <c r="BF121" i="1"/>
  <c r="BF122" i="1"/>
  <c r="BF123" i="1"/>
  <c r="AD123" i="2" s="1"/>
  <c r="BF124" i="1"/>
  <c r="BF125" i="1"/>
  <c r="BF126" i="1"/>
  <c r="BF127" i="1"/>
  <c r="BF128" i="1"/>
  <c r="BF129" i="1"/>
  <c r="BF130" i="1"/>
  <c r="BF131" i="1"/>
  <c r="AD131" i="2" s="1"/>
  <c r="BF132" i="1"/>
  <c r="BF133" i="1"/>
  <c r="BF134" i="1"/>
  <c r="BF135" i="1"/>
  <c r="BF136" i="1"/>
  <c r="BF137" i="1"/>
  <c r="BF138" i="1"/>
  <c r="BF139" i="1"/>
  <c r="AD139" i="2" s="1"/>
  <c r="BF140" i="1"/>
  <c r="BF141" i="1"/>
  <c r="BF142" i="1"/>
  <c r="BF143" i="1"/>
  <c r="AD143" i="2" s="1"/>
  <c r="BF144" i="1"/>
  <c r="BF145" i="1"/>
  <c r="BF146" i="1"/>
  <c r="BF147" i="1"/>
  <c r="BF148" i="1"/>
  <c r="BF149" i="1"/>
  <c r="BF150" i="1"/>
  <c r="BF151" i="1"/>
  <c r="AE151" i="2" s="1"/>
  <c r="BF152" i="1"/>
  <c r="AE152" i="2" s="1"/>
  <c r="BF153" i="1"/>
  <c r="BF154" i="1"/>
  <c r="AE154" i="2" s="1"/>
  <c r="BF155" i="1"/>
  <c r="AD155" i="2" s="1"/>
  <c r="BF156" i="1"/>
  <c r="BF157" i="1"/>
  <c r="BF158" i="1"/>
  <c r="AD158" i="2" s="1"/>
  <c r="BF159" i="1"/>
  <c r="AD159" i="2" s="1"/>
  <c r="BF160" i="1"/>
  <c r="BF161" i="1"/>
  <c r="BF162" i="1"/>
  <c r="AD162" i="2" s="1"/>
  <c r="BF163" i="1"/>
  <c r="AD163" i="2" s="1"/>
  <c r="BF164" i="1"/>
  <c r="BF165" i="1"/>
  <c r="BF166" i="1"/>
  <c r="AD166" i="2" s="1"/>
  <c r="BF167" i="1"/>
  <c r="AD167" i="2" s="1"/>
  <c r="BF168" i="1"/>
  <c r="BF169" i="1"/>
  <c r="BF170" i="1"/>
  <c r="AD170" i="2" s="1"/>
  <c r="BF171" i="1"/>
  <c r="AD171" i="2" s="1"/>
  <c r="BF172" i="1"/>
  <c r="BF51" i="1"/>
  <c r="BF52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23" i="1"/>
  <c r="BF24" i="1"/>
  <c r="BF25" i="1"/>
  <c r="BF26" i="1"/>
  <c r="BF27" i="1"/>
  <c r="BF28" i="1"/>
  <c r="AE28" i="2" s="1"/>
  <c r="BF29" i="1"/>
  <c r="BF30" i="1"/>
  <c r="BF31" i="1"/>
  <c r="BF32" i="1"/>
  <c r="AE32" i="2" s="1"/>
  <c r="BF33" i="1"/>
  <c r="BF34" i="1"/>
  <c r="BF35" i="1"/>
  <c r="BF36" i="1"/>
  <c r="BF4" i="1"/>
  <c r="BF5" i="1"/>
  <c r="BF6" i="1"/>
  <c r="BF7" i="1"/>
  <c r="AE7" i="2" s="1"/>
  <c r="BF8" i="1"/>
  <c r="BF9" i="1"/>
  <c r="BF10" i="1"/>
  <c r="BF11" i="1"/>
  <c r="AE11" i="2" s="1"/>
  <c r="BF12" i="1"/>
  <c r="BF13" i="1"/>
  <c r="BF14" i="1"/>
  <c r="BF15" i="1"/>
  <c r="AE15" i="2" s="1"/>
  <c r="BF16" i="1"/>
  <c r="BF17" i="1"/>
  <c r="BF18" i="1"/>
  <c r="BF19" i="1"/>
  <c r="AE19" i="2" s="1"/>
  <c r="BF20" i="1"/>
  <c r="BF21" i="1"/>
  <c r="BF22" i="1"/>
  <c r="BF3" i="1"/>
  <c r="Y53" i="2"/>
  <c r="Y61" i="10" s="1"/>
  <c r="Y54" i="2"/>
  <c r="Y62" i="10" s="1"/>
  <c r="Y55" i="2"/>
  <c r="Y63" i="10" s="1"/>
  <c r="Y56" i="2"/>
  <c r="Y64" i="10" s="1"/>
  <c r="Y57" i="2"/>
  <c r="Y65" i="10" s="1"/>
  <c r="Y58" i="2"/>
  <c r="Y66" i="10" s="1"/>
  <c r="Y59" i="2"/>
  <c r="Y67" i="10" s="1"/>
  <c r="Y60" i="2"/>
  <c r="Y68" i="10" s="1"/>
  <c r="Y61" i="2"/>
  <c r="Y69" i="10" s="1"/>
  <c r="Y62" i="2"/>
  <c r="Y70" i="10" s="1"/>
  <c r="Y63" i="2"/>
  <c r="Y71" i="10" s="1"/>
  <c r="Y64" i="2"/>
  <c r="Y72" i="10" s="1"/>
  <c r="Y65" i="2"/>
  <c r="Y73" i="10" s="1"/>
  <c r="Y66" i="2"/>
  <c r="Y7" i="10" s="1"/>
  <c r="Y2" i="10" s="1"/>
  <c r="Y67" i="2"/>
  <c r="Y8" i="10" s="1"/>
  <c r="Y68" i="2"/>
  <c r="Y9" i="10" s="1"/>
  <c r="Y69" i="2"/>
  <c r="Y10" i="10" s="1"/>
  <c r="Y70" i="2"/>
  <c r="Y11" i="10" s="1"/>
  <c r="Y71" i="2"/>
  <c r="Y12" i="10" s="1"/>
  <c r="Y72" i="2"/>
  <c r="Y13" i="10" s="1"/>
  <c r="Y73" i="2"/>
  <c r="Y14" i="10" s="1"/>
  <c r="Y74" i="2"/>
  <c r="Y75" i="2"/>
  <c r="Y15" i="10" s="1"/>
  <c r="Y76" i="2"/>
  <c r="Y16" i="10" s="1"/>
  <c r="Y77" i="2"/>
  <c r="Y17" i="10" s="1"/>
  <c r="Y78" i="2"/>
  <c r="Y18" i="10" s="1"/>
  <c r="Y79" i="2"/>
  <c r="Y80" i="2"/>
  <c r="Y19" i="10" s="1"/>
  <c r="Y83" i="2"/>
  <c r="Y157" i="10" s="1"/>
  <c r="Y84" i="2"/>
  <c r="Y158" i="10" s="1"/>
  <c r="Y85" i="2"/>
  <c r="Y159" i="10" s="1"/>
  <c r="Y86" i="2"/>
  <c r="Y160" i="10" s="1"/>
  <c r="Y87" i="2"/>
  <c r="Y161" i="10" s="1"/>
  <c r="Y88" i="2"/>
  <c r="Y162" i="10" s="1"/>
  <c r="Y89" i="2"/>
  <c r="Y163" i="10" s="1"/>
  <c r="Y90" i="2"/>
  <c r="Y164" i="10" s="1"/>
  <c r="Y91" i="2"/>
  <c r="Y165" i="10" s="1"/>
  <c r="Y92" i="2"/>
  <c r="Y166" i="10" s="1"/>
  <c r="Y93" i="2"/>
  <c r="Y167" i="10" s="1"/>
  <c r="Y94" i="2"/>
  <c r="Y168" i="10" s="1"/>
  <c r="Y95" i="2"/>
  <c r="Y169" i="10" s="1"/>
  <c r="Y96" i="2"/>
  <c r="Y170" i="10" s="1"/>
  <c r="Y97" i="2"/>
  <c r="Y171" i="10" s="1"/>
  <c r="Y98" i="2"/>
  <c r="Y172" i="10" s="1"/>
  <c r="Y99" i="2"/>
  <c r="Y173" i="10" s="1"/>
  <c r="Y100" i="2"/>
  <c r="Y21" i="10" s="1"/>
  <c r="Y101" i="2"/>
  <c r="Y22" i="10" s="1"/>
  <c r="Y102" i="2"/>
  <c r="Y23" i="10" s="1"/>
  <c r="Y103" i="2"/>
  <c r="Y24" i="10" s="1"/>
  <c r="Y104" i="2"/>
  <c r="Y25" i="10" s="1"/>
  <c r="Y105" i="2"/>
  <c r="Y26" i="10" s="1"/>
  <c r="Y106" i="2"/>
  <c r="Y27" i="10" s="1"/>
  <c r="Y107" i="2"/>
  <c r="Y28" i="10" s="1"/>
  <c r="Y108" i="2"/>
  <c r="Y29" i="10" s="1"/>
  <c r="Y109" i="2"/>
  <c r="Y30" i="10" s="1"/>
  <c r="Y110" i="2"/>
  <c r="Y31" i="10" s="1"/>
  <c r="Y111" i="2"/>
  <c r="Y32" i="10" s="1"/>
  <c r="Y112" i="2"/>
  <c r="Y33" i="10" s="1"/>
  <c r="Y113" i="2"/>
  <c r="Y34" i="10" s="1"/>
  <c r="Y114" i="2"/>
  <c r="Y35" i="10" s="1"/>
  <c r="Y115" i="2"/>
  <c r="Y36" i="10" s="1"/>
  <c r="Y116" i="2"/>
  <c r="Y37" i="10" s="1"/>
  <c r="Y117" i="2"/>
  <c r="Y38" i="10" s="1"/>
  <c r="Y118" i="2"/>
  <c r="Y39" i="10" s="1"/>
  <c r="Y119" i="2"/>
  <c r="Y40" i="10" s="1"/>
  <c r="Y120" i="2"/>
  <c r="Y41" i="10" s="1"/>
  <c r="Y121" i="2"/>
  <c r="Y42" i="10" s="1"/>
  <c r="Y122" i="2"/>
  <c r="Y43" i="10" s="1"/>
  <c r="Y123" i="2"/>
  <c r="Y44" i="10" s="1"/>
  <c r="Y124" i="2"/>
  <c r="Y45" i="10" s="1"/>
  <c r="Y125" i="2"/>
  <c r="Y46" i="10" s="1"/>
  <c r="Y126" i="2"/>
  <c r="Y47" i="10" s="1"/>
  <c r="Y127" i="2"/>
  <c r="Y48" i="10" s="1"/>
  <c r="Y128" i="2"/>
  <c r="Y49" i="10" s="1"/>
  <c r="Y129" i="2"/>
  <c r="Y50" i="10" s="1"/>
  <c r="Y130" i="2"/>
  <c r="Y51" i="10" s="1"/>
  <c r="Y131" i="2"/>
  <c r="Y52" i="10" s="1"/>
  <c r="Y132" i="2"/>
  <c r="Y53" i="10" s="1"/>
  <c r="Y133" i="2"/>
  <c r="Y54" i="10" s="1"/>
  <c r="Y134" i="2"/>
  <c r="Y55" i="10" s="1"/>
  <c r="Y135" i="2"/>
  <c r="Y56" i="10" s="1"/>
  <c r="Y136" i="2"/>
  <c r="Y57" i="10" s="1"/>
  <c r="Y137" i="2"/>
  <c r="Y58" i="10" s="1"/>
  <c r="Y138" i="2"/>
  <c r="Y59" i="10" s="1"/>
  <c r="Y139" i="2"/>
  <c r="Y60" i="10" s="1"/>
  <c r="Y140" i="2"/>
  <c r="Y74" i="10" s="1"/>
  <c r="Y141" i="2"/>
  <c r="Y75" i="10" s="1"/>
  <c r="Y142" i="2"/>
  <c r="Y76" i="10" s="1"/>
  <c r="Y143" i="2"/>
  <c r="Y77" i="10" s="1"/>
  <c r="Y144" i="2"/>
  <c r="Y78" i="10" s="1"/>
  <c r="Y145" i="2"/>
  <c r="Y79" i="10" s="1"/>
  <c r="Y146" i="2"/>
  <c r="Y80" i="10" s="1"/>
  <c r="Y147" i="2"/>
  <c r="Y81" i="10" s="1"/>
  <c r="Y148" i="2"/>
  <c r="Y82" i="10" s="1"/>
  <c r="Y149" i="2"/>
  <c r="Y83" i="10" s="1"/>
  <c r="Y150" i="2"/>
  <c r="Y84" i="10" s="1"/>
  <c r="Y151" i="2"/>
  <c r="Y85" i="10" s="1"/>
  <c r="Y152" i="2"/>
  <c r="Y86" i="10" s="1"/>
  <c r="Y153" i="2"/>
  <c r="Y87" i="10" s="1"/>
  <c r="Y154" i="2"/>
  <c r="Y88" i="10" s="1"/>
  <c r="Y155" i="2"/>
  <c r="Y89" i="10" s="1"/>
  <c r="Y156" i="2"/>
  <c r="Y90" i="10" s="1"/>
  <c r="Y157" i="2"/>
  <c r="Y91" i="10" s="1"/>
  <c r="Y158" i="2"/>
  <c r="Y92" i="10" s="1"/>
  <c r="Y159" i="2"/>
  <c r="Y93" i="10" s="1"/>
  <c r="Y160" i="2"/>
  <c r="Y94" i="10" s="1"/>
  <c r="Y161" i="2"/>
  <c r="Y95" i="10" s="1"/>
  <c r="Y162" i="2"/>
  <c r="Y96" i="10" s="1"/>
  <c r="Y163" i="2"/>
  <c r="Y97" i="10" s="1"/>
  <c r="Y164" i="2"/>
  <c r="Y98" i="10" s="1"/>
  <c r="Y165" i="2"/>
  <c r="Y99" i="10" s="1"/>
  <c r="Y166" i="2"/>
  <c r="Y100" i="10" s="1"/>
  <c r="Y167" i="2"/>
  <c r="Y101" i="10" s="1"/>
  <c r="Y168" i="2"/>
  <c r="Y102" i="10" s="1"/>
  <c r="Y169" i="2"/>
  <c r="Y103" i="10" s="1"/>
  <c r="Y170" i="2"/>
  <c r="Y104" i="10" s="1"/>
  <c r="Y171" i="2"/>
  <c r="Y105" i="10" s="1"/>
  <c r="Y172" i="2"/>
  <c r="Y106" i="10" s="1"/>
  <c r="Y42" i="2"/>
  <c r="Y146" i="10" s="1"/>
  <c r="Y43" i="2"/>
  <c r="Y147" i="10" s="1"/>
  <c r="Y44" i="2"/>
  <c r="Y148" i="10" s="1"/>
  <c r="Y45" i="2"/>
  <c r="Y149" i="10" s="1"/>
  <c r="Y46" i="2"/>
  <c r="Y47" i="2"/>
  <c r="Y150" i="10" s="1"/>
  <c r="Y48" i="2"/>
  <c r="Y151" i="10" s="1"/>
  <c r="Y49" i="2"/>
  <c r="Y152" i="10" s="1"/>
  <c r="Y50" i="2"/>
  <c r="Y153" i="10" s="1"/>
  <c r="Y51" i="2"/>
  <c r="Y154" i="10" s="1"/>
  <c r="Y52" i="2"/>
  <c r="Y155" i="10" s="1"/>
  <c r="Y24" i="2"/>
  <c r="Y128" i="10" s="1"/>
  <c r="Y25" i="2"/>
  <c r="Y129" i="10" s="1"/>
  <c r="Y26" i="2"/>
  <c r="Y130" i="10" s="1"/>
  <c r="Y27" i="2"/>
  <c r="Y131" i="10" s="1"/>
  <c r="Y28" i="2"/>
  <c r="Y132" i="10" s="1"/>
  <c r="Y29" i="2"/>
  <c r="Y133" i="10" s="1"/>
  <c r="Y30" i="2"/>
  <c r="Y134" i="10" s="1"/>
  <c r="Y31" i="2"/>
  <c r="Y135" i="10" s="1"/>
  <c r="Y32" i="2"/>
  <c r="Y136" i="10" s="1"/>
  <c r="Y33" i="2"/>
  <c r="Y137" i="10" s="1"/>
  <c r="Y34" i="2"/>
  <c r="Y138" i="10" s="1"/>
  <c r="Y35" i="2"/>
  <c r="Y139" i="10" s="1"/>
  <c r="Y36" i="2"/>
  <c r="Y140" i="10" s="1"/>
  <c r="Y37" i="2"/>
  <c r="Y141" i="10" s="1"/>
  <c r="Y38" i="2"/>
  <c r="Y142" i="10" s="1"/>
  <c r="Y39" i="2"/>
  <c r="Y143" i="10" s="1"/>
  <c r="Y40" i="2"/>
  <c r="Y144" i="10" s="1"/>
  <c r="Y41" i="2"/>
  <c r="Y145" i="10" s="1"/>
  <c r="Y4" i="2"/>
  <c r="Y108" i="10" s="1"/>
  <c r="Y5" i="2"/>
  <c r="Y109" i="10" s="1"/>
  <c r="Y6" i="2"/>
  <c r="Y110" i="10" s="1"/>
  <c r="Y7" i="2"/>
  <c r="Y111" i="10" s="1"/>
  <c r="Y8" i="2"/>
  <c r="Y112" i="10" s="1"/>
  <c r="Y9" i="2"/>
  <c r="Y113" i="10" s="1"/>
  <c r="Y10" i="2"/>
  <c r="Y114" i="10" s="1"/>
  <c r="Y11" i="2"/>
  <c r="Y115" i="10" s="1"/>
  <c r="Y12" i="2"/>
  <c r="Y116" i="10" s="1"/>
  <c r="Y13" i="2"/>
  <c r="Y117" i="10" s="1"/>
  <c r="Y14" i="2"/>
  <c r="Y118" i="10" s="1"/>
  <c r="Y15" i="2"/>
  <c r="Y119" i="10" s="1"/>
  <c r="Y16" i="2"/>
  <c r="Y120" i="10" s="1"/>
  <c r="Y17" i="2"/>
  <c r="Y121" i="10" s="1"/>
  <c r="Y18" i="2"/>
  <c r="Y122" i="10" s="1"/>
  <c r="Y19" i="2"/>
  <c r="Y123" i="10" s="1"/>
  <c r="Y20" i="2"/>
  <c r="Y124" i="10" s="1"/>
  <c r="Y21" i="2"/>
  <c r="Y125" i="10" s="1"/>
  <c r="Y22" i="2"/>
  <c r="Y126" i="10" s="1"/>
  <c r="Y23" i="2"/>
  <c r="Y127" i="10" s="1"/>
  <c r="AQ3" i="1"/>
  <c r="BC3" i="1"/>
  <c r="BD3" i="1"/>
  <c r="BE3" i="1"/>
  <c r="AQ4" i="1"/>
  <c r="BC4" i="1"/>
  <c r="BD4" i="1"/>
  <c r="BE4" i="1"/>
  <c r="AQ5" i="1"/>
  <c r="BC5" i="1"/>
  <c r="BD5" i="1"/>
  <c r="BE5" i="1"/>
  <c r="AQ6" i="1"/>
  <c r="BC6" i="1"/>
  <c r="BD6" i="1"/>
  <c r="BE6" i="1"/>
  <c r="AQ7" i="1"/>
  <c r="BC7" i="1"/>
  <c r="BD7" i="1"/>
  <c r="BE7" i="1"/>
  <c r="AQ8" i="1"/>
  <c r="BC8" i="1"/>
  <c r="BD8" i="1"/>
  <c r="BE8" i="1"/>
  <c r="AQ9" i="1"/>
  <c r="BC9" i="1"/>
  <c r="BD9" i="1"/>
  <c r="BE9" i="1"/>
  <c r="AQ10" i="1"/>
  <c r="BC10" i="1"/>
  <c r="BD10" i="1"/>
  <c r="BE10" i="1"/>
  <c r="AQ11" i="1"/>
  <c r="BC11" i="1"/>
  <c r="BD11" i="1"/>
  <c r="BE11" i="1"/>
  <c r="AQ12" i="1"/>
  <c r="BC12" i="1"/>
  <c r="BD12" i="1"/>
  <c r="BE12" i="1"/>
  <c r="AQ13" i="1"/>
  <c r="BC13" i="1"/>
  <c r="BD13" i="1"/>
  <c r="BE13" i="1"/>
  <c r="AQ14" i="1"/>
  <c r="BC14" i="1"/>
  <c r="BD14" i="1"/>
  <c r="BE14" i="1"/>
  <c r="AQ15" i="1"/>
  <c r="BC15" i="1"/>
  <c r="BD15" i="1"/>
  <c r="BE15" i="1"/>
  <c r="AQ16" i="1"/>
  <c r="BC16" i="1"/>
  <c r="BD16" i="1"/>
  <c r="BE16" i="1"/>
  <c r="AQ17" i="1"/>
  <c r="BC17" i="1"/>
  <c r="BD17" i="1"/>
  <c r="BE17" i="1"/>
  <c r="AQ18" i="1"/>
  <c r="BC18" i="1"/>
  <c r="BD18" i="1"/>
  <c r="BE18" i="1"/>
  <c r="AQ19" i="1"/>
  <c r="BC19" i="1"/>
  <c r="BD19" i="1"/>
  <c r="BE19" i="1"/>
  <c r="AQ20" i="1"/>
  <c r="BC20" i="1"/>
  <c r="BD20" i="1"/>
  <c r="BE20" i="1"/>
  <c r="AQ21" i="1"/>
  <c r="BC21" i="1"/>
  <c r="BD21" i="1"/>
  <c r="BE21" i="1"/>
  <c r="AQ22" i="1"/>
  <c r="BC22" i="1"/>
  <c r="BD22" i="1"/>
  <c r="BE22" i="1"/>
  <c r="AQ23" i="1"/>
  <c r="BC23" i="1"/>
  <c r="BD23" i="1"/>
  <c r="BE23" i="1"/>
  <c r="AQ24" i="1"/>
  <c r="BC24" i="1"/>
  <c r="BD24" i="1"/>
  <c r="BE24" i="1"/>
  <c r="AQ25" i="1"/>
  <c r="BC25" i="1"/>
  <c r="BD25" i="1"/>
  <c r="BE25" i="1"/>
  <c r="AQ26" i="1"/>
  <c r="BC26" i="1"/>
  <c r="BD26" i="1"/>
  <c r="BE26" i="1"/>
  <c r="AQ27" i="1"/>
  <c r="BC27" i="1"/>
  <c r="BD27" i="1"/>
  <c r="BE27" i="1"/>
  <c r="AQ28" i="1"/>
  <c r="BC28" i="1"/>
  <c r="BD28" i="1"/>
  <c r="BE28" i="1"/>
  <c r="AQ29" i="1"/>
  <c r="BC29" i="1"/>
  <c r="BD29" i="1"/>
  <c r="BE29" i="1"/>
  <c r="AQ30" i="1"/>
  <c r="BC30" i="1"/>
  <c r="BD30" i="1"/>
  <c r="BE30" i="1"/>
  <c r="AQ31" i="1"/>
  <c r="BC31" i="1"/>
  <c r="BD31" i="1"/>
  <c r="BE31" i="1"/>
  <c r="AQ32" i="1"/>
  <c r="BC32" i="1"/>
  <c r="BD32" i="1"/>
  <c r="BE32" i="1"/>
  <c r="AQ33" i="1"/>
  <c r="BC33" i="1"/>
  <c r="BD33" i="1"/>
  <c r="BE33" i="1"/>
  <c r="AQ34" i="1"/>
  <c r="BC34" i="1"/>
  <c r="BD34" i="1"/>
  <c r="BE34" i="1"/>
  <c r="AQ35" i="1"/>
  <c r="BC35" i="1"/>
  <c r="BD35" i="1"/>
  <c r="BE35" i="1"/>
  <c r="AQ36" i="1"/>
  <c r="BC36" i="1"/>
  <c r="BD36" i="1"/>
  <c r="BE36" i="1"/>
  <c r="AQ37" i="1"/>
  <c r="BC37" i="1"/>
  <c r="BD37" i="1"/>
  <c r="BE37" i="1"/>
  <c r="AQ38" i="1"/>
  <c r="BC38" i="1"/>
  <c r="BD38" i="1"/>
  <c r="BE38" i="1"/>
  <c r="AQ39" i="1"/>
  <c r="BC39" i="1"/>
  <c r="BD39" i="1"/>
  <c r="BE39" i="1"/>
  <c r="AQ40" i="1"/>
  <c r="BC40" i="1"/>
  <c r="BD40" i="1"/>
  <c r="BE40" i="1"/>
  <c r="AQ41" i="1"/>
  <c r="BC41" i="1"/>
  <c r="BD41" i="1"/>
  <c r="BE41" i="1"/>
  <c r="AQ42" i="1"/>
  <c r="BC42" i="1"/>
  <c r="BD42" i="1"/>
  <c r="BE42" i="1"/>
  <c r="AQ43" i="1"/>
  <c r="BC43" i="1"/>
  <c r="BD43" i="1"/>
  <c r="BE43" i="1"/>
  <c r="AQ44" i="1"/>
  <c r="BC44" i="1"/>
  <c r="BD44" i="1"/>
  <c r="BE44" i="1"/>
  <c r="AQ45" i="1"/>
  <c r="BC45" i="1"/>
  <c r="BD45" i="1"/>
  <c r="BE45" i="1"/>
  <c r="AQ46" i="1"/>
  <c r="BC46" i="1"/>
  <c r="BD46" i="1"/>
  <c r="BE46" i="1"/>
  <c r="AQ47" i="1"/>
  <c r="BC47" i="1"/>
  <c r="BD47" i="1"/>
  <c r="BE47" i="1"/>
  <c r="AQ48" i="1"/>
  <c r="BC48" i="1"/>
  <c r="BD48" i="1"/>
  <c r="BE48" i="1"/>
  <c r="AQ49" i="1"/>
  <c r="BC49" i="1"/>
  <c r="BD49" i="1"/>
  <c r="BE49" i="1"/>
  <c r="AQ50" i="1"/>
  <c r="BC50" i="1"/>
  <c r="BD50" i="1"/>
  <c r="BE50" i="1"/>
  <c r="AQ51" i="1"/>
  <c r="BC51" i="1"/>
  <c r="BD51" i="1"/>
  <c r="BE51" i="1"/>
  <c r="AQ52" i="1"/>
  <c r="BC52" i="1"/>
  <c r="BD52" i="1"/>
  <c r="BE52" i="1"/>
  <c r="AQ53" i="1"/>
  <c r="BC53" i="1"/>
  <c r="BD53" i="1"/>
  <c r="BE53" i="1"/>
  <c r="AQ54" i="1"/>
  <c r="BC54" i="1"/>
  <c r="BD54" i="1"/>
  <c r="BE54" i="1"/>
  <c r="AQ55" i="1"/>
  <c r="BC55" i="1"/>
  <c r="BD55" i="1"/>
  <c r="BE55" i="1"/>
  <c r="AQ56" i="1"/>
  <c r="BC56" i="1"/>
  <c r="BD56" i="1"/>
  <c r="BE56" i="1"/>
  <c r="AQ57" i="1"/>
  <c r="BC57" i="1"/>
  <c r="BD57" i="1"/>
  <c r="BE57" i="1"/>
  <c r="AQ58" i="1"/>
  <c r="BC58" i="1"/>
  <c r="BD58" i="1"/>
  <c r="BE58" i="1"/>
  <c r="AQ59" i="1"/>
  <c r="BC59" i="1"/>
  <c r="BD59" i="1"/>
  <c r="BE59" i="1"/>
  <c r="AQ60" i="1"/>
  <c r="BC60" i="1"/>
  <c r="BD60" i="1"/>
  <c r="BE60" i="1"/>
  <c r="AQ61" i="1"/>
  <c r="BC61" i="1"/>
  <c r="BD61" i="1"/>
  <c r="BE61" i="1"/>
  <c r="AQ62" i="1"/>
  <c r="BC62" i="1"/>
  <c r="BD62" i="1"/>
  <c r="BE62" i="1"/>
  <c r="AQ63" i="1"/>
  <c r="BC63" i="1"/>
  <c r="BD63" i="1"/>
  <c r="BE63" i="1"/>
  <c r="AQ64" i="1"/>
  <c r="BC64" i="1"/>
  <c r="BD64" i="1"/>
  <c r="BE64" i="1"/>
  <c r="AQ65" i="1"/>
  <c r="BC65" i="1"/>
  <c r="BD65" i="1"/>
  <c r="BE65" i="1"/>
  <c r="AQ66" i="1"/>
  <c r="BC66" i="1"/>
  <c r="BD66" i="1"/>
  <c r="BE66" i="1"/>
  <c r="AQ67" i="1"/>
  <c r="BC67" i="1"/>
  <c r="BD67" i="1"/>
  <c r="BE67" i="1"/>
  <c r="AQ68" i="1"/>
  <c r="BC68" i="1"/>
  <c r="BD68" i="1"/>
  <c r="BE68" i="1"/>
  <c r="AQ69" i="1"/>
  <c r="BC69" i="1"/>
  <c r="BD69" i="1"/>
  <c r="BE69" i="1"/>
  <c r="AQ70" i="1"/>
  <c r="BC70" i="1"/>
  <c r="BD70" i="1"/>
  <c r="BE70" i="1"/>
  <c r="AQ71" i="1"/>
  <c r="BC71" i="1"/>
  <c r="BD71" i="1"/>
  <c r="BE71" i="1"/>
  <c r="AQ72" i="1"/>
  <c r="BC72" i="1"/>
  <c r="BD72" i="1"/>
  <c r="BE72" i="1"/>
  <c r="AQ73" i="1"/>
  <c r="BC73" i="1"/>
  <c r="BD73" i="1"/>
  <c r="BE73" i="1"/>
  <c r="AQ74" i="1"/>
  <c r="BC74" i="1"/>
  <c r="BD74" i="1"/>
  <c r="BE74" i="1"/>
  <c r="AQ75" i="1"/>
  <c r="BC75" i="1"/>
  <c r="BD75" i="1"/>
  <c r="BE75" i="1"/>
  <c r="AQ76" i="1"/>
  <c r="BC76" i="1"/>
  <c r="BD76" i="1"/>
  <c r="BE76" i="1"/>
  <c r="AQ77" i="1"/>
  <c r="BC77" i="1"/>
  <c r="BD77" i="1"/>
  <c r="BE77" i="1"/>
  <c r="AQ78" i="1"/>
  <c r="BC78" i="1"/>
  <c r="BD78" i="1"/>
  <c r="BE78" i="1"/>
  <c r="AQ79" i="1"/>
  <c r="BC79" i="1"/>
  <c r="BD79" i="1"/>
  <c r="BE79" i="1"/>
  <c r="AQ80" i="1"/>
  <c r="BC80" i="1"/>
  <c r="BD80" i="1"/>
  <c r="BE80" i="1"/>
  <c r="AQ81" i="1"/>
  <c r="BC81" i="1"/>
  <c r="BD81" i="1"/>
  <c r="BE81" i="1"/>
  <c r="AQ82" i="1"/>
  <c r="BC82" i="1"/>
  <c r="BD82" i="1"/>
  <c r="BE82" i="1"/>
  <c r="AQ83" i="1"/>
  <c r="BC83" i="1"/>
  <c r="BD83" i="1"/>
  <c r="BE83" i="1"/>
  <c r="AQ84" i="1"/>
  <c r="BC84" i="1"/>
  <c r="BD84" i="1"/>
  <c r="BE84" i="1"/>
  <c r="AQ85" i="1"/>
  <c r="BC85" i="1"/>
  <c r="BD85" i="1"/>
  <c r="BE85" i="1"/>
  <c r="AQ86" i="1"/>
  <c r="BC86" i="1"/>
  <c r="BD86" i="1"/>
  <c r="BE86" i="1"/>
  <c r="AQ87" i="1"/>
  <c r="BC87" i="1"/>
  <c r="BD87" i="1"/>
  <c r="BE87" i="1"/>
  <c r="AQ88" i="1"/>
  <c r="BC88" i="1"/>
  <c r="BD88" i="1"/>
  <c r="BE88" i="1"/>
  <c r="AQ89" i="1"/>
  <c r="BC89" i="1"/>
  <c r="BD89" i="1"/>
  <c r="BE89" i="1"/>
  <c r="AQ90" i="1"/>
  <c r="BC90" i="1"/>
  <c r="BD90" i="1"/>
  <c r="BE90" i="1"/>
  <c r="AQ91" i="1"/>
  <c r="BC91" i="1"/>
  <c r="BD91" i="1"/>
  <c r="BE91" i="1"/>
  <c r="AQ92" i="1"/>
  <c r="BC92" i="1"/>
  <c r="BD92" i="1"/>
  <c r="BE92" i="1"/>
  <c r="AQ93" i="1"/>
  <c r="BC93" i="1"/>
  <c r="BD93" i="1"/>
  <c r="BE93" i="1"/>
  <c r="AQ94" i="1"/>
  <c r="BC94" i="1"/>
  <c r="BD94" i="1"/>
  <c r="BE94" i="1"/>
  <c r="AQ95" i="1"/>
  <c r="BC95" i="1"/>
  <c r="BD95" i="1"/>
  <c r="BE95" i="1"/>
  <c r="AQ96" i="1"/>
  <c r="BC96" i="1"/>
  <c r="BD96" i="1"/>
  <c r="BE96" i="1"/>
  <c r="AQ97" i="1"/>
  <c r="BC97" i="1"/>
  <c r="BD97" i="1"/>
  <c r="BE97" i="1"/>
  <c r="AQ98" i="1"/>
  <c r="BC98" i="1"/>
  <c r="BD98" i="1"/>
  <c r="BE98" i="1"/>
  <c r="AQ99" i="1"/>
  <c r="BC99" i="1"/>
  <c r="BD99" i="1"/>
  <c r="BE99" i="1"/>
  <c r="AQ100" i="1"/>
  <c r="BC100" i="1"/>
  <c r="BD100" i="1"/>
  <c r="BE100" i="1"/>
  <c r="AQ101" i="1"/>
  <c r="BC101" i="1"/>
  <c r="BD101" i="1"/>
  <c r="BE101" i="1"/>
  <c r="AQ102" i="1"/>
  <c r="BC102" i="1"/>
  <c r="BD102" i="1"/>
  <c r="BE102" i="1"/>
  <c r="AQ103" i="1"/>
  <c r="BC103" i="1"/>
  <c r="BD103" i="1"/>
  <c r="BE103" i="1"/>
  <c r="AQ104" i="1"/>
  <c r="BC104" i="1"/>
  <c r="BD104" i="1"/>
  <c r="BE104" i="1"/>
  <c r="AQ105" i="1"/>
  <c r="BC105" i="1"/>
  <c r="BD105" i="1"/>
  <c r="BE105" i="1"/>
  <c r="AQ106" i="1"/>
  <c r="BC106" i="1"/>
  <c r="BD106" i="1"/>
  <c r="BE106" i="1"/>
  <c r="AQ107" i="1"/>
  <c r="BC107" i="1"/>
  <c r="BD107" i="1"/>
  <c r="BE107" i="1"/>
  <c r="AQ108" i="1"/>
  <c r="BC108" i="1"/>
  <c r="BD108" i="1"/>
  <c r="BE108" i="1"/>
  <c r="AQ109" i="1"/>
  <c r="BC109" i="1"/>
  <c r="BD109" i="1"/>
  <c r="BE109" i="1"/>
  <c r="AQ110" i="1"/>
  <c r="BC110" i="1"/>
  <c r="BD110" i="1"/>
  <c r="BE110" i="1"/>
  <c r="AQ111" i="1"/>
  <c r="BC111" i="1"/>
  <c r="BD111" i="1"/>
  <c r="BE111" i="1"/>
  <c r="AQ112" i="1"/>
  <c r="BC112" i="1"/>
  <c r="BD112" i="1"/>
  <c r="BE112" i="1"/>
  <c r="AQ113" i="1"/>
  <c r="BC113" i="1"/>
  <c r="BD113" i="1"/>
  <c r="BE113" i="1"/>
  <c r="AQ114" i="1"/>
  <c r="BC114" i="1"/>
  <c r="BD114" i="1"/>
  <c r="BE114" i="1"/>
  <c r="AQ115" i="1"/>
  <c r="BC115" i="1"/>
  <c r="BD115" i="1"/>
  <c r="BE115" i="1"/>
  <c r="AQ116" i="1"/>
  <c r="BC116" i="1"/>
  <c r="BD116" i="1"/>
  <c r="BE116" i="1"/>
  <c r="AQ117" i="1"/>
  <c r="BC117" i="1"/>
  <c r="BD117" i="1"/>
  <c r="BE117" i="1"/>
  <c r="AQ118" i="1"/>
  <c r="BC118" i="1"/>
  <c r="BD118" i="1"/>
  <c r="BE118" i="1"/>
  <c r="AQ119" i="1"/>
  <c r="BC119" i="1"/>
  <c r="BD119" i="1"/>
  <c r="BE119" i="1"/>
  <c r="AQ120" i="1"/>
  <c r="BC120" i="1"/>
  <c r="BD120" i="1"/>
  <c r="BE120" i="1"/>
  <c r="AQ121" i="1"/>
  <c r="BC121" i="1"/>
  <c r="BD121" i="1"/>
  <c r="BE121" i="1"/>
  <c r="AQ122" i="1"/>
  <c r="BC122" i="1"/>
  <c r="BD122" i="1"/>
  <c r="BE122" i="1"/>
  <c r="AQ123" i="1"/>
  <c r="BC123" i="1"/>
  <c r="BD123" i="1"/>
  <c r="BE123" i="1"/>
  <c r="AQ124" i="1"/>
  <c r="BC124" i="1"/>
  <c r="BD124" i="1"/>
  <c r="BE124" i="1"/>
  <c r="AQ125" i="1"/>
  <c r="BC125" i="1"/>
  <c r="BD125" i="1"/>
  <c r="BE125" i="1"/>
  <c r="AQ126" i="1"/>
  <c r="BC126" i="1"/>
  <c r="BD126" i="1"/>
  <c r="BE126" i="1"/>
  <c r="AQ127" i="1"/>
  <c r="BC127" i="1"/>
  <c r="BD127" i="1"/>
  <c r="BE127" i="1"/>
  <c r="AQ128" i="1"/>
  <c r="BC128" i="1"/>
  <c r="BD128" i="1"/>
  <c r="BE128" i="1"/>
  <c r="AQ129" i="1"/>
  <c r="BC129" i="1"/>
  <c r="BD129" i="1"/>
  <c r="BE129" i="1"/>
  <c r="AQ130" i="1"/>
  <c r="BC130" i="1"/>
  <c r="BD130" i="1"/>
  <c r="BE130" i="1"/>
  <c r="AQ131" i="1"/>
  <c r="BC131" i="1"/>
  <c r="BD131" i="1"/>
  <c r="BE131" i="1"/>
  <c r="AQ132" i="1"/>
  <c r="BC132" i="1"/>
  <c r="BD132" i="1"/>
  <c r="BE132" i="1"/>
  <c r="AQ133" i="1"/>
  <c r="BC133" i="1"/>
  <c r="BD133" i="1"/>
  <c r="BE133" i="1"/>
  <c r="AQ134" i="1"/>
  <c r="BC134" i="1"/>
  <c r="BD134" i="1"/>
  <c r="BE134" i="1"/>
  <c r="AQ135" i="1"/>
  <c r="BC135" i="1"/>
  <c r="BD135" i="1"/>
  <c r="BE135" i="1"/>
  <c r="AQ136" i="1"/>
  <c r="BC136" i="1"/>
  <c r="BD136" i="1"/>
  <c r="BE136" i="1"/>
  <c r="AQ137" i="1"/>
  <c r="BC137" i="1"/>
  <c r="BD137" i="1"/>
  <c r="BE137" i="1"/>
  <c r="AQ138" i="1"/>
  <c r="BC138" i="1"/>
  <c r="BD138" i="1"/>
  <c r="BE138" i="1"/>
  <c r="AQ139" i="1"/>
  <c r="BC139" i="1"/>
  <c r="BD139" i="1"/>
  <c r="BE139" i="1"/>
  <c r="AQ140" i="1"/>
  <c r="BC140" i="1"/>
  <c r="BD140" i="1"/>
  <c r="BE140" i="1"/>
  <c r="AQ141" i="1"/>
  <c r="BC141" i="1"/>
  <c r="BD141" i="1"/>
  <c r="BE141" i="1"/>
  <c r="AQ142" i="1"/>
  <c r="BC142" i="1"/>
  <c r="BD142" i="1"/>
  <c r="BE142" i="1"/>
  <c r="AQ143" i="1"/>
  <c r="BC143" i="1"/>
  <c r="BD143" i="1"/>
  <c r="BE143" i="1"/>
  <c r="AQ144" i="1"/>
  <c r="BC144" i="1"/>
  <c r="BD144" i="1"/>
  <c r="BE144" i="1"/>
  <c r="AQ145" i="1"/>
  <c r="BC145" i="1"/>
  <c r="BD145" i="1"/>
  <c r="BE145" i="1"/>
  <c r="AQ146" i="1"/>
  <c r="BC146" i="1"/>
  <c r="BD146" i="1"/>
  <c r="BE146" i="1"/>
  <c r="AQ147" i="1"/>
  <c r="BC147" i="1"/>
  <c r="BD147" i="1"/>
  <c r="BE147" i="1"/>
  <c r="AQ148" i="1"/>
  <c r="BC148" i="1"/>
  <c r="BD148" i="1"/>
  <c r="BE148" i="1"/>
  <c r="AQ149" i="1"/>
  <c r="BC149" i="1"/>
  <c r="BD149" i="1"/>
  <c r="BE149" i="1"/>
  <c r="AQ150" i="1"/>
  <c r="BC150" i="1"/>
  <c r="BD150" i="1"/>
  <c r="BE150" i="1"/>
  <c r="AQ151" i="1"/>
  <c r="BC151" i="1"/>
  <c r="BD151" i="1"/>
  <c r="BE151" i="1"/>
  <c r="AQ152" i="1"/>
  <c r="BC152" i="1"/>
  <c r="BD152" i="1"/>
  <c r="BE152" i="1"/>
  <c r="AQ153" i="1"/>
  <c r="BC153" i="1"/>
  <c r="BD153" i="1"/>
  <c r="BE153" i="1"/>
  <c r="AQ154" i="1"/>
  <c r="BC154" i="1"/>
  <c r="BD154" i="1"/>
  <c r="BE154" i="1"/>
  <c r="AQ155" i="1"/>
  <c r="BC155" i="1"/>
  <c r="BD155" i="1"/>
  <c r="BE155" i="1"/>
  <c r="AQ156" i="1"/>
  <c r="BC156" i="1"/>
  <c r="BD156" i="1"/>
  <c r="BE156" i="1"/>
  <c r="AQ157" i="1"/>
  <c r="BC157" i="1"/>
  <c r="BD157" i="1"/>
  <c r="BE157" i="1"/>
  <c r="AQ158" i="1"/>
  <c r="BC158" i="1"/>
  <c r="BD158" i="1"/>
  <c r="BE158" i="1"/>
  <c r="AQ159" i="1"/>
  <c r="BC159" i="1"/>
  <c r="BD159" i="1"/>
  <c r="BE159" i="1"/>
  <c r="AQ160" i="1"/>
  <c r="BC160" i="1"/>
  <c r="BD160" i="1"/>
  <c r="BE160" i="1"/>
  <c r="AQ161" i="1"/>
  <c r="BC161" i="1"/>
  <c r="BD161" i="1"/>
  <c r="BE161" i="1"/>
  <c r="AQ162" i="1"/>
  <c r="BC162" i="1"/>
  <c r="BD162" i="1"/>
  <c r="BE162" i="1"/>
  <c r="AQ163" i="1"/>
  <c r="BC163" i="1"/>
  <c r="BD163" i="1"/>
  <c r="BE163" i="1"/>
  <c r="AQ164" i="1"/>
  <c r="BC164" i="1"/>
  <c r="BD164" i="1"/>
  <c r="BE164" i="1"/>
  <c r="AQ165" i="1"/>
  <c r="BC165" i="1"/>
  <c r="BD165" i="1"/>
  <c r="BE165" i="1"/>
  <c r="AQ166" i="1"/>
  <c r="BC166" i="1"/>
  <c r="BD166" i="1"/>
  <c r="BE166" i="1"/>
  <c r="AQ167" i="1"/>
  <c r="BC167" i="1"/>
  <c r="BD167" i="1"/>
  <c r="BE167" i="1"/>
  <c r="AQ168" i="1"/>
  <c r="BC168" i="1"/>
  <c r="BD168" i="1"/>
  <c r="BE168" i="1"/>
  <c r="AQ169" i="1"/>
  <c r="BC169" i="1"/>
  <c r="BD169" i="1"/>
  <c r="BE169" i="1"/>
  <c r="AQ170" i="1"/>
  <c r="BC170" i="1"/>
  <c r="BD170" i="1"/>
  <c r="BE170" i="1"/>
  <c r="AQ171" i="1"/>
  <c r="BC171" i="1"/>
  <c r="BD171" i="1"/>
  <c r="BE171" i="1"/>
  <c r="AQ172" i="1"/>
  <c r="BC172" i="1"/>
  <c r="BD172" i="1"/>
  <c r="BE172" i="1"/>
  <c r="AD3" i="2" l="1"/>
  <c r="Z3" i="2"/>
  <c r="AN81" i="2"/>
  <c r="AG20" i="10" s="1"/>
  <c r="AN82" i="2"/>
  <c r="AG156" i="10" s="1"/>
  <c r="AM81" i="2"/>
  <c r="AF20" i="10" s="1"/>
  <c r="Y4" i="10"/>
  <c r="Y3" i="10"/>
  <c r="AM82" i="2"/>
  <c r="AF156" i="10" s="1"/>
  <c r="AI57" i="2"/>
  <c r="AF57" i="2"/>
  <c r="J57" i="2" s="1"/>
  <c r="AI56" i="2"/>
  <c r="AF56" i="2"/>
  <c r="J56" i="2" s="1"/>
  <c r="AI59" i="2"/>
  <c r="AF59" i="2"/>
  <c r="J59" i="2" s="1"/>
  <c r="AI58" i="2"/>
  <c r="AF58" i="2"/>
  <c r="J58" i="2" s="1"/>
  <c r="AI35" i="2"/>
  <c r="AI34" i="2"/>
  <c r="AI30" i="2"/>
  <c r="AI32" i="2"/>
  <c r="AH8" i="2"/>
  <c r="AI8" i="2"/>
  <c r="AH4" i="2"/>
  <c r="AI4" i="2"/>
  <c r="AG20" i="2"/>
  <c r="AG16" i="2"/>
  <c r="AI12" i="2"/>
  <c r="AG38" i="2"/>
  <c r="AG64" i="2"/>
  <c r="AG56" i="2"/>
  <c r="K56" i="2" s="1"/>
  <c r="AH166" i="2"/>
  <c r="AG158" i="2"/>
  <c r="AH154" i="2"/>
  <c r="AH150" i="2"/>
  <c r="AH142" i="2"/>
  <c r="AH138" i="2"/>
  <c r="AH134" i="2"/>
  <c r="AH130" i="2"/>
  <c r="AH126" i="2"/>
  <c r="AG122" i="2"/>
  <c r="AH118" i="2"/>
  <c r="AH114" i="2"/>
  <c r="AH110" i="2"/>
  <c r="AH106" i="2"/>
  <c r="AG100" i="2"/>
  <c r="AG93" i="2"/>
  <c r="AG89" i="2"/>
  <c r="AG85" i="2"/>
  <c r="AI3" i="2"/>
  <c r="AH3" i="2"/>
  <c r="AI7" i="2"/>
  <c r="AG31" i="2"/>
  <c r="AG27" i="2"/>
  <c r="AG23" i="2"/>
  <c r="K23" i="2" s="1"/>
  <c r="AI19" i="2"/>
  <c r="AI15" i="2"/>
  <c r="AI11" i="2"/>
  <c r="AH41" i="2"/>
  <c r="AG33" i="2"/>
  <c r="AG49" i="2"/>
  <c r="AG63" i="2"/>
  <c r="AF169" i="2"/>
  <c r="AG169" i="2"/>
  <c r="AG113" i="2"/>
  <c r="AG96" i="2"/>
  <c r="AG88" i="2"/>
  <c r="AG69" i="2"/>
  <c r="K69" i="2" s="1"/>
  <c r="AI10" i="2"/>
  <c r="AH6" i="2"/>
  <c r="AI6" i="2"/>
  <c r="AF26" i="2"/>
  <c r="AG26" i="2"/>
  <c r="AI18" i="2"/>
  <c r="AI14" i="2"/>
  <c r="AG48" i="2"/>
  <c r="AG36" i="2"/>
  <c r="AG52" i="2"/>
  <c r="AH58" i="2"/>
  <c r="AH172" i="2"/>
  <c r="AG168" i="2"/>
  <c r="AH164" i="2"/>
  <c r="AH99" i="2"/>
  <c r="AG87" i="2"/>
  <c r="AG79" i="2"/>
  <c r="AG75" i="2"/>
  <c r="AH9" i="2"/>
  <c r="AI9" i="2"/>
  <c r="AG5" i="2"/>
  <c r="AH25" i="2"/>
  <c r="AH21" i="2"/>
  <c r="AG17" i="2"/>
  <c r="AH13" i="2"/>
  <c r="AI13" i="2"/>
  <c r="AG47" i="2"/>
  <c r="AG51" i="2"/>
  <c r="AH171" i="2"/>
  <c r="AG167" i="2"/>
  <c r="AH163" i="2"/>
  <c r="AH159" i="2"/>
  <c r="AH155" i="2"/>
  <c r="AH151" i="2"/>
  <c r="AH147" i="2"/>
  <c r="AH143" i="2"/>
  <c r="AH135" i="2"/>
  <c r="AH131" i="2"/>
  <c r="AH127" i="2"/>
  <c r="AH123" i="2"/>
  <c r="AH119" i="2"/>
  <c r="AH115" i="2"/>
  <c r="AH111" i="2"/>
  <c r="AH107" i="2"/>
  <c r="AG101" i="2"/>
  <c r="AF90" i="2"/>
  <c r="J90" i="2" s="1"/>
  <c r="J164" i="10" s="1"/>
  <c r="AG90" i="2"/>
  <c r="K90" i="2" s="1"/>
  <c r="AG86" i="2"/>
  <c r="AG74" i="2"/>
  <c r="AH139" i="2"/>
  <c r="AF17" i="2"/>
  <c r="AF168" i="2"/>
  <c r="AF101" i="2"/>
  <c r="AF5" i="2"/>
  <c r="AF167" i="2"/>
  <c r="AF75" i="2"/>
  <c r="AH83" i="2"/>
  <c r="AH28" i="2"/>
  <c r="AH24" i="2"/>
  <c r="AH12" i="2"/>
  <c r="AH46" i="2"/>
  <c r="AH42" i="2"/>
  <c r="AF38" i="2"/>
  <c r="AH34" i="2"/>
  <c r="AH50" i="2"/>
  <c r="AF64" i="2"/>
  <c r="AH60" i="2"/>
  <c r="AH56" i="2"/>
  <c r="AH97" i="2"/>
  <c r="AF93" i="2"/>
  <c r="AH80" i="2"/>
  <c r="AH77" i="2"/>
  <c r="AH73" i="2"/>
  <c r="AH66" i="2"/>
  <c r="AH162" i="2"/>
  <c r="AH146" i="2"/>
  <c r="AH7" i="2"/>
  <c r="AF31" i="2"/>
  <c r="AF27" i="2"/>
  <c r="AF23" i="2"/>
  <c r="AH19" i="2"/>
  <c r="AH15" i="2"/>
  <c r="AH11" i="2"/>
  <c r="AH45" i="2"/>
  <c r="AH37" i="2"/>
  <c r="AH59" i="2"/>
  <c r="AH55" i="2"/>
  <c r="AH165" i="2"/>
  <c r="AH157" i="2"/>
  <c r="AH149" i="2"/>
  <c r="AH141" i="2"/>
  <c r="AH137" i="2"/>
  <c r="AH133" i="2"/>
  <c r="AH125" i="2"/>
  <c r="AH121" i="2"/>
  <c r="AF113" i="2"/>
  <c r="AH109" i="2"/>
  <c r="AH105" i="2"/>
  <c r="AH103" i="2"/>
  <c r="AF96" i="2"/>
  <c r="AH92" i="2"/>
  <c r="AF88" i="2"/>
  <c r="AH84" i="2"/>
  <c r="AH76" i="2"/>
  <c r="AH72" i="2"/>
  <c r="AH69" i="2"/>
  <c r="AF69" i="2"/>
  <c r="J69" i="2" s="1"/>
  <c r="AF100" i="2"/>
  <c r="AF89" i="2"/>
  <c r="AF63" i="2"/>
  <c r="AH161" i="2"/>
  <c r="AH145" i="2"/>
  <c r="AH117" i="2"/>
  <c r="AH10" i="2"/>
  <c r="AH30" i="2"/>
  <c r="AH22" i="2"/>
  <c r="AH18" i="2"/>
  <c r="AH14" i="2"/>
  <c r="AF48" i="2"/>
  <c r="AH44" i="2"/>
  <c r="AH40" i="2"/>
  <c r="AF36" i="2"/>
  <c r="AH32" i="2"/>
  <c r="AF52" i="2"/>
  <c r="AH62" i="2"/>
  <c r="AH54" i="2"/>
  <c r="AH160" i="2"/>
  <c r="AH156" i="2"/>
  <c r="AH152" i="2"/>
  <c r="AH148" i="2"/>
  <c r="AH144" i="2"/>
  <c r="AH140" i="2"/>
  <c r="AH136" i="2"/>
  <c r="AH132" i="2"/>
  <c r="AH124" i="2"/>
  <c r="AH120" i="2"/>
  <c r="AH116" i="2"/>
  <c r="AH112" i="2"/>
  <c r="AH104" i="2"/>
  <c r="AH102" i="2"/>
  <c r="AH95" i="2"/>
  <c r="AH91" i="2"/>
  <c r="AF87" i="2"/>
  <c r="AF79" i="2"/>
  <c r="AH68" i="2"/>
  <c r="AF20" i="2"/>
  <c r="AF16" i="2"/>
  <c r="AF85" i="2"/>
  <c r="AH170" i="2"/>
  <c r="AH129" i="2"/>
  <c r="AH108" i="2"/>
  <c r="AH29" i="2"/>
  <c r="AF47" i="2"/>
  <c r="AH43" i="2"/>
  <c r="AH39" i="2"/>
  <c r="AH35" i="2"/>
  <c r="AF51" i="2"/>
  <c r="AH65" i="2"/>
  <c r="AH61" i="2"/>
  <c r="AH57" i="2"/>
  <c r="AH53" i="2"/>
  <c r="AH98" i="2"/>
  <c r="AH94" i="2"/>
  <c r="AH90" i="2"/>
  <c r="AF86" i="2"/>
  <c r="AH82" i="2"/>
  <c r="AH81" i="2"/>
  <c r="AH78" i="2"/>
  <c r="AF74" i="2"/>
  <c r="AH70" i="2"/>
  <c r="AH67" i="2"/>
  <c r="AF158" i="2"/>
  <c r="AF122" i="2"/>
  <c r="AF49" i="2"/>
  <c r="AF33" i="2"/>
  <c r="AH153" i="2"/>
  <c r="AH128" i="2"/>
  <c r="AH71" i="2"/>
  <c r="AC22" i="2"/>
  <c r="Z22" i="2"/>
  <c r="Z126" i="10" s="1"/>
  <c r="AC18" i="2"/>
  <c r="Z18" i="2"/>
  <c r="Z122" i="10" s="1"/>
  <c r="AC14" i="2"/>
  <c r="Z14" i="2"/>
  <c r="Z118" i="10" s="1"/>
  <c r="AC10" i="2"/>
  <c r="Z10" i="2"/>
  <c r="Z114" i="10" s="1"/>
  <c r="AC6" i="2"/>
  <c r="Z6" i="2"/>
  <c r="Z110" i="10" s="1"/>
  <c r="AC35" i="2"/>
  <c r="Z35" i="2"/>
  <c r="Z139" i="10" s="1"/>
  <c r="AD35" i="2"/>
  <c r="AE35" i="2"/>
  <c r="AC31" i="2"/>
  <c r="Z31" i="2"/>
  <c r="Z135" i="10" s="1"/>
  <c r="AC27" i="2"/>
  <c r="Z27" i="2"/>
  <c r="Z131" i="10" s="1"/>
  <c r="AC23" i="2"/>
  <c r="Z23" i="2"/>
  <c r="Z127" i="10" s="1"/>
  <c r="AC47" i="2"/>
  <c r="Z47" i="2"/>
  <c r="Z150" i="10" s="1"/>
  <c r="AD47" i="2"/>
  <c r="AE47" i="2"/>
  <c r="AC43" i="2"/>
  <c r="Z43" i="2"/>
  <c r="Z147" i="10" s="1"/>
  <c r="AD43" i="2"/>
  <c r="AE43" i="2"/>
  <c r="AC39" i="2"/>
  <c r="Z39" i="2"/>
  <c r="Z143" i="10" s="1"/>
  <c r="AD39" i="2"/>
  <c r="AE39" i="2"/>
  <c r="AC169" i="2"/>
  <c r="Z169" i="2"/>
  <c r="Z103" i="10" s="1"/>
  <c r="AC165" i="2"/>
  <c r="Z165" i="2"/>
  <c r="Z99" i="10" s="1"/>
  <c r="AC161" i="2"/>
  <c r="Z161" i="2"/>
  <c r="Z95" i="10" s="1"/>
  <c r="AC157" i="2"/>
  <c r="Z157" i="2"/>
  <c r="Z91" i="10" s="1"/>
  <c r="AC153" i="2"/>
  <c r="Z153" i="2"/>
  <c r="Z87" i="10" s="1"/>
  <c r="AC149" i="2"/>
  <c r="Z149" i="2"/>
  <c r="Z83" i="10" s="1"/>
  <c r="AC145" i="2"/>
  <c r="Z145" i="2"/>
  <c r="Z79" i="10" s="1"/>
  <c r="AE145" i="2"/>
  <c r="AC141" i="2"/>
  <c r="Z141" i="2"/>
  <c r="Z75" i="10" s="1"/>
  <c r="AE141" i="2"/>
  <c r="AC137" i="2"/>
  <c r="Z137" i="2"/>
  <c r="Z58" i="10" s="1"/>
  <c r="AE137" i="2"/>
  <c r="AC133" i="2"/>
  <c r="Z133" i="2"/>
  <c r="Z54" i="10" s="1"/>
  <c r="AE133" i="2"/>
  <c r="AC129" i="2"/>
  <c r="Z129" i="2"/>
  <c r="Z50" i="10" s="1"/>
  <c r="AE129" i="2"/>
  <c r="AC125" i="2"/>
  <c r="Z125" i="2"/>
  <c r="Z46" i="10" s="1"/>
  <c r="AE125" i="2"/>
  <c r="AC121" i="2"/>
  <c r="Z121" i="2"/>
  <c r="Z42" i="10" s="1"/>
  <c r="AE121" i="2"/>
  <c r="AC117" i="2"/>
  <c r="Z117" i="2"/>
  <c r="Z38" i="10" s="1"/>
  <c r="AE117" i="2"/>
  <c r="AC113" i="2"/>
  <c r="Z113" i="2"/>
  <c r="Z34" i="10" s="1"/>
  <c r="AE113" i="2"/>
  <c r="AD113" i="2"/>
  <c r="AC109" i="2"/>
  <c r="Z109" i="2"/>
  <c r="Z30" i="10" s="1"/>
  <c r="AD109" i="2"/>
  <c r="AE109" i="2"/>
  <c r="AC105" i="2"/>
  <c r="Z105" i="2"/>
  <c r="Z26" i="10" s="1"/>
  <c r="AE105" i="2"/>
  <c r="AD105" i="2"/>
  <c r="AC103" i="2"/>
  <c r="Z103" i="2"/>
  <c r="Z24" i="10" s="1"/>
  <c r="AE103" i="2"/>
  <c r="AD103" i="2"/>
  <c r="AC96" i="2"/>
  <c r="Z96" i="2"/>
  <c r="Z170" i="10" s="1"/>
  <c r="AE96" i="2"/>
  <c r="AD96" i="2"/>
  <c r="AC92" i="2"/>
  <c r="Z92" i="2"/>
  <c r="Z166" i="10" s="1"/>
  <c r="AD92" i="2"/>
  <c r="AE92" i="2"/>
  <c r="AC88" i="2"/>
  <c r="Z88" i="2"/>
  <c r="Z162" i="10" s="1"/>
  <c r="AE88" i="2"/>
  <c r="AD88" i="2"/>
  <c r="AC84" i="2"/>
  <c r="Z84" i="2"/>
  <c r="Z158" i="10" s="1"/>
  <c r="AD84" i="2"/>
  <c r="AE84" i="2"/>
  <c r="AC76" i="2"/>
  <c r="Z76" i="2"/>
  <c r="Z16" i="10" s="1"/>
  <c r="AD76" i="2"/>
  <c r="AE76" i="2"/>
  <c r="AC72" i="2"/>
  <c r="Z72" i="2"/>
  <c r="Z13" i="10" s="1"/>
  <c r="AE72" i="2"/>
  <c r="AD72" i="2"/>
  <c r="AC69" i="2"/>
  <c r="Z69" i="2"/>
  <c r="AN69" i="2" s="1"/>
  <c r="AG10" i="10" s="1"/>
  <c r="AD69" i="2"/>
  <c r="AE69" i="2"/>
  <c r="AC64" i="2"/>
  <c r="Z64" i="2"/>
  <c r="Z72" i="10" s="1"/>
  <c r="AD64" i="2"/>
  <c r="AE64" i="2"/>
  <c r="AC60" i="2"/>
  <c r="Z60" i="2"/>
  <c r="Z68" i="10" s="1"/>
  <c r="AD60" i="2"/>
  <c r="AE60" i="2"/>
  <c r="AC56" i="2"/>
  <c r="Z56" i="2"/>
  <c r="AN56" i="2" s="1"/>
  <c r="AG64" i="10" s="1"/>
  <c r="AD56" i="2"/>
  <c r="AE56" i="2"/>
  <c r="AD31" i="2"/>
  <c r="AD27" i="2"/>
  <c r="AD23" i="2"/>
  <c r="AD19" i="2"/>
  <c r="AD15" i="2"/>
  <c r="AD11" i="2"/>
  <c r="AD7" i="2"/>
  <c r="AE27" i="2"/>
  <c r="AE23" i="2"/>
  <c r="AD169" i="2"/>
  <c r="AD165" i="2"/>
  <c r="AD161" i="2"/>
  <c r="AD157" i="2"/>
  <c r="AE149" i="2"/>
  <c r="AC21" i="2"/>
  <c r="Z21" i="2"/>
  <c r="Z125" i="10" s="1"/>
  <c r="AC17" i="2"/>
  <c r="Z17" i="2"/>
  <c r="Z121" i="10" s="1"/>
  <c r="AC13" i="2"/>
  <c r="Z13" i="2"/>
  <c r="Z117" i="10" s="1"/>
  <c r="AC9" i="2"/>
  <c r="Z9" i="2"/>
  <c r="Z113" i="10" s="1"/>
  <c r="AC5" i="2"/>
  <c r="Z5" i="2"/>
  <c r="Z109" i="10" s="1"/>
  <c r="AC34" i="2"/>
  <c r="AD34" i="2"/>
  <c r="Z34" i="2"/>
  <c r="Z138" i="10" s="1"/>
  <c r="AE34" i="2"/>
  <c r="AC30" i="2"/>
  <c r="Z30" i="2"/>
  <c r="Z134" i="10" s="1"/>
  <c r="AC26" i="2"/>
  <c r="Z26" i="2"/>
  <c r="Z130" i="10" s="1"/>
  <c r="AC50" i="2"/>
  <c r="AD50" i="2"/>
  <c r="Z50" i="2"/>
  <c r="Z153" i="10" s="1"/>
  <c r="AE50" i="2"/>
  <c r="AC46" i="2"/>
  <c r="AD46" i="2"/>
  <c r="AE46" i="2"/>
  <c r="Z46" i="2"/>
  <c r="AN46" i="2" s="1"/>
  <c r="AC42" i="2"/>
  <c r="AD42" i="2"/>
  <c r="Z42" i="2"/>
  <c r="Z146" i="10" s="1"/>
  <c r="AE42" i="2"/>
  <c r="AC38" i="2"/>
  <c r="AD38" i="2"/>
  <c r="AE38" i="2"/>
  <c r="Z38" i="2"/>
  <c r="Z142" i="10" s="1"/>
  <c r="AC52" i="2"/>
  <c r="Z52" i="2"/>
  <c r="Z155" i="10" s="1"/>
  <c r="AD52" i="2"/>
  <c r="AE52" i="2"/>
  <c r="AC172" i="2"/>
  <c r="Z172" i="2"/>
  <c r="Z106" i="10" s="1"/>
  <c r="AC168" i="2"/>
  <c r="Z168" i="2"/>
  <c r="Z102" i="10" s="1"/>
  <c r="AC164" i="2"/>
  <c r="Z164" i="2"/>
  <c r="Z98" i="10" s="1"/>
  <c r="AC160" i="2"/>
  <c r="Z160" i="2"/>
  <c r="Z94" i="10" s="1"/>
  <c r="AC156" i="2"/>
  <c r="Z156" i="2"/>
  <c r="Z90" i="10" s="1"/>
  <c r="AC152" i="2"/>
  <c r="Z152" i="2"/>
  <c r="Z86" i="10" s="1"/>
  <c r="AD152" i="2"/>
  <c r="AC148" i="2"/>
  <c r="Z148" i="2"/>
  <c r="Z82" i="10" s="1"/>
  <c r="AD148" i="2"/>
  <c r="AE148" i="2"/>
  <c r="AC144" i="2"/>
  <c r="Z144" i="2"/>
  <c r="Z78" i="10" s="1"/>
  <c r="AD144" i="2"/>
  <c r="AE144" i="2"/>
  <c r="AC140" i="2"/>
  <c r="Z140" i="2"/>
  <c r="Z74" i="10" s="1"/>
  <c r="AD140" i="2"/>
  <c r="AE140" i="2"/>
  <c r="AC136" i="2"/>
  <c r="Z136" i="2"/>
  <c r="Z57" i="10" s="1"/>
  <c r="AD136" i="2"/>
  <c r="AE136" i="2"/>
  <c r="AC132" i="2"/>
  <c r="Z132" i="2"/>
  <c r="Z53" i="10" s="1"/>
  <c r="AD132" i="2"/>
  <c r="AE132" i="2"/>
  <c r="AC128" i="2"/>
  <c r="Z128" i="2"/>
  <c r="Z49" i="10" s="1"/>
  <c r="AD128" i="2"/>
  <c r="AE128" i="2"/>
  <c r="AC124" i="2"/>
  <c r="Z124" i="2"/>
  <c r="Z45" i="10" s="1"/>
  <c r="AD124" i="2"/>
  <c r="AE124" i="2"/>
  <c r="AC120" i="2"/>
  <c r="Z120" i="2"/>
  <c r="Z41" i="10" s="1"/>
  <c r="AD120" i="2"/>
  <c r="AE120" i="2"/>
  <c r="AC116" i="2"/>
  <c r="Z116" i="2"/>
  <c r="Z37" i="10" s="1"/>
  <c r="AD116" i="2"/>
  <c r="AE116" i="2"/>
  <c r="AC112" i="2"/>
  <c r="Z112" i="2"/>
  <c r="Z33" i="10" s="1"/>
  <c r="AE112" i="2"/>
  <c r="AD112" i="2"/>
  <c r="AC108" i="2"/>
  <c r="Z108" i="2"/>
  <c r="Z29" i="10" s="1"/>
  <c r="AE108" i="2"/>
  <c r="AD108" i="2"/>
  <c r="AC104" i="2"/>
  <c r="Z104" i="2"/>
  <c r="Z25" i="10" s="1"/>
  <c r="AE104" i="2"/>
  <c r="AD104" i="2"/>
  <c r="AC102" i="2"/>
  <c r="Z102" i="2"/>
  <c r="Z23" i="10" s="1"/>
  <c r="AE102" i="2"/>
  <c r="AD102" i="2"/>
  <c r="AC99" i="2"/>
  <c r="Z99" i="2"/>
  <c r="Z173" i="10" s="1"/>
  <c r="AE99" i="2"/>
  <c r="AD99" i="2"/>
  <c r="AC95" i="2"/>
  <c r="Z95" i="2"/>
  <c r="Z169" i="10" s="1"/>
  <c r="AE95" i="2"/>
  <c r="AD95" i="2"/>
  <c r="AC91" i="2"/>
  <c r="Z91" i="2"/>
  <c r="Z165" i="10" s="1"/>
  <c r="AE91" i="2"/>
  <c r="AD91" i="2"/>
  <c r="AC87" i="2"/>
  <c r="Z87" i="2"/>
  <c r="Z161" i="10" s="1"/>
  <c r="AE87" i="2"/>
  <c r="AD87" i="2"/>
  <c r="AC83" i="2"/>
  <c r="Z83" i="2"/>
  <c r="Z157" i="10" s="1"/>
  <c r="AE83" i="2"/>
  <c r="AD83" i="2"/>
  <c r="AC79" i="2"/>
  <c r="Z79" i="2"/>
  <c r="AM79" i="2" s="1"/>
  <c r="AE79" i="2"/>
  <c r="AD79" i="2"/>
  <c r="AC75" i="2"/>
  <c r="Z75" i="2"/>
  <c r="Z15" i="10" s="1"/>
  <c r="AE75" i="2"/>
  <c r="AD75" i="2"/>
  <c r="AC71" i="2"/>
  <c r="Z71" i="2"/>
  <c r="Z12" i="10" s="1"/>
  <c r="AE71" i="2"/>
  <c r="AD71" i="2"/>
  <c r="AC68" i="2"/>
  <c r="Z68" i="2"/>
  <c r="Z9" i="10" s="1"/>
  <c r="AD68" i="2"/>
  <c r="AE68" i="2"/>
  <c r="AC63" i="2"/>
  <c r="Z63" i="2"/>
  <c r="Z71" i="10" s="1"/>
  <c r="AD63" i="2"/>
  <c r="AE63" i="2"/>
  <c r="AC59" i="2"/>
  <c r="AD59" i="2"/>
  <c r="AE59" i="2"/>
  <c r="Z59" i="2"/>
  <c r="Z67" i="10" s="1"/>
  <c r="AC55" i="2"/>
  <c r="Z55" i="2"/>
  <c r="Z63" i="10" s="1"/>
  <c r="AD55" i="2"/>
  <c r="AE55" i="2"/>
  <c r="AD30" i="2"/>
  <c r="AD26" i="2"/>
  <c r="AD22" i="2"/>
  <c r="AD18" i="2"/>
  <c r="AD14" i="2"/>
  <c r="AD10" i="2"/>
  <c r="AD6" i="2"/>
  <c r="AE26" i="2"/>
  <c r="AE22" i="2"/>
  <c r="AE18" i="2"/>
  <c r="AE14" i="2"/>
  <c r="AE10" i="2"/>
  <c r="AE6" i="2"/>
  <c r="AE31" i="2"/>
  <c r="AE172" i="2"/>
  <c r="AE170" i="2"/>
  <c r="AE168" i="2"/>
  <c r="AE166" i="2"/>
  <c r="AE164" i="2"/>
  <c r="AE162" i="2"/>
  <c r="AE160" i="2"/>
  <c r="AE158" i="2"/>
  <c r="AE156" i="2"/>
  <c r="AD149" i="2"/>
  <c r="AD141" i="2"/>
  <c r="AD137" i="2"/>
  <c r="AD129" i="2"/>
  <c r="AD121" i="2"/>
  <c r="AC20" i="2"/>
  <c r="Z20" i="2"/>
  <c r="Z124" i="10" s="1"/>
  <c r="AC16" i="2"/>
  <c r="Z16" i="2"/>
  <c r="Z120" i="10" s="1"/>
  <c r="AC12" i="2"/>
  <c r="Z12" i="2"/>
  <c r="Z116" i="10" s="1"/>
  <c r="AC8" i="2"/>
  <c r="Z8" i="2"/>
  <c r="Z112" i="10" s="1"/>
  <c r="AC4" i="2"/>
  <c r="Z4" i="2"/>
  <c r="Z108" i="10" s="1"/>
  <c r="AC33" i="2"/>
  <c r="Z33" i="2"/>
  <c r="Z137" i="10" s="1"/>
  <c r="AD33" i="2"/>
  <c r="AE33" i="2"/>
  <c r="AC29" i="2"/>
  <c r="Z29" i="2"/>
  <c r="Z133" i="10" s="1"/>
  <c r="AC25" i="2"/>
  <c r="Z25" i="2"/>
  <c r="Z129" i="10" s="1"/>
  <c r="AC49" i="2"/>
  <c r="Z49" i="2"/>
  <c r="Z152" i="10" s="1"/>
  <c r="AD49" i="2"/>
  <c r="AE49" i="2"/>
  <c r="AC45" i="2"/>
  <c r="Z45" i="2"/>
  <c r="Z149" i="10" s="1"/>
  <c r="AD45" i="2"/>
  <c r="AE45" i="2"/>
  <c r="AC41" i="2"/>
  <c r="Z41" i="2"/>
  <c r="Z145" i="10" s="1"/>
  <c r="AD41" i="2"/>
  <c r="AE41" i="2"/>
  <c r="AC37" i="2"/>
  <c r="Z37" i="2"/>
  <c r="Z141" i="10" s="1"/>
  <c r="AD37" i="2"/>
  <c r="AE37" i="2"/>
  <c r="AC51" i="2"/>
  <c r="Z51" i="2"/>
  <c r="Z154" i="10" s="1"/>
  <c r="AD51" i="2"/>
  <c r="AE51" i="2"/>
  <c r="AC171" i="2"/>
  <c r="Z171" i="2"/>
  <c r="Z105" i="10" s="1"/>
  <c r="AC167" i="2"/>
  <c r="Z167" i="2"/>
  <c r="Z101" i="10" s="1"/>
  <c r="AC163" i="2"/>
  <c r="Z163" i="2"/>
  <c r="Z97" i="10" s="1"/>
  <c r="AC159" i="2"/>
  <c r="Z159" i="2"/>
  <c r="Z93" i="10" s="1"/>
  <c r="AC155" i="2"/>
  <c r="Z155" i="2"/>
  <c r="Z89" i="10" s="1"/>
  <c r="AC151" i="2"/>
  <c r="Z151" i="2"/>
  <c r="Z85" i="10" s="1"/>
  <c r="AC147" i="2"/>
  <c r="Z147" i="2"/>
  <c r="Z81" i="10" s="1"/>
  <c r="AE147" i="2"/>
  <c r="AC143" i="2"/>
  <c r="Z143" i="2"/>
  <c r="Z77" i="10" s="1"/>
  <c r="AE143" i="2"/>
  <c r="AC139" i="2"/>
  <c r="Z139" i="2"/>
  <c r="Z60" i="10" s="1"/>
  <c r="AE139" i="2"/>
  <c r="AC135" i="2"/>
  <c r="Z135" i="2"/>
  <c r="Z56" i="10" s="1"/>
  <c r="AE135" i="2"/>
  <c r="AC131" i="2"/>
  <c r="Z131" i="2"/>
  <c r="Z52" i="10" s="1"/>
  <c r="AE131" i="2"/>
  <c r="AC127" i="2"/>
  <c r="Z127" i="2"/>
  <c r="Z48" i="10" s="1"/>
  <c r="AE127" i="2"/>
  <c r="AC123" i="2"/>
  <c r="Z123" i="2"/>
  <c r="Z44" i="10" s="1"/>
  <c r="AE123" i="2"/>
  <c r="AC119" i="2"/>
  <c r="Z119" i="2"/>
  <c r="Z40" i="10" s="1"/>
  <c r="AE119" i="2"/>
  <c r="AC115" i="2"/>
  <c r="Z115" i="2"/>
  <c r="Z36" i="10" s="1"/>
  <c r="AE115" i="2"/>
  <c r="AC111" i="2"/>
  <c r="Z111" i="2"/>
  <c r="Z32" i="10" s="1"/>
  <c r="AD111" i="2"/>
  <c r="AE111" i="2"/>
  <c r="AC107" i="2"/>
  <c r="Z107" i="2"/>
  <c r="Z28" i="10" s="1"/>
  <c r="AD107" i="2"/>
  <c r="AE107" i="2"/>
  <c r="AC101" i="2"/>
  <c r="Z101" i="2"/>
  <c r="Z22" i="10" s="1"/>
  <c r="AD101" i="2"/>
  <c r="AE101" i="2"/>
  <c r="AC98" i="2"/>
  <c r="Z98" i="2"/>
  <c r="Z172" i="10" s="1"/>
  <c r="AD98" i="2"/>
  <c r="AE98" i="2"/>
  <c r="AC94" i="2"/>
  <c r="Z94" i="2"/>
  <c r="Z168" i="10" s="1"/>
  <c r="AD94" i="2"/>
  <c r="AE94" i="2"/>
  <c r="AC90" i="2"/>
  <c r="Z90" i="2"/>
  <c r="Z164" i="10" s="1"/>
  <c r="AD90" i="2"/>
  <c r="AE90" i="2"/>
  <c r="AC86" i="2"/>
  <c r="Z86" i="2"/>
  <c r="Z160" i="10" s="1"/>
  <c r="AD86" i="2"/>
  <c r="AE86" i="2"/>
  <c r="AC82" i="2"/>
  <c r="AD82" i="2"/>
  <c r="AE82" i="2"/>
  <c r="AC81" i="2"/>
  <c r="AD81" i="2"/>
  <c r="AE81" i="2"/>
  <c r="AC78" i="2"/>
  <c r="Z78" i="2"/>
  <c r="Z18" i="10" s="1"/>
  <c r="AD78" i="2"/>
  <c r="AE78" i="2"/>
  <c r="AC74" i="2"/>
  <c r="Z74" i="2"/>
  <c r="AD74" i="2"/>
  <c r="AE74" i="2"/>
  <c r="AC70" i="2"/>
  <c r="Z70" i="2"/>
  <c r="Z11" i="10" s="1"/>
  <c r="AD70" i="2"/>
  <c r="AE70" i="2"/>
  <c r="AC67" i="2"/>
  <c r="Z67" i="2"/>
  <c r="Z8" i="10" s="1"/>
  <c r="AD67" i="2"/>
  <c r="AE67" i="2"/>
  <c r="AC62" i="2"/>
  <c r="Z62" i="2"/>
  <c r="Z70" i="10" s="1"/>
  <c r="AD62" i="2"/>
  <c r="AE62" i="2"/>
  <c r="AC58" i="2"/>
  <c r="Z58" i="2"/>
  <c r="Z66" i="10" s="1"/>
  <c r="AD58" i="2"/>
  <c r="AE58" i="2"/>
  <c r="AC54" i="2"/>
  <c r="Z54" i="2"/>
  <c r="Z62" i="10" s="1"/>
  <c r="AD54" i="2"/>
  <c r="AE54" i="2"/>
  <c r="AD29" i="2"/>
  <c r="AD25" i="2"/>
  <c r="AD21" i="2"/>
  <c r="AD17" i="2"/>
  <c r="AD13" i="2"/>
  <c r="AD9" i="2"/>
  <c r="AD5" i="2"/>
  <c r="AE25" i="2"/>
  <c r="AE21" i="2"/>
  <c r="AE17" i="2"/>
  <c r="AE13" i="2"/>
  <c r="AE9" i="2"/>
  <c r="AE5" i="2"/>
  <c r="AE30" i="2"/>
  <c r="AD172" i="2"/>
  <c r="AD168" i="2"/>
  <c r="AD164" i="2"/>
  <c r="AD160" i="2"/>
  <c r="AD156" i="2"/>
  <c r="AE153" i="2"/>
  <c r="AD151" i="2"/>
  <c r="AD147" i="2"/>
  <c r="AD135" i="2"/>
  <c r="AD127" i="2"/>
  <c r="AD119" i="2"/>
  <c r="AC3" i="2"/>
  <c r="AE3" i="2"/>
  <c r="AC19" i="2"/>
  <c r="Z19" i="2"/>
  <c r="Z123" i="10" s="1"/>
  <c r="AC15" i="2"/>
  <c r="Z15" i="2"/>
  <c r="Z119" i="10" s="1"/>
  <c r="AC11" i="2"/>
  <c r="Z11" i="2"/>
  <c r="Z115" i="10" s="1"/>
  <c r="AC7" i="2"/>
  <c r="Z7" i="2"/>
  <c r="Z111" i="10" s="1"/>
  <c r="AC36" i="2"/>
  <c r="Z36" i="2"/>
  <c r="Z140" i="10" s="1"/>
  <c r="AD36" i="2"/>
  <c r="AE36" i="2"/>
  <c r="AC32" i="2"/>
  <c r="Z32" i="2"/>
  <c r="Z136" i="10" s="1"/>
  <c r="AC28" i="2"/>
  <c r="Z28" i="2"/>
  <c r="Z132" i="10" s="1"/>
  <c r="AC24" i="2"/>
  <c r="Z24" i="2"/>
  <c r="Z128" i="10" s="1"/>
  <c r="AC48" i="2"/>
  <c r="Z48" i="2"/>
  <c r="Z151" i="10" s="1"/>
  <c r="AD48" i="2"/>
  <c r="AE48" i="2"/>
  <c r="AC44" i="2"/>
  <c r="Z44" i="2"/>
  <c r="Z148" i="10" s="1"/>
  <c r="AD44" i="2"/>
  <c r="AE44" i="2"/>
  <c r="AC40" i="2"/>
  <c r="Z40" i="2"/>
  <c r="Z144" i="10" s="1"/>
  <c r="AD40" i="2"/>
  <c r="AE40" i="2"/>
  <c r="AC170" i="2"/>
  <c r="Z170" i="2"/>
  <c r="Z104" i="10" s="1"/>
  <c r="AC166" i="2"/>
  <c r="Z166" i="2"/>
  <c r="Z100" i="10" s="1"/>
  <c r="AC162" i="2"/>
  <c r="Z162" i="2"/>
  <c r="Z96" i="10" s="1"/>
  <c r="AC158" i="2"/>
  <c r="Z158" i="2"/>
  <c r="Z92" i="10" s="1"/>
  <c r="AC154" i="2"/>
  <c r="Z154" i="2"/>
  <c r="Z88" i="10" s="1"/>
  <c r="AD154" i="2"/>
  <c r="AC150" i="2"/>
  <c r="Z150" i="2"/>
  <c r="Z84" i="10" s="1"/>
  <c r="AD150" i="2"/>
  <c r="AC146" i="2"/>
  <c r="Z146" i="2"/>
  <c r="Z80" i="10" s="1"/>
  <c r="AD146" i="2"/>
  <c r="AE146" i="2"/>
  <c r="AC142" i="2"/>
  <c r="Z142" i="2"/>
  <c r="Z76" i="10" s="1"/>
  <c r="AD142" i="2"/>
  <c r="AE142" i="2"/>
  <c r="AC138" i="2"/>
  <c r="Z138" i="2"/>
  <c r="Z59" i="10" s="1"/>
  <c r="AD138" i="2"/>
  <c r="AE138" i="2"/>
  <c r="AC134" i="2"/>
  <c r="Z134" i="2"/>
  <c r="Z55" i="10" s="1"/>
  <c r="AD134" i="2"/>
  <c r="AE134" i="2"/>
  <c r="AC130" i="2"/>
  <c r="Z130" i="2"/>
  <c r="Z51" i="10" s="1"/>
  <c r="AD130" i="2"/>
  <c r="AE130" i="2"/>
  <c r="AC126" i="2"/>
  <c r="Z126" i="2"/>
  <c r="Z47" i="10" s="1"/>
  <c r="AD126" i="2"/>
  <c r="AE126" i="2"/>
  <c r="AC122" i="2"/>
  <c r="Z122" i="2"/>
  <c r="Z43" i="10" s="1"/>
  <c r="AD122" i="2"/>
  <c r="AE122" i="2"/>
  <c r="AC118" i="2"/>
  <c r="Z118" i="2"/>
  <c r="Z39" i="10" s="1"/>
  <c r="AD118" i="2"/>
  <c r="AE118" i="2"/>
  <c r="AC114" i="2"/>
  <c r="Z114" i="2"/>
  <c r="Z35" i="10" s="1"/>
  <c r="AD114" i="2"/>
  <c r="AE114" i="2"/>
  <c r="AC110" i="2"/>
  <c r="Z110" i="2"/>
  <c r="Z31" i="10" s="1"/>
  <c r="AE110" i="2"/>
  <c r="AD110" i="2"/>
  <c r="AC106" i="2"/>
  <c r="Z106" i="2"/>
  <c r="Z27" i="10" s="1"/>
  <c r="AE106" i="2"/>
  <c r="AD106" i="2"/>
  <c r="AC100" i="2"/>
  <c r="Z100" i="2"/>
  <c r="Z21" i="10" s="1"/>
  <c r="AE100" i="2"/>
  <c r="AD100" i="2"/>
  <c r="AC97" i="2"/>
  <c r="Z97" i="2"/>
  <c r="Z171" i="10" s="1"/>
  <c r="AE97" i="2"/>
  <c r="AD97" i="2"/>
  <c r="AC93" i="2"/>
  <c r="Z93" i="2"/>
  <c r="Z167" i="10" s="1"/>
  <c r="AE93" i="2"/>
  <c r="AD93" i="2"/>
  <c r="AC89" i="2"/>
  <c r="Z89" i="2"/>
  <c r="Z163" i="10" s="1"/>
  <c r="AE89" i="2"/>
  <c r="AD89" i="2"/>
  <c r="AC85" i="2"/>
  <c r="Z85" i="2"/>
  <c r="Z159" i="10" s="1"/>
  <c r="AE85" i="2"/>
  <c r="AD85" i="2"/>
  <c r="AC80" i="2"/>
  <c r="Z80" i="2"/>
  <c r="Z19" i="10" s="1"/>
  <c r="AE80" i="2"/>
  <c r="AD80" i="2"/>
  <c r="AC77" i="2"/>
  <c r="Z77" i="2"/>
  <c r="Z17" i="10" s="1"/>
  <c r="AE77" i="2"/>
  <c r="AD77" i="2"/>
  <c r="AC73" i="2"/>
  <c r="Z73" i="2"/>
  <c r="Z14" i="10" s="1"/>
  <c r="AE73" i="2"/>
  <c r="AD73" i="2"/>
  <c r="AC66" i="2"/>
  <c r="Z66" i="2"/>
  <c r="Z7" i="10" s="1"/>
  <c r="AD66" i="2"/>
  <c r="AE66" i="2"/>
  <c r="AC65" i="2"/>
  <c r="Z65" i="2"/>
  <c r="Z73" i="10" s="1"/>
  <c r="AD65" i="2"/>
  <c r="AE65" i="2"/>
  <c r="AC61" i="2"/>
  <c r="Z61" i="2"/>
  <c r="Z69" i="10" s="1"/>
  <c r="AD61" i="2"/>
  <c r="AE61" i="2"/>
  <c r="AC57" i="2"/>
  <c r="Z57" i="2"/>
  <c r="Z65" i="10" s="1"/>
  <c r="AD57" i="2"/>
  <c r="AE57" i="2"/>
  <c r="AC53" i="2"/>
  <c r="Z53" i="2"/>
  <c r="Z61" i="10" s="1"/>
  <c r="AD53" i="2"/>
  <c r="AE53" i="2"/>
  <c r="AD32" i="2"/>
  <c r="AD28" i="2"/>
  <c r="AD24" i="2"/>
  <c r="AD20" i="2"/>
  <c r="AD16" i="2"/>
  <c r="AD12" i="2"/>
  <c r="AD8" i="2"/>
  <c r="AD4" i="2"/>
  <c r="AE24" i="2"/>
  <c r="AE20" i="2"/>
  <c r="AE16" i="2"/>
  <c r="AE12" i="2"/>
  <c r="AE8" i="2"/>
  <c r="AE4" i="2"/>
  <c r="AE29" i="2"/>
  <c r="AE171" i="2"/>
  <c r="AE169" i="2"/>
  <c r="AE167" i="2"/>
  <c r="AE165" i="2"/>
  <c r="AE163" i="2"/>
  <c r="AE161" i="2"/>
  <c r="AE159" i="2"/>
  <c r="AE157" i="2"/>
  <c r="AE155" i="2"/>
  <c r="AD153" i="2"/>
  <c r="AE150" i="2"/>
  <c r="AD145" i="2"/>
  <c r="AD133" i="2"/>
  <c r="AD125" i="2"/>
  <c r="AD117" i="2"/>
  <c r="L7" i="3"/>
  <c r="S1" i="3" s="1"/>
  <c r="J10" i="10" l="1"/>
  <c r="AK69" i="2"/>
  <c r="AD10" i="10" s="1"/>
  <c r="K164" i="10"/>
  <c r="AL90" i="2"/>
  <c r="AE164" i="10" s="1"/>
  <c r="K127" i="10"/>
  <c r="AL23" i="2"/>
  <c r="K64" i="10"/>
  <c r="AL56" i="2"/>
  <c r="AE64" i="10" s="1"/>
  <c r="J67" i="10"/>
  <c r="AK59" i="2"/>
  <c r="AD67" i="10" s="1"/>
  <c r="J65" i="10"/>
  <c r="AK57" i="2"/>
  <c r="AD65" i="10" s="1"/>
  <c r="AN8" i="2"/>
  <c r="AG112" i="10" s="1"/>
  <c r="AN40" i="2"/>
  <c r="AG144" i="10" s="1"/>
  <c r="AN72" i="2"/>
  <c r="AG13" i="10" s="1"/>
  <c r="AN104" i="2"/>
  <c r="AG25" i="10" s="1"/>
  <c r="AN136" i="2"/>
  <c r="AG57" i="10" s="1"/>
  <c r="AN17" i="2"/>
  <c r="AG121" i="10" s="1"/>
  <c r="AN49" i="2"/>
  <c r="AG152" i="10" s="1"/>
  <c r="AM114" i="2"/>
  <c r="AF35" i="10" s="1"/>
  <c r="AM146" i="2"/>
  <c r="AF80" i="10" s="1"/>
  <c r="AM11" i="2"/>
  <c r="AF115" i="10" s="1"/>
  <c r="AM43" i="2"/>
  <c r="AF147" i="10" s="1"/>
  <c r="AN78" i="2"/>
  <c r="AG18" i="10" s="1"/>
  <c r="AN110" i="2"/>
  <c r="AG31" i="10" s="1"/>
  <c r="AN142" i="2"/>
  <c r="AG76" i="10" s="1"/>
  <c r="AM20" i="2"/>
  <c r="AF124" i="10" s="1"/>
  <c r="AM52" i="2"/>
  <c r="AF155" i="10" s="1"/>
  <c r="AM84" i="2"/>
  <c r="AF158" i="10" s="1"/>
  <c r="AM116" i="2"/>
  <c r="AF37" i="10" s="1"/>
  <c r="AM148" i="2"/>
  <c r="AF82" i="10" s="1"/>
  <c r="AN164" i="2"/>
  <c r="AG98" i="10" s="1"/>
  <c r="AM33" i="2"/>
  <c r="AF137" i="10" s="1"/>
  <c r="AM65" i="2"/>
  <c r="AF73" i="10" s="1"/>
  <c r="AM97" i="2"/>
  <c r="AF171" i="10" s="1"/>
  <c r="AM129" i="2"/>
  <c r="AF50" i="10" s="1"/>
  <c r="AM10" i="2"/>
  <c r="AF114" i="10" s="1"/>
  <c r="AM42" i="2"/>
  <c r="AF146" i="10" s="1"/>
  <c r="AN77" i="2"/>
  <c r="AG17" i="10" s="1"/>
  <c r="AN109" i="2"/>
  <c r="AG30" i="10" s="1"/>
  <c r="AN141" i="2"/>
  <c r="AG75" i="10" s="1"/>
  <c r="AN6" i="2"/>
  <c r="AG110" i="10" s="1"/>
  <c r="AN38" i="2"/>
  <c r="AG142" i="10" s="1"/>
  <c r="AM87" i="2"/>
  <c r="AF161" i="10" s="1"/>
  <c r="AM119" i="2"/>
  <c r="AF40" i="10" s="1"/>
  <c r="AM151" i="2"/>
  <c r="AF85" i="10" s="1"/>
  <c r="AN31" i="2"/>
  <c r="AG135" i="10" s="1"/>
  <c r="AN63" i="2"/>
  <c r="AG71" i="10" s="1"/>
  <c r="AN95" i="2"/>
  <c r="AG169" i="10" s="1"/>
  <c r="AN127" i="2"/>
  <c r="AG48" i="10" s="1"/>
  <c r="AN159" i="2"/>
  <c r="AG93" i="10" s="1"/>
  <c r="AN168" i="2"/>
  <c r="AG102" i="10" s="1"/>
  <c r="AN20" i="2"/>
  <c r="AG124" i="10" s="1"/>
  <c r="AN52" i="2"/>
  <c r="AG155" i="10" s="1"/>
  <c r="AN84" i="2"/>
  <c r="AG158" i="10" s="1"/>
  <c r="AN116" i="2"/>
  <c r="AG37" i="10" s="1"/>
  <c r="AN148" i="2"/>
  <c r="AG82" i="10" s="1"/>
  <c r="AN29" i="2"/>
  <c r="AG133" i="10" s="1"/>
  <c r="AN61" i="2"/>
  <c r="AG69" i="10" s="1"/>
  <c r="AM94" i="2"/>
  <c r="AF168" i="10" s="1"/>
  <c r="AM126" i="2"/>
  <c r="AF47" i="10" s="1"/>
  <c r="AM158" i="2"/>
  <c r="AF92" i="10" s="1"/>
  <c r="AM23" i="2"/>
  <c r="AF127" i="10" s="1"/>
  <c r="AM55" i="2"/>
  <c r="AF63" i="10" s="1"/>
  <c r="AN90" i="2"/>
  <c r="AG164" i="10" s="1"/>
  <c r="AN122" i="2"/>
  <c r="AG43" i="10" s="1"/>
  <c r="AN154" i="2"/>
  <c r="AG88" i="10" s="1"/>
  <c r="AM32" i="2"/>
  <c r="AF136" i="10" s="1"/>
  <c r="AM64" i="2"/>
  <c r="AF72" i="10" s="1"/>
  <c r="AM96" i="2"/>
  <c r="AF170" i="10" s="1"/>
  <c r="AM128" i="2"/>
  <c r="AF49" i="10" s="1"/>
  <c r="AM160" i="2"/>
  <c r="AF94" i="10" s="1"/>
  <c r="AM159" i="2"/>
  <c r="AF93" i="10" s="1"/>
  <c r="AM13" i="2"/>
  <c r="AF117" i="10" s="1"/>
  <c r="AM45" i="2"/>
  <c r="AF149" i="10" s="1"/>
  <c r="AM77" i="2"/>
  <c r="AF17" i="10" s="1"/>
  <c r="AM109" i="2"/>
  <c r="AF30" i="10" s="1"/>
  <c r="AM141" i="2"/>
  <c r="AF75" i="10" s="1"/>
  <c r="AM22" i="2"/>
  <c r="AF126" i="10" s="1"/>
  <c r="AM54" i="2"/>
  <c r="AF62" i="10" s="1"/>
  <c r="AN89" i="2"/>
  <c r="AG163" i="10" s="1"/>
  <c r="AN121" i="2"/>
  <c r="AG42" i="10" s="1"/>
  <c r="AN153" i="2"/>
  <c r="AG87" i="10" s="1"/>
  <c r="AN18" i="2"/>
  <c r="AG122" i="10" s="1"/>
  <c r="AN50" i="2"/>
  <c r="AG153" i="10" s="1"/>
  <c r="AM83" i="2"/>
  <c r="AF157" i="10" s="1"/>
  <c r="AM115" i="2"/>
  <c r="AF36" i="10" s="1"/>
  <c r="AM147" i="2"/>
  <c r="AF81" i="10" s="1"/>
  <c r="AN27" i="2"/>
  <c r="AG131" i="10" s="1"/>
  <c r="AN59" i="2"/>
  <c r="AG67" i="10" s="1"/>
  <c r="AN91" i="2"/>
  <c r="AG165" i="10" s="1"/>
  <c r="AN123" i="2"/>
  <c r="AG44" i="10" s="1"/>
  <c r="AN155" i="2"/>
  <c r="AG89" i="10" s="1"/>
  <c r="AN172" i="2"/>
  <c r="AG106" i="10" s="1"/>
  <c r="Z107" i="10"/>
  <c r="Z4" i="10" s="1"/>
  <c r="AM3" i="2"/>
  <c r="AF107" i="10" s="1"/>
  <c r="AN3" i="2"/>
  <c r="AG107" i="10" s="1"/>
  <c r="AN16" i="2"/>
  <c r="AG120" i="10" s="1"/>
  <c r="AN48" i="2"/>
  <c r="AG151" i="10" s="1"/>
  <c r="AN80" i="2"/>
  <c r="AG19" i="10" s="1"/>
  <c r="AN112" i="2"/>
  <c r="AG33" i="10" s="1"/>
  <c r="AN144" i="2"/>
  <c r="AG78" i="10" s="1"/>
  <c r="AN25" i="2"/>
  <c r="AG129" i="10" s="1"/>
  <c r="AN57" i="2"/>
  <c r="AG65" i="10" s="1"/>
  <c r="AM90" i="2"/>
  <c r="AF164" i="10" s="1"/>
  <c r="AM122" i="2"/>
  <c r="AF43" i="10" s="1"/>
  <c r="AM154" i="2"/>
  <c r="AF88" i="10" s="1"/>
  <c r="AM19" i="2"/>
  <c r="AF123" i="10" s="1"/>
  <c r="AM51" i="2"/>
  <c r="AF154" i="10" s="1"/>
  <c r="AN86" i="2"/>
  <c r="AG160" i="10" s="1"/>
  <c r="AN118" i="2"/>
  <c r="AG39" i="10" s="1"/>
  <c r="AN150" i="2"/>
  <c r="AG84" i="10" s="1"/>
  <c r="AM28" i="2"/>
  <c r="AF132" i="10" s="1"/>
  <c r="AM60" i="2"/>
  <c r="AF68" i="10" s="1"/>
  <c r="AM92" i="2"/>
  <c r="AF166" i="10" s="1"/>
  <c r="AM124" i="2"/>
  <c r="AF45" i="10" s="1"/>
  <c r="AM156" i="2"/>
  <c r="AF90" i="10" s="1"/>
  <c r="AM165" i="2"/>
  <c r="AF99" i="10" s="1"/>
  <c r="AM9" i="2"/>
  <c r="AF113" i="10" s="1"/>
  <c r="AM41" i="2"/>
  <c r="AF145" i="10" s="1"/>
  <c r="AM73" i="2"/>
  <c r="AF14" i="10" s="1"/>
  <c r="AM105" i="2"/>
  <c r="AF26" i="10" s="1"/>
  <c r="AM137" i="2"/>
  <c r="AF58" i="10" s="1"/>
  <c r="AM18" i="2"/>
  <c r="AF122" i="10" s="1"/>
  <c r="AM50" i="2"/>
  <c r="AF153" i="10" s="1"/>
  <c r="AN85" i="2"/>
  <c r="AG159" i="10" s="1"/>
  <c r="AN117" i="2"/>
  <c r="AG38" i="10" s="1"/>
  <c r="AN149" i="2"/>
  <c r="AG83" i="10" s="1"/>
  <c r="AN14" i="2"/>
  <c r="AG118" i="10" s="1"/>
  <c r="AN54" i="2"/>
  <c r="AG62" i="10" s="1"/>
  <c r="AM95" i="2"/>
  <c r="AF169" i="10" s="1"/>
  <c r="AM127" i="2"/>
  <c r="AF48" i="10" s="1"/>
  <c r="AN7" i="2"/>
  <c r="AG111" i="10" s="1"/>
  <c r="AN39" i="2"/>
  <c r="AG143" i="10" s="1"/>
  <c r="AN71" i="2"/>
  <c r="AG12" i="10" s="1"/>
  <c r="AN103" i="2"/>
  <c r="AG24" i="10" s="1"/>
  <c r="AN135" i="2"/>
  <c r="AG56" i="10" s="1"/>
  <c r="AN167" i="2"/>
  <c r="AG101" i="10" s="1"/>
  <c r="AM163" i="2"/>
  <c r="AF97" i="10" s="1"/>
  <c r="AN28" i="2"/>
  <c r="AG132" i="10" s="1"/>
  <c r="AN60" i="2"/>
  <c r="AG68" i="10" s="1"/>
  <c r="AN92" i="2"/>
  <c r="AG166" i="10" s="1"/>
  <c r="AN124" i="2"/>
  <c r="AG45" i="10" s="1"/>
  <c r="AN5" i="2"/>
  <c r="AG109" i="10" s="1"/>
  <c r="AN37" i="2"/>
  <c r="AG141" i="10" s="1"/>
  <c r="AM102" i="2"/>
  <c r="AF23" i="10" s="1"/>
  <c r="AM134" i="2"/>
  <c r="AF55" i="10" s="1"/>
  <c r="AM166" i="2"/>
  <c r="AF100" i="10" s="1"/>
  <c r="AM31" i="2"/>
  <c r="AF135" i="10" s="1"/>
  <c r="AM63" i="2"/>
  <c r="AF71" i="10" s="1"/>
  <c r="AN98" i="2"/>
  <c r="AG172" i="10" s="1"/>
  <c r="AN130" i="2"/>
  <c r="AG51" i="10" s="1"/>
  <c r="AM8" i="2"/>
  <c r="AF112" i="10" s="1"/>
  <c r="AM40" i="2"/>
  <c r="AF144" i="10" s="1"/>
  <c r="AM72" i="2"/>
  <c r="AF13" i="10" s="1"/>
  <c r="AM104" i="2"/>
  <c r="AF25" i="10" s="1"/>
  <c r="AM136" i="2"/>
  <c r="AF57" i="10" s="1"/>
  <c r="AM168" i="2"/>
  <c r="AF102" i="10" s="1"/>
  <c r="AM171" i="2"/>
  <c r="AF105" i="10" s="1"/>
  <c r="AM21" i="2"/>
  <c r="AF125" i="10" s="1"/>
  <c r="AM53" i="2"/>
  <c r="AF61" i="10" s="1"/>
  <c r="AM85" i="2"/>
  <c r="AF159" i="10" s="1"/>
  <c r="AM117" i="2"/>
  <c r="AF38" i="10" s="1"/>
  <c r="AM149" i="2"/>
  <c r="AF83" i="10" s="1"/>
  <c r="AM30" i="2"/>
  <c r="AF134" i="10" s="1"/>
  <c r="AM62" i="2"/>
  <c r="AF70" i="10" s="1"/>
  <c r="AN97" i="2"/>
  <c r="AG171" i="10" s="1"/>
  <c r="AN129" i="2"/>
  <c r="AG50" i="10" s="1"/>
  <c r="AN161" i="2"/>
  <c r="AG95" i="10" s="1"/>
  <c r="AN26" i="2"/>
  <c r="AG130" i="10" s="1"/>
  <c r="AN58" i="2"/>
  <c r="AG66" i="10" s="1"/>
  <c r="AM91" i="2"/>
  <c r="AF165" i="10" s="1"/>
  <c r="AM123" i="2"/>
  <c r="AF44" i="10" s="1"/>
  <c r="AM155" i="2"/>
  <c r="AF89" i="10" s="1"/>
  <c r="AN35" i="2"/>
  <c r="AG139" i="10" s="1"/>
  <c r="AN67" i="2"/>
  <c r="AG8" i="10" s="1"/>
  <c r="AN99" i="2"/>
  <c r="AG173" i="10" s="1"/>
  <c r="AN131" i="2"/>
  <c r="AG52" i="10" s="1"/>
  <c r="AN163" i="2"/>
  <c r="AG97" i="10" s="1"/>
  <c r="AN162" i="2"/>
  <c r="AG96" i="10" s="1"/>
  <c r="J66" i="10"/>
  <c r="AK58" i="2"/>
  <c r="AD66" i="10" s="1"/>
  <c r="J64" i="10"/>
  <c r="AK56" i="2"/>
  <c r="AD64" i="10" s="1"/>
  <c r="AN24" i="2"/>
  <c r="AG128" i="10" s="1"/>
  <c r="AN88" i="2"/>
  <c r="AG162" i="10" s="1"/>
  <c r="AN120" i="2"/>
  <c r="AG41" i="10" s="1"/>
  <c r="AN152" i="2"/>
  <c r="AG86" i="10" s="1"/>
  <c r="AN33" i="2"/>
  <c r="AG137" i="10" s="1"/>
  <c r="AN65" i="2"/>
  <c r="AG73" i="10" s="1"/>
  <c r="AM98" i="2"/>
  <c r="AF172" i="10" s="1"/>
  <c r="AM130" i="2"/>
  <c r="AF51" i="10" s="1"/>
  <c r="AM162" i="2"/>
  <c r="AF96" i="10" s="1"/>
  <c r="AM27" i="2"/>
  <c r="AF131" i="10" s="1"/>
  <c r="AM59" i="2"/>
  <c r="AF67" i="10" s="1"/>
  <c r="AN94" i="2"/>
  <c r="AG168" i="10" s="1"/>
  <c r="AN126" i="2"/>
  <c r="AG47" i="10" s="1"/>
  <c r="AM4" i="2"/>
  <c r="AF108" i="10" s="1"/>
  <c r="AM36" i="2"/>
  <c r="AF140" i="10" s="1"/>
  <c r="AM68" i="2"/>
  <c r="AF9" i="10" s="1"/>
  <c r="AM100" i="2"/>
  <c r="AF21" i="10" s="1"/>
  <c r="AM132" i="2"/>
  <c r="AF53" i="10" s="1"/>
  <c r="AM164" i="2"/>
  <c r="AF98" i="10" s="1"/>
  <c r="AN160" i="2"/>
  <c r="AG94" i="10" s="1"/>
  <c r="AM17" i="2"/>
  <c r="AF121" i="10" s="1"/>
  <c r="AM49" i="2"/>
  <c r="AF152" i="10" s="1"/>
  <c r="AM113" i="2"/>
  <c r="AF34" i="10" s="1"/>
  <c r="AM145" i="2"/>
  <c r="AF79" i="10" s="1"/>
  <c r="AM26" i="2"/>
  <c r="AF130" i="10" s="1"/>
  <c r="AM58" i="2"/>
  <c r="AF66" i="10" s="1"/>
  <c r="AN93" i="2"/>
  <c r="AG167" i="10" s="1"/>
  <c r="AN125" i="2"/>
  <c r="AG46" i="10" s="1"/>
  <c r="AN157" i="2"/>
  <c r="AG91" i="10" s="1"/>
  <c r="AN22" i="2"/>
  <c r="AG126" i="10" s="1"/>
  <c r="AN62" i="2"/>
  <c r="AG70" i="10" s="1"/>
  <c r="AM103" i="2"/>
  <c r="AF24" i="10" s="1"/>
  <c r="AM135" i="2"/>
  <c r="AF56" i="10" s="1"/>
  <c r="AN15" i="2"/>
  <c r="AG119" i="10" s="1"/>
  <c r="AN47" i="2"/>
  <c r="AG150" i="10" s="1"/>
  <c r="AN79" i="2"/>
  <c r="AN111" i="2"/>
  <c r="AG32" i="10" s="1"/>
  <c r="AN143" i="2"/>
  <c r="AG77" i="10" s="1"/>
  <c r="AM167" i="2"/>
  <c r="AF101" i="10" s="1"/>
  <c r="AN4" i="2"/>
  <c r="AG108" i="10" s="1"/>
  <c r="AN36" i="2"/>
  <c r="AG140" i="10" s="1"/>
  <c r="AN68" i="2"/>
  <c r="AG9" i="10" s="1"/>
  <c r="AN100" i="2"/>
  <c r="AG21" i="10" s="1"/>
  <c r="AN132" i="2"/>
  <c r="AG53" i="10" s="1"/>
  <c r="AN13" i="2"/>
  <c r="AG117" i="10" s="1"/>
  <c r="AN45" i="2"/>
  <c r="AG149" i="10" s="1"/>
  <c r="AM78" i="2"/>
  <c r="AF18" i="10" s="1"/>
  <c r="AM110" i="2"/>
  <c r="AF31" i="10" s="1"/>
  <c r="AM142" i="2"/>
  <c r="AF76" i="10" s="1"/>
  <c r="AM7" i="2"/>
  <c r="AF111" i="10" s="1"/>
  <c r="AM39" i="2"/>
  <c r="AF143" i="10" s="1"/>
  <c r="AM71" i="2"/>
  <c r="AF12" i="10" s="1"/>
  <c r="AN106" i="2"/>
  <c r="AG27" i="10" s="1"/>
  <c r="AN138" i="2"/>
  <c r="AG59" i="10" s="1"/>
  <c r="AM16" i="2"/>
  <c r="AF120" i="10" s="1"/>
  <c r="AM48" i="2"/>
  <c r="AF151" i="10" s="1"/>
  <c r="AM80" i="2"/>
  <c r="AF19" i="10" s="1"/>
  <c r="AM112" i="2"/>
  <c r="AF33" i="10" s="1"/>
  <c r="AM144" i="2"/>
  <c r="AF78" i="10" s="1"/>
  <c r="AN156" i="2"/>
  <c r="AG90" i="10" s="1"/>
  <c r="AN166" i="2"/>
  <c r="AG100" i="10" s="1"/>
  <c r="AM29" i="2"/>
  <c r="AF133" i="10" s="1"/>
  <c r="AM61" i="2"/>
  <c r="AF69" i="10" s="1"/>
  <c r="AM93" i="2"/>
  <c r="AF167" i="10" s="1"/>
  <c r="AM125" i="2"/>
  <c r="AF46" i="10" s="1"/>
  <c r="AM6" i="2"/>
  <c r="AF110" i="10" s="1"/>
  <c r="AM38" i="2"/>
  <c r="AF142" i="10" s="1"/>
  <c r="AM70" i="2"/>
  <c r="AF11" i="10" s="1"/>
  <c r="AN105" i="2"/>
  <c r="AG26" i="10" s="1"/>
  <c r="AN137" i="2"/>
  <c r="AG58" i="10" s="1"/>
  <c r="AN169" i="2"/>
  <c r="AG103" i="10" s="1"/>
  <c r="AN34" i="2"/>
  <c r="AG138" i="10" s="1"/>
  <c r="AN66" i="2"/>
  <c r="AG7" i="10" s="1"/>
  <c r="AM99" i="2"/>
  <c r="AF173" i="10" s="1"/>
  <c r="AM131" i="2"/>
  <c r="AF52" i="10" s="1"/>
  <c r="AN11" i="2"/>
  <c r="AG115" i="10" s="1"/>
  <c r="AN43" i="2"/>
  <c r="AG147" i="10" s="1"/>
  <c r="AN75" i="2"/>
  <c r="AG15" i="10" s="1"/>
  <c r="AN107" i="2"/>
  <c r="AG28" i="10" s="1"/>
  <c r="AN139" i="2"/>
  <c r="AG60" i="10" s="1"/>
  <c r="AN171" i="2"/>
  <c r="AG105" i="10" s="1"/>
  <c r="AN158" i="2"/>
  <c r="AG92" i="10" s="1"/>
  <c r="Z64" i="10"/>
  <c r="Z3" i="10" s="1"/>
  <c r="Z10" i="10"/>
  <c r="Z2" i="10" s="1"/>
  <c r="K10" i="10"/>
  <c r="AL69" i="2"/>
  <c r="AE10" i="10" s="1"/>
  <c r="AN32" i="2"/>
  <c r="AG136" i="10" s="1"/>
  <c r="AN64" i="2"/>
  <c r="AG72" i="10" s="1"/>
  <c r="AN96" i="2"/>
  <c r="AG170" i="10" s="1"/>
  <c r="AN128" i="2"/>
  <c r="AG49" i="10" s="1"/>
  <c r="AN9" i="2"/>
  <c r="AG113" i="10" s="1"/>
  <c r="AN41" i="2"/>
  <c r="AG145" i="10" s="1"/>
  <c r="AN73" i="2"/>
  <c r="AG14" i="10" s="1"/>
  <c r="AM106" i="2"/>
  <c r="AF27" i="10" s="1"/>
  <c r="AM138" i="2"/>
  <c r="AF59" i="10" s="1"/>
  <c r="AM170" i="2"/>
  <c r="AF104" i="10" s="1"/>
  <c r="AM35" i="2"/>
  <c r="AF139" i="10" s="1"/>
  <c r="AM67" i="2"/>
  <c r="AF8" i="10" s="1"/>
  <c r="AN102" i="2"/>
  <c r="AG23" i="10" s="1"/>
  <c r="AN134" i="2"/>
  <c r="AG55" i="10" s="1"/>
  <c r="AM12" i="2"/>
  <c r="AF116" i="10" s="1"/>
  <c r="AM44" i="2"/>
  <c r="AF148" i="10" s="1"/>
  <c r="AM76" i="2"/>
  <c r="AF16" i="10" s="1"/>
  <c r="AM108" i="2"/>
  <c r="AF29" i="10" s="1"/>
  <c r="AM140" i="2"/>
  <c r="AF74" i="10" s="1"/>
  <c r="AM172" i="2"/>
  <c r="AF106" i="10" s="1"/>
  <c r="AM25" i="2"/>
  <c r="AF129" i="10" s="1"/>
  <c r="AM57" i="2"/>
  <c r="AF65" i="10" s="1"/>
  <c r="AM89" i="2"/>
  <c r="AF163" i="10" s="1"/>
  <c r="AM121" i="2"/>
  <c r="AF42" i="10" s="1"/>
  <c r="AM153" i="2"/>
  <c r="AF87" i="10" s="1"/>
  <c r="AM34" i="2"/>
  <c r="AF138" i="10" s="1"/>
  <c r="AM66" i="2"/>
  <c r="AF7" i="10" s="1"/>
  <c r="AN101" i="2"/>
  <c r="AG22" i="10" s="1"/>
  <c r="AN133" i="2"/>
  <c r="AG54" i="10" s="1"/>
  <c r="AN165" i="2"/>
  <c r="AG99" i="10" s="1"/>
  <c r="AN30" i="2"/>
  <c r="AG134" i="10" s="1"/>
  <c r="AN70" i="2"/>
  <c r="AG11" i="10" s="1"/>
  <c r="AM111" i="2"/>
  <c r="AF32" i="10" s="1"/>
  <c r="AM143" i="2"/>
  <c r="AF77" i="10" s="1"/>
  <c r="AN23" i="2"/>
  <c r="AG127" i="10" s="1"/>
  <c r="AN55" i="2"/>
  <c r="AG63" i="10" s="1"/>
  <c r="AN87" i="2"/>
  <c r="AG161" i="10" s="1"/>
  <c r="AN119" i="2"/>
  <c r="AG40" i="10" s="1"/>
  <c r="AN151" i="2"/>
  <c r="AG85" i="10" s="1"/>
  <c r="AM157" i="2"/>
  <c r="AF91" i="10" s="1"/>
  <c r="AN12" i="2"/>
  <c r="AG116" i="10" s="1"/>
  <c r="AN44" i="2"/>
  <c r="AG148" i="10" s="1"/>
  <c r="AN76" i="2"/>
  <c r="AG16" i="10" s="1"/>
  <c r="AN108" i="2"/>
  <c r="AG29" i="10" s="1"/>
  <c r="AN140" i="2"/>
  <c r="AG74" i="10" s="1"/>
  <c r="AN21" i="2"/>
  <c r="AG125" i="10" s="1"/>
  <c r="AN53" i="2"/>
  <c r="AG61" i="10" s="1"/>
  <c r="AM86" i="2"/>
  <c r="AF160" i="10" s="1"/>
  <c r="AM118" i="2"/>
  <c r="AF39" i="10" s="1"/>
  <c r="AM150" i="2"/>
  <c r="AF84" i="10" s="1"/>
  <c r="AM15" i="2"/>
  <c r="AF119" i="10" s="1"/>
  <c r="AM47" i="2"/>
  <c r="AF150" i="10" s="1"/>
  <c r="AN114" i="2"/>
  <c r="AG35" i="10" s="1"/>
  <c r="AN146" i="2"/>
  <c r="AG80" i="10" s="1"/>
  <c r="AM24" i="2"/>
  <c r="AF128" i="10" s="1"/>
  <c r="AM56" i="2"/>
  <c r="AF64" i="10" s="1"/>
  <c r="AM88" i="2"/>
  <c r="AF162" i="10" s="1"/>
  <c r="AM120" i="2"/>
  <c r="AF41" i="10" s="1"/>
  <c r="AM152" i="2"/>
  <c r="AF86" i="10" s="1"/>
  <c r="AM169" i="2"/>
  <c r="AF103" i="10" s="1"/>
  <c r="AM5" i="2"/>
  <c r="AF109" i="10" s="1"/>
  <c r="AM37" i="2"/>
  <c r="AF141" i="10" s="1"/>
  <c r="AM69" i="2"/>
  <c r="AF10" i="10" s="1"/>
  <c r="AM101" i="2"/>
  <c r="AF22" i="10" s="1"/>
  <c r="AM133" i="2"/>
  <c r="AF54" i="10" s="1"/>
  <c r="AM14" i="2"/>
  <c r="AF118" i="10" s="1"/>
  <c r="AM46" i="2"/>
  <c r="AN113" i="2"/>
  <c r="AG34" i="10" s="1"/>
  <c r="AN145" i="2"/>
  <c r="AG79" i="10" s="1"/>
  <c r="AN10" i="2"/>
  <c r="AG114" i="10" s="1"/>
  <c r="AN42" i="2"/>
  <c r="AG146" i="10" s="1"/>
  <c r="AM75" i="2"/>
  <c r="AF15" i="10" s="1"/>
  <c r="AM107" i="2"/>
  <c r="AF28" i="10" s="1"/>
  <c r="AM139" i="2"/>
  <c r="AF60" i="10" s="1"/>
  <c r="AN19" i="2"/>
  <c r="AG123" i="10" s="1"/>
  <c r="AN51" i="2"/>
  <c r="AG154" i="10" s="1"/>
  <c r="AG4" i="10" s="1"/>
  <c r="AN83" i="2"/>
  <c r="AG157" i="10" s="1"/>
  <c r="AN115" i="2"/>
  <c r="AG36" i="10" s="1"/>
  <c r="AN147" i="2"/>
  <c r="AG81" i="10" s="1"/>
  <c r="AM161" i="2"/>
  <c r="AF95" i="10" s="1"/>
  <c r="AN170" i="2"/>
  <c r="AG104" i="10" s="1"/>
  <c r="AF4" i="10"/>
  <c r="AO58" i="2"/>
  <c r="AP90" i="2"/>
  <c r="AI164" i="10" s="1"/>
  <c r="AO69" i="2"/>
  <c r="AP56" i="2"/>
  <c r="AO57" i="2"/>
  <c r="AO59" i="2"/>
  <c r="P1" i="3"/>
  <c r="V1" i="3" s="1"/>
  <c r="L1" i="3"/>
  <c r="AE127" i="10" l="1"/>
  <c r="AP23" i="2"/>
  <c r="AI127" i="10" s="1"/>
  <c r="AP69" i="2"/>
  <c r="AI10" i="10" s="1"/>
  <c r="AG2" i="10"/>
  <c r="AF3" i="10"/>
  <c r="AG3" i="10"/>
  <c r="AF2" i="10"/>
  <c r="AO56" i="2"/>
  <c r="AH67" i="10"/>
  <c r="AH65" i="10"/>
  <c r="AH66" i="10"/>
  <c r="AI64" i="10"/>
  <c r="AH10" i="10"/>
  <c r="H32" i="2"/>
  <c r="H30" i="2"/>
  <c r="H65" i="2"/>
  <c r="H19" i="2"/>
  <c r="H71" i="2"/>
  <c r="H72" i="2"/>
  <c r="H70" i="2"/>
  <c r="H13" i="10" l="1"/>
  <c r="H12" i="10"/>
  <c r="H136" i="10"/>
  <c r="AR56" i="2"/>
  <c r="AK64" i="10" s="1"/>
  <c r="AH64" i="10"/>
  <c r="AR69" i="2"/>
  <c r="AK10" i="10" s="1"/>
  <c r="H123" i="10"/>
  <c r="H11" i="10"/>
  <c r="H73" i="10"/>
  <c r="H134" i="10"/>
  <c r="H156" i="2"/>
  <c r="H90" i="10" l="1"/>
  <c r="H159" i="2"/>
  <c r="H138" i="2"/>
  <c r="H93" i="10" l="1"/>
  <c r="H59" i="10"/>
  <c r="H157" i="2"/>
  <c r="H91" i="10" l="1"/>
  <c r="H127" i="2"/>
  <c r="H123" i="2"/>
  <c r="H133" i="2"/>
  <c r="H83" i="2"/>
  <c r="H90" i="2"/>
  <c r="H119" i="2"/>
  <c r="H116" i="2"/>
  <c r="H97" i="2"/>
  <c r="H37" i="10" l="1"/>
  <c r="H40" i="10"/>
  <c r="H164" i="10"/>
  <c r="AK90" i="2"/>
  <c r="AD164" i="10" s="1"/>
  <c r="H48" i="10"/>
  <c r="H54" i="10"/>
  <c r="H44" i="10"/>
  <c r="H171" i="10"/>
  <c r="H157" i="10"/>
  <c r="H124" i="2"/>
  <c r="H109" i="2"/>
  <c r="H84" i="2"/>
  <c r="H120" i="2"/>
  <c r="H105" i="2"/>
  <c r="H91" i="2"/>
  <c r="H98" i="2"/>
  <c r="H128" i="2"/>
  <c r="H117" i="2"/>
  <c r="H134" i="2"/>
  <c r="H38" i="10" l="1"/>
  <c r="H45" i="10"/>
  <c r="H26" i="10"/>
  <c r="H49" i="10"/>
  <c r="H41" i="10"/>
  <c r="H172" i="10"/>
  <c r="H158" i="10"/>
  <c r="H55" i="10"/>
  <c r="H165" i="10"/>
  <c r="H30" i="10"/>
  <c r="AO90" i="2"/>
  <c r="H95" i="2"/>
  <c r="H170" i="2"/>
  <c r="H125" i="2"/>
  <c r="H110" i="2"/>
  <c r="H111" i="2"/>
  <c r="H112" i="2"/>
  <c r="H135" i="2"/>
  <c r="H99" i="2"/>
  <c r="H126" i="2"/>
  <c r="H114" i="2"/>
  <c r="H118" i="2"/>
  <c r="H171" i="2"/>
  <c r="H129" i="2"/>
  <c r="H106" i="2"/>
  <c r="H121" i="2"/>
  <c r="H80" i="2"/>
  <c r="H104" i="10" l="1"/>
  <c r="H105" i="10"/>
  <c r="H173" i="10"/>
  <c r="H31" i="10"/>
  <c r="AR90" i="2"/>
  <c r="AK164" i="10" s="1"/>
  <c r="AH164" i="10"/>
  <c r="H42" i="10"/>
  <c r="H39" i="10"/>
  <c r="H56" i="10"/>
  <c r="H46" i="10"/>
  <c r="H35" i="10"/>
  <c r="H27" i="10"/>
  <c r="H50" i="10"/>
  <c r="H47" i="10"/>
  <c r="H32" i="10"/>
  <c r="H169" i="10"/>
  <c r="H33" i="10"/>
  <c r="H19" i="10"/>
  <c r="H104" i="2"/>
  <c r="H153" i="2"/>
  <c r="H103" i="2"/>
  <c r="H68" i="2"/>
  <c r="H154" i="2"/>
  <c r="H87" i="10" l="1"/>
  <c r="H88" i="10"/>
  <c r="H25" i="10"/>
  <c r="H9" i="10"/>
  <c r="H24" i="10"/>
  <c r="H107" i="2"/>
  <c r="H76" i="2"/>
  <c r="H92" i="2"/>
  <c r="H163" i="2"/>
  <c r="H108" i="2"/>
  <c r="H155" i="2"/>
  <c r="H77" i="2"/>
  <c r="H94" i="2"/>
  <c r="H137" i="2"/>
  <c r="H17" i="10" l="1"/>
  <c r="H89" i="10"/>
  <c r="H16" i="10"/>
  <c r="H58" i="10"/>
  <c r="H29" i="10"/>
  <c r="H28" i="10"/>
  <c r="H168" i="10"/>
  <c r="H97" i="10"/>
  <c r="H166" i="10"/>
  <c r="BJ8" i="1"/>
  <c r="H88" i="2"/>
  <c r="BJ6" i="1"/>
  <c r="BJ85" i="1"/>
  <c r="H33" i="2"/>
  <c r="BJ11" i="1"/>
  <c r="H16" i="2"/>
  <c r="BJ5" i="1"/>
  <c r="BJ101" i="1"/>
  <c r="BJ21" i="1"/>
  <c r="BJ141" i="1"/>
  <c r="BJ118" i="1"/>
  <c r="H26" i="2"/>
  <c r="BJ95" i="1"/>
  <c r="BJ135" i="1"/>
  <c r="BJ7" i="1"/>
  <c r="BJ139" i="1"/>
  <c r="BJ155" i="1"/>
  <c r="H36" i="2"/>
  <c r="BK89" i="1"/>
  <c r="AH89" i="2"/>
  <c r="J89" i="2" s="1"/>
  <c r="J163" i="10" s="1"/>
  <c r="BJ71" i="1"/>
  <c r="BJ65" i="1"/>
  <c r="AF172" i="2"/>
  <c r="J172" i="2" s="1"/>
  <c r="BK172" i="1"/>
  <c r="BJ159" i="1"/>
  <c r="BJ28" i="1"/>
  <c r="BJ39" i="1"/>
  <c r="H93" i="2"/>
  <c r="H87" i="2"/>
  <c r="BJ126" i="1"/>
  <c r="H122" i="2"/>
  <c r="BJ74" i="1"/>
  <c r="BJ83" i="1"/>
  <c r="BJ166" i="1"/>
  <c r="BJ115" i="1"/>
  <c r="H5" i="2"/>
  <c r="BJ51" i="1"/>
  <c r="AH5" i="2"/>
  <c r="J5" i="2" s="1"/>
  <c r="J109" i="10" s="1"/>
  <c r="BK5" i="1"/>
  <c r="H101" i="2"/>
  <c r="H100" i="2"/>
  <c r="BJ114" i="1"/>
  <c r="BJ91" i="1"/>
  <c r="BJ30" i="1"/>
  <c r="BJ161" i="1"/>
  <c r="BJ128" i="1"/>
  <c r="AH63" i="2"/>
  <c r="J63" i="2" s="1"/>
  <c r="J71" i="10" s="1"/>
  <c r="BK63" i="1"/>
  <c r="H47" i="2"/>
  <c r="BJ112" i="1"/>
  <c r="BJ92" i="1"/>
  <c r="BL39" i="1"/>
  <c r="AG39" i="2"/>
  <c r="K39" i="2" s="1"/>
  <c r="BJ81" i="1"/>
  <c r="H20" i="2"/>
  <c r="BJ38" i="1"/>
  <c r="BJ76" i="1"/>
  <c r="BJ61" i="1"/>
  <c r="BJ24" i="1"/>
  <c r="H85" i="2"/>
  <c r="BJ17" i="1"/>
  <c r="BK158" i="1"/>
  <c r="AH158" i="2"/>
  <c r="J158" i="2" s="1"/>
  <c r="J92" i="10" s="1"/>
  <c r="BJ62" i="1"/>
  <c r="BJ116" i="1"/>
  <c r="BK47" i="1"/>
  <c r="AH47" i="2"/>
  <c r="J47" i="2" s="1"/>
  <c r="J150" i="10" s="1"/>
  <c r="BJ12" i="1"/>
  <c r="BJ150" i="1"/>
  <c r="BJ20" i="1"/>
  <c r="BK171" i="1"/>
  <c r="AF171" i="2"/>
  <c r="J171" i="2" s="1"/>
  <c r="BJ157" i="1"/>
  <c r="BJ120" i="1"/>
  <c r="BJ57" i="1"/>
  <c r="AH51" i="2"/>
  <c r="J51" i="2" s="1"/>
  <c r="J154" i="10" s="1"/>
  <c r="BK51" i="1"/>
  <c r="BJ9" i="1"/>
  <c r="BJ162" i="1"/>
  <c r="BJ133" i="1"/>
  <c r="BJ122" i="1"/>
  <c r="BJ170" i="1"/>
  <c r="H74" i="2"/>
  <c r="BJ143" i="1"/>
  <c r="BK101" i="1"/>
  <c r="AH101" i="2"/>
  <c r="J101" i="2" s="1"/>
  <c r="J22" i="10" s="1"/>
  <c r="BJ22" i="1"/>
  <c r="BJ160" i="1"/>
  <c r="BJ16" i="1"/>
  <c r="BJ88" i="1"/>
  <c r="BJ36" i="1"/>
  <c r="BJ93" i="1"/>
  <c r="H51" i="2"/>
  <c r="H86" i="2"/>
  <c r="BJ125" i="1"/>
  <c r="AH49" i="2"/>
  <c r="J49" i="2" s="1"/>
  <c r="J152" i="10" s="1"/>
  <c r="BK49" i="1"/>
  <c r="BJ124" i="1"/>
  <c r="BK167" i="1"/>
  <c r="AH167" i="2"/>
  <c r="J167" i="2" s="1"/>
  <c r="J101" i="10" s="1"/>
  <c r="BJ94" i="1"/>
  <c r="BJ163" i="1"/>
  <c r="BJ40" i="1"/>
  <c r="AH31" i="2"/>
  <c r="J31" i="2" s="1"/>
  <c r="J135" i="10" s="1"/>
  <c r="BK31" i="1"/>
  <c r="BK48" i="1"/>
  <c r="AH48" i="2"/>
  <c r="J48" i="2" s="1"/>
  <c r="J151" i="10" s="1"/>
  <c r="BJ70" i="1"/>
  <c r="BJ149" i="1"/>
  <c r="BJ104" i="1"/>
  <c r="BK79" i="1"/>
  <c r="AH79" i="2"/>
  <c r="J79" i="2" s="1"/>
  <c r="BJ33" i="1"/>
  <c r="BJ156" i="1"/>
  <c r="BJ140" i="1"/>
  <c r="BJ100" i="1"/>
  <c r="H17" i="2"/>
  <c r="BK20" i="1"/>
  <c r="AH20" i="2"/>
  <c r="J20" i="2" s="1"/>
  <c r="J124" i="10" s="1"/>
  <c r="BJ87" i="1"/>
  <c r="BJ13" i="1"/>
  <c r="H49" i="2"/>
  <c r="BJ84" i="1"/>
  <c r="AH26" i="2"/>
  <c r="J26" i="2" s="1"/>
  <c r="J130" i="10" s="1"/>
  <c r="BK26" i="1"/>
  <c r="BL23" i="1"/>
  <c r="H48" i="2"/>
  <c r="BK120" i="1"/>
  <c r="AF120" i="2"/>
  <c r="J120" i="2" s="1"/>
  <c r="BJ165" i="1"/>
  <c r="BJ68" i="1"/>
  <c r="BJ164" i="1"/>
  <c r="BJ138" i="1"/>
  <c r="BJ55" i="1"/>
  <c r="BJ47" i="1"/>
  <c r="AH75" i="2"/>
  <c r="J75" i="2" s="1"/>
  <c r="J15" i="10" s="1"/>
  <c r="BK75" i="1"/>
  <c r="BJ131" i="1"/>
  <c r="BJ105" i="1"/>
  <c r="H96" i="2"/>
  <c r="H158" i="2"/>
  <c r="BJ142" i="1"/>
  <c r="BJ41" i="1"/>
  <c r="BJ29" i="1"/>
  <c r="BJ72" i="1"/>
  <c r="BJ89" i="1"/>
  <c r="H79" i="2"/>
  <c r="BJ82" i="1"/>
  <c r="AH113" i="2"/>
  <c r="J113" i="2" s="1"/>
  <c r="J34" i="10" s="1"/>
  <c r="BK113" i="1"/>
  <c r="BJ75" i="1"/>
  <c r="BJ48" i="1"/>
  <c r="BJ49" i="1"/>
  <c r="BJ37" i="1"/>
  <c r="AH64" i="2"/>
  <c r="J64" i="2" s="1"/>
  <c r="J72" i="10" s="1"/>
  <c r="BK64" i="1"/>
  <c r="BJ46" i="1"/>
  <c r="BJ42" i="1"/>
  <c r="BJ167" i="1"/>
  <c r="BJ59" i="1"/>
  <c r="BK16" i="1"/>
  <c r="AH16" i="2"/>
  <c r="J16" i="2" s="1"/>
  <c r="J120" i="10" s="1"/>
  <c r="BJ45" i="1"/>
  <c r="BJ73" i="1"/>
  <c r="BK96" i="1"/>
  <c r="AH96" i="2"/>
  <c r="J96" i="2" s="1"/>
  <c r="J170" i="10" s="1"/>
  <c r="BJ67" i="1"/>
  <c r="BJ154" i="1"/>
  <c r="BJ151" i="1"/>
  <c r="BJ43" i="1"/>
  <c r="BJ99" i="1"/>
  <c r="BJ60" i="1"/>
  <c r="BJ4" i="1"/>
  <c r="H52" i="2"/>
  <c r="H167" i="2"/>
  <c r="BJ64" i="1"/>
  <c r="BJ146" i="1"/>
  <c r="H168" i="2"/>
  <c r="AG3" i="2"/>
  <c r="K3" i="2" s="1"/>
  <c r="BL3" i="1"/>
  <c r="BJ103" i="1"/>
  <c r="BJ32" i="1"/>
  <c r="BJ102" i="1"/>
  <c r="BK122" i="1"/>
  <c r="AH122" i="2"/>
  <c r="J122" i="2" s="1"/>
  <c r="J43" i="10" s="1"/>
  <c r="AF34" i="2"/>
  <c r="J34" i="2" s="1"/>
  <c r="BK34" i="1"/>
  <c r="BJ97" i="1"/>
  <c r="H23" i="2"/>
  <c r="AF30" i="2"/>
  <c r="J30" i="2" s="1"/>
  <c r="BK30" i="1"/>
  <c r="BK88" i="1"/>
  <c r="AH88" i="2"/>
  <c r="J88" i="2" s="1"/>
  <c r="J162" i="10" s="1"/>
  <c r="BK93" i="1"/>
  <c r="AH93" i="2"/>
  <c r="J93" i="2" s="1"/>
  <c r="J167" i="10" s="1"/>
  <c r="BJ34" i="1"/>
  <c r="BK33" i="1"/>
  <c r="AH33" i="2"/>
  <c r="J33" i="2" s="1"/>
  <c r="H113" i="2"/>
  <c r="BJ109" i="1"/>
  <c r="H38" i="2"/>
  <c r="AH38" i="2"/>
  <c r="J38" i="2" s="1"/>
  <c r="J142" i="10" s="1"/>
  <c r="BK38" i="1"/>
  <c r="AH87" i="2"/>
  <c r="J87" i="2" s="1"/>
  <c r="J161" i="10" s="1"/>
  <c r="BK87" i="1"/>
  <c r="BK36" i="1"/>
  <c r="AH36" i="2"/>
  <c r="J36" i="2" s="1"/>
  <c r="J140" i="10" s="1"/>
  <c r="BJ96" i="1"/>
  <c r="BJ158" i="1"/>
  <c r="BJ78" i="1"/>
  <c r="BJ111" i="1"/>
  <c r="BJ107" i="1"/>
  <c r="BJ86" i="1"/>
  <c r="BJ98" i="1"/>
  <c r="H89" i="2"/>
  <c r="BJ79" i="1"/>
  <c r="BK23" i="1"/>
  <c r="AH23" i="2"/>
  <c r="J23" i="2" s="1"/>
  <c r="BJ18" i="1"/>
  <c r="BJ171" i="1"/>
  <c r="BJ52" i="1"/>
  <c r="BK52" i="1"/>
  <c r="AH52" i="2"/>
  <c r="J52" i="2" s="1"/>
  <c r="J155" i="10" s="1"/>
  <c r="BJ153" i="1"/>
  <c r="BJ136" i="1"/>
  <c r="BJ129" i="1"/>
  <c r="BJ80" i="1"/>
  <c r="BJ26" i="1"/>
  <c r="BL171" i="1"/>
  <c r="AG171" i="2"/>
  <c r="K171" i="2" s="1"/>
  <c r="BL172" i="1"/>
  <c r="AG172" i="2"/>
  <c r="K172" i="2" s="1"/>
  <c r="H64" i="2"/>
  <c r="AH169" i="2"/>
  <c r="J169" i="2" s="1"/>
  <c r="J103" i="10" s="1"/>
  <c r="BK169" i="1"/>
  <c r="BJ44" i="1"/>
  <c r="BJ119" i="1"/>
  <c r="AG55" i="2"/>
  <c r="K55" i="2" s="1"/>
  <c r="BL55" i="1"/>
  <c r="BL117" i="1"/>
  <c r="AG117" i="2"/>
  <c r="K117" i="2" s="1"/>
  <c r="H75" i="2"/>
  <c r="BJ123" i="1"/>
  <c r="BJ25" i="1"/>
  <c r="BJ121" i="1"/>
  <c r="BJ110" i="1"/>
  <c r="BJ168" i="1"/>
  <c r="BK86" i="1"/>
  <c r="AH86" i="2"/>
  <c r="J86" i="2" s="1"/>
  <c r="J160" i="10" s="1"/>
  <c r="BJ77" i="1"/>
  <c r="BJ137" i="1"/>
  <c r="BJ23" i="1"/>
  <c r="BJ152" i="1"/>
  <c r="BJ58" i="1"/>
  <c r="BJ14" i="1"/>
  <c r="AH17" i="2"/>
  <c r="J17" i="2" s="1"/>
  <c r="J121" i="10" s="1"/>
  <c r="BK17" i="1"/>
  <c r="BJ35" i="1"/>
  <c r="BJ134" i="1"/>
  <c r="BL19" i="1"/>
  <c r="AG19" i="2"/>
  <c r="K19" i="2" s="1"/>
  <c r="BJ113" i="1"/>
  <c r="BJ144" i="1"/>
  <c r="AF14" i="2"/>
  <c r="J14" i="2" s="1"/>
  <c r="BK14" i="1"/>
  <c r="BJ117" i="1"/>
  <c r="BK85" i="1"/>
  <c r="AH85" i="2"/>
  <c r="J85" i="2" s="1"/>
  <c r="J159" i="10" s="1"/>
  <c r="BJ132" i="1"/>
  <c r="BJ27" i="1"/>
  <c r="AF10" i="2"/>
  <c r="J10" i="2" s="1"/>
  <c r="BK10" i="1"/>
  <c r="AF22" i="2"/>
  <c r="J22" i="2" s="1"/>
  <c r="BK22" i="1"/>
  <c r="AI96" i="2"/>
  <c r="K96" i="2" s="1"/>
  <c r="BL96" i="1"/>
  <c r="BL69" i="1"/>
  <c r="BJ31" i="1"/>
  <c r="H169" i="2"/>
  <c r="BL141" i="1"/>
  <c r="AG141" i="2"/>
  <c r="K141" i="2" s="1"/>
  <c r="BL47" i="1"/>
  <c r="AI47" i="2"/>
  <c r="K47" i="2" s="1"/>
  <c r="BL85" i="1"/>
  <c r="AI85" i="2"/>
  <c r="K85" i="2" s="1"/>
  <c r="BJ53" i="1"/>
  <c r="BK6" i="1"/>
  <c r="AF6" i="2"/>
  <c r="J6" i="2" s="1"/>
  <c r="AF9" i="2"/>
  <c r="J9" i="2" s="1"/>
  <c r="BK9" i="1"/>
  <c r="AG72" i="2"/>
  <c r="K72" i="2" s="1"/>
  <c r="BL72" i="1"/>
  <c r="AF28" i="2"/>
  <c r="J28" i="2" s="1"/>
  <c r="BK28" i="1"/>
  <c r="AG12" i="2"/>
  <c r="K12" i="2" s="1"/>
  <c r="BL12" i="1"/>
  <c r="BJ50" i="1"/>
  <c r="BL26" i="1"/>
  <c r="AI26" i="2"/>
  <c r="K26" i="2" s="1"/>
  <c r="BJ147" i="1"/>
  <c r="H27" i="2"/>
  <c r="BK56" i="1"/>
  <c r="H63" i="2"/>
  <c r="BL27" i="1"/>
  <c r="AI27" i="2"/>
  <c r="K27" i="2" s="1"/>
  <c r="BL43" i="1"/>
  <c r="AG43" i="2"/>
  <c r="K43" i="2" s="1"/>
  <c r="AG57" i="2"/>
  <c r="K57" i="2" s="1"/>
  <c r="BL57" i="1"/>
  <c r="BJ106" i="1"/>
  <c r="BJ108" i="1"/>
  <c r="BK57" i="1"/>
  <c r="BL80" i="1"/>
  <c r="AG80" i="2"/>
  <c r="K80" i="2" s="1"/>
  <c r="AF123" i="2"/>
  <c r="J123" i="2" s="1"/>
  <c r="BK123" i="1"/>
  <c r="AF155" i="2"/>
  <c r="J155" i="2" s="1"/>
  <c r="AK155" i="2" s="1"/>
  <c r="AD89" i="10" s="1"/>
  <c r="BK155" i="1"/>
  <c r="BL13" i="1"/>
  <c r="AG13" i="2"/>
  <c r="K13" i="2" s="1"/>
  <c r="AF44" i="2"/>
  <c r="J44" i="2" s="1"/>
  <c r="BK44" i="1"/>
  <c r="AG7" i="2"/>
  <c r="K7" i="2" s="1"/>
  <c r="BL7" i="1"/>
  <c r="BL93" i="1"/>
  <c r="AI93" i="2"/>
  <c r="K93" i="2" s="1"/>
  <c r="BL6" i="1"/>
  <c r="AG6" i="2"/>
  <c r="K6" i="2" s="1"/>
  <c r="BL30" i="1"/>
  <c r="AG30" i="2"/>
  <c r="K30" i="2" s="1"/>
  <c r="BL41" i="1"/>
  <c r="AG41" i="2"/>
  <c r="K41" i="2" s="1"/>
  <c r="AF3" i="2"/>
  <c r="J3" i="2" s="1"/>
  <c r="BK3" i="1"/>
  <c r="BJ130" i="1"/>
  <c r="H31" i="2"/>
  <c r="BJ169" i="1"/>
  <c r="AF128" i="2"/>
  <c r="J128" i="2" s="1"/>
  <c r="BK128" i="1"/>
  <c r="AH168" i="2"/>
  <c r="J168" i="2" s="1"/>
  <c r="BK168" i="1"/>
  <c r="AH74" i="2"/>
  <c r="J74" i="2" s="1"/>
  <c r="BK74" i="1"/>
  <c r="BK46" i="1"/>
  <c r="AF46" i="2"/>
  <c r="J46" i="2" s="1"/>
  <c r="AI51" i="2"/>
  <c r="K51" i="2" s="1"/>
  <c r="BL51" i="1"/>
  <c r="AF152" i="2"/>
  <c r="J152" i="2" s="1"/>
  <c r="BK152" i="1"/>
  <c r="BL149" i="1"/>
  <c r="AG149" i="2"/>
  <c r="K149" i="2" s="1"/>
  <c r="BK42" i="1"/>
  <c r="AF42" i="2"/>
  <c r="J42" i="2" s="1"/>
  <c r="AI101" i="2"/>
  <c r="K101" i="2" s="1"/>
  <c r="BL101" i="1"/>
  <c r="AF144" i="2"/>
  <c r="J144" i="2" s="1"/>
  <c r="BK144" i="1"/>
  <c r="AF50" i="2"/>
  <c r="J50" i="2" s="1"/>
  <c r="BK50" i="1"/>
  <c r="AG11" i="2"/>
  <c r="K11" i="2" s="1"/>
  <c r="BL11" i="1"/>
  <c r="BK54" i="1"/>
  <c r="AF54" i="2"/>
  <c r="J54" i="2" s="1"/>
  <c r="BL35" i="1"/>
  <c r="AG35" i="2"/>
  <c r="K35" i="2" s="1"/>
  <c r="AF18" i="2"/>
  <c r="J18" i="2" s="1"/>
  <c r="BK18" i="1"/>
  <c r="AG133" i="2"/>
  <c r="K133" i="2" s="1"/>
  <c r="BL133" i="1"/>
  <c r="BL61" i="1"/>
  <c r="AG61" i="2"/>
  <c r="K61" i="2" s="1"/>
  <c r="BK104" i="1"/>
  <c r="AF104" i="2"/>
  <c r="J104" i="2" s="1"/>
  <c r="AG125" i="2"/>
  <c r="K125" i="2" s="1"/>
  <c r="BL125" i="1"/>
  <c r="AF13" i="2"/>
  <c r="J13" i="2" s="1"/>
  <c r="BK13" i="1"/>
  <c r="AG18" i="2"/>
  <c r="K18" i="2" s="1"/>
  <c r="BL18" i="1"/>
  <c r="AG54" i="2"/>
  <c r="K54" i="2" s="1"/>
  <c r="BL54" i="1"/>
  <c r="AG120" i="2"/>
  <c r="K120" i="2" s="1"/>
  <c r="BL120" i="1"/>
  <c r="AG160" i="2"/>
  <c r="K160" i="2" s="1"/>
  <c r="BL160" i="1"/>
  <c r="BJ15" i="1"/>
  <c r="BK76" i="1"/>
  <c r="AF76" i="2"/>
  <c r="J76" i="2" s="1"/>
  <c r="BK116" i="1"/>
  <c r="AF116" i="2"/>
  <c r="J116" i="2" s="1"/>
  <c r="BL137" i="1"/>
  <c r="AG137" i="2"/>
  <c r="K137" i="2" s="1"/>
  <c r="BJ127" i="1"/>
  <c r="AG22" i="2"/>
  <c r="K22" i="2" s="1"/>
  <c r="BL22" i="1"/>
  <c r="BK25" i="1"/>
  <c r="AF25" i="2"/>
  <c r="J25" i="2" s="1"/>
  <c r="BK37" i="1"/>
  <c r="AF37" i="2"/>
  <c r="J37" i="2" s="1"/>
  <c r="BJ54" i="1"/>
  <c r="AF80" i="2"/>
  <c r="J80" i="2" s="1"/>
  <c r="BK80" i="1"/>
  <c r="BL31" i="1"/>
  <c r="AI31" i="2"/>
  <c r="K31" i="2" s="1"/>
  <c r="BK92" i="1"/>
  <c r="AF92" i="2"/>
  <c r="J92" i="2" s="1"/>
  <c r="AK92" i="2" s="1"/>
  <c r="AD166" i="10" s="1"/>
  <c r="BJ63" i="1"/>
  <c r="AG77" i="2"/>
  <c r="K77" i="2" s="1"/>
  <c r="BL77" i="1"/>
  <c r="BL15" i="1"/>
  <c r="AG15" i="2"/>
  <c r="K15" i="2" s="1"/>
  <c r="AF112" i="2"/>
  <c r="J112" i="2" s="1"/>
  <c r="BK112" i="1"/>
  <c r="AH100" i="2"/>
  <c r="J100" i="2" s="1"/>
  <c r="J21" i="10" s="1"/>
  <c r="BK100" i="1"/>
  <c r="AG109" i="2"/>
  <c r="K109" i="2" s="1"/>
  <c r="BL109" i="1"/>
  <c r="AG157" i="2"/>
  <c r="K157" i="2" s="1"/>
  <c r="BL157" i="1"/>
  <c r="AG42" i="2"/>
  <c r="K42" i="2" s="1"/>
  <c r="BL42" i="1"/>
  <c r="BK139" i="1"/>
  <c r="AF139" i="2"/>
  <c r="J139" i="2" s="1"/>
  <c r="AG161" i="2"/>
  <c r="K161" i="2" s="1"/>
  <c r="BL161" i="1"/>
  <c r="BL14" i="1"/>
  <c r="AG14" i="2"/>
  <c r="K14" i="2" s="1"/>
  <c r="AG34" i="2"/>
  <c r="K34" i="2" s="1"/>
  <c r="BL34" i="1"/>
  <c r="AF41" i="2"/>
  <c r="J41" i="2" s="1"/>
  <c r="BK41" i="1"/>
  <c r="AF45" i="2"/>
  <c r="J45" i="2" s="1"/>
  <c r="BK45" i="1"/>
  <c r="AG50" i="2"/>
  <c r="K50" i="2" s="1"/>
  <c r="BL50" i="1"/>
  <c r="BK53" i="1"/>
  <c r="AF53" i="2"/>
  <c r="J53" i="2" s="1"/>
  <c r="BK59" i="1"/>
  <c r="BK67" i="1"/>
  <c r="AF67" i="2"/>
  <c r="J67" i="2" s="1"/>
  <c r="BK91" i="1"/>
  <c r="AF91" i="2"/>
  <c r="J91" i="2" s="1"/>
  <c r="BL104" i="1"/>
  <c r="AG104" i="2"/>
  <c r="K104" i="2" s="1"/>
  <c r="BK107" i="1"/>
  <c r="AF107" i="2"/>
  <c r="J107" i="2" s="1"/>
  <c r="AK107" i="2" s="1"/>
  <c r="AD28" i="10" s="1"/>
  <c r="AG128" i="2"/>
  <c r="K128" i="2" s="1"/>
  <c r="BL128" i="1"/>
  <c r="BL136" i="1"/>
  <c r="AG136" i="2"/>
  <c r="K136" i="2" s="1"/>
  <c r="AG152" i="2"/>
  <c r="BL152" i="1"/>
  <c r="BL168" i="1"/>
  <c r="AI168" i="2"/>
  <c r="K168" i="2" s="1"/>
  <c r="BL5" i="1"/>
  <c r="AI5" i="2"/>
  <c r="K5" i="2" s="1"/>
  <c r="BL9" i="1"/>
  <c r="AG9" i="2"/>
  <c r="K9" i="2" s="1"/>
  <c r="AF24" i="2"/>
  <c r="J24" i="2" s="1"/>
  <c r="BK24" i="1"/>
  <c r="BL25" i="1"/>
  <c r="AG25" i="2"/>
  <c r="K25" i="2" s="1"/>
  <c r="BK32" i="1"/>
  <c r="AF32" i="2"/>
  <c r="J32" i="2" s="1"/>
  <c r="BL37" i="1"/>
  <c r="AG37" i="2"/>
  <c r="K37" i="2" s="1"/>
  <c r="AG45" i="2"/>
  <c r="K45" i="2" s="1"/>
  <c r="BL45" i="1"/>
  <c r="BK68" i="1"/>
  <c r="AF68" i="2"/>
  <c r="J68" i="2" s="1"/>
  <c r="AG97" i="2"/>
  <c r="K97" i="2" s="1"/>
  <c r="BL97" i="1"/>
  <c r="AF60" i="2"/>
  <c r="J60" i="2" s="1"/>
  <c r="BK60" i="1"/>
  <c r="AG73" i="2"/>
  <c r="K73" i="2" s="1"/>
  <c r="BL73" i="1"/>
  <c r="BJ3" i="1"/>
  <c r="BL121" i="1"/>
  <c r="AG121" i="2"/>
  <c r="K121" i="2" s="1"/>
  <c r="BL153" i="1"/>
  <c r="AG153" i="2"/>
  <c r="K153" i="2" s="1"/>
  <c r="AF11" i="2"/>
  <c r="J11" i="2" s="1"/>
  <c r="BK11" i="1"/>
  <c r="BL46" i="1"/>
  <c r="AG46" i="2"/>
  <c r="K46" i="2" s="1"/>
  <c r="BL76" i="1"/>
  <c r="AG76" i="2"/>
  <c r="K76" i="2" s="1"/>
  <c r="BL119" i="1"/>
  <c r="AG119" i="2"/>
  <c r="K119" i="2" s="1"/>
  <c r="BK136" i="1"/>
  <c r="AF136" i="2"/>
  <c r="J136" i="2" s="1"/>
  <c r="AF99" i="2"/>
  <c r="J99" i="2" s="1"/>
  <c r="BK99" i="1"/>
  <c r="AF12" i="2"/>
  <c r="J12" i="2" s="1"/>
  <c r="BK12" i="1"/>
  <c r="AF108" i="2"/>
  <c r="J108" i="2" s="1"/>
  <c r="BK108" i="1"/>
  <c r="AF15" i="2"/>
  <c r="J15" i="2" s="1"/>
  <c r="BK15" i="1"/>
  <c r="AG44" i="2"/>
  <c r="K44" i="2" s="1"/>
  <c r="BL44" i="1"/>
  <c r="AF95" i="2"/>
  <c r="J95" i="2" s="1"/>
  <c r="BK95" i="1"/>
  <c r="BK127" i="1"/>
  <c r="AF127" i="2"/>
  <c r="J127" i="2" s="1"/>
  <c r="AG59" i="2"/>
  <c r="K59" i="2" s="1"/>
  <c r="BL59" i="1"/>
  <c r="BK110" i="1"/>
  <c r="AF110" i="2"/>
  <c r="J110" i="2" s="1"/>
  <c r="BL62" i="1"/>
  <c r="AG62" i="2"/>
  <c r="K62" i="2" s="1"/>
  <c r="BL75" i="1"/>
  <c r="AI75" i="2"/>
  <c r="K75" i="2" s="1"/>
  <c r="BK98" i="1"/>
  <c r="AF98" i="2"/>
  <c r="J98" i="2" s="1"/>
  <c r="BL115" i="1"/>
  <c r="AG115" i="2"/>
  <c r="K115" i="2" s="1"/>
  <c r="BL135" i="1"/>
  <c r="AG135" i="2"/>
  <c r="K135" i="2" s="1"/>
  <c r="AF150" i="2"/>
  <c r="BK150" i="1"/>
  <c r="AF61" i="2"/>
  <c r="J61" i="2" s="1"/>
  <c r="BK61" i="1"/>
  <c r="BL78" i="1"/>
  <c r="AG78" i="2"/>
  <c r="K78" i="2" s="1"/>
  <c r="BL123" i="1"/>
  <c r="AG123" i="2"/>
  <c r="K123" i="2" s="1"/>
  <c r="BL102" i="1"/>
  <c r="AG102" i="2"/>
  <c r="K102" i="2" s="1"/>
  <c r="BL113" i="1"/>
  <c r="AI113" i="2"/>
  <c r="K113" i="2" s="1"/>
  <c r="AG129" i="2"/>
  <c r="K129" i="2" s="1"/>
  <c r="BL129" i="1"/>
  <c r="AG145" i="2"/>
  <c r="K145" i="2" s="1"/>
  <c r="BL145" i="1"/>
  <c r="BK148" i="1"/>
  <c r="AF148" i="2"/>
  <c r="J148" i="2" s="1"/>
  <c r="AI169" i="2"/>
  <c r="K169" i="2" s="1"/>
  <c r="BL169" i="1"/>
  <c r="BL165" i="1"/>
  <c r="AG165" i="2"/>
  <c r="K165" i="2" s="1"/>
  <c r="BL4" i="1"/>
  <c r="AG4" i="2"/>
  <c r="K4" i="2" s="1"/>
  <c r="AI16" i="2"/>
  <c r="K16" i="2" s="1"/>
  <c r="BL16" i="1"/>
  <c r="AF19" i="2"/>
  <c r="J19" i="2" s="1"/>
  <c r="BK19" i="1"/>
  <c r="AG10" i="2"/>
  <c r="K10" i="2" s="1"/>
  <c r="BL10" i="1"/>
  <c r="AF147" i="2"/>
  <c r="J147" i="2" s="1"/>
  <c r="BK147" i="1"/>
  <c r="BL21" i="1"/>
  <c r="AG21" i="2"/>
  <c r="K21" i="2" s="1"/>
  <c r="BL65" i="1"/>
  <c r="AG65" i="2"/>
  <c r="K65" i="2" s="1"/>
  <c r="BK39" i="1"/>
  <c r="AF39" i="2"/>
  <c r="J39" i="2" s="1"/>
  <c r="BL52" i="1"/>
  <c r="AI52" i="2"/>
  <c r="K52" i="2" s="1"/>
  <c r="BL124" i="1"/>
  <c r="AG124" i="2"/>
  <c r="K124" i="2" s="1"/>
  <c r="AF143" i="2"/>
  <c r="J143" i="2" s="1"/>
  <c r="BK143" i="1"/>
  <c r="BK58" i="1"/>
  <c r="BL90" i="1"/>
  <c r="BK72" i="1"/>
  <c r="AF72" i="2"/>
  <c r="J72" i="2" s="1"/>
  <c r="BK29" i="1"/>
  <c r="AF29" i="2"/>
  <c r="J29" i="2" s="1"/>
  <c r="BL38" i="1"/>
  <c r="AI38" i="2"/>
  <c r="K38" i="2" s="1"/>
  <c r="BL64" i="1"/>
  <c r="AI64" i="2"/>
  <c r="K64" i="2" s="1"/>
  <c r="AF115" i="2"/>
  <c r="J115" i="2" s="1"/>
  <c r="BK115" i="1"/>
  <c r="BK163" i="1"/>
  <c r="AF163" i="2"/>
  <c r="J163" i="2" s="1"/>
  <c r="AF8" i="2"/>
  <c r="J8" i="2" s="1"/>
  <c r="BK8" i="1"/>
  <c r="BK40" i="1"/>
  <c r="AF40" i="2"/>
  <c r="J40" i="2" s="1"/>
  <c r="AI49" i="2"/>
  <c r="K49" i="2" s="1"/>
  <c r="BL49" i="1"/>
  <c r="BL81" i="1"/>
  <c r="AG81" i="2"/>
  <c r="K81" i="2" s="1"/>
  <c r="BK140" i="1"/>
  <c r="AF140" i="2"/>
  <c r="J140" i="2" s="1"/>
  <c r="BK156" i="1"/>
  <c r="AF156" i="2"/>
  <c r="J156" i="2" s="1"/>
  <c r="BK7" i="1"/>
  <c r="AF7" i="2"/>
  <c r="J7" i="2" s="1"/>
  <c r="BL32" i="1"/>
  <c r="AG32" i="2"/>
  <c r="K32" i="2" s="1"/>
  <c r="BL36" i="1"/>
  <c r="AI36" i="2"/>
  <c r="K36" i="2" s="1"/>
  <c r="AG40" i="2"/>
  <c r="K40" i="2" s="1"/>
  <c r="BL40" i="1"/>
  <c r="AF55" i="2"/>
  <c r="J55" i="2" s="1"/>
  <c r="BK55" i="1"/>
  <c r="AG60" i="2"/>
  <c r="K60" i="2" s="1"/>
  <c r="BL60" i="1"/>
  <c r="AG84" i="2"/>
  <c r="K84" i="2" s="1"/>
  <c r="BL84" i="1"/>
  <c r="AI100" i="2"/>
  <c r="K100" i="2" s="1"/>
  <c r="BL100" i="1"/>
  <c r="AF111" i="2"/>
  <c r="J111" i="2" s="1"/>
  <c r="BK111" i="1"/>
  <c r="BK119" i="1"/>
  <c r="AF119" i="2"/>
  <c r="J119" i="2" s="1"/>
  <c r="AG140" i="2"/>
  <c r="K140" i="2" s="1"/>
  <c r="BL140" i="1"/>
  <c r="AF151" i="2"/>
  <c r="J151" i="2" s="1"/>
  <c r="BK151" i="1"/>
  <c r="BL156" i="1"/>
  <c r="AG156" i="2"/>
  <c r="K156" i="2" s="1"/>
  <c r="AF62" i="2"/>
  <c r="J62" i="2" s="1"/>
  <c r="BK62" i="1"/>
  <c r="AF70" i="2"/>
  <c r="J70" i="2" s="1"/>
  <c r="BK70" i="1"/>
  <c r="AG103" i="2"/>
  <c r="K103" i="2" s="1"/>
  <c r="BL103" i="1"/>
  <c r="BK134" i="1"/>
  <c r="AF134" i="2"/>
  <c r="J134" i="2" s="1"/>
  <c r="AF154" i="2"/>
  <c r="J154" i="2" s="1"/>
  <c r="BK154" i="1"/>
  <c r="BK77" i="1"/>
  <c r="AF77" i="2"/>
  <c r="J77" i="2" s="1"/>
  <c r="AF66" i="2"/>
  <c r="J66" i="2" s="1"/>
  <c r="BK66" i="1"/>
  <c r="AG67" i="2"/>
  <c r="K67" i="2" s="1"/>
  <c r="BL67" i="1"/>
  <c r="AI79" i="2"/>
  <c r="K79" i="2" s="1"/>
  <c r="BL79" i="1"/>
  <c r="AG83" i="2"/>
  <c r="K83" i="2" s="1"/>
  <c r="BL83" i="1"/>
  <c r="AG95" i="2"/>
  <c r="K95" i="2" s="1"/>
  <c r="BL95" i="1"/>
  <c r="BK69" i="1"/>
  <c r="AG107" i="2"/>
  <c r="K107" i="2" s="1"/>
  <c r="BL107" i="1"/>
  <c r="BK118" i="1"/>
  <c r="AF118" i="2"/>
  <c r="J118" i="2" s="1"/>
  <c r="BK126" i="1"/>
  <c r="AF126" i="2"/>
  <c r="J126" i="2" s="1"/>
  <c r="AF130" i="2"/>
  <c r="J130" i="2" s="1"/>
  <c r="BK130" i="1"/>
  <c r="AF138" i="2"/>
  <c r="J138" i="2" s="1"/>
  <c r="BK138" i="1"/>
  <c r="BK146" i="1"/>
  <c r="AF146" i="2"/>
  <c r="J146" i="2" s="1"/>
  <c r="AG147" i="2"/>
  <c r="K147" i="2" s="1"/>
  <c r="BL147" i="1"/>
  <c r="BL159" i="1"/>
  <c r="AG159" i="2"/>
  <c r="K159" i="2" s="1"/>
  <c r="BL163" i="1"/>
  <c r="AG163" i="2"/>
  <c r="K163" i="2" s="1"/>
  <c r="BL167" i="1"/>
  <c r="AI167" i="2"/>
  <c r="K167" i="2" s="1"/>
  <c r="BL66" i="1"/>
  <c r="AG66" i="2"/>
  <c r="K66" i="2" s="1"/>
  <c r="BL110" i="1"/>
  <c r="AG110" i="2"/>
  <c r="K110" i="2" s="1"/>
  <c r="BJ69" i="1"/>
  <c r="BL70" i="1"/>
  <c r="AG70" i="2"/>
  <c r="K70" i="2" s="1"/>
  <c r="AF81" i="2"/>
  <c r="J81" i="2" s="1"/>
  <c r="BK81" i="1"/>
  <c r="BL86" i="1"/>
  <c r="AI86" i="2"/>
  <c r="K86" i="2" s="1"/>
  <c r="AG98" i="2"/>
  <c r="K98" i="2" s="1"/>
  <c r="BL98" i="1"/>
  <c r="AF125" i="2"/>
  <c r="J125" i="2" s="1"/>
  <c r="BK125" i="1"/>
  <c r="AF145" i="2"/>
  <c r="J145" i="2" s="1"/>
  <c r="BK145" i="1"/>
  <c r="AF153" i="2"/>
  <c r="J153" i="2" s="1"/>
  <c r="BK153" i="1"/>
  <c r="BJ90" i="1"/>
  <c r="AG164" i="2"/>
  <c r="K164" i="2" s="1"/>
  <c r="BL164" i="1"/>
  <c r="AF162" i="2"/>
  <c r="J162" i="2" s="1"/>
  <c r="BK162" i="1"/>
  <c r="BL82" i="1"/>
  <c r="AG82" i="2"/>
  <c r="K82" i="2" s="1"/>
  <c r="AF161" i="2"/>
  <c r="J161" i="2" s="1"/>
  <c r="BK161" i="1"/>
  <c r="BL106" i="1"/>
  <c r="AG106" i="2"/>
  <c r="K106" i="2" s="1"/>
  <c r="AG118" i="2"/>
  <c r="K118" i="2" s="1"/>
  <c r="BL118" i="1"/>
  <c r="AF137" i="2"/>
  <c r="J137" i="2" s="1"/>
  <c r="AK137" i="2" s="1"/>
  <c r="AD58" i="10" s="1"/>
  <c r="BK137" i="1"/>
  <c r="BJ19" i="1"/>
  <c r="BK109" i="1"/>
  <c r="AF109" i="2"/>
  <c r="J109" i="2" s="1"/>
  <c r="AF121" i="2"/>
  <c r="J121" i="2" s="1"/>
  <c r="BK121" i="1"/>
  <c r="AG126" i="2"/>
  <c r="K126" i="2" s="1"/>
  <c r="BL126" i="1"/>
  <c r="BK133" i="1"/>
  <c r="AF133" i="2"/>
  <c r="J133" i="2" s="1"/>
  <c r="BJ148" i="1"/>
  <c r="AH27" i="2"/>
  <c r="J27" i="2" s="1"/>
  <c r="BK27" i="1"/>
  <c r="BJ66" i="1"/>
  <c r="BL56" i="1"/>
  <c r="BK35" i="1"/>
  <c r="AF35" i="2"/>
  <c r="J35" i="2" s="1"/>
  <c r="AG148" i="2"/>
  <c r="K148" i="2" s="1"/>
  <c r="BL148" i="1"/>
  <c r="AG112" i="2"/>
  <c r="K112" i="2" s="1"/>
  <c r="BL112" i="1"/>
  <c r="BL33" i="1"/>
  <c r="AI33" i="2"/>
  <c r="K33" i="2" s="1"/>
  <c r="AF132" i="2"/>
  <c r="J132" i="2" s="1"/>
  <c r="BK132" i="1"/>
  <c r="BK83" i="1"/>
  <c r="AF83" i="2"/>
  <c r="J83" i="2" s="1"/>
  <c r="AG91" i="2"/>
  <c r="K91" i="2" s="1"/>
  <c r="BL91" i="1"/>
  <c r="AI89" i="2"/>
  <c r="K89" i="2" s="1"/>
  <c r="BL89" i="1"/>
  <c r="BK71" i="1"/>
  <c r="AF71" i="2"/>
  <c r="J71" i="2" s="1"/>
  <c r="BK82" i="1"/>
  <c r="AF82" i="2"/>
  <c r="J82" i="2" s="1"/>
  <c r="BJ10" i="1"/>
  <c r="BK90" i="1"/>
  <c r="BK142" i="1"/>
  <c r="AF142" i="2"/>
  <c r="J142" i="2" s="1"/>
  <c r="AF97" i="2"/>
  <c r="J97" i="2" s="1"/>
  <c r="BK97" i="1"/>
  <c r="AI122" i="2"/>
  <c r="K122" i="2" s="1"/>
  <c r="BL122" i="1"/>
  <c r="AF129" i="2"/>
  <c r="J129" i="2" s="1"/>
  <c r="BK129" i="1"/>
  <c r="AF106" i="2"/>
  <c r="J106" i="2" s="1"/>
  <c r="BK106" i="1"/>
  <c r="BK170" i="1"/>
  <c r="AF170" i="2"/>
  <c r="J170" i="2" s="1"/>
  <c r="AG114" i="2"/>
  <c r="K114" i="2" s="1"/>
  <c r="BL114" i="1"/>
  <c r="AG150" i="2"/>
  <c r="K150" i="2" s="1"/>
  <c r="BL150" i="1"/>
  <c r="AG166" i="2"/>
  <c r="K166" i="2" s="1"/>
  <c r="BL166" i="1"/>
  <c r="BK141" i="1"/>
  <c r="AF141" i="2"/>
  <c r="J141" i="2" s="1"/>
  <c r="AF149" i="2"/>
  <c r="J149" i="2" s="1"/>
  <c r="BK149" i="1"/>
  <c r="BK157" i="1"/>
  <c r="AF157" i="2"/>
  <c r="J157" i="2" s="1"/>
  <c r="BL68" i="1"/>
  <c r="AG68" i="2"/>
  <c r="K68" i="2" s="1"/>
  <c r="AG92" i="2"/>
  <c r="K92" i="2" s="1"/>
  <c r="BL92" i="1"/>
  <c r="BL116" i="1"/>
  <c r="AG116" i="2"/>
  <c r="K116" i="2" s="1"/>
  <c r="AI63" i="2"/>
  <c r="K63" i="2" s="1"/>
  <c r="BL63" i="1"/>
  <c r="BK78" i="1"/>
  <c r="AF78" i="2"/>
  <c r="J78" i="2" s="1"/>
  <c r="AI88" i="2"/>
  <c r="K88" i="2" s="1"/>
  <c r="BL88" i="1"/>
  <c r="AG144" i="2"/>
  <c r="K144" i="2" s="1"/>
  <c r="BL144" i="1"/>
  <c r="BK4" i="1"/>
  <c r="AF4" i="2"/>
  <c r="J4" i="2" s="1"/>
  <c r="BL17" i="1"/>
  <c r="AI17" i="2"/>
  <c r="K17" i="2" s="1"/>
  <c r="BL53" i="1"/>
  <c r="AG53" i="2"/>
  <c r="K53" i="2" s="1"/>
  <c r="AF84" i="2"/>
  <c r="J84" i="2" s="1"/>
  <c r="BK84" i="1"/>
  <c r="AG105" i="2"/>
  <c r="K105" i="2" s="1"/>
  <c r="BL105" i="1"/>
  <c r="AF164" i="2"/>
  <c r="J164" i="2" s="1"/>
  <c r="BK164" i="1"/>
  <c r="BL8" i="1"/>
  <c r="AG8" i="2"/>
  <c r="K8" i="2" s="1"/>
  <c r="AI20" i="2"/>
  <c r="K20" i="2" s="1"/>
  <c r="BL20" i="1"/>
  <c r="BK124" i="1"/>
  <c r="AF124" i="2"/>
  <c r="J124" i="2" s="1"/>
  <c r="BL24" i="1"/>
  <c r="AG24" i="2"/>
  <c r="K24" i="2" s="1"/>
  <c r="AF103" i="2"/>
  <c r="J103" i="2" s="1"/>
  <c r="BK103" i="1"/>
  <c r="AF21" i="2"/>
  <c r="J21" i="2" s="1"/>
  <c r="BK21" i="1"/>
  <c r="BK131" i="1"/>
  <c r="AF131" i="2"/>
  <c r="J131" i="2" s="1"/>
  <c r="BL29" i="1"/>
  <c r="AG29" i="2"/>
  <c r="K29" i="2" s="1"/>
  <c r="BK160" i="1"/>
  <c r="AF160" i="2"/>
  <c r="J160" i="2" s="1"/>
  <c r="BL28" i="1"/>
  <c r="AG28" i="2"/>
  <c r="K28" i="2" s="1"/>
  <c r="BK43" i="1"/>
  <c r="AF43" i="2"/>
  <c r="J43" i="2" s="1"/>
  <c r="AG108" i="2"/>
  <c r="K108" i="2" s="1"/>
  <c r="BL108" i="1"/>
  <c r="AF135" i="2"/>
  <c r="J135" i="2" s="1"/>
  <c r="BK135" i="1"/>
  <c r="BK159" i="1"/>
  <c r="AF159" i="2"/>
  <c r="J159" i="2" s="1"/>
  <c r="BL143" i="1"/>
  <c r="AG143" i="2"/>
  <c r="K143" i="2" s="1"/>
  <c r="AF166" i="2"/>
  <c r="J166" i="2" s="1"/>
  <c r="BK166" i="1"/>
  <c r="BL71" i="1"/>
  <c r="AG71" i="2"/>
  <c r="K71" i="2" s="1"/>
  <c r="BL99" i="1"/>
  <c r="AG99" i="2"/>
  <c r="K99" i="2" s="1"/>
  <c r="BL111" i="1"/>
  <c r="AG111" i="2"/>
  <c r="K111" i="2" s="1"/>
  <c r="BL127" i="1"/>
  <c r="AG127" i="2"/>
  <c r="K127" i="2" s="1"/>
  <c r="BL155" i="1"/>
  <c r="AG155" i="2"/>
  <c r="K155" i="2" s="1"/>
  <c r="BL58" i="1"/>
  <c r="AG58" i="2"/>
  <c r="K58" i="2" s="1"/>
  <c r="BK73" i="1"/>
  <c r="AF73" i="2"/>
  <c r="J73" i="2" s="1"/>
  <c r="BL134" i="1"/>
  <c r="AG134" i="2"/>
  <c r="K134" i="2" s="1"/>
  <c r="BL48" i="1"/>
  <c r="AI48" i="2"/>
  <c r="K48" i="2" s="1"/>
  <c r="BK94" i="1"/>
  <c r="AF94" i="2"/>
  <c r="J94" i="2" s="1"/>
  <c r="AK94" i="2" s="1"/>
  <c r="AD168" i="10" s="1"/>
  <c r="AI158" i="2"/>
  <c r="K158" i="2" s="1"/>
  <c r="BL158" i="1"/>
  <c r="BL138" i="1"/>
  <c r="AG138" i="2"/>
  <c r="K138" i="2" s="1"/>
  <c r="AF117" i="2"/>
  <c r="J117" i="2" s="1"/>
  <c r="BK117" i="1"/>
  <c r="AG142" i="2"/>
  <c r="K142" i="2" s="1"/>
  <c r="BL142" i="1"/>
  <c r="BL154" i="1"/>
  <c r="AG154" i="2"/>
  <c r="K154" i="2" s="1"/>
  <c r="BJ56" i="1"/>
  <c r="BJ172" i="1"/>
  <c r="AG132" i="2"/>
  <c r="K132" i="2" s="1"/>
  <c r="BL132" i="1"/>
  <c r="BL87" i="1"/>
  <c r="AI87" i="2"/>
  <c r="K87" i="2" s="1"/>
  <c r="BK114" i="1"/>
  <c r="AF114" i="2"/>
  <c r="J114" i="2" s="1"/>
  <c r="AG131" i="2"/>
  <c r="K131" i="2" s="1"/>
  <c r="BL131" i="1"/>
  <c r="AG151" i="2"/>
  <c r="K151" i="2" s="1"/>
  <c r="BL151" i="1"/>
  <c r="BK65" i="1"/>
  <c r="AF65" i="2"/>
  <c r="J65" i="2" s="1"/>
  <c r="AG94" i="2"/>
  <c r="K94" i="2" s="1"/>
  <c r="BL94" i="1"/>
  <c r="AF105" i="2"/>
  <c r="J105" i="2" s="1"/>
  <c r="BK105" i="1"/>
  <c r="BL139" i="1"/>
  <c r="AG139" i="2"/>
  <c r="K139" i="2" s="1"/>
  <c r="BL74" i="1"/>
  <c r="AI74" i="2"/>
  <c r="K74" i="2" s="1"/>
  <c r="AL74" i="2" s="1"/>
  <c r="AG130" i="2"/>
  <c r="K130" i="2" s="1"/>
  <c r="BL130" i="1"/>
  <c r="BK102" i="1"/>
  <c r="AF102" i="2"/>
  <c r="J102" i="2" s="1"/>
  <c r="BL146" i="1"/>
  <c r="AG146" i="2"/>
  <c r="K146" i="2" s="1"/>
  <c r="AG162" i="2"/>
  <c r="K162" i="2" s="1"/>
  <c r="BL162" i="1"/>
  <c r="BK165" i="1"/>
  <c r="AF165" i="2"/>
  <c r="J165" i="2" s="1"/>
  <c r="BL170" i="1"/>
  <c r="AG170" i="2"/>
  <c r="K170" i="2" s="1"/>
  <c r="BJ145" i="1"/>
  <c r="K80" i="10" l="1"/>
  <c r="AL146" i="2"/>
  <c r="AE80" i="10" s="1"/>
  <c r="K151" i="10"/>
  <c r="AL48" i="2"/>
  <c r="AE151" i="10" s="1"/>
  <c r="AP71" i="2"/>
  <c r="AI12" i="10" s="1"/>
  <c r="K12" i="10"/>
  <c r="AL71" i="2"/>
  <c r="AE12" i="10" s="1"/>
  <c r="AO131" i="2"/>
  <c r="J52" i="10"/>
  <c r="AK131" i="2"/>
  <c r="AD52" i="10" s="1"/>
  <c r="K61" i="10"/>
  <c r="AL53" i="2"/>
  <c r="AE61" i="10" s="1"/>
  <c r="J91" i="10"/>
  <c r="AK157" i="2"/>
  <c r="AD91" i="10" s="1"/>
  <c r="AO141" i="2"/>
  <c r="J75" i="10"/>
  <c r="AK141" i="2"/>
  <c r="AD75" i="10" s="1"/>
  <c r="AO170" i="2"/>
  <c r="J104" i="10"/>
  <c r="AK170" i="2"/>
  <c r="AD104" i="10" s="1"/>
  <c r="J12" i="10"/>
  <c r="AK71" i="2"/>
  <c r="AD12" i="10" s="1"/>
  <c r="J139" i="10"/>
  <c r="AK35" i="2"/>
  <c r="AD139" i="10" s="1"/>
  <c r="AO121" i="2"/>
  <c r="J42" i="10"/>
  <c r="AK121" i="2"/>
  <c r="AD42" i="10" s="1"/>
  <c r="K27" i="10"/>
  <c r="AL106" i="2"/>
  <c r="AE27" i="10" s="1"/>
  <c r="K156" i="10"/>
  <c r="AL82" i="2"/>
  <c r="AE156" i="10" s="1"/>
  <c r="AO153" i="2"/>
  <c r="J87" i="10"/>
  <c r="AK153" i="2"/>
  <c r="AD87" i="10" s="1"/>
  <c r="AO125" i="2"/>
  <c r="J46" i="10"/>
  <c r="AK125" i="2"/>
  <c r="AD46" i="10" s="1"/>
  <c r="AP66" i="2"/>
  <c r="AI7" i="10" s="1"/>
  <c r="K7" i="10"/>
  <c r="AL66" i="2"/>
  <c r="AE7" i="10" s="1"/>
  <c r="K97" i="10"/>
  <c r="AL163" i="2"/>
  <c r="AE97" i="10" s="1"/>
  <c r="J47" i="10"/>
  <c r="AK126" i="2"/>
  <c r="AD47" i="10" s="1"/>
  <c r="AP95" i="2"/>
  <c r="AI169" i="10" s="1"/>
  <c r="K169" i="10"/>
  <c r="AL95" i="2"/>
  <c r="AE169" i="10" s="1"/>
  <c r="AO66" i="2"/>
  <c r="AR66" i="2" s="1"/>
  <c r="J7" i="10"/>
  <c r="AK66" i="2"/>
  <c r="AD7" i="10" s="1"/>
  <c r="J88" i="10"/>
  <c r="AK154" i="2"/>
  <c r="AD88" i="10" s="1"/>
  <c r="K24" i="10"/>
  <c r="AL103" i="2"/>
  <c r="AE24" i="10" s="1"/>
  <c r="AO62" i="2"/>
  <c r="J70" i="10"/>
  <c r="AK62" i="2"/>
  <c r="AD70" i="10" s="1"/>
  <c r="AO151" i="2"/>
  <c r="J85" i="10"/>
  <c r="AK151" i="2"/>
  <c r="AD85" i="10" s="1"/>
  <c r="K21" i="10"/>
  <c r="AL100" i="2"/>
  <c r="AE21" i="10" s="1"/>
  <c r="K68" i="10"/>
  <c r="AL60" i="2"/>
  <c r="AE68" i="10" s="1"/>
  <c r="AP40" i="2"/>
  <c r="AI144" i="10" s="1"/>
  <c r="K144" i="10"/>
  <c r="AL40" i="2"/>
  <c r="AE144" i="10" s="1"/>
  <c r="K114" i="10"/>
  <c r="AL10" i="2"/>
  <c r="K120" i="10"/>
  <c r="AL16" i="2"/>
  <c r="AP129" i="2"/>
  <c r="AI50" i="10" s="1"/>
  <c r="K50" i="10"/>
  <c r="AL129" i="2"/>
  <c r="AE50" i="10" s="1"/>
  <c r="K148" i="10"/>
  <c r="AL44" i="2"/>
  <c r="AE148" i="10" s="1"/>
  <c r="J29" i="10"/>
  <c r="AO99" i="2"/>
  <c r="J173" i="10"/>
  <c r="AK99" i="2"/>
  <c r="AD173" i="10" s="1"/>
  <c r="J136" i="10"/>
  <c r="AK32" i="2"/>
  <c r="AD136" i="10" s="1"/>
  <c r="K109" i="10"/>
  <c r="AL5" i="2"/>
  <c r="AP104" i="2"/>
  <c r="AI25" i="10" s="1"/>
  <c r="K25" i="10"/>
  <c r="AL104" i="2"/>
  <c r="AE25" i="10" s="1"/>
  <c r="J8" i="10"/>
  <c r="AK67" i="2"/>
  <c r="AD8" i="10" s="1"/>
  <c r="J149" i="10"/>
  <c r="AK45" i="2"/>
  <c r="AD149" i="10" s="1"/>
  <c r="AP34" i="2"/>
  <c r="AI138" i="10" s="1"/>
  <c r="K138" i="10"/>
  <c r="AL34" i="2"/>
  <c r="AE138" i="10" s="1"/>
  <c r="AP161" i="2"/>
  <c r="AI95" i="10" s="1"/>
  <c r="K95" i="10"/>
  <c r="AL161" i="2"/>
  <c r="AE95" i="10" s="1"/>
  <c r="K146" i="10"/>
  <c r="AL42" i="2"/>
  <c r="AE146" i="10" s="1"/>
  <c r="K30" i="10"/>
  <c r="AL109" i="2"/>
  <c r="AE30" i="10" s="1"/>
  <c r="AO112" i="2"/>
  <c r="J33" i="10"/>
  <c r="AK112" i="2"/>
  <c r="AD33" i="10" s="1"/>
  <c r="AP77" i="2"/>
  <c r="AI17" i="10" s="1"/>
  <c r="K17" i="10"/>
  <c r="AL77" i="2"/>
  <c r="AE17" i="10" s="1"/>
  <c r="K135" i="10"/>
  <c r="AL31" i="2"/>
  <c r="AE135" i="10" s="1"/>
  <c r="K58" i="10"/>
  <c r="AL137" i="2"/>
  <c r="AE58" i="10" s="1"/>
  <c r="J16" i="10"/>
  <c r="K94" i="10"/>
  <c r="AL160" i="2"/>
  <c r="AE94" i="10" s="1"/>
  <c r="K62" i="10"/>
  <c r="AL54" i="2"/>
  <c r="AE62" i="10" s="1"/>
  <c r="J117" i="10"/>
  <c r="AK13" i="2"/>
  <c r="AP133" i="2"/>
  <c r="AI54" i="10" s="1"/>
  <c r="K54" i="10"/>
  <c r="AL133" i="2"/>
  <c r="AE54" i="10" s="1"/>
  <c r="K115" i="10"/>
  <c r="AL11" i="2"/>
  <c r="AO144" i="2"/>
  <c r="J78" i="10"/>
  <c r="AK144" i="2"/>
  <c r="AD78" i="10" s="1"/>
  <c r="AO152" i="2"/>
  <c r="J86" i="10"/>
  <c r="AK152" i="2"/>
  <c r="AD86" i="10" s="1"/>
  <c r="J102" i="10"/>
  <c r="AO31" i="2"/>
  <c r="H135" i="10"/>
  <c r="AK31" i="2"/>
  <c r="AD135" i="10" s="1"/>
  <c r="AP41" i="2"/>
  <c r="AI145" i="10" s="1"/>
  <c r="K145" i="10"/>
  <c r="AL41" i="2"/>
  <c r="AE145" i="10" s="1"/>
  <c r="K110" i="10"/>
  <c r="AL6" i="2"/>
  <c r="K117" i="10"/>
  <c r="AL13" i="2"/>
  <c r="K65" i="10"/>
  <c r="AL57" i="2"/>
  <c r="AE65" i="10" s="1"/>
  <c r="J110" i="10"/>
  <c r="AK6" i="2"/>
  <c r="J118" i="10"/>
  <c r="AK14" i="2"/>
  <c r="K106" i="10"/>
  <c r="AL172" i="2"/>
  <c r="AE106" i="10" s="1"/>
  <c r="H170" i="10"/>
  <c r="AK96" i="2"/>
  <c r="AD170" i="10" s="1"/>
  <c r="J105" i="10"/>
  <c r="AK171" i="2"/>
  <c r="AD105" i="10" s="1"/>
  <c r="H159" i="10"/>
  <c r="AK85" i="2"/>
  <c r="AD159" i="10" s="1"/>
  <c r="H22" i="10"/>
  <c r="AK101" i="2"/>
  <c r="AD22" i="10" s="1"/>
  <c r="H109" i="10"/>
  <c r="AK5" i="2"/>
  <c r="H167" i="10"/>
  <c r="AK93" i="2"/>
  <c r="AD167" i="10" s="1"/>
  <c r="H130" i="10"/>
  <c r="AK26" i="2"/>
  <c r="AD130" i="10" s="1"/>
  <c r="H137" i="10"/>
  <c r="AK33" i="2"/>
  <c r="AD137" i="10" s="1"/>
  <c r="K60" i="10"/>
  <c r="AL139" i="2"/>
  <c r="AE60" i="10" s="1"/>
  <c r="AP154" i="2"/>
  <c r="AI88" i="10" s="1"/>
  <c r="K88" i="10"/>
  <c r="AL154" i="2"/>
  <c r="AE88" i="10" s="1"/>
  <c r="AP155" i="2"/>
  <c r="AI89" i="10" s="1"/>
  <c r="K89" i="10"/>
  <c r="AL155" i="2"/>
  <c r="AE89" i="10" s="1"/>
  <c r="J147" i="10"/>
  <c r="AK43" i="2"/>
  <c r="AD147" i="10" s="1"/>
  <c r="J45" i="10"/>
  <c r="AK124" i="2"/>
  <c r="AD45" i="10" s="1"/>
  <c r="AP130" i="2"/>
  <c r="AI51" i="10" s="1"/>
  <c r="K51" i="10"/>
  <c r="AL130" i="2"/>
  <c r="AE51" i="10" s="1"/>
  <c r="AP132" i="2"/>
  <c r="AI53" i="10" s="1"/>
  <c r="K53" i="10"/>
  <c r="AL132" i="2"/>
  <c r="AE53" i="10" s="1"/>
  <c r="J56" i="10"/>
  <c r="AK135" i="2"/>
  <c r="AD56" i="10" s="1"/>
  <c r="K26" i="10"/>
  <c r="AL105" i="2"/>
  <c r="AE26" i="10" s="1"/>
  <c r="AP63" i="2"/>
  <c r="AI71" i="10" s="1"/>
  <c r="K71" i="10"/>
  <c r="AL63" i="2"/>
  <c r="AE71" i="10" s="1"/>
  <c r="AP92" i="2"/>
  <c r="AI166" i="10" s="1"/>
  <c r="K166" i="10"/>
  <c r="AL92" i="2"/>
  <c r="AE166" i="10" s="1"/>
  <c r="K84" i="10"/>
  <c r="AL150" i="2"/>
  <c r="AE84" i="10" s="1"/>
  <c r="J50" i="10"/>
  <c r="AK129" i="2"/>
  <c r="AD50" i="10" s="1"/>
  <c r="AO97" i="2"/>
  <c r="J171" i="10"/>
  <c r="AK97" i="2"/>
  <c r="AD171" i="10" s="1"/>
  <c r="AP91" i="2"/>
  <c r="AI165" i="10" s="1"/>
  <c r="K165" i="10"/>
  <c r="AL91" i="2"/>
  <c r="AE165" i="10" s="1"/>
  <c r="J53" i="10"/>
  <c r="AK132" i="2"/>
  <c r="AD53" i="10" s="1"/>
  <c r="K33" i="10"/>
  <c r="AL112" i="2"/>
  <c r="AE33" i="10" s="1"/>
  <c r="J131" i="10"/>
  <c r="J30" i="10"/>
  <c r="AK109" i="2"/>
  <c r="AD30" i="10" s="1"/>
  <c r="AO137" i="2"/>
  <c r="J58" i="10"/>
  <c r="AP164" i="2"/>
  <c r="AI98" i="10" s="1"/>
  <c r="K98" i="10"/>
  <c r="AL164" i="2"/>
  <c r="AE98" i="10" s="1"/>
  <c r="K81" i="10"/>
  <c r="AL147" i="2"/>
  <c r="AE81" i="10" s="1"/>
  <c r="J59" i="10"/>
  <c r="AK138" i="2"/>
  <c r="AD59" i="10" s="1"/>
  <c r="AP107" i="2"/>
  <c r="AI28" i="10" s="1"/>
  <c r="K28" i="10"/>
  <c r="AL107" i="2"/>
  <c r="AE28" i="10" s="1"/>
  <c r="J17" i="10"/>
  <c r="J55" i="10"/>
  <c r="AK134" i="2"/>
  <c r="AD55" i="10" s="1"/>
  <c r="AP156" i="2"/>
  <c r="AI90" i="10" s="1"/>
  <c r="K90" i="10"/>
  <c r="AL156" i="2"/>
  <c r="AE90" i="10" s="1"/>
  <c r="AP36" i="2"/>
  <c r="AI140" i="10" s="1"/>
  <c r="K140" i="10"/>
  <c r="AL36" i="2"/>
  <c r="AE140" i="10" s="1"/>
  <c r="J111" i="10"/>
  <c r="AK7" i="2"/>
  <c r="J74" i="10"/>
  <c r="AK140" i="2"/>
  <c r="AD74" i="10" s="1"/>
  <c r="AP38" i="2"/>
  <c r="AI142" i="10" s="1"/>
  <c r="K142" i="10"/>
  <c r="AL38" i="2"/>
  <c r="AE142" i="10" s="1"/>
  <c r="AO72" i="2"/>
  <c r="J13" i="10"/>
  <c r="AK72" i="2"/>
  <c r="AD13" i="10" s="1"/>
  <c r="K155" i="10"/>
  <c r="AL52" i="2"/>
  <c r="AE155" i="10" s="1"/>
  <c r="K73" i="10"/>
  <c r="AL65" i="2"/>
  <c r="AE73" i="10" s="1"/>
  <c r="K108" i="10"/>
  <c r="AL4" i="2"/>
  <c r="K34" i="10"/>
  <c r="AL113" i="2"/>
  <c r="AE34" i="10" s="1"/>
  <c r="K44" i="10"/>
  <c r="AL123" i="2"/>
  <c r="AE44" i="10" s="1"/>
  <c r="AP135" i="2"/>
  <c r="AI56" i="10" s="1"/>
  <c r="K56" i="10"/>
  <c r="AL135" i="2"/>
  <c r="AE56" i="10" s="1"/>
  <c r="AO98" i="2"/>
  <c r="J172" i="10"/>
  <c r="AK98" i="2"/>
  <c r="AD172" i="10" s="1"/>
  <c r="K70" i="10"/>
  <c r="AL62" i="2"/>
  <c r="AE70" i="10" s="1"/>
  <c r="J57" i="10"/>
  <c r="AK136" i="2"/>
  <c r="AD57" i="10" s="1"/>
  <c r="AP76" i="2"/>
  <c r="AI16" i="10" s="1"/>
  <c r="K16" i="10"/>
  <c r="AL76" i="2"/>
  <c r="AE16" i="10" s="1"/>
  <c r="AP121" i="2"/>
  <c r="AI42" i="10" s="1"/>
  <c r="K42" i="10"/>
  <c r="AL121" i="2"/>
  <c r="AE42" i="10" s="1"/>
  <c r="K14" i="10"/>
  <c r="AL73" i="2"/>
  <c r="AE14" i="10" s="1"/>
  <c r="K171" i="10"/>
  <c r="AL97" i="2"/>
  <c r="AE171" i="10" s="1"/>
  <c r="AP45" i="2"/>
  <c r="AI149" i="10" s="1"/>
  <c r="K149" i="10"/>
  <c r="AL45" i="2"/>
  <c r="AE149" i="10" s="1"/>
  <c r="J128" i="10"/>
  <c r="AK24" i="2"/>
  <c r="K49" i="10"/>
  <c r="AL128" i="2"/>
  <c r="AE49" i="10" s="1"/>
  <c r="K118" i="10"/>
  <c r="AL14" i="2"/>
  <c r="AO139" i="2"/>
  <c r="J60" i="10"/>
  <c r="AK139" i="2"/>
  <c r="AD60" i="10" s="1"/>
  <c r="K119" i="10"/>
  <c r="AL15" i="2"/>
  <c r="AO37" i="2"/>
  <c r="J141" i="10"/>
  <c r="AK37" i="2"/>
  <c r="AD141" i="10" s="1"/>
  <c r="AP61" i="2"/>
  <c r="AI69" i="10" s="1"/>
  <c r="K69" i="10"/>
  <c r="AL61" i="2"/>
  <c r="AE69" i="10" s="1"/>
  <c r="J62" i="10"/>
  <c r="AK54" i="2"/>
  <c r="AD62" i="10" s="1"/>
  <c r="K83" i="10"/>
  <c r="AL149" i="2"/>
  <c r="AE83" i="10" s="1"/>
  <c r="K111" i="10"/>
  <c r="AL7" i="2"/>
  <c r="J44" i="10"/>
  <c r="AK123" i="2"/>
  <c r="AD44" i="10" s="1"/>
  <c r="K147" i="10"/>
  <c r="AL43" i="2"/>
  <c r="AE147" i="10" s="1"/>
  <c r="AO63" i="2"/>
  <c r="AR63" i="2" s="1"/>
  <c r="H71" i="10"/>
  <c r="AK63" i="2"/>
  <c r="AD71" i="10" s="1"/>
  <c r="AP26" i="2"/>
  <c r="AI130" i="10" s="1"/>
  <c r="K130" i="10"/>
  <c r="AL26" i="2"/>
  <c r="AE130" i="10" s="1"/>
  <c r="K116" i="10"/>
  <c r="AL12" i="2"/>
  <c r="AP72" i="2"/>
  <c r="AI13" i="10" s="1"/>
  <c r="K13" i="10"/>
  <c r="AL72" i="2"/>
  <c r="AE13" i="10" s="1"/>
  <c r="AP47" i="2"/>
  <c r="AI150" i="10" s="1"/>
  <c r="K150" i="10"/>
  <c r="AL47" i="2"/>
  <c r="AE150" i="10" s="1"/>
  <c r="H103" i="10"/>
  <c r="AK169" i="2"/>
  <c r="AD103" i="10" s="1"/>
  <c r="AP96" i="2"/>
  <c r="AI170" i="10" s="1"/>
  <c r="K170" i="10"/>
  <c r="AL96" i="2"/>
  <c r="AE170" i="10" s="1"/>
  <c r="J114" i="10"/>
  <c r="AK10" i="2"/>
  <c r="H163" i="10"/>
  <c r="AK89" i="2"/>
  <c r="AD163" i="10" s="1"/>
  <c r="H34" i="10"/>
  <c r="AK113" i="2"/>
  <c r="AD34" i="10" s="1"/>
  <c r="K107" i="10"/>
  <c r="AL3" i="2"/>
  <c r="H101" i="10"/>
  <c r="AK167" i="2"/>
  <c r="AD101" i="10" s="1"/>
  <c r="AO48" i="2"/>
  <c r="H151" i="10"/>
  <c r="AK48" i="2"/>
  <c r="AD151" i="10" s="1"/>
  <c r="AK74" i="2"/>
  <c r="H124" i="10"/>
  <c r="AK20" i="2"/>
  <c r="H43" i="10"/>
  <c r="AK122" i="2"/>
  <c r="AD43" i="10" s="1"/>
  <c r="AO172" i="2"/>
  <c r="J106" i="10"/>
  <c r="AK172" i="2"/>
  <c r="AD106" i="10" s="1"/>
  <c r="AO165" i="2"/>
  <c r="J99" i="10"/>
  <c r="AK165" i="2"/>
  <c r="AD99" i="10" s="1"/>
  <c r="J14" i="10"/>
  <c r="AK73" i="2"/>
  <c r="AD14" i="10" s="1"/>
  <c r="K77" i="10"/>
  <c r="AL143" i="2"/>
  <c r="AE77" i="10" s="1"/>
  <c r="J108" i="10"/>
  <c r="AK4" i="2"/>
  <c r="K168" i="10"/>
  <c r="AL94" i="2"/>
  <c r="AE168" i="10" s="1"/>
  <c r="K92" i="10"/>
  <c r="AL158" i="2"/>
  <c r="AE92" i="10" s="1"/>
  <c r="AO103" i="2"/>
  <c r="J24" i="10"/>
  <c r="AK103" i="2"/>
  <c r="AD24" i="10" s="1"/>
  <c r="AP170" i="2"/>
  <c r="AI104" i="10" s="1"/>
  <c r="K104" i="10"/>
  <c r="AL170" i="2"/>
  <c r="AE104" i="10" s="1"/>
  <c r="J23" i="10"/>
  <c r="AK102" i="2"/>
  <c r="AD23" i="10" s="1"/>
  <c r="K161" i="10"/>
  <c r="AL87" i="2"/>
  <c r="AE161" i="10" s="1"/>
  <c r="AO94" i="2"/>
  <c r="J168" i="10"/>
  <c r="K48" i="10"/>
  <c r="AL127" i="2"/>
  <c r="AE48" i="10" s="1"/>
  <c r="J93" i="10"/>
  <c r="AK159" i="2"/>
  <c r="AD93" i="10" s="1"/>
  <c r="AP28" i="2"/>
  <c r="AI132" i="10" s="1"/>
  <c r="K132" i="10"/>
  <c r="AL28" i="2"/>
  <c r="AE132" i="10" s="1"/>
  <c r="K128" i="10"/>
  <c r="AL24" i="2"/>
  <c r="K121" i="10"/>
  <c r="AL17" i="2"/>
  <c r="AO78" i="2"/>
  <c r="J18" i="10"/>
  <c r="AK78" i="2"/>
  <c r="AD18" i="10" s="1"/>
  <c r="K37" i="10"/>
  <c r="AL116" i="2"/>
  <c r="AE37" i="10" s="1"/>
  <c r="K9" i="10"/>
  <c r="AL68" i="2"/>
  <c r="AE9" i="10" s="1"/>
  <c r="AO142" i="2"/>
  <c r="J76" i="10"/>
  <c r="AK142" i="2"/>
  <c r="AD76" i="10" s="1"/>
  <c r="AO82" i="2"/>
  <c r="J156" i="10"/>
  <c r="AK82" i="2"/>
  <c r="AD156" i="10" s="1"/>
  <c r="J157" i="10"/>
  <c r="AK83" i="2"/>
  <c r="AD157" i="10" s="1"/>
  <c r="K137" i="10"/>
  <c r="AL33" i="2"/>
  <c r="AE137" i="10" s="1"/>
  <c r="AP126" i="2"/>
  <c r="AI47" i="10" s="1"/>
  <c r="K47" i="10"/>
  <c r="AL126" i="2"/>
  <c r="AE47" i="10" s="1"/>
  <c r="AO145" i="2"/>
  <c r="AR145" i="2" s="1"/>
  <c r="J79" i="10"/>
  <c r="AK145" i="2"/>
  <c r="AD79" i="10" s="1"/>
  <c r="K172" i="10"/>
  <c r="AL98" i="2"/>
  <c r="AE172" i="10" s="1"/>
  <c r="J20" i="10"/>
  <c r="AK81" i="2"/>
  <c r="AD20" i="10" s="1"/>
  <c r="AP110" i="2"/>
  <c r="AI31" i="10" s="1"/>
  <c r="K31" i="10"/>
  <c r="AL110" i="2"/>
  <c r="AE31" i="10" s="1"/>
  <c r="AP167" i="2"/>
  <c r="AI101" i="10" s="1"/>
  <c r="K101" i="10"/>
  <c r="AL167" i="2"/>
  <c r="AE101" i="10" s="1"/>
  <c r="K93" i="10"/>
  <c r="AL159" i="2"/>
  <c r="AE93" i="10" s="1"/>
  <c r="J80" i="10"/>
  <c r="AK146" i="2"/>
  <c r="AD80" i="10" s="1"/>
  <c r="AO118" i="2"/>
  <c r="J39" i="10"/>
  <c r="AK118" i="2"/>
  <c r="AD39" i="10" s="1"/>
  <c r="AP83" i="2"/>
  <c r="AI157" i="10" s="1"/>
  <c r="K157" i="10"/>
  <c r="AL83" i="2"/>
  <c r="AE157" i="10" s="1"/>
  <c r="K8" i="10"/>
  <c r="AL67" i="2"/>
  <c r="AE8" i="10" s="1"/>
  <c r="J11" i="10"/>
  <c r="AK70" i="2"/>
  <c r="AD11" i="10" s="1"/>
  <c r="AP140" i="2"/>
  <c r="AI74" i="10" s="1"/>
  <c r="K74" i="10"/>
  <c r="AL140" i="2"/>
  <c r="AE74" i="10" s="1"/>
  <c r="AO111" i="2"/>
  <c r="J32" i="10"/>
  <c r="AK111" i="2"/>
  <c r="AD32" i="10" s="1"/>
  <c r="K158" i="10"/>
  <c r="AL84" i="2"/>
  <c r="AE158" i="10" s="1"/>
  <c r="J63" i="10"/>
  <c r="AK55" i="2"/>
  <c r="AD63" i="10" s="1"/>
  <c r="AP49" i="2"/>
  <c r="AI152" i="10" s="1"/>
  <c r="K152" i="10"/>
  <c r="AL49" i="2"/>
  <c r="AE152" i="10" s="1"/>
  <c r="J112" i="10"/>
  <c r="AK8" i="2"/>
  <c r="J36" i="10"/>
  <c r="AK115" i="2"/>
  <c r="AD36" i="10" s="1"/>
  <c r="AO143" i="2"/>
  <c r="J77" i="10"/>
  <c r="AK143" i="2"/>
  <c r="AD77" i="10" s="1"/>
  <c r="AO147" i="2"/>
  <c r="J81" i="10"/>
  <c r="AK147" i="2"/>
  <c r="AD81" i="10" s="1"/>
  <c r="J123" i="10"/>
  <c r="AK19" i="2"/>
  <c r="K103" i="10"/>
  <c r="AL169" i="2"/>
  <c r="AE103" i="10" s="1"/>
  <c r="AP145" i="2"/>
  <c r="AI79" i="10" s="1"/>
  <c r="K79" i="10"/>
  <c r="AL145" i="2"/>
  <c r="AE79" i="10" s="1"/>
  <c r="AO61" i="2"/>
  <c r="AR61" i="2" s="1"/>
  <c r="J69" i="10"/>
  <c r="AK61" i="2"/>
  <c r="AD69" i="10" s="1"/>
  <c r="K67" i="10"/>
  <c r="AL59" i="2"/>
  <c r="AE67" i="10" s="1"/>
  <c r="J169" i="10"/>
  <c r="AK95" i="2"/>
  <c r="AD169" i="10" s="1"/>
  <c r="J119" i="10"/>
  <c r="AK15" i="2"/>
  <c r="J116" i="10"/>
  <c r="AK12" i="2"/>
  <c r="J115" i="10"/>
  <c r="AK11" i="2"/>
  <c r="AO68" i="2"/>
  <c r="J9" i="10"/>
  <c r="AK68" i="2"/>
  <c r="AD9" i="10" s="1"/>
  <c r="K141" i="10"/>
  <c r="AL37" i="2"/>
  <c r="AE141" i="10" s="1"/>
  <c r="K129" i="10"/>
  <c r="AL25" i="2"/>
  <c r="AE129" i="10" s="1"/>
  <c r="K113" i="10"/>
  <c r="AL9" i="2"/>
  <c r="K102" i="10"/>
  <c r="AL168" i="2"/>
  <c r="AE102" i="10" s="1"/>
  <c r="K57" i="10"/>
  <c r="AL136" i="2"/>
  <c r="AE57" i="10" s="1"/>
  <c r="AO107" i="2"/>
  <c r="AR107" i="2" s="1"/>
  <c r="J28" i="10"/>
  <c r="J165" i="10"/>
  <c r="AK91" i="2"/>
  <c r="AD165" i="10" s="1"/>
  <c r="K153" i="10"/>
  <c r="AL50" i="2"/>
  <c r="AE153" i="10" s="1"/>
  <c r="AO41" i="2"/>
  <c r="AR41" i="2" s="1"/>
  <c r="J145" i="10"/>
  <c r="AK41" i="2"/>
  <c r="AD145" i="10" s="1"/>
  <c r="AP157" i="2"/>
  <c r="AI91" i="10" s="1"/>
  <c r="K91" i="10"/>
  <c r="AL157" i="2"/>
  <c r="AE91" i="10" s="1"/>
  <c r="AO92" i="2"/>
  <c r="AR92" i="2" s="1"/>
  <c r="J166" i="10"/>
  <c r="K126" i="10"/>
  <c r="AL22" i="2"/>
  <c r="J37" i="10"/>
  <c r="AK116" i="2"/>
  <c r="AD37" i="10" s="1"/>
  <c r="K41" i="10"/>
  <c r="AL120" i="2"/>
  <c r="AE41" i="10" s="1"/>
  <c r="K122" i="10"/>
  <c r="AL18" i="2"/>
  <c r="K46" i="10"/>
  <c r="AL125" i="2"/>
  <c r="AE46" i="10" s="1"/>
  <c r="J122" i="10"/>
  <c r="AK18" i="2"/>
  <c r="AO50" i="2"/>
  <c r="J153" i="10"/>
  <c r="AK50" i="2"/>
  <c r="AD153" i="10" s="1"/>
  <c r="K22" i="10"/>
  <c r="AL101" i="2"/>
  <c r="AE22" i="10" s="1"/>
  <c r="K154" i="10"/>
  <c r="AL51" i="2"/>
  <c r="AE154" i="10" s="1"/>
  <c r="AO128" i="2"/>
  <c r="J49" i="10"/>
  <c r="AK128" i="2"/>
  <c r="AD49" i="10" s="1"/>
  <c r="AP30" i="2"/>
  <c r="AI134" i="10" s="1"/>
  <c r="K134" i="10"/>
  <c r="AL30" i="2"/>
  <c r="AE134" i="10" s="1"/>
  <c r="K167" i="10"/>
  <c r="AL93" i="2"/>
  <c r="AE167" i="10" s="1"/>
  <c r="K19" i="10"/>
  <c r="AL80" i="2"/>
  <c r="AE19" i="10" s="1"/>
  <c r="AO75" i="2"/>
  <c r="H15" i="10"/>
  <c r="AK75" i="2"/>
  <c r="AD15" i="10" s="1"/>
  <c r="AP55" i="2"/>
  <c r="AI63" i="10" s="1"/>
  <c r="K63" i="10"/>
  <c r="AL55" i="2"/>
  <c r="AE63" i="10" s="1"/>
  <c r="K105" i="10"/>
  <c r="AL171" i="2"/>
  <c r="AE105" i="10" s="1"/>
  <c r="J127" i="10"/>
  <c r="AO33" i="2"/>
  <c r="J137" i="10"/>
  <c r="J134" i="10"/>
  <c r="AK30" i="2"/>
  <c r="AD134" i="10" s="1"/>
  <c r="AO34" i="2"/>
  <c r="AR34" i="2" s="1"/>
  <c r="J138" i="10"/>
  <c r="AK34" i="2"/>
  <c r="AD138" i="10" s="1"/>
  <c r="H102" i="10"/>
  <c r="AK168" i="2"/>
  <c r="AD102" i="10" s="1"/>
  <c r="H155" i="10"/>
  <c r="AK52" i="2"/>
  <c r="AD155" i="10" s="1"/>
  <c r="H152" i="10"/>
  <c r="AK49" i="2"/>
  <c r="AD152" i="10" s="1"/>
  <c r="H160" i="10"/>
  <c r="AK86" i="2"/>
  <c r="AD160" i="10" s="1"/>
  <c r="H140" i="10"/>
  <c r="AK36" i="2"/>
  <c r="AD140" i="10" s="1"/>
  <c r="H120" i="10"/>
  <c r="AK16" i="2"/>
  <c r="AK108" i="2"/>
  <c r="AD29" i="10" s="1"/>
  <c r="AK76" i="2"/>
  <c r="AD16" i="10" s="1"/>
  <c r="AK77" i="2"/>
  <c r="AD17" i="10" s="1"/>
  <c r="J35" i="10"/>
  <c r="AK114" i="2"/>
  <c r="AD35" i="10" s="1"/>
  <c r="K32" i="10"/>
  <c r="AL111" i="2"/>
  <c r="AE32" i="10" s="1"/>
  <c r="AO160" i="2"/>
  <c r="J94" i="10"/>
  <c r="AK160" i="2"/>
  <c r="AD94" i="10" s="1"/>
  <c r="K112" i="10"/>
  <c r="AL8" i="2"/>
  <c r="K85" i="10"/>
  <c r="AL151" i="2"/>
  <c r="AE85" i="10" s="1"/>
  <c r="AO117" i="2"/>
  <c r="J38" i="10"/>
  <c r="AK117" i="2"/>
  <c r="AD38" i="10" s="1"/>
  <c r="AP88" i="2"/>
  <c r="AI162" i="10" s="1"/>
  <c r="K162" i="10"/>
  <c r="AL88" i="2"/>
  <c r="AE162" i="10" s="1"/>
  <c r="J73" i="10"/>
  <c r="AK65" i="2"/>
  <c r="AD73" i="10" s="1"/>
  <c r="K59" i="10"/>
  <c r="AL138" i="2"/>
  <c r="AE59" i="10" s="1"/>
  <c r="AP134" i="2"/>
  <c r="AI55" i="10" s="1"/>
  <c r="K55" i="10"/>
  <c r="AL134" i="2"/>
  <c r="AE55" i="10" s="1"/>
  <c r="AP58" i="2"/>
  <c r="AR58" i="2" s="1"/>
  <c r="AK66" i="10" s="1"/>
  <c r="K66" i="10"/>
  <c r="AL58" i="2"/>
  <c r="AE66" i="10" s="1"/>
  <c r="K173" i="10"/>
  <c r="AL99" i="2"/>
  <c r="AE173" i="10" s="1"/>
  <c r="K133" i="10"/>
  <c r="AL29" i="2"/>
  <c r="AE133" i="10" s="1"/>
  <c r="AP162" i="2"/>
  <c r="AI96" i="10" s="1"/>
  <c r="K96" i="10"/>
  <c r="AL162" i="2"/>
  <c r="AE96" i="10" s="1"/>
  <c r="AO105" i="2"/>
  <c r="J26" i="10"/>
  <c r="AK105" i="2"/>
  <c r="AD26" i="10" s="1"/>
  <c r="K52" i="10"/>
  <c r="AL131" i="2"/>
  <c r="AE52" i="10" s="1"/>
  <c r="K76" i="10"/>
  <c r="AL142" i="2"/>
  <c r="AE76" i="10" s="1"/>
  <c r="AO166" i="2"/>
  <c r="J100" i="10"/>
  <c r="AK166" i="2"/>
  <c r="AD100" i="10" s="1"/>
  <c r="AP108" i="2"/>
  <c r="AI29" i="10" s="1"/>
  <c r="K29" i="10"/>
  <c r="AL108" i="2"/>
  <c r="AE29" i="10" s="1"/>
  <c r="J125" i="10"/>
  <c r="AK21" i="2"/>
  <c r="K124" i="10"/>
  <c r="AL20" i="2"/>
  <c r="AO164" i="2"/>
  <c r="AR164" i="2" s="1"/>
  <c r="J98" i="10"/>
  <c r="AK164" i="2"/>
  <c r="AD98" i="10" s="1"/>
  <c r="J158" i="10"/>
  <c r="AK84" i="2"/>
  <c r="AD158" i="10" s="1"/>
  <c r="K78" i="10"/>
  <c r="AL144" i="2"/>
  <c r="AE78" i="10" s="1"/>
  <c r="AO149" i="2"/>
  <c r="J83" i="10"/>
  <c r="AK149" i="2"/>
  <c r="AD83" i="10" s="1"/>
  <c r="AP166" i="2"/>
  <c r="AI100" i="10" s="1"/>
  <c r="K100" i="10"/>
  <c r="AL166" i="2"/>
  <c r="AE100" i="10" s="1"/>
  <c r="K35" i="10"/>
  <c r="AL114" i="2"/>
  <c r="AE35" i="10" s="1"/>
  <c r="J27" i="10"/>
  <c r="AK106" i="2"/>
  <c r="AD27" i="10" s="1"/>
  <c r="AP122" i="2"/>
  <c r="AI43" i="10" s="1"/>
  <c r="K43" i="10"/>
  <c r="AL122" i="2"/>
  <c r="AE43" i="10" s="1"/>
  <c r="AP89" i="2"/>
  <c r="AI163" i="10" s="1"/>
  <c r="K163" i="10"/>
  <c r="AL89" i="2"/>
  <c r="AE163" i="10" s="1"/>
  <c r="K82" i="10"/>
  <c r="AL148" i="2"/>
  <c r="AE82" i="10" s="1"/>
  <c r="J54" i="10"/>
  <c r="AK133" i="2"/>
  <c r="AD54" i="10" s="1"/>
  <c r="AP118" i="2"/>
  <c r="AI39" i="10" s="1"/>
  <c r="K39" i="10"/>
  <c r="AL118" i="2"/>
  <c r="AE39" i="10" s="1"/>
  <c r="AO161" i="2"/>
  <c r="AR161" i="2" s="1"/>
  <c r="J95" i="10"/>
  <c r="AK161" i="2"/>
  <c r="AD95" i="10" s="1"/>
  <c r="J96" i="10"/>
  <c r="AK162" i="2"/>
  <c r="AD96" i="10" s="1"/>
  <c r="K160" i="10"/>
  <c r="AL86" i="2"/>
  <c r="AE160" i="10" s="1"/>
  <c r="AP70" i="2"/>
  <c r="AI11" i="10" s="1"/>
  <c r="K11" i="10"/>
  <c r="AL70" i="2"/>
  <c r="AE11" i="10" s="1"/>
  <c r="AO130" i="2"/>
  <c r="AR130" i="2" s="1"/>
  <c r="J51" i="10"/>
  <c r="AK130" i="2"/>
  <c r="AD51" i="10" s="1"/>
  <c r="J40" i="10"/>
  <c r="AK119" i="2"/>
  <c r="AD40" i="10" s="1"/>
  <c r="K136" i="10"/>
  <c r="AL32" i="2"/>
  <c r="AE136" i="10" s="1"/>
  <c r="AO156" i="2"/>
  <c r="AR156" i="2" s="1"/>
  <c r="J90" i="10"/>
  <c r="AK156" i="2"/>
  <c r="AD90" i="10" s="1"/>
  <c r="AP81" i="2"/>
  <c r="AI20" i="10" s="1"/>
  <c r="K20" i="10"/>
  <c r="AL81" i="2"/>
  <c r="AE20" i="10" s="1"/>
  <c r="J144" i="10"/>
  <c r="AK40" i="2"/>
  <c r="AD144" i="10" s="1"/>
  <c r="J97" i="10"/>
  <c r="AP64" i="2"/>
  <c r="AI72" i="10" s="1"/>
  <c r="K72" i="10"/>
  <c r="AL64" i="2"/>
  <c r="AE72" i="10" s="1"/>
  <c r="J133" i="10"/>
  <c r="AK29" i="2"/>
  <c r="AD133" i="10" s="1"/>
  <c r="K45" i="10"/>
  <c r="AL124" i="2"/>
  <c r="AE45" i="10" s="1"/>
  <c r="AO39" i="2"/>
  <c r="J143" i="10"/>
  <c r="AK39" i="2"/>
  <c r="AD143" i="10" s="1"/>
  <c r="K125" i="10"/>
  <c r="AL21" i="2"/>
  <c r="K99" i="10"/>
  <c r="AL165" i="2"/>
  <c r="AE99" i="10" s="1"/>
  <c r="AO148" i="2"/>
  <c r="J82" i="10"/>
  <c r="AK148" i="2"/>
  <c r="AD82" i="10" s="1"/>
  <c r="AP102" i="2"/>
  <c r="AI23" i="10" s="1"/>
  <c r="K23" i="10"/>
  <c r="AL102" i="2"/>
  <c r="AE23" i="10" s="1"/>
  <c r="K18" i="10"/>
  <c r="AL78" i="2"/>
  <c r="AE18" i="10" s="1"/>
  <c r="K36" i="10"/>
  <c r="AL115" i="2"/>
  <c r="AE36" i="10" s="1"/>
  <c r="AP75" i="2"/>
  <c r="AI15" i="10" s="1"/>
  <c r="K15" i="10"/>
  <c r="AL75" i="2"/>
  <c r="AE15" i="10" s="1"/>
  <c r="AO110" i="2"/>
  <c r="AR110" i="2" s="1"/>
  <c r="J31" i="10"/>
  <c r="AK110" i="2"/>
  <c r="AD31" i="10" s="1"/>
  <c r="J48" i="10"/>
  <c r="AK127" i="2"/>
  <c r="AD48" i="10" s="1"/>
  <c r="K40" i="10"/>
  <c r="AL119" i="2"/>
  <c r="AE40" i="10" s="1"/>
  <c r="AP153" i="2"/>
  <c r="AI87" i="10" s="1"/>
  <c r="K87" i="10"/>
  <c r="AL153" i="2"/>
  <c r="AE87" i="10" s="1"/>
  <c r="AO60" i="2"/>
  <c r="J68" i="10"/>
  <c r="AK60" i="2"/>
  <c r="AD68" i="10" s="1"/>
  <c r="J61" i="10"/>
  <c r="AK53" i="2"/>
  <c r="AD61" i="10" s="1"/>
  <c r="J19" i="10"/>
  <c r="AK80" i="2"/>
  <c r="AD19" i="10" s="1"/>
  <c r="AO25" i="2"/>
  <c r="J129" i="10"/>
  <c r="AK25" i="2"/>
  <c r="AD129" i="10" s="1"/>
  <c r="AO104" i="2"/>
  <c r="AR104" i="2" s="1"/>
  <c r="J25" i="10"/>
  <c r="AK104" i="2"/>
  <c r="AD25" i="10" s="1"/>
  <c r="K139" i="10"/>
  <c r="AL35" i="2"/>
  <c r="AE139" i="10" s="1"/>
  <c r="J146" i="10"/>
  <c r="AK42" i="2"/>
  <c r="AD146" i="10" s="1"/>
  <c r="J107" i="10"/>
  <c r="AK3" i="2"/>
  <c r="J148" i="10"/>
  <c r="AK44" i="2"/>
  <c r="AD148" i="10" s="1"/>
  <c r="AO155" i="2"/>
  <c r="AR155" i="2" s="1"/>
  <c r="J89" i="10"/>
  <c r="AP27" i="2"/>
  <c r="AI131" i="10" s="1"/>
  <c r="K131" i="10"/>
  <c r="AL27" i="2"/>
  <c r="AE131" i="10" s="1"/>
  <c r="H131" i="10"/>
  <c r="AK27" i="2"/>
  <c r="AD131" i="10" s="1"/>
  <c r="AO28" i="2"/>
  <c r="AR28" i="2" s="1"/>
  <c r="J132" i="10"/>
  <c r="AK28" i="2"/>
  <c r="AD132" i="10" s="1"/>
  <c r="J113" i="10"/>
  <c r="AK9" i="2"/>
  <c r="K159" i="10"/>
  <c r="AL85" i="2"/>
  <c r="AE159" i="10" s="1"/>
  <c r="AP141" i="2"/>
  <c r="AI75" i="10" s="1"/>
  <c r="K75" i="10"/>
  <c r="AL141" i="2"/>
  <c r="AE75" i="10" s="1"/>
  <c r="J126" i="10"/>
  <c r="AK22" i="2"/>
  <c r="K123" i="10"/>
  <c r="AL19" i="2"/>
  <c r="AP117" i="2"/>
  <c r="AI38" i="10" s="1"/>
  <c r="K38" i="10"/>
  <c r="AL117" i="2"/>
  <c r="AE38" i="10" s="1"/>
  <c r="H72" i="10"/>
  <c r="AK64" i="2"/>
  <c r="AD72" i="10" s="1"/>
  <c r="H142" i="10"/>
  <c r="AK38" i="2"/>
  <c r="AD142" i="10" s="1"/>
  <c r="H127" i="10"/>
  <c r="AK23" i="2"/>
  <c r="H92" i="10"/>
  <c r="AK158" i="2"/>
  <c r="AD92" i="10" s="1"/>
  <c r="J41" i="10"/>
  <c r="AK120" i="2"/>
  <c r="AD41" i="10" s="1"/>
  <c r="H121" i="10"/>
  <c r="AK17" i="2"/>
  <c r="H154" i="10"/>
  <c r="AK51" i="2"/>
  <c r="AD154" i="10" s="1"/>
  <c r="K143" i="10"/>
  <c r="AL39" i="2"/>
  <c r="AE143" i="10" s="1"/>
  <c r="H150" i="10"/>
  <c r="AK47" i="2"/>
  <c r="AD150" i="10" s="1"/>
  <c r="H21" i="10"/>
  <c r="AK100" i="2"/>
  <c r="AD21" i="10" s="1"/>
  <c r="H161" i="10"/>
  <c r="AK87" i="2"/>
  <c r="AD161" i="10" s="1"/>
  <c r="H162" i="10"/>
  <c r="AK88" i="2"/>
  <c r="AD162" i="10" s="1"/>
  <c r="AK163" i="2"/>
  <c r="AD97" i="10" s="1"/>
  <c r="AK79" i="10"/>
  <c r="AK138" i="10"/>
  <c r="AH38" i="10"/>
  <c r="AH39" i="10"/>
  <c r="AH32" i="10"/>
  <c r="AH77" i="10"/>
  <c r="AH81" i="10"/>
  <c r="AH69" i="10"/>
  <c r="AH9" i="10"/>
  <c r="AH28" i="10"/>
  <c r="AH145" i="10"/>
  <c r="AH166" i="10"/>
  <c r="AH153" i="10"/>
  <c r="AH49" i="10"/>
  <c r="AH15" i="10"/>
  <c r="AH137" i="10"/>
  <c r="AH138" i="10"/>
  <c r="AH172" i="10"/>
  <c r="AH151" i="10"/>
  <c r="AH106" i="10"/>
  <c r="AH168" i="10"/>
  <c r="AH18" i="10"/>
  <c r="AH98" i="10"/>
  <c r="AH83" i="10"/>
  <c r="AH95" i="10"/>
  <c r="AH90" i="10"/>
  <c r="AH143" i="10"/>
  <c r="AH82" i="10"/>
  <c r="AH68" i="10"/>
  <c r="AH25" i="10"/>
  <c r="AH89" i="10"/>
  <c r="AH132" i="10"/>
  <c r="AH24" i="10"/>
  <c r="AH60" i="10"/>
  <c r="AH141" i="10"/>
  <c r="AH71" i="10"/>
  <c r="AH76" i="10"/>
  <c r="AH156" i="10"/>
  <c r="AH99" i="10"/>
  <c r="AH52" i="10"/>
  <c r="AH75" i="10"/>
  <c r="AH104" i="10"/>
  <c r="AH42" i="10"/>
  <c r="AH87" i="10"/>
  <c r="AH46" i="10"/>
  <c r="AH7" i="10"/>
  <c r="AH70" i="10"/>
  <c r="AH85" i="10"/>
  <c r="AH173" i="10"/>
  <c r="AH33" i="10"/>
  <c r="AH78" i="10"/>
  <c r="AH86" i="10"/>
  <c r="AH135" i="10"/>
  <c r="AH13" i="10"/>
  <c r="AH171" i="10"/>
  <c r="AI66" i="10"/>
  <c r="AH79" i="10"/>
  <c r="AH58" i="10"/>
  <c r="AH100" i="10"/>
  <c r="AH94" i="10"/>
  <c r="AK145" i="10"/>
  <c r="AK95" i="10"/>
  <c r="AK89" i="10"/>
  <c r="K152" i="2"/>
  <c r="J150" i="2"/>
  <c r="AO51" i="2"/>
  <c r="AO86" i="2"/>
  <c r="AO169" i="2"/>
  <c r="AO96" i="2"/>
  <c r="AR96" i="2" s="1"/>
  <c r="AO101" i="2"/>
  <c r="AO158" i="2"/>
  <c r="AO47" i="2"/>
  <c r="AR47" i="2" s="1"/>
  <c r="AO52" i="2"/>
  <c r="AO49" i="2"/>
  <c r="AR49" i="2" s="1"/>
  <c r="AO36" i="2"/>
  <c r="AR36" i="2" s="1"/>
  <c r="AO38" i="2"/>
  <c r="AR38" i="2" s="1"/>
  <c r="AO100" i="2"/>
  <c r="AO87" i="2"/>
  <c r="AO167" i="2"/>
  <c r="AR167" i="2" s="1"/>
  <c r="AO85" i="2"/>
  <c r="AO93" i="2"/>
  <c r="AO26" i="2"/>
  <c r="AR26" i="2" s="1"/>
  <c r="AO122" i="2"/>
  <c r="AR122" i="2" s="1"/>
  <c r="AO64" i="2" l="1"/>
  <c r="AR64" i="2" s="1"/>
  <c r="AH31" i="10"/>
  <c r="AP39" i="2"/>
  <c r="AI143" i="10" s="1"/>
  <c r="AP85" i="2"/>
  <c r="AI159" i="10" s="1"/>
  <c r="AD107" i="10"/>
  <c r="AO3" i="2"/>
  <c r="AO42" i="2"/>
  <c r="AO80" i="2"/>
  <c r="AP119" i="2"/>
  <c r="AI40" i="10" s="1"/>
  <c r="AP115" i="2"/>
  <c r="AI36" i="10" s="1"/>
  <c r="AP165" i="2"/>
  <c r="AI99" i="10" s="1"/>
  <c r="AP124" i="2"/>
  <c r="AI45" i="10" s="1"/>
  <c r="AO163" i="2"/>
  <c r="AP32" i="2"/>
  <c r="AI136" i="10" s="1"/>
  <c r="AP86" i="2"/>
  <c r="AI160" i="10" s="1"/>
  <c r="AO133" i="2"/>
  <c r="AO106" i="2"/>
  <c r="AP144" i="2"/>
  <c r="AI78" i="10" s="1"/>
  <c r="AP142" i="2"/>
  <c r="AI76" i="10" s="1"/>
  <c r="AP29" i="2"/>
  <c r="AI133" i="10" s="1"/>
  <c r="AP138" i="2"/>
  <c r="AI59" i="10" s="1"/>
  <c r="AP151" i="2"/>
  <c r="AI85" i="10" s="1"/>
  <c r="AP111" i="2"/>
  <c r="AI32" i="10" s="1"/>
  <c r="AO30" i="2"/>
  <c r="H2" i="10"/>
  <c r="AP80" i="2"/>
  <c r="AI19" i="10" s="1"/>
  <c r="AP51" i="2"/>
  <c r="AI154" i="10" s="1"/>
  <c r="AE122" i="10"/>
  <c r="AP18" i="2"/>
  <c r="AI122" i="10" s="1"/>
  <c r="AP120" i="2"/>
  <c r="AI41" i="10" s="1"/>
  <c r="AE126" i="10"/>
  <c r="AP22" i="2"/>
  <c r="AI126" i="10" s="1"/>
  <c r="AP50" i="2"/>
  <c r="AI153" i="10" s="1"/>
  <c r="AP136" i="2"/>
  <c r="AI57" i="10" s="1"/>
  <c r="AE113" i="10"/>
  <c r="AP9" i="2"/>
  <c r="AI113" i="10" s="1"/>
  <c r="AP25" i="2"/>
  <c r="AI129" i="10" s="1"/>
  <c r="AD119" i="10"/>
  <c r="AO15" i="2"/>
  <c r="AO95" i="2"/>
  <c r="AP169" i="2"/>
  <c r="AI103" i="10" s="1"/>
  <c r="AO115" i="2"/>
  <c r="AO55" i="2"/>
  <c r="AO70" i="2"/>
  <c r="AO146" i="2"/>
  <c r="AO81" i="2"/>
  <c r="AP33" i="2"/>
  <c r="AI137" i="10" s="1"/>
  <c r="AP68" i="2"/>
  <c r="AI9" i="10" s="1"/>
  <c r="AO159" i="2"/>
  <c r="AP87" i="2"/>
  <c r="AI161" i="10" s="1"/>
  <c r="AP158" i="2"/>
  <c r="AI92" i="10" s="1"/>
  <c r="AD108" i="10"/>
  <c r="AO4" i="2"/>
  <c r="AP143" i="2"/>
  <c r="AI77" i="10" s="1"/>
  <c r="AD124" i="10"/>
  <c r="AO20" i="2"/>
  <c r="AE107" i="10"/>
  <c r="AP3" i="2"/>
  <c r="AI107" i="10" s="1"/>
  <c r="AO113" i="2"/>
  <c r="AD114" i="10"/>
  <c r="AO10" i="2"/>
  <c r="H3" i="10"/>
  <c r="AP43" i="2"/>
  <c r="AI147" i="10" s="1"/>
  <c r="AE111" i="10"/>
  <c r="AP7" i="2"/>
  <c r="AI111" i="10" s="1"/>
  <c r="AP149" i="2"/>
  <c r="AI83" i="10" s="1"/>
  <c r="AD128" i="10"/>
  <c r="AO24" i="2"/>
  <c r="AP97" i="2"/>
  <c r="AI171" i="10" s="1"/>
  <c r="AO136" i="2"/>
  <c r="AP123" i="2"/>
  <c r="AI44" i="10" s="1"/>
  <c r="AE108" i="10"/>
  <c r="AP4" i="2"/>
  <c r="AI108" i="10" s="1"/>
  <c r="AP65" i="2"/>
  <c r="AI73" i="10" s="1"/>
  <c r="AO140" i="2"/>
  <c r="AO134" i="2"/>
  <c r="AO138" i="2"/>
  <c r="AR137" i="2"/>
  <c r="AP112" i="2"/>
  <c r="AI33" i="10" s="1"/>
  <c r="AO129" i="2"/>
  <c r="AP105" i="2"/>
  <c r="AI26" i="10" s="1"/>
  <c r="AO124" i="2"/>
  <c r="AP139" i="2"/>
  <c r="AI60" i="10" s="1"/>
  <c r="H4" i="10"/>
  <c r="AP172" i="2"/>
  <c r="AI106" i="10" s="1"/>
  <c r="AE117" i="10"/>
  <c r="AP13" i="2"/>
  <c r="AI117" i="10" s="1"/>
  <c r="AP54" i="2"/>
  <c r="AI62" i="10" s="1"/>
  <c r="AP137" i="2"/>
  <c r="AI58" i="10" s="1"/>
  <c r="AP109" i="2"/>
  <c r="AI30" i="10" s="1"/>
  <c r="AO45" i="2"/>
  <c r="AO108" i="2"/>
  <c r="AP60" i="2"/>
  <c r="AI68" i="10" s="1"/>
  <c r="AP103" i="2"/>
  <c r="AI24" i="10" s="1"/>
  <c r="AD2" i="10"/>
  <c r="AO126" i="2"/>
  <c r="AE2" i="10"/>
  <c r="AR153" i="2"/>
  <c r="AK87" i="10" s="1"/>
  <c r="AO35" i="2"/>
  <c r="AO157" i="2"/>
  <c r="AP48" i="2"/>
  <c r="AI151" i="10" s="1"/>
  <c r="AD126" i="10"/>
  <c r="AO22" i="2"/>
  <c r="AD113" i="10"/>
  <c r="AO9" i="2"/>
  <c r="AR25" i="2"/>
  <c r="AE125" i="10"/>
  <c r="AP21" i="2"/>
  <c r="AI125" i="10" s="1"/>
  <c r="AR39" i="2"/>
  <c r="AD125" i="10"/>
  <c r="AO21" i="2"/>
  <c r="AR166" i="2"/>
  <c r="AK100" i="10" s="1"/>
  <c r="AR117" i="2"/>
  <c r="AK38" i="10" s="1"/>
  <c r="AE112" i="10"/>
  <c r="AP8" i="2"/>
  <c r="AI112" i="10" s="1"/>
  <c r="AR75" i="2"/>
  <c r="AD123" i="10"/>
  <c r="AO19" i="2"/>
  <c r="AD112" i="10"/>
  <c r="AO8" i="2"/>
  <c r="AR118" i="2"/>
  <c r="AR142" i="2"/>
  <c r="AK76" i="10" s="1"/>
  <c r="AE128" i="10"/>
  <c r="AP24" i="2"/>
  <c r="AI128" i="10" s="1"/>
  <c r="AR172" i="2"/>
  <c r="AK106" i="10" s="1"/>
  <c r="AR48" i="2"/>
  <c r="K4" i="10"/>
  <c r="AD111" i="10"/>
  <c r="AO7" i="2"/>
  <c r="AO27" i="2"/>
  <c r="AR97" i="2"/>
  <c r="AD118" i="10"/>
  <c r="AO14" i="2"/>
  <c r="AR144" i="2"/>
  <c r="AO76" i="2"/>
  <c r="AR112" i="2"/>
  <c r="AE114" i="10"/>
  <c r="AP10" i="2"/>
  <c r="AI114" i="10" s="1"/>
  <c r="J2" i="10"/>
  <c r="K2" i="10"/>
  <c r="AR125" i="2"/>
  <c r="AR121" i="2"/>
  <c r="AR141" i="2"/>
  <c r="AR105" i="2"/>
  <c r="AK26" i="10" s="1"/>
  <c r="AR33" i="2"/>
  <c r="AR50" i="2"/>
  <c r="AR68" i="2"/>
  <c r="AD116" i="10"/>
  <c r="AO12" i="2"/>
  <c r="AR111" i="2"/>
  <c r="AR165" i="2"/>
  <c r="AK99" i="10" s="1"/>
  <c r="AE116" i="10"/>
  <c r="AP12" i="2"/>
  <c r="AI116" i="10" s="1"/>
  <c r="AE119" i="10"/>
  <c r="AP15" i="2"/>
  <c r="AI119" i="10" s="1"/>
  <c r="AR72" i="2"/>
  <c r="AO77" i="2"/>
  <c r="AE110" i="10"/>
  <c r="AP6" i="2"/>
  <c r="AI110" i="10" s="1"/>
  <c r="AE115" i="10"/>
  <c r="AP11" i="2"/>
  <c r="AI115" i="10" s="1"/>
  <c r="AR151" i="2"/>
  <c r="AP106" i="2"/>
  <c r="AI27" i="10" s="1"/>
  <c r="AR170" i="2"/>
  <c r="AK104" i="10" s="1"/>
  <c r="AD127" i="10"/>
  <c r="AO23" i="2"/>
  <c r="AR60" i="2"/>
  <c r="AO88" i="2"/>
  <c r="AR88" i="2" s="1"/>
  <c r="AR86" i="2"/>
  <c r="J84" i="10"/>
  <c r="J4" i="10" s="1"/>
  <c r="AK150" i="2"/>
  <c r="K86" i="10"/>
  <c r="K3" i="10" s="1"/>
  <c r="AL152" i="2"/>
  <c r="AH129" i="10"/>
  <c r="AH51" i="10"/>
  <c r="AH26" i="10"/>
  <c r="AD121" i="10"/>
  <c r="AO17" i="2"/>
  <c r="AO120" i="2"/>
  <c r="AE123" i="10"/>
  <c r="AP19" i="2"/>
  <c r="AI123" i="10" s="1"/>
  <c r="AO44" i="2"/>
  <c r="AP35" i="2"/>
  <c r="AI139" i="10" s="1"/>
  <c r="AO53" i="2"/>
  <c r="AO127" i="2"/>
  <c r="AP78" i="2"/>
  <c r="AI18" i="10" s="1"/>
  <c r="AO29" i="2"/>
  <c r="AO40" i="2"/>
  <c r="AO119" i="2"/>
  <c r="AO162" i="2"/>
  <c r="AP148" i="2"/>
  <c r="AI82" i="10" s="1"/>
  <c r="AP114" i="2"/>
  <c r="AI35" i="10" s="1"/>
  <c r="AO84" i="2"/>
  <c r="AE124" i="10"/>
  <c r="AP20" i="2"/>
  <c r="AI124" i="10" s="1"/>
  <c r="AP131" i="2"/>
  <c r="AI52" i="10" s="1"/>
  <c r="AP99" i="2"/>
  <c r="AI173" i="10" s="1"/>
  <c r="AO65" i="2"/>
  <c r="AO114" i="2"/>
  <c r="AD120" i="10"/>
  <c r="AO16" i="2"/>
  <c r="AP171" i="2"/>
  <c r="AI105" i="10" s="1"/>
  <c r="AP93" i="2"/>
  <c r="AI167" i="10" s="1"/>
  <c r="AP101" i="2"/>
  <c r="AI22" i="10" s="1"/>
  <c r="AD122" i="10"/>
  <c r="AO18" i="2"/>
  <c r="AP125" i="2"/>
  <c r="AI46" i="10" s="1"/>
  <c r="AO116" i="2"/>
  <c r="AO91" i="2"/>
  <c r="AP168" i="2"/>
  <c r="AI102" i="10" s="1"/>
  <c r="AP37" i="2"/>
  <c r="AI141" i="10" s="1"/>
  <c r="AD115" i="10"/>
  <c r="AO11" i="2"/>
  <c r="AP59" i="2"/>
  <c r="AP84" i="2"/>
  <c r="AI158" i="10" s="1"/>
  <c r="AP67" i="2"/>
  <c r="AI8" i="10" s="1"/>
  <c r="AP159" i="2"/>
  <c r="AI93" i="10" s="1"/>
  <c r="AP98" i="2"/>
  <c r="AI172" i="10" s="1"/>
  <c r="AO83" i="2"/>
  <c r="AP116" i="2"/>
  <c r="AI37" i="10" s="1"/>
  <c r="AE121" i="10"/>
  <c r="AP17" i="2"/>
  <c r="AI121" i="10" s="1"/>
  <c r="AP127" i="2"/>
  <c r="AI48" i="10" s="1"/>
  <c r="AO102" i="2"/>
  <c r="AP94" i="2"/>
  <c r="AI168" i="10" s="1"/>
  <c r="AO73" i="2"/>
  <c r="AO89" i="2"/>
  <c r="AO123" i="2"/>
  <c r="AO54" i="2"/>
  <c r="AE118" i="10"/>
  <c r="AP14" i="2"/>
  <c r="AI118" i="10" s="1"/>
  <c r="AP128" i="2"/>
  <c r="AI49" i="10" s="1"/>
  <c r="AP73" i="2"/>
  <c r="AI14" i="10" s="1"/>
  <c r="AP62" i="2"/>
  <c r="AI70" i="10" s="1"/>
  <c r="AP113" i="2"/>
  <c r="AI34" i="10" s="1"/>
  <c r="AP52" i="2"/>
  <c r="AI155" i="10" s="1"/>
  <c r="AP147" i="2"/>
  <c r="AI81" i="10" s="1"/>
  <c r="AO109" i="2"/>
  <c r="AO132" i="2"/>
  <c r="AP150" i="2"/>
  <c r="AI84" i="10" s="1"/>
  <c r="AO135" i="2"/>
  <c r="AO43" i="2"/>
  <c r="AD109" i="10"/>
  <c r="AO5" i="2"/>
  <c r="AO171" i="2"/>
  <c r="AD110" i="10"/>
  <c r="AO6" i="2"/>
  <c r="AP57" i="2"/>
  <c r="AO168" i="2"/>
  <c r="AD117" i="10"/>
  <c r="AO13" i="2"/>
  <c r="AP160" i="2"/>
  <c r="AI94" i="10" s="1"/>
  <c r="AP31" i="2"/>
  <c r="AI135" i="10" s="1"/>
  <c r="AP42" i="2"/>
  <c r="AI146" i="10" s="1"/>
  <c r="AO67" i="2"/>
  <c r="AE109" i="10"/>
  <c r="AP5" i="2"/>
  <c r="AI109" i="10" s="1"/>
  <c r="AO32" i="2"/>
  <c r="AP44" i="2"/>
  <c r="AI148" i="10" s="1"/>
  <c r="AE120" i="10"/>
  <c r="AP16" i="2"/>
  <c r="AI120" i="10" s="1"/>
  <c r="AP100" i="2"/>
  <c r="AI21" i="10" s="1"/>
  <c r="AO154" i="2"/>
  <c r="AP163" i="2"/>
  <c r="AI97" i="10" s="1"/>
  <c r="AP82" i="2"/>
  <c r="AI156" i="10" s="1"/>
  <c r="AO71" i="2"/>
  <c r="AP53" i="2"/>
  <c r="AI61" i="10" s="1"/>
  <c r="AP146" i="2"/>
  <c r="AI80" i="10" s="1"/>
  <c r="AK137" i="10"/>
  <c r="AK78" i="10"/>
  <c r="AK51" i="10"/>
  <c r="AK58" i="10"/>
  <c r="AK71" i="10"/>
  <c r="AK28" i="10"/>
  <c r="AK129" i="10"/>
  <c r="AK85" i="10"/>
  <c r="AK33" i="10"/>
  <c r="AK171" i="10"/>
  <c r="AK13" i="10"/>
  <c r="AK130" i="10"/>
  <c r="AK162" i="10"/>
  <c r="AK160" i="10"/>
  <c r="AK9" i="10"/>
  <c r="AK69" i="10"/>
  <c r="AK15" i="10"/>
  <c r="AK98" i="10"/>
  <c r="AK39" i="10"/>
  <c r="AK68" i="10"/>
  <c r="AK7" i="10"/>
  <c r="AK90" i="10"/>
  <c r="AK166" i="10"/>
  <c r="AK32" i="10"/>
  <c r="AK46" i="10"/>
  <c r="AK75" i="10"/>
  <c r="AK143" i="10"/>
  <c r="AK132" i="10"/>
  <c r="AK25" i="10"/>
  <c r="AK31" i="10"/>
  <c r="AK153" i="10"/>
  <c r="AK151" i="10"/>
  <c r="AK42" i="10"/>
  <c r="AH43" i="10"/>
  <c r="AH159" i="10"/>
  <c r="AH21" i="10"/>
  <c r="AH140" i="10"/>
  <c r="AH92" i="10"/>
  <c r="AH170" i="10"/>
  <c r="AH167" i="10"/>
  <c r="AH161" i="10"/>
  <c r="AH150" i="10"/>
  <c r="AH72" i="10"/>
  <c r="AH154" i="10"/>
  <c r="AH101" i="10"/>
  <c r="AK152" i="10"/>
  <c r="AH152" i="10"/>
  <c r="AH103" i="10"/>
  <c r="AH130" i="10"/>
  <c r="AH162" i="10"/>
  <c r="AH142" i="10"/>
  <c r="AH155" i="10"/>
  <c r="AH22" i="10"/>
  <c r="AH160" i="10"/>
  <c r="AR57" i="2" l="1"/>
  <c r="AK65" i="10" s="1"/>
  <c r="AI65" i="10"/>
  <c r="AR5" i="2"/>
  <c r="AK109" i="10" s="1"/>
  <c r="AH109" i="10"/>
  <c r="AR123" i="2"/>
  <c r="AK44" i="10" s="1"/>
  <c r="AH44" i="10"/>
  <c r="AR102" i="2"/>
  <c r="AK23" i="10" s="1"/>
  <c r="AH23" i="10"/>
  <c r="AI2" i="10"/>
  <c r="AR116" i="2"/>
  <c r="AK37" i="10" s="1"/>
  <c r="AH37" i="10"/>
  <c r="AR40" i="2"/>
  <c r="AK144" i="10" s="1"/>
  <c r="AH144" i="10"/>
  <c r="AR53" i="2"/>
  <c r="AK61" i="10" s="1"/>
  <c r="AH61" i="10"/>
  <c r="AR101" i="2"/>
  <c r="AK22" i="10" s="1"/>
  <c r="J3" i="10"/>
  <c r="AR99" i="2"/>
  <c r="AK173" i="10" s="1"/>
  <c r="AR98" i="2"/>
  <c r="AK172" i="10" s="1"/>
  <c r="AR82" i="2"/>
  <c r="AK156" i="10" s="1"/>
  <c r="AR62" i="2"/>
  <c r="AK70" i="10" s="1"/>
  <c r="AR76" i="2"/>
  <c r="AK16" i="10" s="1"/>
  <c r="AH16" i="10"/>
  <c r="AR128" i="2"/>
  <c r="AK49" i="10" s="1"/>
  <c r="AR9" i="2"/>
  <c r="AK113" i="10" s="1"/>
  <c r="AH113" i="10"/>
  <c r="AR138" i="2"/>
  <c r="AK59" i="10" s="1"/>
  <c r="AH59" i="10"/>
  <c r="AR10" i="2"/>
  <c r="AK114" i="10" s="1"/>
  <c r="AH114" i="10"/>
  <c r="AE4" i="10"/>
  <c r="AR4" i="2"/>
  <c r="AK108" i="10" s="1"/>
  <c r="AH108" i="10"/>
  <c r="AR159" i="2"/>
  <c r="AK93" i="10" s="1"/>
  <c r="AH93" i="10"/>
  <c r="AR146" i="2"/>
  <c r="AK80" i="10" s="1"/>
  <c r="AH80" i="10"/>
  <c r="AR106" i="2"/>
  <c r="AK27" i="10" s="1"/>
  <c r="AH27" i="10"/>
  <c r="AR163" i="2"/>
  <c r="AK97" i="10" s="1"/>
  <c r="AH97" i="10"/>
  <c r="AD4" i="10"/>
  <c r="AR51" i="2"/>
  <c r="AR169" i="2"/>
  <c r="AK103" i="10" s="1"/>
  <c r="AR154" i="2"/>
  <c r="AK88" i="10" s="1"/>
  <c r="AH88" i="10"/>
  <c r="AR67" i="2"/>
  <c r="AK8" i="10" s="1"/>
  <c r="AH8" i="10"/>
  <c r="AH117" i="10"/>
  <c r="AR13" i="2"/>
  <c r="AK117" i="10" s="1"/>
  <c r="AR6" i="2"/>
  <c r="AK110" i="10" s="1"/>
  <c r="AH110" i="10"/>
  <c r="AR132" i="2"/>
  <c r="AK53" i="10" s="1"/>
  <c r="AH53" i="10"/>
  <c r="AR89" i="2"/>
  <c r="AK163" i="10" s="1"/>
  <c r="AH163" i="10"/>
  <c r="AR83" i="2"/>
  <c r="AK157" i="10" s="1"/>
  <c r="AH157" i="10"/>
  <c r="AR114" i="2"/>
  <c r="AK35" i="10" s="1"/>
  <c r="AH35" i="10"/>
  <c r="AR29" i="2"/>
  <c r="AK133" i="10" s="1"/>
  <c r="AH133" i="10"/>
  <c r="AR120" i="2"/>
  <c r="AK41" i="10" s="1"/>
  <c r="AH41" i="10"/>
  <c r="AD84" i="10"/>
  <c r="AD3" i="10" s="1"/>
  <c r="AO150" i="2"/>
  <c r="AR52" i="2"/>
  <c r="AK155" i="10" s="1"/>
  <c r="AR23" i="2"/>
  <c r="AK127" i="10" s="1"/>
  <c r="AH127" i="10"/>
  <c r="AR139" i="2"/>
  <c r="AK60" i="10" s="1"/>
  <c r="AR37" i="2"/>
  <c r="AK141" i="10" s="1"/>
  <c r="AR103" i="2"/>
  <c r="AK24" i="10" s="1"/>
  <c r="AR143" i="2"/>
  <c r="AK77" i="10" s="1"/>
  <c r="AR149" i="2"/>
  <c r="AK83" i="10" s="1"/>
  <c r="AR148" i="2"/>
  <c r="AK82" i="10" s="1"/>
  <c r="AR157" i="2"/>
  <c r="AK91" i="10" s="1"/>
  <c r="AH91" i="10"/>
  <c r="AR126" i="2"/>
  <c r="AK47" i="10" s="1"/>
  <c r="AH47" i="10"/>
  <c r="AR108" i="2"/>
  <c r="AK29" i="10" s="1"/>
  <c r="AH29" i="10"/>
  <c r="AR129" i="2"/>
  <c r="AK50" i="10" s="1"/>
  <c r="AH50" i="10"/>
  <c r="AR134" i="2"/>
  <c r="AK55" i="10" s="1"/>
  <c r="AH55" i="10"/>
  <c r="AR24" i="2"/>
  <c r="AK128" i="10" s="1"/>
  <c r="AH128" i="10"/>
  <c r="AR20" i="2"/>
  <c r="AK124" i="10" s="1"/>
  <c r="AH124" i="10"/>
  <c r="AR70" i="2"/>
  <c r="AK11" i="10" s="1"/>
  <c r="AH11" i="10"/>
  <c r="AR95" i="2"/>
  <c r="AK169" i="10" s="1"/>
  <c r="AH169" i="10"/>
  <c r="AR30" i="2"/>
  <c r="AK134" i="10" s="1"/>
  <c r="AH134" i="10"/>
  <c r="AR133" i="2"/>
  <c r="AK54" i="10" s="1"/>
  <c r="AH54" i="10"/>
  <c r="AR80" i="2"/>
  <c r="AK19" i="10" s="1"/>
  <c r="AH19" i="10"/>
  <c r="AR158" i="2"/>
  <c r="AR71" i="2"/>
  <c r="AK12" i="10" s="1"/>
  <c r="AH12" i="10"/>
  <c r="AR32" i="2"/>
  <c r="AK136" i="10" s="1"/>
  <c r="AH136" i="10"/>
  <c r="AR43" i="2"/>
  <c r="AK147" i="10" s="1"/>
  <c r="AH147" i="10"/>
  <c r="AR109" i="2"/>
  <c r="AK30" i="10" s="1"/>
  <c r="AH30" i="10"/>
  <c r="AR73" i="2"/>
  <c r="AK14" i="10" s="1"/>
  <c r="AH14" i="10"/>
  <c r="AR59" i="2"/>
  <c r="AK67" i="10" s="1"/>
  <c r="AI67" i="10"/>
  <c r="AR18" i="2"/>
  <c r="AK122" i="10" s="1"/>
  <c r="AH122" i="10"/>
  <c r="AR65" i="2"/>
  <c r="AK73" i="10" s="1"/>
  <c r="AH73" i="10"/>
  <c r="AR162" i="2"/>
  <c r="AK96" i="10" s="1"/>
  <c r="AH96" i="10"/>
  <c r="AR44" i="2"/>
  <c r="AK148" i="10" s="1"/>
  <c r="AH148" i="10"/>
  <c r="AR17" i="2"/>
  <c r="AK121" i="10" s="1"/>
  <c r="AH121" i="10"/>
  <c r="AR77" i="2"/>
  <c r="AK17" i="10" s="1"/>
  <c r="AH17" i="10"/>
  <c r="AR147" i="2"/>
  <c r="AK81" i="10" s="1"/>
  <c r="AR31" i="2"/>
  <c r="AK135" i="10" s="1"/>
  <c r="AR27" i="2"/>
  <c r="AK131" i="10" s="1"/>
  <c r="AH131" i="10"/>
  <c r="AR94" i="2"/>
  <c r="AK168" i="10" s="1"/>
  <c r="AR19" i="2"/>
  <c r="AK123" i="10" s="1"/>
  <c r="AH123" i="10"/>
  <c r="AR160" i="2"/>
  <c r="AK94" i="10" s="1"/>
  <c r="AR22" i="2"/>
  <c r="AK126" i="10" s="1"/>
  <c r="AH126" i="10"/>
  <c r="AR35" i="2"/>
  <c r="AK139" i="10" s="1"/>
  <c r="AH139" i="10"/>
  <c r="AR45" i="2"/>
  <c r="AK149" i="10" s="1"/>
  <c r="AH149" i="10"/>
  <c r="AR140" i="2"/>
  <c r="AK74" i="10" s="1"/>
  <c r="AH74" i="10"/>
  <c r="AR113" i="2"/>
  <c r="AK34" i="10" s="1"/>
  <c r="AH34" i="10"/>
  <c r="AR55" i="2"/>
  <c r="AK63" i="10" s="1"/>
  <c r="AH63" i="10"/>
  <c r="AR15" i="2"/>
  <c r="AK119" i="10" s="1"/>
  <c r="AH119" i="10"/>
  <c r="AR42" i="2"/>
  <c r="AK146" i="10" s="1"/>
  <c r="AH146" i="10"/>
  <c r="AR87" i="2"/>
  <c r="AK161" i="10" s="1"/>
  <c r="AR100" i="2"/>
  <c r="AR168" i="2"/>
  <c r="AK102" i="10" s="1"/>
  <c r="AH102" i="10"/>
  <c r="AR171" i="2"/>
  <c r="AK105" i="10" s="1"/>
  <c r="AH105" i="10"/>
  <c r="AR135" i="2"/>
  <c r="AK56" i="10" s="1"/>
  <c r="AH56" i="10"/>
  <c r="AR54" i="2"/>
  <c r="AK62" i="10" s="1"/>
  <c r="AH62" i="10"/>
  <c r="AR11" i="2"/>
  <c r="AK115" i="10" s="1"/>
  <c r="AH115" i="10"/>
  <c r="AR91" i="2"/>
  <c r="AK165" i="10" s="1"/>
  <c r="AH165" i="10"/>
  <c r="AR16" i="2"/>
  <c r="AK120" i="10" s="1"/>
  <c r="AH120" i="10"/>
  <c r="AR84" i="2"/>
  <c r="AK158" i="10" s="1"/>
  <c r="AH158" i="10"/>
  <c r="AR119" i="2"/>
  <c r="AK40" i="10" s="1"/>
  <c r="AH40" i="10"/>
  <c r="AR127" i="2"/>
  <c r="AK48" i="10" s="1"/>
  <c r="AH48" i="10"/>
  <c r="AE86" i="10"/>
  <c r="AE3" i="10" s="1"/>
  <c r="AP152" i="2"/>
  <c r="AR131" i="2"/>
  <c r="AK52" i="10" s="1"/>
  <c r="AR78" i="2"/>
  <c r="AK18" i="10" s="1"/>
  <c r="AR12" i="2"/>
  <c r="AK116" i="10" s="1"/>
  <c r="AH116" i="10"/>
  <c r="AR14" i="2"/>
  <c r="AK118" i="10" s="1"/>
  <c r="AH118" i="10"/>
  <c r="AR7" i="2"/>
  <c r="AK111" i="10" s="1"/>
  <c r="AH111" i="10"/>
  <c r="AR8" i="2"/>
  <c r="AK112" i="10" s="1"/>
  <c r="AH112" i="10"/>
  <c r="AR21" i="2"/>
  <c r="AK125" i="10" s="1"/>
  <c r="AH125" i="10"/>
  <c r="AR124" i="2"/>
  <c r="AK45" i="10" s="1"/>
  <c r="AH45" i="10"/>
  <c r="AR136" i="2"/>
  <c r="AK57" i="10" s="1"/>
  <c r="AH57" i="10"/>
  <c r="AI4" i="10"/>
  <c r="AR81" i="2"/>
  <c r="AK20" i="10" s="1"/>
  <c r="AH20" i="10"/>
  <c r="AR115" i="2"/>
  <c r="AK36" i="10" s="1"/>
  <c r="AH36" i="10"/>
  <c r="AR3" i="2"/>
  <c r="AK107" i="10" s="1"/>
  <c r="AH107" i="10"/>
  <c r="AH4" i="10" s="1"/>
  <c r="AR93" i="2"/>
  <c r="AR85" i="2"/>
  <c r="AK159" i="10" s="1"/>
  <c r="AK142" i="10"/>
  <c r="AK167" i="10"/>
  <c r="AK21" i="10"/>
  <c r="AK140" i="10"/>
  <c r="AK101" i="10"/>
  <c r="AK150" i="10"/>
  <c r="AK43" i="10"/>
  <c r="AK92" i="10"/>
  <c r="AK170" i="10"/>
  <c r="AK72" i="10"/>
  <c r="AK154" i="10"/>
  <c r="AK2" i="10"/>
  <c r="AH2" i="10"/>
  <c r="AR152" i="2" l="1"/>
  <c r="AK86" i="10" s="1"/>
  <c r="AI86" i="10"/>
  <c r="AI3" i="10" s="1"/>
  <c r="AR150" i="2"/>
  <c r="AK84" i="10" s="1"/>
  <c r="AK3" i="10" s="1"/>
  <c r="AH84" i="10"/>
  <c r="AH3" i="10" s="1"/>
  <c r="AK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AT7" authorId="0" shapeId="0" xr:uid="{28BE922B-6653-4E98-B12B-CEEF691B899A}">
      <text>
        <r>
          <rPr>
            <sz val="9"/>
            <color indexed="81"/>
            <rFont val="Tahoma"/>
            <family val="2"/>
            <charset val="238"/>
          </rPr>
          <t xml:space="preserve">
Poměr vůči jednomu horizontu
</t>
        </r>
      </text>
    </comment>
  </commentList>
</comments>
</file>

<file path=xl/sharedStrings.xml><?xml version="1.0" encoding="utf-8"?>
<sst xmlns="http://schemas.openxmlformats.org/spreadsheetml/2006/main" count="4092" uniqueCount="1042">
  <si>
    <t>SEQ</t>
  </si>
  <si>
    <t>NB23</t>
  </si>
  <si>
    <t>NB43</t>
  </si>
  <si>
    <t>421</t>
  </si>
  <si>
    <t>422</t>
  </si>
  <si>
    <t>NB01</t>
  </si>
  <si>
    <t>NB03</t>
  </si>
  <si>
    <t>NB06</t>
  </si>
  <si>
    <t>NB27</t>
  </si>
  <si>
    <t>NB39</t>
  </si>
  <si>
    <t>NB17</t>
  </si>
  <si>
    <t>425</t>
  </si>
  <si>
    <t>NB16</t>
  </si>
  <si>
    <t>424</t>
  </si>
  <si>
    <t>NB31</t>
  </si>
  <si>
    <t>NB35</t>
  </si>
  <si>
    <t>NB29</t>
  </si>
  <si>
    <t>NB36</t>
  </si>
  <si>
    <t>NB32</t>
  </si>
  <si>
    <t>NB13</t>
  </si>
  <si>
    <t>NB42</t>
  </si>
  <si>
    <t>NB19</t>
  </si>
  <si>
    <t>417</t>
  </si>
  <si>
    <t>KH25</t>
  </si>
  <si>
    <t>KH27</t>
  </si>
  <si>
    <t>KH29</t>
  </si>
  <si>
    <t>249</t>
  </si>
  <si>
    <t>NB30</t>
  </si>
  <si>
    <t>NB08</t>
  </si>
  <si>
    <t>NB07</t>
  </si>
  <si>
    <t>NB11</t>
  </si>
  <si>
    <t>NB04</t>
  </si>
  <si>
    <t>222</t>
  </si>
  <si>
    <t>426</t>
  </si>
  <si>
    <t>NB10</t>
  </si>
  <si>
    <t>NB18</t>
  </si>
  <si>
    <t>427</t>
  </si>
  <si>
    <t>428</t>
  </si>
  <si>
    <t>NB40</t>
  </si>
  <si>
    <t>423</t>
  </si>
  <si>
    <t>NB38</t>
  </si>
  <si>
    <t>418</t>
  </si>
  <si>
    <t>NB20</t>
  </si>
  <si>
    <t>NB25</t>
  </si>
  <si>
    <t>NB45</t>
  </si>
  <si>
    <t>NB28</t>
  </si>
  <si>
    <t>NB09</t>
  </si>
  <si>
    <t>NB24</t>
  </si>
  <si>
    <t>NB49</t>
  </si>
  <si>
    <t>416</t>
  </si>
  <si>
    <t>NB12</t>
  </si>
  <si>
    <t>BE28</t>
  </si>
  <si>
    <t>BE08</t>
  </si>
  <si>
    <t>551</t>
  </si>
  <si>
    <t>549</t>
  </si>
  <si>
    <t>BE22</t>
  </si>
  <si>
    <t>542</t>
  </si>
  <si>
    <t>543</t>
  </si>
  <si>
    <t>BE02</t>
  </si>
  <si>
    <t>BE37</t>
  </si>
  <si>
    <t>BE41</t>
  </si>
  <si>
    <t>237</t>
  </si>
  <si>
    <t>244</t>
  </si>
  <si>
    <t>KH28</t>
  </si>
  <si>
    <t>BE03</t>
  </si>
  <si>
    <t>BE10</t>
  </si>
  <si>
    <t>BE16</t>
  </si>
  <si>
    <t>BE35</t>
  </si>
  <si>
    <t>BE39</t>
  </si>
  <si>
    <t>BE13</t>
  </si>
  <si>
    <t>BE40</t>
  </si>
  <si>
    <t>BE09</t>
  </si>
  <si>
    <t>BE14</t>
  </si>
  <si>
    <t>BE12</t>
  </si>
  <si>
    <t>BE11</t>
  </si>
  <si>
    <t>246</t>
  </si>
  <si>
    <t>KH43</t>
  </si>
  <si>
    <t>KH46</t>
  </si>
  <si>
    <t>KH07</t>
  </si>
  <si>
    <t>240</t>
  </si>
  <si>
    <t>KH40</t>
  </si>
  <si>
    <t>KH08</t>
  </si>
  <si>
    <t>419</t>
  </si>
  <si>
    <t>NB44</t>
  </si>
  <si>
    <t>NB22</t>
  </si>
  <si>
    <t>420</t>
  </si>
  <si>
    <t>NB37</t>
  </si>
  <si>
    <t>NB21</t>
  </si>
  <si>
    <t>NB41</t>
  </si>
  <si>
    <t>NB47</t>
  </si>
  <si>
    <t>414</t>
  </si>
  <si>
    <t>KH33</t>
  </si>
  <si>
    <t>242</t>
  </si>
  <si>
    <t>KH20</t>
  </si>
  <si>
    <t>KH38</t>
  </si>
  <si>
    <t>251</t>
  </si>
  <si>
    <t>KH16</t>
  </si>
  <si>
    <t>375</t>
  </si>
  <si>
    <t>241</t>
  </si>
  <si>
    <t>248</t>
  </si>
  <si>
    <t>KH30</t>
  </si>
  <si>
    <t>KH19</t>
  </si>
  <si>
    <t>KH23</t>
  </si>
  <si>
    <t>KH17</t>
  </si>
  <si>
    <t>250</t>
  </si>
  <si>
    <t>247</t>
  </si>
  <si>
    <t>KH15</t>
  </si>
  <si>
    <t>245</t>
  </si>
  <si>
    <t>PB14</t>
  </si>
  <si>
    <t>536</t>
  </si>
  <si>
    <t>530</t>
  </si>
  <si>
    <t>PB15</t>
  </si>
  <si>
    <t>PB50</t>
  </si>
  <si>
    <t>535</t>
  </si>
  <si>
    <t>532</t>
  </si>
  <si>
    <t>534</t>
  </si>
  <si>
    <t>PB48</t>
  </si>
  <si>
    <t>PB10</t>
  </si>
  <si>
    <t>PB34</t>
  </si>
  <si>
    <t>PB24</t>
  </si>
  <si>
    <t>PB21</t>
  </si>
  <si>
    <t>538</t>
  </si>
  <si>
    <t>PB44</t>
  </si>
  <si>
    <t>PB28</t>
  </si>
  <si>
    <t>PB16</t>
  </si>
  <si>
    <t>533</t>
  </si>
  <si>
    <t>PB46</t>
  </si>
  <si>
    <t>PB42</t>
  </si>
  <si>
    <t>PB39</t>
  </si>
  <si>
    <t>PB27</t>
  </si>
  <si>
    <t>507</t>
  </si>
  <si>
    <t>KO07</t>
  </si>
  <si>
    <t>KO31</t>
  </si>
  <si>
    <t>NB02</t>
  </si>
  <si>
    <t>NB15</t>
  </si>
  <si>
    <t>379</t>
  </si>
  <si>
    <t>NB14</t>
  </si>
  <si>
    <t>KO18</t>
  </si>
  <si>
    <t>383</t>
  </si>
  <si>
    <t>PH29</t>
  </si>
  <si>
    <t>509</t>
  </si>
  <si>
    <t>510</t>
  </si>
  <si>
    <t>BN43</t>
  </si>
  <si>
    <t>BN04</t>
  </si>
  <si>
    <t>519</t>
  </si>
  <si>
    <t>505</t>
  </si>
  <si>
    <t>BN47</t>
  </si>
  <si>
    <t>BN08</t>
  </si>
  <si>
    <t>BN13</t>
  </si>
  <si>
    <t>BN46</t>
  </si>
  <si>
    <t>BN24</t>
  </si>
  <si>
    <t>BN25</t>
  </si>
  <si>
    <t>BN44</t>
  </si>
  <si>
    <t>BN39</t>
  </si>
  <si>
    <t>516</t>
  </si>
  <si>
    <t>BN05</t>
  </si>
  <si>
    <t>BN42</t>
  </si>
  <si>
    <t>521</t>
  </si>
  <si>
    <t>BN32</t>
  </si>
  <si>
    <t>BN01</t>
  </si>
  <si>
    <t>BN26</t>
  </si>
  <si>
    <t>BN38</t>
  </si>
  <si>
    <t>BN09</t>
  </si>
  <si>
    <t>BN12</t>
  </si>
  <si>
    <t>BN11</t>
  </si>
  <si>
    <t>BN29</t>
  </si>
  <si>
    <t>BN45</t>
  </si>
  <si>
    <t>BN31</t>
  </si>
  <si>
    <t>BN14</t>
  </si>
  <si>
    <t>BN02</t>
  </si>
  <si>
    <t>512</t>
  </si>
  <si>
    <t>BN34</t>
  </si>
  <si>
    <t>BN40</t>
  </si>
  <si>
    <t>446</t>
  </si>
  <si>
    <t>BN30</t>
  </si>
  <si>
    <t>518</t>
  </si>
  <si>
    <t>BN15</t>
  </si>
  <si>
    <t>BE33</t>
  </si>
  <si>
    <t>544</t>
  </si>
  <si>
    <t>BE26</t>
  </si>
  <si>
    <t>BE29</t>
  </si>
  <si>
    <t>546</t>
  </si>
  <si>
    <t>547</t>
  </si>
  <si>
    <t>BE19</t>
  </si>
  <si>
    <t>BE20</t>
  </si>
  <si>
    <t>BE30</t>
  </si>
  <si>
    <t>BE27</t>
  </si>
  <si>
    <t>BE23</t>
  </si>
  <si>
    <t>BE18</t>
  </si>
  <si>
    <t>BE25</t>
  </si>
  <si>
    <t>BE05</t>
  </si>
  <si>
    <t>BE42</t>
  </si>
  <si>
    <t>540</t>
  </si>
  <si>
    <t>545</t>
  </si>
  <si>
    <t>BE04</t>
  </si>
  <si>
    <t>BE36</t>
  </si>
  <si>
    <t>550</t>
  </si>
  <si>
    <t>BE32</t>
  </si>
  <si>
    <t>BE34</t>
  </si>
  <si>
    <t>BE17</t>
  </si>
  <si>
    <t>BE15</t>
  </si>
  <si>
    <t>BE31</t>
  </si>
  <si>
    <t>BE38</t>
  </si>
  <si>
    <t>548</t>
  </si>
  <si>
    <t>541</t>
  </si>
  <si>
    <t>BE24</t>
  </si>
  <si>
    <t>BE06</t>
  </si>
  <si>
    <t>KO19</t>
  </si>
  <si>
    <t>KO23</t>
  </si>
  <si>
    <t>415</t>
  </si>
  <si>
    <t>376</t>
  </si>
  <si>
    <t>KO22</t>
  </si>
  <si>
    <t>KO10</t>
  </si>
  <si>
    <t>KO04</t>
  </si>
  <si>
    <t>KO09</t>
  </si>
  <si>
    <t>KO03</t>
  </si>
  <si>
    <t>KO39</t>
  </si>
  <si>
    <t>374</t>
  </si>
  <si>
    <t>KO02</t>
  </si>
  <si>
    <t>KO05</t>
  </si>
  <si>
    <t>KO13</t>
  </si>
  <si>
    <t>KO44</t>
  </si>
  <si>
    <t>KO14</t>
  </si>
  <si>
    <t>KO15</t>
  </si>
  <si>
    <t>373</t>
  </si>
  <si>
    <t>KO34</t>
  </si>
  <si>
    <t>KO24</t>
  </si>
  <si>
    <t>KO17</t>
  </si>
  <si>
    <t>KO38</t>
  </si>
  <si>
    <t>371</t>
  </si>
  <si>
    <t>KO06</t>
  </si>
  <si>
    <t>KO12</t>
  </si>
  <si>
    <t>KO20</t>
  </si>
  <si>
    <t>KO45</t>
  </si>
  <si>
    <t>KO11</t>
  </si>
  <si>
    <t>KO32</t>
  </si>
  <si>
    <t>KO33</t>
  </si>
  <si>
    <t>KO42</t>
  </si>
  <si>
    <t>KO35</t>
  </si>
  <si>
    <t>KO25</t>
  </si>
  <si>
    <t>KO16</t>
  </si>
  <si>
    <t>KO26</t>
  </si>
  <si>
    <t>KO40</t>
  </si>
  <si>
    <t>NB48</t>
  </si>
  <si>
    <t>412</t>
  </si>
  <si>
    <t>KO08</t>
  </si>
  <si>
    <t>413</t>
  </si>
  <si>
    <t>KO36</t>
  </si>
  <si>
    <t>378</t>
  </si>
  <si>
    <t>377</t>
  </si>
  <si>
    <t>KO01</t>
  </si>
  <si>
    <t>KO43</t>
  </si>
  <si>
    <t>KO37</t>
  </si>
  <si>
    <t>479</t>
  </si>
  <si>
    <t>370</t>
  </si>
  <si>
    <t>372</t>
  </si>
  <si>
    <t>ME10</t>
  </si>
  <si>
    <t>ME16</t>
  </si>
  <si>
    <t>ME17</t>
  </si>
  <si>
    <t>ME27</t>
  </si>
  <si>
    <t>ME20</t>
  </si>
  <si>
    <t>23</t>
  </si>
  <si>
    <t>ME07</t>
  </si>
  <si>
    <t>ME09</t>
  </si>
  <si>
    <t>ME15</t>
  </si>
  <si>
    <t>ME11</t>
  </si>
  <si>
    <t>ME12</t>
  </si>
  <si>
    <t>19</t>
  </si>
  <si>
    <t>ME26</t>
  </si>
  <si>
    <t>ME18</t>
  </si>
  <si>
    <t>ME25</t>
  </si>
  <si>
    <t>ME06</t>
  </si>
  <si>
    <t>17</t>
  </si>
  <si>
    <t>ME29</t>
  </si>
  <si>
    <t>ME01</t>
  </si>
  <si>
    <t>ME31</t>
  </si>
  <si>
    <t>ME08</t>
  </si>
  <si>
    <t>ME19</t>
  </si>
  <si>
    <t>ME32</t>
  </si>
  <si>
    <t>21</t>
  </si>
  <si>
    <t>ME21</t>
  </si>
  <si>
    <t>ME24</t>
  </si>
  <si>
    <t>ME30</t>
  </si>
  <si>
    <t>ME22</t>
  </si>
  <si>
    <t>22</t>
  </si>
  <si>
    <t>ME13</t>
  </si>
  <si>
    <t>ME02</t>
  </si>
  <si>
    <t>18</t>
  </si>
  <si>
    <t>ME03</t>
  </si>
  <si>
    <t>ME14</t>
  </si>
  <si>
    <t>KH36</t>
  </si>
  <si>
    <t>KH24</t>
  </si>
  <si>
    <t>KH05</t>
  </si>
  <si>
    <t>KH12</t>
  </si>
  <si>
    <t>KH04</t>
  </si>
  <si>
    <t>243</t>
  </si>
  <si>
    <t>KH21</t>
  </si>
  <si>
    <t>KH18</t>
  </si>
  <si>
    <t>KH44</t>
  </si>
  <si>
    <t>KH39</t>
  </si>
  <si>
    <t>238</t>
  </si>
  <si>
    <t>239</t>
  </si>
  <si>
    <t>KH22</t>
  </si>
  <si>
    <t>KH14</t>
  </si>
  <si>
    <t>KH11</t>
  </si>
  <si>
    <t>KH02</t>
  </si>
  <si>
    <t>KH09</t>
  </si>
  <si>
    <t>KH10</t>
  </si>
  <si>
    <t>KH01</t>
  </si>
  <si>
    <t>KH03</t>
  </si>
  <si>
    <t>KH31</t>
  </si>
  <si>
    <t>KH26</t>
  </si>
  <si>
    <t>KH06</t>
  </si>
  <si>
    <t>236</t>
  </si>
  <si>
    <t>KH45</t>
  </si>
  <si>
    <t>KH34</t>
  </si>
  <si>
    <t>ME23</t>
  </si>
  <si>
    <t>28</t>
  </si>
  <si>
    <t>27</t>
  </si>
  <si>
    <t>ME33</t>
  </si>
  <si>
    <t>ME34</t>
  </si>
  <si>
    <t>ME05</t>
  </si>
  <si>
    <t>224</t>
  </si>
  <si>
    <t>KL50</t>
  </si>
  <si>
    <t>213</t>
  </si>
  <si>
    <t>KL05</t>
  </si>
  <si>
    <t>209</t>
  </si>
  <si>
    <t>KL41</t>
  </si>
  <si>
    <t>KL30</t>
  </si>
  <si>
    <t>208</t>
  </si>
  <si>
    <t>KL40</t>
  </si>
  <si>
    <t>219</t>
  </si>
  <si>
    <t>KL10</t>
  </si>
  <si>
    <t>KL12</t>
  </si>
  <si>
    <t>KL29</t>
  </si>
  <si>
    <t>KL11</t>
  </si>
  <si>
    <t>KL43</t>
  </si>
  <si>
    <t>215</t>
  </si>
  <si>
    <t>214</t>
  </si>
  <si>
    <t>KL28</t>
  </si>
  <si>
    <t>KL31</t>
  </si>
  <si>
    <t>KL44</t>
  </si>
  <si>
    <t>KL46</t>
  </si>
  <si>
    <t>KL32</t>
  </si>
  <si>
    <t>KL33</t>
  </si>
  <si>
    <t>KL47</t>
  </si>
  <si>
    <t>KL42</t>
  </si>
  <si>
    <t>KL34</t>
  </si>
  <si>
    <t>216</t>
  </si>
  <si>
    <t>KL08</t>
  </si>
  <si>
    <t>KL38</t>
  </si>
  <si>
    <t>KL51</t>
  </si>
  <si>
    <t>KL03</t>
  </si>
  <si>
    <t>KL09</t>
  </si>
  <si>
    <t>212</t>
  </si>
  <si>
    <t>KL06</t>
  </si>
  <si>
    <t>KL01</t>
  </si>
  <si>
    <t>211</t>
  </si>
  <si>
    <t>210</t>
  </si>
  <si>
    <t>RA26</t>
  </si>
  <si>
    <t>RA16</t>
  </si>
  <si>
    <t>RA30</t>
  </si>
  <si>
    <t>RA15</t>
  </si>
  <si>
    <t>197</t>
  </si>
  <si>
    <t>RA37</t>
  </si>
  <si>
    <t>204</t>
  </si>
  <si>
    <t>RA11</t>
  </si>
  <si>
    <t>203</t>
  </si>
  <si>
    <t>205</t>
  </si>
  <si>
    <t>RA38</t>
  </si>
  <si>
    <t>RA28</t>
  </si>
  <si>
    <t>RA20</t>
  </si>
  <si>
    <t>207</t>
  </si>
  <si>
    <t>RA31</t>
  </si>
  <si>
    <t>RA18</t>
  </si>
  <si>
    <t>RA12</t>
  </si>
  <si>
    <t>201</t>
  </si>
  <si>
    <t>RA06</t>
  </si>
  <si>
    <t>RA13</t>
  </si>
  <si>
    <t>RA23</t>
  </si>
  <si>
    <t>RA33</t>
  </si>
  <si>
    <t>RA09</t>
  </si>
  <si>
    <t>RA19</t>
  </si>
  <si>
    <t>193</t>
  </si>
  <si>
    <t>194</t>
  </si>
  <si>
    <t>RA03</t>
  </si>
  <si>
    <t>RA27</t>
  </si>
  <si>
    <t>RA17</t>
  </si>
  <si>
    <t>RA34</t>
  </si>
  <si>
    <t>202</t>
  </si>
  <si>
    <t>RA35</t>
  </si>
  <si>
    <t>RA40</t>
  </si>
  <si>
    <t>RA02</t>
  </si>
  <si>
    <t>RA14</t>
  </si>
  <si>
    <t>RA07</t>
  </si>
  <si>
    <t>RA01</t>
  </si>
  <si>
    <t>RA32</t>
  </si>
  <si>
    <t>RA04</t>
  </si>
  <si>
    <t>198</t>
  </si>
  <si>
    <t>RA24</t>
  </si>
  <si>
    <t>199</t>
  </si>
  <si>
    <t>RA36</t>
  </si>
  <si>
    <t>RA05</t>
  </si>
  <si>
    <t>RA10</t>
  </si>
  <si>
    <t>RA29</t>
  </si>
  <si>
    <t>RA25</t>
  </si>
  <si>
    <t>RA08</t>
  </si>
  <si>
    <t>RA39</t>
  </si>
  <si>
    <t>RA22</t>
  </si>
  <si>
    <t>196</t>
  </si>
  <si>
    <t>195</t>
  </si>
  <si>
    <t>RA21</t>
  </si>
  <si>
    <t>206</t>
  </si>
  <si>
    <t>RA41</t>
  </si>
  <si>
    <t>223</t>
  </si>
  <si>
    <t>221</t>
  </si>
  <si>
    <t>220</t>
  </si>
  <si>
    <t>KL02</t>
  </si>
  <si>
    <t>KL39</t>
  </si>
  <si>
    <t>KL49</t>
  </si>
  <si>
    <t>KL20</t>
  </si>
  <si>
    <t>KL27</t>
  </si>
  <si>
    <t>KL37</t>
  </si>
  <si>
    <t>KL18</t>
  </si>
  <si>
    <t>KL52</t>
  </si>
  <si>
    <t>KL36</t>
  </si>
  <si>
    <t>KL45</t>
  </si>
  <si>
    <t>KL04</t>
  </si>
  <si>
    <t>KL48</t>
  </si>
  <si>
    <t>KL14</t>
  </si>
  <si>
    <t>KL16</t>
  </si>
  <si>
    <t>KL21</t>
  </si>
  <si>
    <t>217</t>
  </si>
  <si>
    <t>KL22</t>
  </si>
  <si>
    <t>218</t>
  </si>
  <si>
    <t>KL07</t>
  </si>
  <si>
    <t>KL26</t>
  </si>
  <si>
    <t>KL15</t>
  </si>
  <si>
    <t>KL25</t>
  </si>
  <si>
    <t>KL17</t>
  </si>
  <si>
    <t>KL35</t>
  </si>
  <si>
    <t>PH48</t>
  </si>
  <si>
    <t>PH37</t>
  </si>
  <si>
    <t>PH41</t>
  </si>
  <si>
    <t>PH43</t>
  </si>
  <si>
    <t>PH15</t>
  </si>
  <si>
    <t>PH13</t>
  </si>
  <si>
    <t>443</t>
  </si>
  <si>
    <t>444</t>
  </si>
  <si>
    <t>PH01</t>
  </si>
  <si>
    <t>453</t>
  </si>
  <si>
    <t>PH32</t>
  </si>
  <si>
    <t>PH39</t>
  </si>
  <si>
    <t>PH42</t>
  </si>
  <si>
    <t>454</t>
  </si>
  <si>
    <t>PH11</t>
  </si>
  <si>
    <t>PH47</t>
  </si>
  <si>
    <t>PH49</t>
  </si>
  <si>
    <t>20</t>
  </si>
  <si>
    <t>PH12</t>
  </si>
  <si>
    <t>451</t>
  </si>
  <si>
    <t>PH10</t>
  </si>
  <si>
    <t>200</t>
  </si>
  <si>
    <t>PH04</t>
  </si>
  <si>
    <t>PH05</t>
  </si>
  <si>
    <t>PH08</t>
  </si>
  <si>
    <t>PH07</t>
  </si>
  <si>
    <t>PH40</t>
  </si>
  <si>
    <t>PH38</t>
  </si>
  <si>
    <t>PH14</t>
  </si>
  <si>
    <t>449</t>
  </si>
  <si>
    <t>552</t>
  </si>
  <si>
    <t>KL24</t>
  </si>
  <si>
    <t>565</t>
  </si>
  <si>
    <t>PZ23</t>
  </si>
  <si>
    <t>561</t>
  </si>
  <si>
    <t>566</t>
  </si>
  <si>
    <t>PZ28</t>
  </si>
  <si>
    <t>PZ34</t>
  </si>
  <si>
    <t>560</t>
  </si>
  <si>
    <t>KL13</t>
  </si>
  <si>
    <t>KL19</t>
  </si>
  <si>
    <t>KL23</t>
  </si>
  <si>
    <t>BE07</t>
  </si>
  <si>
    <t>BE21</t>
  </si>
  <si>
    <t>BE01</t>
  </si>
  <si>
    <t>572</t>
  </si>
  <si>
    <t>PZ20</t>
  </si>
  <si>
    <t>PZ25</t>
  </si>
  <si>
    <t>569</t>
  </si>
  <si>
    <t>PZ22</t>
  </si>
  <si>
    <t>564</t>
  </si>
  <si>
    <t>571</t>
  </si>
  <si>
    <t>447</t>
  </si>
  <si>
    <t>PZ21</t>
  </si>
  <si>
    <t>PZ16</t>
  </si>
  <si>
    <t>PZ26</t>
  </si>
  <si>
    <t>577</t>
  </si>
  <si>
    <t>PZ14</t>
  </si>
  <si>
    <t>PZ15</t>
  </si>
  <si>
    <t>568</t>
  </si>
  <si>
    <t>PZ05</t>
  </si>
  <si>
    <t>578</t>
  </si>
  <si>
    <t>576</t>
  </si>
  <si>
    <t>PZ12</t>
  </si>
  <si>
    <t>570</t>
  </si>
  <si>
    <t>PZ17</t>
  </si>
  <si>
    <t>527</t>
  </si>
  <si>
    <t>559</t>
  </si>
  <si>
    <t>PZ32</t>
  </si>
  <si>
    <t>553</t>
  </si>
  <si>
    <t>PZ27</t>
  </si>
  <si>
    <t>558</t>
  </si>
  <si>
    <t>556</t>
  </si>
  <si>
    <t>574</t>
  </si>
  <si>
    <t>PZ18</t>
  </si>
  <si>
    <t>PZ30</t>
  </si>
  <si>
    <t>555</t>
  </si>
  <si>
    <t>PZ33</t>
  </si>
  <si>
    <t>PZ04</t>
  </si>
  <si>
    <t>PZ01</t>
  </si>
  <si>
    <t>PB07</t>
  </si>
  <si>
    <t>PB01</t>
  </si>
  <si>
    <t>PB02</t>
  </si>
  <si>
    <t>PB37</t>
  </si>
  <si>
    <t>PB36</t>
  </si>
  <si>
    <t>PB17</t>
  </si>
  <si>
    <t>531</t>
  </si>
  <si>
    <t>PB30</t>
  </si>
  <si>
    <t>PB13</t>
  </si>
  <si>
    <t>523</t>
  </si>
  <si>
    <t>PB47</t>
  </si>
  <si>
    <t>526</t>
  </si>
  <si>
    <t>524</t>
  </si>
  <si>
    <t>PB38</t>
  </si>
  <si>
    <t>PB35</t>
  </si>
  <si>
    <t>PB25</t>
  </si>
  <si>
    <t>PB26</t>
  </si>
  <si>
    <t>PB03</t>
  </si>
  <si>
    <t>PB04</t>
  </si>
  <si>
    <t>PB32</t>
  </si>
  <si>
    <t>PB31</t>
  </si>
  <si>
    <t>PB33</t>
  </si>
  <si>
    <t>PB40</t>
  </si>
  <si>
    <t>PB06</t>
  </si>
  <si>
    <t>PB09</t>
  </si>
  <si>
    <t>PB11</t>
  </si>
  <si>
    <t>539</t>
  </si>
  <si>
    <t>537</t>
  </si>
  <si>
    <t>PB23</t>
  </si>
  <si>
    <t>PB12</t>
  </si>
  <si>
    <t>522</t>
  </si>
  <si>
    <t>528</t>
  </si>
  <si>
    <t>PB29</t>
  </si>
  <si>
    <t>PB22</t>
  </si>
  <si>
    <t>PB45</t>
  </si>
  <si>
    <t>PB49</t>
  </si>
  <si>
    <t>PB20</t>
  </si>
  <si>
    <t>529</t>
  </si>
  <si>
    <t>PB05</t>
  </si>
  <si>
    <t>PB19</t>
  </si>
  <si>
    <t>PB41</t>
  </si>
  <si>
    <t>PB18</t>
  </si>
  <si>
    <t>525</t>
  </si>
  <si>
    <t>PB43</t>
  </si>
  <si>
    <t>PB08</t>
  </si>
  <si>
    <t>PZ08</t>
  </si>
  <si>
    <t>557</t>
  </si>
  <si>
    <t>PZ24</t>
  </si>
  <si>
    <t>PZ13</t>
  </si>
  <si>
    <t>PH09</t>
  </si>
  <si>
    <t>PH36</t>
  </si>
  <si>
    <t>24</t>
  </si>
  <si>
    <t>25</t>
  </si>
  <si>
    <t>ME28</t>
  </si>
  <si>
    <t>29</t>
  </si>
  <si>
    <t>ME04</t>
  </si>
  <si>
    <t>26</t>
  </si>
  <si>
    <t>BN16</t>
  </si>
  <si>
    <t>BN03</t>
  </si>
  <si>
    <t>514</t>
  </si>
  <si>
    <t>508</t>
  </si>
  <si>
    <t>515</t>
  </si>
  <si>
    <t>MB14</t>
  </si>
  <si>
    <t>437</t>
  </si>
  <si>
    <t>MB13</t>
  </si>
  <si>
    <t>429</t>
  </si>
  <si>
    <t>BN41</t>
  </si>
  <si>
    <t>MB02</t>
  </si>
  <si>
    <t>BN27</t>
  </si>
  <si>
    <t>517</t>
  </si>
  <si>
    <t>BN35</t>
  </si>
  <si>
    <t>BN10</t>
  </si>
  <si>
    <t>BN28</t>
  </si>
  <si>
    <t>MB18</t>
  </si>
  <si>
    <t>MB09</t>
  </si>
  <si>
    <t>MB06</t>
  </si>
  <si>
    <t>MB21</t>
  </si>
  <si>
    <t>513</t>
  </si>
  <si>
    <t>BN33</t>
  </si>
  <si>
    <t>520</t>
  </si>
  <si>
    <t>MB16</t>
  </si>
  <si>
    <t>MB23</t>
  </si>
  <si>
    <t>MB17</t>
  </si>
  <si>
    <t>433</t>
  </si>
  <si>
    <t>MB26</t>
  </si>
  <si>
    <t>503</t>
  </si>
  <si>
    <t>501</t>
  </si>
  <si>
    <t>BN22</t>
  </si>
  <si>
    <t>BN18</t>
  </si>
  <si>
    <t>BN37</t>
  </si>
  <si>
    <t>BN17</t>
  </si>
  <si>
    <t>BN20</t>
  </si>
  <si>
    <t>502</t>
  </si>
  <si>
    <t>441</t>
  </si>
  <si>
    <t>511</t>
  </si>
  <si>
    <t>BN23</t>
  </si>
  <si>
    <t>BN36</t>
  </si>
  <si>
    <t>504</t>
  </si>
  <si>
    <t>BN07</t>
  </si>
  <si>
    <t>BN19</t>
  </si>
  <si>
    <t>BN06</t>
  </si>
  <si>
    <t>MB03</t>
  </si>
  <si>
    <t>MB25</t>
  </si>
  <si>
    <t>430</t>
  </si>
  <si>
    <t>436</t>
  </si>
  <si>
    <t>439</t>
  </si>
  <si>
    <t>438</t>
  </si>
  <si>
    <t>440</t>
  </si>
  <si>
    <t>MB20</t>
  </si>
  <si>
    <t>506</t>
  </si>
  <si>
    <t>BN21</t>
  </si>
  <si>
    <t>MB04</t>
  </si>
  <si>
    <t>MB10</t>
  </si>
  <si>
    <t>MB05</t>
  </si>
  <si>
    <t>MB01</t>
  </si>
  <si>
    <t>MB32</t>
  </si>
  <si>
    <t>MB30</t>
  </si>
  <si>
    <t>431</t>
  </si>
  <si>
    <t>434</t>
  </si>
  <si>
    <t>435</t>
  </si>
  <si>
    <t>MB15</t>
  </si>
  <si>
    <t>MB22</t>
  </si>
  <si>
    <t>381</t>
  </si>
  <si>
    <t>382</t>
  </si>
  <si>
    <t>KO27</t>
  </si>
  <si>
    <t>KO28</t>
  </si>
  <si>
    <t>KO29</t>
  </si>
  <si>
    <t>KO41</t>
  </si>
  <si>
    <t>KO30</t>
  </si>
  <si>
    <t>380</t>
  </si>
  <si>
    <t>KO21</t>
  </si>
  <si>
    <t>MB11</t>
  </si>
  <si>
    <t>MB28</t>
  </si>
  <si>
    <t>MB07</t>
  </si>
  <si>
    <t>MB27</t>
  </si>
  <si>
    <t>MB19</t>
  </si>
  <si>
    <t>PH46</t>
  </si>
  <si>
    <t>PH45</t>
  </si>
  <si>
    <t>PH31</t>
  </si>
  <si>
    <t>PH23</t>
  </si>
  <si>
    <t>432</t>
  </si>
  <si>
    <t>MB29</t>
  </si>
  <si>
    <t>MB24</t>
  </si>
  <si>
    <t>MB31</t>
  </si>
  <si>
    <t>MB33</t>
  </si>
  <si>
    <t>PH24</t>
  </si>
  <si>
    <t>PH30</t>
  </si>
  <si>
    <t>PH22</t>
  </si>
  <si>
    <t>PH44</t>
  </si>
  <si>
    <t>PH18</t>
  </si>
  <si>
    <t>MB08</t>
  </si>
  <si>
    <t>MB12</t>
  </si>
  <si>
    <t>NB34</t>
  </si>
  <si>
    <t>NB05</t>
  </si>
  <si>
    <t>NB26</t>
  </si>
  <si>
    <t>NB33</t>
  </si>
  <si>
    <t>PH25</t>
  </si>
  <si>
    <t>PH17</t>
  </si>
  <si>
    <t>PH19</t>
  </si>
  <si>
    <t>PH26</t>
  </si>
  <si>
    <t>PH28</t>
  </si>
  <si>
    <t>PH21</t>
  </si>
  <si>
    <t>PH20</t>
  </si>
  <si>
    <t>PH33</t>
  </si>
  <si>
    <t>PH35</t>
  </si>
  <si>
    <t>PH34</t>
  </si>
  <si>
    <t>ID</t>
  </si>
  <si>
    <t>JÍL</t>
  </si>
  <si>
    <t>PRACH</t>
  </si>
  <si>
    <t>PÍSEK</t>
  </si>
  <si>
    <t>BPEJ</t>
  </si>
  <si>
    <t>5.15.12</t>
  </si>
  <si>
    <t>5.32.11</t>
  </si>
  <si>
    <t>4.37.16</t>
  </si>
  <si>
    <t>5.64.01</t>
  </si>
  <si>
    <t>5.46.00</t>
  </si>
  <si>
    <t>5.15.00</t>
  </si>
  <si>
    <t>7.67.01</t>
  </si>
  <si>
    <t>7.47.12</t>
  </si>
  <si>
    <t>5.29.01</t>
  </si>
  <si>
    <t>7.47.02</t>
  </si>
  <si>
    <t>5.26.14</t>
  </si>
  <si>
    <t>5.29.11</t>
  </si>
  <si>
    <t>5.32.14</t>
  </si>
  <si>
    <t>5.29.14</t>
  </si>
  <si>
    <t>4.26.01</t>
  </si>
  <si>
    <t>5.32.51</t>
  </si>
  <si>
    <t>5.27.14</t>
  </si>
  <si>
    <t>5.37.45</t>
  </si>
  <si>
    <t>5.67.01</t>
  </si>
  <si>
    <t>7.26.14</t>
  </si>
  <si>
    <t>5.29.44</t>
  </si>
  <si>
    <t>4.67.01</t>
  </si>
  <si>
    <t>4.14.00</t>
  </si>
  <si>
    <t>5.50.11</t>
  </si>
  <si>
    <t>5.37.16</t>
  </si>
  <si>
    <t>5.39.39</t>
  </si>
  <si>
    <t>5.40.68</t>
  </si>
  <si>
    <t>5.71.01</t>
  </si>
  <si>
    <t>5.47.00</t>
  </si>
  <si>
    <t>4.38.16</t>
  </si>
  <si>
    <t>5.32.01</t>
  </si>
  <si>
    <t>4.32.11</t>
  </si>
  <si>
    <t>5.48.14</t>
  </si>
  <si>
    <t>5.48.11</t>
  </si>
  <si>
    <t>5.50.01</t>
  </si>
  <si>
    <t>5.32.04</t>
  </si>
  <si>
    <t>4.27.11</t>
  </si>
  <si>
    <t>5.26.04</t>
  </si>
  <si>
    <t>3.02.00</t>
  </si>
  <si>
    <t>2.55.00</t>
  </si>
  <si>
    <t>5.14.00</t>
  </si>
  <si>
    <t>4.48.11</t>
  </si>
  <si>
    <t>3.60.00</t>
  </si>
  <si>
    <t>3.61.00</t>
  </si>
  <si>
    <t>5.17.00</t>
  </si>
  <si>
    <t>3.09.00</t>
  </si>
  <si>
    <t>3.55.00</t>
  </si>
  <si>
    <t>3.56.00</t>
  </si>
  <si>
    <t>3.52.01</t>
  </si>
  <si>
    <t>3.31.01</t>
  </si>
  <si>
    <t>3.10.00</t>
  </si>
  <si>
    <t>3.37.15</t>
  </si>
  <si>
    <t>5.10.00</t>
  </si>
  <si>
    <t>5.47.02</t>
  </si>
  <si>
    <t>5.58.00</t>
  </si>
  <si>
    <t>5.27.54</t>
  </si>
  <si>
    <t>7.29.11</t>
  </si>
  <si>
    <t>5.29.04</t>
  </si>
  <si>
    <t>7.50.01</t>
  </si>
  <si>
    <t>3.58.00</t>
  </si>
  <si>
    <t>3.12.00</t>
  </si>
  <si>
    <t>7.50.04</t>
  </si>
  <si>
    <t>5.18.51</t>
  </si>
  <si>
    <t>7.68.11</t>
  </si>
  <si>
    <t>7.29.14</t>
  </si>
  <si>
    <t>7.46.00</t>
  </si>
  <si>
    <t>5.32.54</t>
  </si>
  <si>
    <t>5.21.10</t>
  </si>
  <si>
    <t>5.15.10</t>
  </si>
  <si>
    <t>5.40.77</t>
  </si>
  <si>
    <t>5.26.44</t>
  </si>
  <si>
    <t>3.10.10</t>
  </si>
  <si>
    <t>5.43.00</t>
  </si>
  <si>
    <t>5.14.10</t>
  </si>
  <si>
    <t>3.02.10</t>
  </si>
  <si>
    <t>3.05.01</t>
  </si>
  <si>
    <t>3.29.01</t>
  </si>
  <si>
    <t>5.46.02</t>
  </si>
  <si>
    <t>3.29.14</t>
  </si>
  <si>
    <t>7.50.11</t>
  </si>
  <si>
    <t>7.29.41</t>
  </si>
  <si>
    <t>3.51.11</t>
  </si>
  <si>
    <t>3.04.01</t>
  </si>
  <si>
    <t>3.57.00</t>
  </si>
  <si>
    <t>3.29.11</t>
  </si>
  <si>
    <t>5.56.00</t>
  </si>
  <si>
    <t>3.06.00</t>
  </si>
  <si>
    <t>5.08.50</t>
  </si>
  <si>
    <t>3.17.00</t>
  </si>
  <si>
    <t>3.17.10</t>
  </si>
  <si>
    <t>3.08.10</t>
  </si>
  <si>
    <t>3.46.00</t>
  </si>
  <si>
    <t>3.19.01</t>
  </si>
  <si>
    <t>5.60.00</t>
  </si>
  <si>
    <t>3.53.01</t>
  </si>
  <si>
    <t>5.19.41</t>
  </si>
  <si>
    <t>2.71.01</t>
  </si>
  <si>
    <t>II.</t>
  </si>
  <si>
    <t>IV.</t>
  </si>
  <si>
    <t>V.</t>
  </si>
  <si>
    <t>III.</t>
  </si>
  <si>
    <t>I.</t>
  </si>
  <si>
    <t>srážky</t>
  </si>
  <si>
    <t>HSP</t>
  </si>
  <si>
    <t>TTP</t>
  </si>
  <si>
    <t>450-550</t>
  </si>
  <si>
    <t>550-650 (700)</t>
  </si>
  <si>
    <t>500-600</t>
  </si>
  <si>
    <t>700-900</t>
  </si>
  <si>
    <t>650-750</t>
  </si>
  <si>
    <t>B</t>
  </si>
  <si>
    <t>C</t>
  </si>
  <si>
    <t>A</t>
  </si>
  <si>
    <t>B/D</t>
  </si>
  <si>
    <t>D</t>
  </si>
  <si>
    <t>RVK</t>
  </si>
  <si>
    <t>T_30</t>
  </si>
  <si>
    <t>T_60</t>
  </si>
  <si>
    <t>V_30</t>
  </si>
  <si>
    <t>V_60</t>
  </si>
  <si>
    <t>0,002_30</t>
  </si>
  <si>
    <t>0,002_60</t>
  </si>
  <si>
    <t xml:space="preserve"> 0,01_30</t>
  </si>
  <si>
    <t>0,01_60</t>
  </si>
  <si>
    <t>0,05_30</t>
  </si>
  <si>
    <t>0,05_60</t>
  </si>
  <si>
    <t>0,25_30</t>
  </si>
  <si>
    <t>0,25_60</t>
  </si>
  <si>
    <t>2_30</t>
  </si>
  <si>
    <t>2_60</t>
  </si>
  <si>
    <t>bon.</t>
  </si>
  <si>
    <t>z.cena</t>
  </si>
  <si>
    <t>ZP</t>
  </si>
  <si>
    <t>seal.</t>
  </si>
  <si>
    <t>kv.ek.</t>
  </si>
  <si>
    <t>hum_30</t>
  </si>
  <si>
    <t>hum_60</t>
  </si>
  <si>
    <r>
      <t>pH</t>
    </r>
    <r>
      <rPr>
        <b/>
        <vertAlign val="subscript"/>
        <sz val="8"/>
        <color theme="1"/>
        <rFont val="Calibri"/>
        <family val="2"/>
        <charset val="238"/>
        <scheme val="minor"/>
      </rPr>
      <t>H2O_</t>
    </r>
    <r>
      <rPr>
        <b/>
        <sz val="8"/>
        <color theme="1"/>
        <rFont val="Calibri"/>
        <family val="2"/>
        <charset val="238"/>
        <scheme val="minor"/>
      </rPr>
      <t>30</t>
    </r>
  </si>
  <si>
    <r>
      <t>pH</t>
    </r>
    <r>
      <rPr>
        <b/>
        <vertAlign val="subscript"/>
        <sz val="8"/>
        <color theme="1"/>
        <rFont val="Calibri"/>
        <family val="2"/>
        <charset val="238"/>
        <scheme val="minor"/>
      </rPr>
      <t>H20</t>
    </r>
    <r>
      <rPr>
        <b/>
        <sz val="8"/>
        <color theme="1"/>
        <rFont val="Calibri"/>
        <family val="2"/>
        <charset val="238"/>
        <scheme val="minor"/>
      </rPr>
      <t>_60</t>
    </r>
  </si>
  <si>
    <r>
      <t>pH</t>
    </r>
    <r>
      <rPr>
        <b/>
        <vertAlign val="subscript"/>
        <sz val="8"/>
        <color theme="1"/>
        <rFont val="Calibri"/>
        <family val="2"/>
        <charset val="238"/>
        <scheme val="minor"/>
      </rPr>
      <t>KCl</t>
    </r>
    <r>
      <rPr>
        <b/>
        <sz val="8"/>
        <color theme="1"/>
        <rFont val="Calibri"/>
        <family val="2"/>
        <charset val="238"/>
        <scheme val="minor"/>
      </rPr>
      <t>_30</t>
    </r>
  </si>
  <si>
    <r>
      <t>pH</t>
    </r>
    <r>
      <rPr>
        <b/>
        <vertAlign val="subscript"/>
        <sz val="8"/>
        <color theme="1"/>
        <rFont val="Calibri"/>
        <family val="2"/>
        <charset val="238"/>
        <scheme val="minor"/>
      </rPr>
      <t>KCl</t>
    </r>
    <r>
      <rPr>
        <b/>
        <sz val="8"/>
        <color theme="1"/>
        <rFont val="Calibri"/>
        <family val="2"/>
        <charset val="238"/>
        <scheme val="minor"/>
      </rPr>
      <t>_60</t>
    </r>
  </si>
  <si>
    <r>
      <t>C</t>
    </r>
    <r>
      <rPr>
        <b/>
        <vertAlign val="subscript"/>
        <sz val="8"/>
        <color theme="1"/>
        <rFont val="Calibri"/>
        <family val="2"/>
        <charset val="238"/>
        <scheme val="minor"/>
      </rPr>
      <t>OX</t>
    </r>
    <r>
      <rPr>
        <b/>
        <sz val="8"/>
        <color theme="1"/>
        <rFont val="Calibri"/>
        <family val="2"/>
        <charset val="238"/>
        <scheme val="minor"/>
      </rPr>
      <t>_30</t>
    </r>
  </si>
  <si>
    <r>
      <t>C</t>
    </r>
    <r>
      <rPr>
        <b/>
        <vertAlign val="subscript"/>
        <sz val="8"/>
        <color theme="1"/>
        <rFont val="Calibri"/>
        <family val="2"/>
        <charset val="238"/>
        <scheme val="minor"/>
      </rPr>
      <t>OX</t>
    </r>
    <r>
      <rPr>
        <b/>
        <sz val="8"/>
        <color theme="1"/>
        <rFont val="Calibri"/>
        <family val="2"/>
        <charset val="238"/>
        <scheme val="minor"/>
      </rPr>
      <t>_60</t>
    </r>
  </si>
  <si>
    <r>
      <t>CaCO</t>
    </r>
    <r>
      <rPr>
        <b/>
        <vertAlign val="subscript"/>
        <sz val="8"/>
        <color theme="1"/>
        <rFont val="Calibri"/>
        <family val="2"/>
        <charset val="238"/>
        <scheme val="minor"/>
      </rPr>
      <t>3</t>
    </r>
    <r>
      <rPr>
        <b/>
        <sz val="8"/>
        <color theme="1"/>
        <rFont val="Calibri"/>
        <family val="2"/>
        <charset val="238"/>
        <scheme val="minor"/>
      </rPr>
      <t>_30</t>
    </r>
  </si>
  <si>
    <r>
      <t>CaCO</t>
    </r>
    <r>
      <rPr>
        <b/>
        <vertAlign val="subscript"/>
        <sz val="8"/>
        <color theme="1"/>
        <rFont val="Calibri"/>
        <family val="2"/>
        <charset val="238"/>
        <scheme val="minor"/>
      </rPr>
      <t>3</t>
    </r>
    <r>
      <rPr>
        <b/>
        <sz val="8"/>
        <color theme="1"/>
        <rFont val="Calibri"/>
        <family val="2"/>
        <charset val="238"/>
        <scheme val="minor"/>
      </rPr>
      <t>_60</t>
    </r>
  </si>
  <si>
    <r>
      <t>P</t>
    </r>
    <r>
      <rPr>
        <b/>
        <vertAlign val="subscript"/>
        <sz val="8"/>
        <color theme="1"/>
        <rFont val="Calibri"/>
        <family val="2"/>
        <charset val="238"/>
        <scheme val="minor"/>
      </rPr>
      <t>2</t>
    </r>
    <r>
      <rPr>
        <b/>
        <sz val="8"/>
        <color theme="1"/>
        <rFont val="Calibri"/>
        <family val="2"/>
        <charset val="238"/>
        <scheme val="minor"/>
      </rPr>
      <t>O</t>
    </r>
    <r>
      <rPr>
        <b/>
        <vertAlign val="subscript"/>
        <sz val="8"/>
        <color theme="1"/>
        <rFont val="Calibri"/>
        <family val="2"/>
        <charset val="238"/>
        <scheme val="minor"/>
      </rPr>
      <t>5</t>
    </r>
    <r>
      <rPr>
        <b/>
        <sz val="8"/>
        <color theme="1"/>
        <rFont val="Calibri"/>
        <family val="2"/>
        <charset val="238"/>
        <scheme val="minor"/>
      </rPr>
      <t>_30</t>
    </r>
  </si>
  <si>
    <r>
      <t>P</t>
    </r>
    <r>
      <rPr>
        <b/>
        <vertAlign val="subscript"/>
        <sz val="8"/>
        <color theme="1"/>
        <rFont val="Calibri"/>
        <family val="2"/>
        <charset val="238"/>
        <scheme val="minor"/>
      </rPr>
      <t>2</t>
    </r>
    <r>
      <rPr>
        <b/>
        <sz val="8"/>
        <color theme="1"/>
        <rFont val="Calibri"/>
        <family val="2"/>
        <charset val="238"/>
        <scheme val="minor"/>
      </rPr>
      <t>O</t>
    </r>
    <r>
      <rPr>
        <b/>
        <vertAlign val="subscript"/>
        <sz val="8"/>
        <color theme="1"/>
        <rFont val="Calibri"/>
        <family val="2"/>
        <charset val="238"/>
        <scheme val="minor"/>
      </rPr>
      <t>5</t>
    </r>
    <r>
      <rPr>
        <b/>
        <sz val="8"/>
        <color theme="1"/>
        <rFont val="Calibri"/>
        <family val="2"/>
        <charset val="238"/>
        <scheme val="minor"/>
      </rPr>
      <t>_60</t>
    </r>
  </si>
  <si>
    <r>
      <t>K</t>
    </r>
    <r>
      <rPr>
        <b/>
        <vertAlign val="subscript"/>
        <sz val="8"/>
        <color theme="1"/>
        <rFont val="Calibri"/>
        <family val="2"/>
        <charset val="238"/>
        <scheme val="minor"/>
      </rPr>
      <t>2</t>
    </r>
    <r>
      <rPr>
        <b/>
        <sz val="8"/>
        <color theme="1"/>
        <rFont val="Calibri"/>
        <family val="2"/>
        <charset val="238"/>
        <scheme val="minor"/>
      </rPr>
      <t>O_30</t>
    </r>
  </si>
  <si>
    <r>
      <t>K</t>
    </r>
    <r>
      <rPr>
        <b/>
        <vertAlign val="subscript"/>
        <sz val="8"/>
        <color theme="1"/>
        <rFont val="Calibri"/>
        <family val="2"/>
        <charset val="238"/>
        <scheme val="minor"/>
      </rPr>
      <t>2</t>
    </r>
    <r>
      <rPr>
        <b/>
        <sz val="8"/>
        <color theme="1"/>
        <rFont val="Calibri"/>
        <family val="2"/>
        <charset val="238"/>
        <scheme val="minor"/>
      </rPr>
      <t>O_60</t>
    </r>
  </si>
  <si>
    <t>kl.r.n.</t>
  </si>
  <si>
    <t>Indikátory stabilní</t>
  </si>
  <si>
    <t>Výměnné pH</t>
  </si>
  <si>
    <t>V</t>
  </si>
  <si>
    <t>T (KVK)</t>
  </si>
  <si>
    <t>P - O</t>
  </si>
  <si>
    <t>P - TTP</t>
  </si>
  <si>
    <t>K - O - lehká</t>
  </si>
  <si>
    <t>K - O - střední</t>
  </si>
  <si>
    <t>K - O - těžká</t>
  </si>
  <si>
    <t>K - TTP - lehká</t>
  </si>
  <si>
    <t>K - TTP - střední</t>
  </si>
  <si>
    <t>K - TTP - těžká</t>
  </si>
  <si>
    <t>Obj. hm. st.t.,t</t>
  </si>
  <si>
    <t>nad</t>
  </si>
  <si>
    <t>&lt;</t>
  </si>
  <si>
    <t>&gt;</t>
  </si>
  <si>
    <t xml:space="preserve"> - </t>
  </si>
  <si>
    <t>-</t>
  </si>
  <si>
    <t>klimatický region</t>
  </si>
  <si>
    <t>HPJ</t>
  </si>
  <si>
    <t>sklonitost a expozice</t>
  </si>
  <si>
    <t>skeletovitost a hloubka půdy</t>
  </si>
  <si>
    <t>Skelet dle kodu BPEJ</t>
  </si>
  <si>
    <t xml:space="preserve">KR </t>
  </si>
  <si>
    <t>Indikátory proměnné</t>
  </si>
  <si>
    <t xml:space="preserve"> </t>
  </si>
  <si>
    <t>Sklonitost</t>
  </si>
  <si>
    <t>Expozice</t>
  </si>
  <si>
    <t>+</t>
  </si>
  <si>
    <t>Expozice dle KR</t>
  </si>
  <si>
    <t>KR - 0,1,2,3,4,5 (J-neg)</t>
  </si>
  <si>
    <t>KR - 6,7,8,9 (S-neg)</t>
  </si>
  <si>
    <t>BD_30</t>
  </si>
  <si>
    <t>BD_60</t>
  </si>
  <si>
    <t>KR</t>
  </si>
  <si>
    <t>Skelet</t>
  </si>
  <si>
    <t>Mocnost 1. h</t>
  </si>
  <si>
    <t>0–10 písčitá p</t>
  </si>
  <si>
    <t>lehké</t>
  </si>
  <si>
    <t>10–20 hlinitopísčitá hp</t>
  </si>
  <si>
    <t>20–30 písčitohlinitá ph</t>
  </si>
  <si>
    <t>střední</t>
  </si>
  <si>
    <t>30–45 hlinitá h</t>
  </si>
  <si>
    <t>45–60 jílovitohlinitá jh</t>
  </si>
  <si>
    <t>&gt; 75 jíl j</t>
  </si>
  <si>
    <t xml:space="preserve">60–75 jílovitá jv </t>
  </si>
  <si>
    <t>těžké</t>
  </si>
  <si>
    <t/>
  </si>
  <si>
    <t>Var. 1</t>
  </si>
  <si>
    <t>Var. 2</t>
  </si>
  <si>
    <t>2,4,6,8</t>
  </si>
  <si>
    <t>3,5,7,9</t>
  </si>
  <si>
    <t>0,1,3,5,7,9</t>
  </si>
  <si>
    <t>0,1,2,4,6,8</t>
  </si>
  <si>
    <t>byla aplikována (jednoduché rozdělení zohledňující pouze expozici)</t>
  </si>
  <si>
    <t>snižuje váhu expozice, duplikovaně zohledňuje sklonitost (větší sklonitost = větší expozice)</t>
  </si>
  <si>
    <t>KR - VT/T/CH</t>
  </si>
  <si>
    <t>nebo</t>
  </si>
  <si>
    <t>Expozite T</t>
  </si>
  <si>
    <t>Expozite VT</t>
  </si>
  <si>
    <t>Expozite CH</t>
  </si>
  <si>
    <t>Půda - L,S,T</t>
  </si>
  <si>
    <r>
      <t>násobeno 10x P</t>
    </r>
    <r>
      <rPr>
        <b/>
        <vertAlign val="subscript"/>
        <sz val="8"/>
        <color theme="1"/>
        <rFont val="Calibri"/>
        <family val="2"/>
        <charset val="238"/>
        <scheme val="minor"/>
      </rPr>
      <t>2</t>
    </r>
    <r>
      <rPr>
        <b/>
        <sz val="8"/>
        <color theme="1"/>
        <rFont val="Calibri"/>
        <family val="2"/>
        <charset val="238"/>
        <scheme val="minor"/>
      </rPr>
      <t>O</t>
    </r>
    <r>
      <rPr>
        <b/>
        <vertAlign val="subscript"/>
        <sz val="8"/>
        <color theme="1"/>
        <rFont val="Calibri"/>
        <family val="2"/>
        <charset val="238"/>
        <scheme val="minor"/>
      </rPr>
      <t>5</t>
    </r>
    <r>
      <rPr>
        <b/>
        <sz val="8"/>
        <color theme="1"/>
        <rFont val="Calibri"/>
        <family val="2"/>
        <charset val="238"/>
        <scheme val="minor"/>
      </rPr>
      <t>_30</t>
    </r>
  </si>
  <si>
    <t>K-ZP_30KP vzorec</t>
  </si>
  <si>
    <t>K-ZP_60KP vzorec</t>
  </si>
  <si>
    <t>K-TTP_30 vzorec</t>
  </si>
  <si>
    <t>K-TTP_60 vzorec</t>
  </si>
  <si>
    <t>pH</t>
  </si>
  <si>
    <t>humus</t>
  </si>
  <si>
    <t>KVK</t>
  </si>
  <si>
    <t>P</t>
  </si>
  <si>
    <t>K</t>
  </si>
  <si>
    <t>Váha indikátoru</t>
  </si>
  <si>
    <t>Var. 1 (BPEJ) - aplikována</t>
  </si>
  <si>
    <t>Poznámka</t>
  </si>
  <si>
    <t>Poměr pr/st</t>
  </si>
  <si>
    <t>Hloubka půdy Var. 2</t>
  </si>
  <si>
    <t>Písek</t>
  </si>
  <si>
    <t>Počet</t>
  </si>
  <si>
    <t>Suma hodnot</t>
  </si>
  <si>
    <t>pruměrná BD</t>
  </si>
  <si>
    <t xml:space="preserve">počet </t>
  </si>
  <si>
    <t>Jíl od</t>
  </si>
  <si>
    <t>Jíl do</t>
  </si>
  <si>
    <t>Písek od</t>
  </si>
  <si>
    <t>Písek do</t>
  </si>
  <si>
    <t>průměr BD</t>
  </si>
  <si>
    <t>Odhad BD</t>
  </si>
  <si>
    <t>do</t>
  </si>
  <si>
    <t>Reálné BD</t>
  </si>
  <si>
    <t>Sloučené BD</t>
  </si>
  <si>
    <t>Odhad objemové hmotnosti (BD)</t>
  </si>
  <si>
    <t>váha proměnné</t>
  </si>
  <si>
    <t>mocnost</t>
  </si>
  <si>
    <t>zrnitost</t>
  </si>
  <si>
    <t>svažitost</t>
  </si>
  <si>
    <t>expozice</t>
  </si>
  <si>
    <t>skeletovitost</t>
  </si>
  <si>
    <t>tab 5</t>
  </si>
  <si>
    <t>Obj. hm.</t>
  </si>
  <si>
    <t>GP</t>
  </si>
  <si>
    <t>%</t>
  </si>
  <si>
    <t>tab 4</t>
  </si>
  <si>
    <t>priority vector</t>
  </si>
  <si>
    <t>total weighted vector</t>
  </si>
  <si>
    <t>lambda max</t>
  </si>
  <si>
    <t>Consistency index</t>
  </si>
  <si>
    <t>Consistency ratio</t>
  </si>
  <si>
    <t>CR&lt;0.1, konzistentní :-)</t>
  </si>
  <si>
    <t>Total</t>
  </si>
  <si>
    <t>Saatyho matice proměnných</t>
  </si>
  <si>
    <t>Saatyho matice konstantních</t>
  </si>
  <si>
    <t>tab 1</t>
  </si>
  <si>
    <t>Kod_sondy</t>
  </si>
  <si>
    <t>OKRES</t>
  </si>
  <si>
    <t>MOCNOST1</t>
  </si>
  <si>
    <t>MOCNOST2</t>
  </si>
  <si>
    <t>Kutna Hora</t>
  </si>
  <si>
    <t>Kutna_Hora</t>
  </si>
  <si>
    <t>Mlada Boleslav</t>
  </si>
  <si>
    <t>Mlada_Boleslav</t>
  </si>
  <si>
    <t>Pribram</t>
  </si>
  <si>
    <t>pribram</t>
  </si>
  <si>
    <t>Okres</t>
  </si>
  <si>
    <t>Mocnost 2. h</t>
  </si>
  <si>
    <t>písek</t>
  </si>
  <si>
    <t>Objemová hmotnost 30</t>
  </si>
  <si>
    <t>Objemová hmotnost 60</t>
  </si>
  <si>
    <t>Var. 2 APLIKOVÁNA</t>
  </si>
  <si>
    <t>Mocnost horiz (cm)</t>
  </si>
  <si>
    <t>Mocnost 1. horiz (cm)</t>
  </si>
  <si>
    <t>Zrnitost % jílu -č. &lt;0,01</t>
  </si>
  <si>
    <t>Obsah humusu</t>
  </si>
  <si>
    <t>Var. 1 APLIKOVÁNA</t>
  </si>
  <si>
    <t xml:space="preserve">Expozice </t>
  </si>
  <si>
    <r>
      <rPr>
        <b/>
        <sz val="24"/>
        <rFont val="Calibri"/>
        <family val="2"/>
        <charset val="238"/>
        <scheme val="minor"/>
      </rPr>
      <t xml:space="preserve">Heslo pro úpravu dat: </t>
    </r>
    <r>
      <rPr>
        <b/>
        <sz val="24"/>
        <color rgb="FFFF0000"/>
        <rFont val="Calibri"/>
        <family val="2"/>
        <charset val="238"/>
        <scheme val="minor"/>
      </rPr>
      <t>soil</t>
    </r>
  </si>
  <si>
    <r>
      <t xml:space="preserve">↓↓↓ LZE PŘEPISOVAT </t>
    </r>
    <r>
      <rPr>
        <b/>
        <sz val="11"/>
        <color rgb="FFFF0000"/>
        <rFont val="Calibri"/>
        <family val="2"/>
        <charset val="238"/>
      </rPr>
      <t>↓↓↓</t>
    </r>
  </si>
  <si>
    <t>ZP mimo TTP</t>
  </si>
  <si>
    <t>Kvalita ekosystému</t>
  </si>
  <si>
    <t>Indikátory mimoprodukční</t>
  </si>
  <si>
    <t>Saatyho matice mimoprodukčních</t>
  </si>
  <si>
    <t xml:space="preserve">Poměr </t>
  </si>
  <si>
    <t>Kv. Ekosystému</t>
  </si>
  <si>
    <t>zrnitost  &lt;0,01_30</t>
  </si>
  <si>
    <t>zrnitost &lt;0,01_60</t>
  </si>
  <si>
    <t>Sloupec1</t>
  </si>
  <si>
    <t>Skóre proměnné 0_30</t>
  </si>
  <si>
    <t>Skóre stabilní 0_30</t>
  </si>
  <si>
    <t>CELKOVÉ  SKÓRE 0_30</t>
  </si>
  <si>
    <t>CELKOVÉ SKÓRE 30_60</t>
  </si>
  <si>
    <t>Skóre proměnné 30_60</t>
  </si>
  <si>
    <t>Skóre stabilní 30_60</t>
  </si>
  <si>
    <t>SKÓRE MIMOPRODUKČNÍ</t>
  </si>
  <si>
    <t xml:space="preserve">CELKOVÁ HODNOTA PŮDY </t>
  </si>
  <si>
    <t>COORX_dopl</t>
  </si>
  <si>
    <t>COORY_dopl</t>
  </si>
  <si>
    <t>ROZPĚTÍ HODNOT</t>
  </si>
  <si>
    <t>ROZDÍL</t>
  </si>
  <si>
    <t>MIN</t>
  </si>
  <si>
    <t>pHKCl_30</t>
  </si>
  <si>
    <t>pHKCl_60</t>
  </si>
  <si>
    <t>P2O5_30</t>
  </si>
  <si>
    <t>P2O5_60</t>
  </si>
  <si>
    <t>K2O_30</t>
  </si>
  <si>
    <t>K2O_60</t>
  </si>
  <si>
    <t>Průměr</t>
  </si>
  <si>
    <t>Prd/MPrd</t>
  </si>
  <si>
    <t>celk_hod</t>
  </si>
  <si>
    <t>Půdní sonda</t>
  </si>
  <si>
    <t>pHKCl 0-30</t>
  </si>
  <si>
    <t>pHKCl 0-60</t>
  </si>
  <si>
    <t>humus 0-30</t>
  </si>
  <si>
    <t>humus 30-60</t>
  </si>
  <si>
    <t>T 0-30</t>
  </si>
  <si>
    <t>T 30-60</t>
  </si>
  <si>
    <t>V 0-30</t>
  </si>
  <si>
    <t>V 30-60</t>
  </si>
  <si>
    <t>Obj.hm. 0-30</t>
  </si>
  <si>
    <t>Obj.hm. 30-60</t>
  </si>
  <si>
    <t>zrnitost &lt;0,01 30-60</t>
  </si>
  <si>
    <t>zrnitost &lt;0,01 0-30</t>
  </si>
  <si>
    <t>Mocnost 1. h.</t>
  </si>
  <si>
    <t>Mocnost 2. h.</t>
  </si>
  <si>
    <r>
      <t>P</t>
    </r>
    <r>
      <rPr>
        <b/>
        <vertAlign val="subscript"/>
        <sz val="12"/>
        <color theme="1"/>
        <rFont val="Times New Roman"/>
        <family val="1"/>
        <charset val="238"/>
      </rPr>
      <t>2</t>
    </r>
    <r>
      <rPr>
        <b/>
        <sz val="12"/>
        <color theme="1"/>
        <rFont val="Times New Roman"/>
        <family val="1"/>
        <charset val="238"/>
      </rPr>
      <t>O</t>
    </r>
    <r>
      <rPr>
        <b/>
        <vertAlign val="subscript"/>
        <sz val="12"/>
        <color theme="1"/>
        <rFont val="Times New Roman"/>
        <family val="1"/>
        <charset val="238"/>
      </rPr>
      <t xml:space="preserve">5 </t>
    </r>
    <r>
      <rPr>
        <b/>
        <sz val="12"/>
        <color theme="1"/>
        <rFont val="Times New Roman"/>
        <family val="1"/>
        <charset val="238"/>
      </rPr>
      <t>0-30</t>
    </r>
  </si>
  <si>
    <r>
      <t>P</t>
    </r>
    <r>
      <rPr>
        <b/>
        <vertAlign val="subscript"/>
        <sz val="12"/>
        <color theme="1"/>
        <rFont val="Times New Roman"/>
        <family val="1"/>
        <charset val="238"/>
      </rPr>
      <t>2</t>
    </r>
    <r>
      <rPr>
        <b/>
        <sz val="12"/>
        <color theme="1"/>
        <rFont val="Times New Roman"/>
        <family val="1"/>
        <charset val="238"/>
      </rPr>
      <t>O</t>
    </r>
    <r>
      <rPr>
        <b/>
        <vertAlign val="subscript"/>
        <sz val="12"/>
        <color theme="1"/>
        <rFont val="Times New Roman"/>
        <family val="1"/>
        <charset val="238"/>
      </rPr>
      <t xml:space="preserve">5 </t>
    </r>
    <r>
      <rPr>
        <b/>
        <sz val="12"/>
        <color theme="1"/>
        <rFont val="Times New Roman"/>
        <family val="1"/>
        <charset val="238"/>
      </rPr>
      <t>30-60</t>
    </r>
  </si>
  <si>
    <r>
      <t>K</t>
    </r>
    <r>
      <rPr>
        <b/>
        <vertAlign val="subscript"/>
        <sz val="12"/>
        <color theme="1"/>
        <rFont val="Times New Roman"/>
        <family val="1"/>
        <charset val="238"/>
      </rPr>
      <t>2</t>
    </r>
    <r>
      <rPr>
        <b/>
        <sz val="12"/>
        <color theme="1"/>
        <rFont val="Times New Roman"/>
        <family val="1"/>
        <charset val="238"/>
      </rPr>
      <t>O 0-30</t>
    </r>
  </si>
  <si>
    <r>
      <t>K</t>
    </r>
    <r>
      <rPr>
        <b/>
        <vertAlign val="subscript"/>
        <sz val="12"/>
        <color theme="1"/>
        <rFont val="Times New Roman"/>
        <family val="1"/>
        <charset val="238"/>
      </rPr>
      <t>2</t>
    </r>
    <r>
      <rPr>
        <b/>
        <sz val="12"/>
        <color theme="1"/>
        <rFont val="Times New Roman"/>
        <family val="1"/>
        <charset val="238"/>
      </rPr>
      <t>O 30-60</t>
    </r>
  </si>
  <si>
    <t>Proměnné 0 - 30</t>
  </si>
  <si>
    <t>Proměnné 30 - 60</t>
  </si>
  <si>
    <t>Stabilní 0 - 30</t>
  </si>
  <si>
    <t>Stabilní 30 - 60</t>
  </si>
  <si>
    <t>Celkové skóre 0 - 30</t>
  </si>
  <si>
    <t>Celkové skóre 30 - 60</t>
  </si>
  <si>
    <t>Skóre mimoprodukční</t>
  </si>
  <si>
    <t>Celková hodnota půdy (produkční + mimoprodukční)</t>
  </si>
  <si>
    <t>Data k diplomové práci - Řeháček Lukáš</t>
  </si>
  <si>
    <t>Součást projektu „Udržitelné hospodaření s přírodními zdroji s důrazem na mimoprodukční a produkční schopnosti půdy.</t>
  </si>
  <si>
    <t>Projekt je součástí programu aplikovaného výzkumu Ministerstva zemědělství na období 2017-2025.</t>
  </si>
  <si>
    <t>V případě diplomové práce se hodnotí data pouze z okresu Mladá Boleslav.</t>
  </si>
  <si>
    <t>Data jsou dále zhodnocena pro okresy Kutná Hora a Příbram, které nejsou součástí práce, ale slouží pouze k srovnání (např. z hlediska úrodnosti).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</si>
</sst>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0.0000"/>
    <numFmt numFmtId="167" formatCode="0.000000"/>
    <numFmt numFmtId="168" formatCode="0.00000"/>
  </numFmts>
  <fonts count="4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</font>
    <font>
      <b/>
      <sz val="8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vertAlign val="subscript"/>
      <sz val="8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b/>
      <sz val="11"/>
      <color rgb="FF0061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24"/>
      <color rgb="FFFF000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  <font>
      <b/>
      <sz val="10"/>
      <color rgb="FFFF000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0"/>
      <color theme="1"/>
      <name val="Calibri"/>
      <family val="2"/>
      <charset val="238"/>
    </font>
    <font>
      <sz val="9"/>
      <color indexed="81"/>
      <name val="Tahoma"/>
      <family val="2"/>
      <charset val="238"/>
    </font>
    <font>
      <b/>
      <sz val="12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vertAlign val="subscript"/>
      <sz val="12"/>
      <color theme="1"/>
      <name val="Times New Roman"/>
      <family val="1"/>
      <charset val="238"/>
    </font>
    <font>
      <b/>
      <sz val="12"/>
      <name val="Times New Roman"/>
      <family val="1"/>
      <charset val="238"/>
    </font>
    <font>
      <sz val="18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7030A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8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/>
      <top style="thin">
        <color auto="1"/>
      </top>
      <bottom style="medium">
        <color rgb="FFFF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rgb="FFFF0000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rgb="FFFF0000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18" fillId="23" borderId="0" applyNumberFormat="0" applyBorder="0" applyAlignment="0" applyProtection="0"/>
    <xf numFmtId="0" fontId="23" fillId="0" borderId="0"/>
  </cellStyleXfs>
  <cellXfs count="498">
    <xf numFmtId="0" fontId="0" fillId="0" borderId="0" xfId="0"/>
    <xf numFmtId="0" fontId="2" fillId="0" borderId="0" xfId="0" applyFont="1" applyBorder="1"/>
    <xf numFmtId="0" fontId="3" fillId="0" borderId="0" xfId="0" applyFont="1" applyBorder="1"/>
    <xf numFmtId="0" fontId="2" fillId="3" borderId="0" xfId="0" applyFont="1" applyFill="1" applyBorder="1"/>
    <xf numFmtId="2" fontId="5" fillId="0" borderId="2" xfId="1" applyNumberFormat="1" applyFont="1" applyFill="1" applyBorder="1" applyAlignment="1" applyProtection="1"/>
    <xf numFmtId="2" fontId="5" fillId="0" borderId="2" xfId="1" applyNumberFormat="1" applyFont="1" applyFill="1" applyBorder="1" applyAlignment="1" applyProtection="1">
      <alignment horizontal="center"/>
    </xf>
    <xf numFmtId="0" fontId="2" fillId="0" borderId="1" xfId="0" applyFont="1" applyBorder="1"/>
    <xf numFmtId="2" fontId="3" fillId="0" borderId="2" xfId="0" applyNumberFormat="1" applyFont="1" applyBorder="1"/>
    <xf numFmtId="2" fontId="3" fillId="0" borderId="0" xfId="0" applyNumberFormat="1" applyFont="1" applyBorder="1"/>
    <xf numFmtId="2" fontId="0" fillId="0" borderId="0" xfId="0" applyNumberFormat="1"/>
    <xf numFmtId="2" fontId="2" fillId="0" borderId="0" xfId="0" applyNumberFormat="1" applyFont="1" applyBorder="1"/>
    <xf numFmtId="2" fontId="2" fillId="3" borderId="3" xfId="0" applyNumberFormat="1" applyFont="1" applyFill="1" applyBorder="1"/>
    <xf numFmtId="2" fontId="2" fillId="3" borderId="4" xfId="0" applyNumberFormat="1" applyFont="1" applyFill="1" applyBorder="1"/>
    <xf numFmtId="2" fontId="2" fillId="3" borderId="5" xfId="0" applyNumberFormat="1" applyFont="1" applyFill="1" applyBorder="1"/>
    <xf numFmtId="2" fontId="2" fillId="3" borderId="2" xfId="0" quotePrefix="1" applyNumberFormat="1" applyFont="1" applyFill="1" applyBorder="1"/>
    <xf numFmtId="2" fontId="3" fillId="0" borderId="0" xfId="0" applyNumberFormat="1" applyFont="1"/>
    <xf numFmtId="2" fontId="3" fillId="0" borderId="2" xfId="0" quotePrefix="1" applyNumberFormat="1" applyFont="1" applyBorder="1"/>
    <xf numFmtId="2" fontId="2" fillId="0" borderId="1" xfId="0" applyNumberFormat="1" applyFont="1" applyBorder="1"/>
    <xf numFmtId="0" fontId="3" fillId="0" borderId="0" xfId="0" applyNumberFormat="1" applyFont="1" applyBorder="1"/>
    <xf numFmtId="0" fontId="2" fillId="3" borderId="4" xfId="0" applyNumberFormat="1" applyFont="1" applyFill="1" applyBorder="1"/>
    <xf numFmtId="0" fontId="3" fillId="0" borderId="2" xfId="0" applyNumberFormat="1" applyFont="1" applyBorder="1"/>
    <xf numFmtId="49" fontId="0" fillId="0" borderId="0" xfId="0" applyNumberFormat="1"/>
    <xf numFmtId="2" fontId="0" fillId="0" borderId="0" xfId="0" applyNumberFormat="1" applyFill="1" applyBorder="1"/>
    <xf numFmtId="0" fontId="0" fillId="0" borderId="2" xfId="0" applyFont="1" applyBorder="1"/>
    <xf numFmtId="0" fontId="0" fillId="0" borderId="7" xfId="0" applyFont="1" applyBorder="1"/>
    <xf numFmtId="0" fontId="0" fillId="0" borderId="11" xfId="0" applyFont="1" applyBorder="1"/>
    <xf numFmtId="0" fontId="0" fillId="7" borderId="14" xfId="0" applyFont="1" applyFill="1" applyBorder="1"/>
    <xf numFmtId="2" fontId="0" fillId="0" borderId="12" xfId="0" applyNumberFormat="1" applyFont="1" applyBorder="1"/>
    <xf numFmtId="2" fontId="0" fillId="0" borderId="11" xfId="0" applyNumberFormat="1" applyFont="1" applyBorder="1"/>
    <xf numFmtId="2" fontId="0" fillId="0" borderId="2" xfId="0" applyNumberFormat="1" applyFont="1" applyBorder="1"/>
    <xf numFmtId="2" fontId="0" fillId="0" borderId="11" xfId="0" applyNumberFormat="1" applyFont="1" applyFill="1" applyBorder="1"/>
    <xf numFmtId="0" fontId="9" fillId="6" borderId="13" xfId="0" applyFont="1" applyFill="1" applyBorder="1"/>
    <xf numFmtId="0" fontId="9" fillId="6" borderId="14" xfId="0" applyFont="1" applyFill="1" applyBorder="1"/>
    <xf numFmtId="0" fontId="0" fillId="4" borderId="11" xfId="0" applyFont="1" applyFill="1" applyBorder="1"/>
    <xf numFmtId="0" fontId="0" fillId="4" borderId="7" xfId="0" applyFont="1" applyFill="1" applyBorder="1"/>
    <xf numFmtId="0" fontId="0" fillId="4" borderId="2" xfId="0" applyFont="1" applyFill="1" applyBorder="1" applyAlignment="1">
      <alignment horizontal="right"/>
    </xf>
    <xf numFmtId="2" fontId="0" fillId="4" borderId="12" xfId="0" applyNumberFormat="1" applyFont="1" applyFill="1" applyBorder="1" applyAlignment="1">
      <alignment horizontal="left"/>
    </xf>
    <xf numFmtId="2" fontId="0" fillId="4" borderId="11" xfId="0" applyNumberFormat="1" applyFont="1" applyFill="1" applyBorder="1" applyAlignment="1">
      <alignment horizontal="right"/>
    </xf>
    <xf numFmtId="2" fontId="0" fillId="4" borderId="2" xfId="0" applyNumberFormat="1" applyFont="1" applyFill="1" applyBorder="1"/>
    <xf numFmtId="2" fontId="0" fillId="4" borderId="2" xfId="0" applyNumberFormat="1" applyFont="1" applyFill="1" applyBorder="1" applyAlignment="1">
      <alignment horizontal="left"/>
    </xf>
    <xf numFmtId="2" fontId="0" fillId="4" borderId="11" xfId="0" applyNumberFormat="1" applyFont="1" applyFill="1" applyBorder="1" applyAlignment="1">
      <alignment horizontal="left"/>
    </xf>
    <xf numFmtId="2" fontId="0" fillId="4" borderId="12" xfId="0" applyNumberFormat="1" applyFont="1" applyFill="1" applyBorder="1"/>
    <xf numFmtId="2" fontId="0" fillId="4" borderId="11" xfId="0" applyNumberFormat="1" applyFont="1" applyFill="1" applyBorder="1"/>
    <xf numFmtId="0" fontId="0" fillId="0" borderId="2" xfId="0" applyFont="1" applyBorder="1" applyAlignment="1">
      <alignment horizontal="right"/>
    </xf>
    <xf numFmtId="2" fontId="0" fillId="0" borderId="12" xfId="0" applyNumberFormat="1" applyFont="1" applyBorder="1" applyAlignment="1">
      <alignment horizontal="left"/>
    </xf>
    <xf numFmtId="2" fontId="0" fillId="0" borderId="11" xfId="0" applyNumberFormat="1" applyFont="1" applyBorder="1" applyAlignment="1">
      <alignment horizontal="right"/>
    </xf>
    <xf numFmtId="2" fontId="0" fillId="0" borderId="2" xfId="0" applyNumberFormat="1" applyFont="1" applyBorder="1" applyAlignment="1">
      <alignment horizontal="left"/>
    </xf>
    <xf numFmtId="2" fontId="0" fillId="0" borderId="11" xfId="0" applyNumberFormat="1" applyFont="1" applyBorder="1" applyAlignment="1">
      <alignment horizontal="left"/>
    </xf>
    <xf numFmtId="2" fontId="0" fillId="5" borderId="2" xfId="0" applyNumberFormat="1" applyFont="1" applyFill="1" applyBorder="1" applyAlignment="1">
      <alignment horizontal="left"/>
    </xf>
    <xf numFmtId="2" fontId="0" fillId="5" borderId="2" xfId="0" applyNumberFormat="1" applyFont="1" applyFill="1" applyBorder="1"/>
    <xf numFmtId="2" fontId="0" fillId="5" borderId="12" xfId="0" applyNumberFormat="1" applyFont="1" applyFill="1" applyBorder="1"/>
    <xf numFmtId="2" fontId="0" fillId="5" borderId="11" xfId="0" applyNumberFormat="1" applyFont="1" applyFill="1" applyBorder="1"/>
    <xf numFmtId="2" fontId="0" fillId="0" borderId="2" xfId="0" applyNumberFormat="1" applyFont="1" applyFill="1" applyBorder="1"/>
    <xf numFmtId="0" fontId="0" fillId="4" borderId="18" xfId="0" applyFont="1" applyFill="1" applyBorder="1"/>
    <xf numFmtId="0" fontId="0" fillId="4" borderId="19" xfId="0" applyFont="1" applyFill="1" applyBorder="1"/>
    <xf numFmtId="0" fontId="0" fillId="4" borderId="20" xfId="0" applyFont="1" applyFill="1" applyBorder="1" applyAlignment="1">
      <alignment horizontal="right"/>
    </xf>
    <xf numFmtId="2" fontId="0" fillId="4" borderId="21" xfId="0" applyNumberFormat="1" applyFont="1" applyFill="1" applyBorder="1" applyAlignment="1">
      <alignment horizontal="left"/>
    </xf>
    <xf numFmtId="2" fontId="0" fillId="4" borderId="18" xfId="0" applyNumberFormat="1" applyFont="1" applyFill="1" applyBorder="1" applyAlignment="1">
      <alignment horizontal="right"/>
    </xf>
    <xf numFmtId="2" fontId="0" fillId="4" borderId="20" xfId="0" applyNumberFormat="1" applyFont="1" applyFill="1" applyBorder="1"/>
    <xf numFmtId="2" fontId="0" fillId="4" borderId="21" xfId="0" applyNumberFormat="1" applyFont="1" applyFill="1" applyBorder="1"/>
    <xf numFmtId="2" fontId="0" fillId="4" borderId="18" xfId="0" applyNumberFormat="1" applyFont="1" applyFill="1" applyBorder="1" applyAlignment="1">
      <alignment horizontal="left"/>
    </xf>
    <xf numFmtId="2" fontId="0" fillId="4" borderId="20" xfId="0" applyNumberFormat="1" applyFont="1" applyFill="1" applyBorder="1" applyAlignment="1">
      <alignment horizontal="left"/>
    </xf>
    <xf numFmtId="2" fontId="0" fillId="4" borderId="18" xfId="0" applyNumberFormat="1" applyFont="1" applyFill="1" applyBorder="1"/>
    <xf numFmtId="0" fontId="7" fillId="7" borderId="13" xfId="0" applyFont="1" applyFill="1" applyBorder="1"/>
    <xf numFmtId="0" fontId="0" fillId="0" borderId="2" xfId="0" applyFont="1" applyFill="1" applyBorder="1" applyAlignment="1">
      <alignment horizontal="right"/>
    </xf>
    <xf numFmtId="0" fontId="0" fillId="0" borderId="11" xfId="0" applyFont="1" applyFill="1" applyBorder="1"/>
    <xf numFmtId="0" fontId="0" fillId="0" borderId="0" xfId="0" applyFill="1" applyBorder="1"/>
    <xf numFmtId="49" fontId="0" fillId="0" borderId="0" xfId="0" applyNumberFormat="1" applyFill="1" applyBorder="1"/>
    <xf numFmtId="2" fontId="2" fillId="8" borderId="4" xfId="0" applyNumberFormat="1" applyFont="1" applyFill="1" applyBorder="1"/>
    <xf numFmtId="2" fontId="2" fillId="9" borderId="4" xfId="0" applyNumberFormat="1" applyFont="1" applyFill="1" applyBorder="1"/>
    <xf numFmtId="0" fontId="0" fillId="4" borderId="2" xfId="0" applyFont="1" applyFill="1" applyBorder="1"/>
    <xf numFmtId="0" fontId="0" fillId="4" borderId="20" xfId="0" applyFont="1" applyFill="1" applyBorder="1"/>
    <xf numFmtId="2" fontId="11" fillId="4" borderId="12" xfId="0" applyNumberFormat="1" applyFont="1" applyFill="1" applyBorder="1" applyAlignment="1">
      <alignment horizontal="left"/>
    </xf>
    <xf numFmtId="2" fontId="11" fillId="4" borderId="11" xfId="0" applyNumberFormat="1" applyFont="1" applyFill="1" applyBorder="1" applyAlignment="1">
      <alignment horizontal="right"/>
    </xf>
    <xf numFmtId="2" fontId="11" fillId="4" borderId="2" xfId="0" applyNumberFormat="1" applyFont="1" applyFill="1" applyBorder="1" applyAlignment="1">
      <alignment horizontal="left"/>
    </xf>
    <xf numFmtId="2" fontId="11" fillId="4" borderId="11" xfId="0" applyNumberFormat="1" applyFont="1" applyFill="1" applyBorder="1" applyAlignment="1">
      <alignment horizontal="left"/>
    </xf>
    <xf numFmtId="2" fontId="11" fillId="4" borderId="12" xfId="0" applyNumberFormat="1" applyFont="1" applyFill="1" applyBorder="1"/>
    <xf numFmtId="2" fontId="11" fillId="4" borderId="11" xfId="0" applyNumberFormat="1" applyFont="1" applyFill="1" applyBorder="1"/>
    <xf numFmtId="2" fontId="11" fillId="4" borderId="2" xfId="0" applyNumberFormat="1" applyFont="1" applyFill="1" applyBorder="1"/>
    <xf numFmtId="0" fontId="11" fillId="0" borderId="0" xfId="0" applyFont="1"/>
    <xf numFmtId="2" fontId="11" fillId="0" borderId="12" xfId="0" applyNumberFormat="1" applyFont="1" applyBorder="1" applyAlignment="1">
      <alignment horizontal="left"/>
    </xf>
    <xf numFmtId="2" fontId="11" fillId="0" borderId="11" xfId="0" applyNumberFormat="1" applyFont="1" applyBorder="1" applyAlignment="1">
      <alignment horizontal="right"/>
    </xf>
    <xf numFmtId="2" fontId="11" fillId="0" borderId="2" xfId="0" applyNumberFormat="1" applyFont="1" applyBorder="1" applyAlignment="1">
      <alignment horizontal="left"/>
    </xf>
    <xf numFmtId="2" fontId="11" fillId="0" borderId="11" xfId="0" applyNumberFormat="1" applyFont="1" applyBorder="1" applyAlignment="1">
      <alignment horizontal="left"/>
    </xf>
    <xf numFmtId="2" fontId="11" fillId="5" borderId="2" xfId="0" applyNumberFormat="1" applyFont="1" applyFill="1" applyBorder="1" applyAlignment="1">
      <alignment horizontal="left"/>
    </xf>
    <xf numFmtId="2" fontId="11" fillId="0" borderId="12" xfId="0" applyNumberFormat="1" applyFont="1" applyBorder="1"/>
    <xf numFmtId="2" fontId="11" fillId="0" borderId="11" xfId="0" applyNumberFormat="1" applyFont="1" applyFill="1" applyBorder="1"/>
    <xf numFmtId="2" fontId="11" fillId="5" borderId="2" xfId="0" applyNumberFormat="1" applyFont="1" applyFill="1" applyBorder="1"/>
    <xf numFmtId="2" fontId="11" fillId="5" borderId="12" xfId="0" applyNumberFormat="1" applyFont="1" applyFill="1" applyBorder="1"/>
    <xf numFmtId="2" fontId="11" fillId="5" borderId="11" xfId="0" applyNumberFormat="1" applyFont="1" applyFill="1" applyBorder="1"/>
    <xf numFmtId="2" fontId="11" fillId="0" borderId="11" xfId="0" applyNumberFormat="1" applyFont="1" applyBorder="1"/>
    <xf numFmtId="2" fontId="11" fillId="0" borderId="2" xfId="0" applyNumberFormat="1" applyFont="1" applyFill="1" applyBorder="1"/>
    <xf numFmtId="2" fontId="0" fillId="10" borderId="11" xfId="0" applyNumberFormat="1" applyFont="1" applyFill="1" applyBorder="1"/>
    <xf numFmtId="2" fontId="0" fillId="10" borderId="2" xfId="0" applyNumberFormat="1" applyFont="1" applyFill="1" applyBorder="1"/>
    <xf numFmtId="2" fontId="0" fillId="10" borderId="12" xfId="0" applyNumberFormat="1" applyFont="1" applyFill="1" applyBorder="1"/>
    <xf numFmtId="2" fontId="0" fillId="10" borderId="2" xfId="0" applyNumberFormat="1" applyFont="1" applyFill="1" applyBorder="1" applyAlignment="1">
      <alignment horizontal="left"/>
    </xf>
    <xf numFmtId="2" fontId="0" fillId="11" borderId="11" xfId="0" applyNumberFormat="1" applyFont="1" applyFill="1" applyBorder="1"/>
    <xf numFmtId="2" fontId="0" fillId="11" borderId="2" xfId="0" applyNumberFormat="1" applyFont="1" applyFill="1" applyBorder="1"/>
    <xf numFmtId="2" fontId="0" fillId="11" borderId="12" xfId="0" applyNumberFormat="1" applyFont="1" applyFill="1" applyBorder="1"/>
    <xf numFmtId="0" fontId="0" fillId="11" borderId="2" xfId="0" applyFont="1" applyFill="1" applyBorder="1"/>
    <xf numFmtId="0" fontId="0" fillId="12" borderId="11" xfId="0" applyFont="1" applyFill="1" applyBorder="1"/>
    <xf numFmtId="0" fontId="0" fillId="12" borderId="2" xfId="0" applyFont="1" applyFill="1" applyBorder="1" applyAlignment="1">
      <alignment horizontal="right"/>
    </xf>
    <xf numFmtId="2" fontId="0" fillId="12" borderId="12" xfId="0" applyNumberFormat="1" applyFont="1" applyFill="1" applyBorder="1"/>
    <xf numFmtId="2" fontId="0" fillId="12" borderId="11" xfId="0" applyNumberFormat="1" applyFont="1" applyFill="1" applyBorder="1"/>
    <xf numFmtId="2" fontId="0" fillId="12" borderId="2" xfId="0" applyNumberFormat="1" applyFont="1" applyFill="1" applyBorder="1"/>
    <xf numFmtId="0" fontId="0" fillId="12" borderId="2" xfId="0" applyFont="1" applyFill="1" applyBorder="1"/>
    <xf numFmtId="0" fontId="0" fillId="12" borderId="0" xfId="0" applyFill="1"/>
    <xf numFmtId="2" fontId="0" fillId="12" borderId="0" xfId="0" applyNumberFormat="1" applyFill="1"/>
    <xf numFmtId="0" fontId="0" fillId="11" borderId="0" xfId="0" applyFill="1"/>
    <xf numFmtId="2" fontId="0" fillId="11" borderId="0" xfId="0" applyNumberFormat="1" applyFill="1"/>
    <xf numFmtId="0" fontId="0" fillId="10" borderId="0" xfId="0" applyFill="1"/>
    <xf numFmtId="2" fontId="0" fillId="10" borderId="0" xfId="0" applyNumberFormat="1" applyFill="1"/>
    <xf numFmtId="2" fontId="2" fillId="3" borderId="2" xfId="0" applyNumberFormat="1" applyFont="1" applyFill="1" applyBorder="1" applyAlignment="1">
      <alignment horizontal="center" vertical="center" wrapText="1"/>
    </xf>
    <xf numFmtId="2" fontId="2" fillId="3" borderId="2" xfId="0" applyNumberFormat="1" applyFont="1" applyFill="1" applyBorder="1" applyAlignment="1">
      <alignment horizontal="center" wrapText="1"/>
    </xf>
    <xf numFmtId="0" fontId="0" fillId="0" borderId="0" xfId="0" applyNumberFormat="1"/>
    <xf numFmtId="2" fontId="2" fillId="2" borderId="1" xfId="0" applyNumberFormat="1" applyFont="1" applyFill="1" applyBorder="1" applyAlignment="1"/>
    <xf numFmtId="2" fontId="2" fillId="2" borderId="0" xfId="0" applyNumberFormat="1" applyFont="1" applyFill="1" applyBorder="1" applyAlignment="1"/>
    <xf numFmtId="1" fontId="0" fillId="4" borderId="11" xfId="0" applyNumberFormat="1" applyFont="1" applyFill="1" applyBorder="1"/>
    <xf numFmtId="1" fontId="0" fillId="4" borderId="2" xfId="0" applyNumberFormat="1" applyFont="1" applyFill="1" applyBorder="1"/>
    <xf numFmtId="1" fontId="0" fillId="4" borderId="12" xfId="0" applyNumberFormat="1" applyFont="1" applyFill="1" applyBorder="1"/>
    <xf numFmtId="1" fontId="10" fillId="4" borderId="2" xfId="0" applyNumberFormat="1" applyFont="1" applyFill="1" applyBorder="1"/>
    <xf numFmtId="0" fontId="2" fillId="0" borderId="0" xfId="0" applyFont="1" applyFill="1" applyBorder="1"/>
    <xf numFmtId="2" fontId="2" fillId="0" borderId="0" xfId="0" applyNumberFormat="1" applyFont="1" applyFill="1" applyBorder="1"/>
    <xf numFmtId="0" fontId="2" fillId="7" borderId="2" xfId="0" applyFont="1" applyFill="1" applyBorder="1" applyAlignment="1">
      <alignment horizontal="center"/>
    </xf>
    <xf numFmtId="0" fontId="11" fillId="15" borderId="11" xfId="0" applyFont="1" applyFill="1" applyBorder="1"/>
    <xf numFmtId="0" fontId="7" fillId="0" borderId="0" xfId="0" applyFont="1"/>
    <xf numFmtId="0" fontId="10" fillId="0" borderId="0" xfId="0" applyFont="1"/>
    <xf numFmtId="0" fontId="6" fillId="0" borderId="0" xfId="0" applyFont="1"/>
    <xf numFmtId="0" fontId="9" fillId="0" borderId="0" xfId="0" applyFont="1"/>
    <xf numFmtId="2" fontId="11" fillId="15" borderId="0" xfId="0" applyNumberFormat="1" applyFont="1" applyFill="1"/>
    <xf numFmtId="2" fontId="0" fillId="16" borderId="0" xfId="0" applyNumberFormat="1" applyFill="1" applyBorder="1"/>
    <xf numFmtId="2" fontId="12" fillId="0" borderId="0" xfId="0" applyNumberFormat="1" applyFont="1" applyBorder="1"/>
    <xf numFmtId="0" fontId="2" fillId="3" borderId="0" xfId="0" applyFont="1" applyFill="1" applyBorder="1" applyAlignment="1">
      <alignment horizontal="center" wrapText="1"/>
    </xf>
    <xf numFmtId="0" fontId="0" fillId="0" borderId="7" xfId="0" applyFont="1" applyFill="1" applyBorder="1"/>
    <xf numFmtId="2" fontId="3" fillId="17" borderId="2" xfId="0" applyNumberFormat="1" applyFont="1" applyFill="1" applyBorder="1"/>
    <xf numFmtId="0" fontId="0" fillId="0" borderId="0" xfId="0" applyBorder="1"/>
    <xf numFmtId="2" fontId="3" fillId="0" borderId="0" xfId="0" applyNumberFormat="1" applyFont="1" applyFill="1" applyBorder="1"/>
    <xf numFmtId="2" fontId="2" fillId="3" borderId="4" xfId="0" applyNumberFormat="1" applyFont="1" applyFill="1" applyBorder="1" applyAlignment="1">
      <alignment wrapText="1"/>
    </xf>
    <xf numFmtId="1" fontId="0" fillId="0" borderId="0" xfId="0" applyNumberFormat="1"/>
    <xf numFmtId="0" fontId="0" fillId="0" borderId="0" xfId="0"/>
    <xf numFmtId="0" fontId="13" fillId="8" borderId="2" xfId="0" applyFont="1" applyFill="1" applyBorder="1"/>
    <xf numFmtId="0" fontId="13" fillId="14" borderId="2" xfId="0" applyFont="1" applyFill="1" applyBorder="1"/>
    <xf numFmtId="0" fontId="13" fillId="18" borderId="2" xfId="0" applyFont="1" applyFill="1" applyBorder="1"/>
    <xf numFmtId="0" fontId="13" fillId="6" borderId="2" xfId="0" applyFont="1" applyFill="1" applyBorder="1"/>
    <xf numFmtId="0" fontId="13" fillId="9" borderId="2" xfId="0" applyFont="1" applyFill="1" applyBorder="1"/>
    <xf numFmtId="0" fontId="13" fillId="19" borderId="2" xfId="0" applyFont="1" applyFill="1" applyBorder="1"/>
    <xf numFmtId="0" fontId="13" fillId="20" borderId="2" xfId="0" applyFont="1" applyFill="1" applyBorder="1"/>
    <xf numFmtId="164" fontId="12" fillId="0" borderId="0" xfId="0" applyNumberFormat="1" applyFont="1"/>
    <xf numFmtId="0" fontId="12" fillId="0" borderId="22" xfId="0" applyFont="1" applyBorder="1"/>
    <xf numFmtId="2" fontId="0" fillId="0" borderId="0" xfId="0" applyNumberFormat="1" applyFont="1" applyBorder="1"/>
    <xf numFmtId="2" fontId="0" fillId="0" borderId="0" xfId="0" applyNumberFormat="1" applyFont="1" applyFill="1" applyBorder="1"/>
    <xf numFmtId="2" fontId="0" fillId="5" borderId="0" xfId="0" applyNumberFormat="1" applyFont="1" applyFill="1" applyBorder="1"/>
    <xf numFmtId="165" fontId="15" fillId="0" borderId="25" xfId="0" applyNumberFormat="1" applyFont="1" applyBorder="1" applyAlignment="1">
      <alignment horizontal="center"/>
    </xf>
    <xf numFmtId="0" fontId="7" fillId="7" borderId="24" xfId="0" applyFont="1" applyFill="1" applyBorder="1"/>
    <xf numFmtId="0" fontId="6" fillId="0" borderId="7" xfId="0" applyFont="1" applyBorder="1"/>
    <xf numFmtId="1" fontId="7" fillId="7" borderId="24" xfId="0" applyNumberFormat="1" applyFont="1" applyFill="1" applyBorder="1"/>
    <xf numFmtId="0" fontId="2" fillId="22" borderId="2" xfId="0" quotePrefix="1" applyFont="1" applyFill="1" applyBorder="1"/>
    <xf numFmtId="2" fontId="2" fillId="8" borderId="28" xfId="0" applyNumberFormat="1" applyFont="1" applyFill="1" applyBorder="1"/>
    <xf numFmtId="2" fontId="2" fillId="2" borderId="0" xfId="0" applyNumberFormat="1" applyFont="1" applyFill="1" applyBorder="1" applyAlignment="1">
      <alignment horizontal="center"/>
    </xf>
    <xf numFmtId="2" fontId="2" fillId="15" borderId="28" xfId="0" applyNumberFormat="1" applyFont="1" applyFill="1" applyBorder="1"/>
    <xf numFmtId="0" fontId="0" fillId="15" borderId="0" xfId="0" applyFill="1"/>
    <xf numFmtId="2" fontId="16" fillId="0" borderId="0" xfId="0" applyNumberFormat="1" applyFont="1" applyBorder="1"/>
    <xf numFmtId="0" fontId="12" fillId="0" borderId="0" xfId="0" applyFont="1"/>
    <xf numFmtId="165" fontId="15" fillId="0" borderId="0" xfId="0" applyNumberFormat="1" applyFont="1" applyAlignment="1">
      <alignment horizontal="center"/>
    </xf>
    <xf numFmtId="0" fontId="13" fillId="0" borderId="2" xfId="0" applyFont="1" applyBorder="1"/>
    <xf numFmtId="0" fontId="13" fillId="8" borderId="2" xfId="0" applyFont="1" applyFill="1" applyBorder="1" applyAlignment="1">
      <alignment horizontal="center" vertical="center"/>
    </xf>
    <xf numFmtId="0" fontId="13" fillId="14" borderId="2" xfId="0" applyFont="1" applyFill="1" applyBorder="1" applyAlignment="1">
      <alignment horizontal="center" vertical="center"/>
    </xf>
    <xf numFmtId="0" fontId="13" fillId="18" borderId="2" xfId="0" applyFont="1" applyFill="1" applyBorder="1" applyAlignment="1">
      <alignment horizontal="center" vertical="center"/>
    </xf>
    <xf numFmtId="0" fontId="13" fillId="6" borderId="2" xfId="0" applyFont="1" applyFill="1" applyBorder="1" applyAlignment="1">
      <alignment horizontal="center" vertical="center"/>
    </xf>
    <xf numFmtId="0" fontId="13" fillId="9" borderId="2" xfId="0" applyFont="1" applyFill="1" applyBorder="1" applyAlignment="1">
      <alignment horizontal="center" vertical="center"/>
    </xf>
    <xf numFmtId="0" fontId="13" fillId="20" borderId="2" xfId="0" applyFont="1" applyFill="1" applyBorder="1" applyAlignment="1">
      <alignment horizontal="center" vertical="center"/>
    </xf>
    <xf numFmtId="0" fontId="13" fillId="21" borderId="2" xfId="0" applyFont="1" applyFill="1" applyBorder="1" applyAlignment="1">
      <alignment horizontal="center" vertical="center"/>
    </xf>
    <xf numFmtId="0" fontId="13" fillId="24" borderId="23" xfId="0" applyFont="1" applyFill="1" applyBorder="1" applyAlignment="1">
      <alignment horizontal="center"/>
    </xf>
    <xf numFmtId="164" fontId="13" fillId="24" borderId="23" xfId="0" applyNumberFormat="1" applyFont="1" applyFill="1" applyBorder="1" applyAlignment="1">
      <alignment horizontal="center" vertical="center"/>
    </xf>
    <xf numFmtId="0" fontId="13" fillId="21" borderId="2" xfId="0" applyFont="1" applyFill="1" applyBorder="1"/>
    <xf numFmtId="0" fontId="7" fillId="0" borderId="2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12" fillId="8" borderId="2" xfId="0" applyFont="1" applyFill="1" applyBorder="1" applyAlignment="1">
      <alignment horizontal="center" vertical="center"/>
    </xf>
    <xf numFmtId="12" fontId="12" fillId="0" borderId="2" xfId="0" applyNumberFormat="1" applyFont="1" applyBorder="1" applyAlignment="1">
      <alignment horizontal="center" vertical="center"/>
    </xf>
    <xf numFmtId="13" fontId="12" fillId="0" borderId="2" xfId="0" applyNumberFormat="1" applyFont="1" applyBorder="1" applyAlignment="1">
      <alignment horizontal="center" vertical="center"/>
    </xf>
    <xf numFmtId="164" fontId="13" fillId="0" borderId="0" xfId="0" applyNumberFormat="1" applyFont="1"/>
    <xf numFmtId="166" fontId="0" fillId="0" borderId="2" xfId="0" applyNumberFormat="1" applyBorder="1"/>
    <xf numFmtId="0" fontId="12" fillId="0" borderId="2" xfId="0" applyFont="1" applyBorder="1" applyAlignment="1">
      <alignment horizontal="center" vertical="center"/>
    </xf>
    <xf numFmtId="12" fontId="12" fillId="14" borderId="2" xfId="0" applyNumberFormat="1" applyFont="1" applyFill="1" applyBorder="1" applyAlignment="1">
      <alignment horizontal="center" vertical="center"/>
    </xf>
    <xf numFmtId="12" fontId="19" fillId="18" borderId="2" xfId="0" applyNumberFormat="1" applyFont="1" applyFill="1" applyBorder="1" applyAlignment="1">
      <alignment horizontal="center" vertical="center"/>
    </xf>
    <xf numFmtId="12" fontId="12" fillId="6" borderId="2" xfId="0" applyNumberFormat="1" applyFont="1" applyFill="1" applyBorder="1" applyAlignment="1">
      <alignment horizontal="center" vertical="center"/>
    </xf>
    <xf numFmtId="12" fontId="12" fillId="9" borderId="2" xfId="0" applyNumberFormat="1" applyFont="1" applyFill="1" applyBorder="1" applyAlignment="1">
      <alignment horizontal="center" vertical="center"/>
    </xf>
    <xf numFmtId="12" fontId="12" fillId="19" borderId="2" xfId="0" applyNumberFormat="1" applyFont="1" applyFill="1" applyBorder="1" applyAlignment="1">
      <alignment horizontal="center" vertical="center"/>
    </xf>
    <xf numFmtId="12" fontId="12" fillId="20" borderId="2" xfId="0" applyNumberFormat="1" applyFont="1" applyFill="1" applyBorder="1" applyAlignment="1">
      <alignment horizontal="center" vertical="center"/>
    </xf>
    <xf numFmtId="12" fontId="12" fillId="21" borderId="2" xfId="0" applyNumberFormat="1" applyFont="1" applyFill="1" applyBorder="1" applyAlignment="1">
      <alignment horizontal="center" vertical="center"/>
    </xf>
    <xf numFmtId="0" fontId="12" fillId="0" borderId="23" xfId="0" applyFont="1" applyBorder="1"/>
    <xf numFmtId="164" fontId="13" fillId="0" borderId="23" xfId="0" applyNumberFormat="1" applyFont="1" applyBorder="1"/>
    <xf numFmtId="0" fontId="18" fillId="23" borderId="0" xfId="2"/>
    <xf numFmtId="0" fontId="12" fillId="0" borderId="0" xfId="0" applyFont="1" applyAlignment="1">
      <alignment horizontal="center" vertical="center"/>
    </xf>
    <xf numFmtId="166" fontId="0" fillId="0" borderId="0" xfId="0" applyNumberFormat="1"/>
    <xf numFmtId="166" fontId="20" fillId="0" borderId="4" xfId="0" applyNumberFormat="1" applyFont="1" applyBorder="1"/>
    <xf numFmtId="166" fontId="21" fillId="23" borderId="2" xfId="2" applyNumberFormat="1" applyFont="1" applyBorder="1"/>
    <xf numFmtId="0" fontId="16" fillId="0" borderId="0" xfId="0" applyFont="1"/>
    <xf numFmtId="0" fontId="13" fillId="14" borderId="6" xfId="0" applyFont="1" applyFill="1" applyBorder="1"/>
    <xf numFmtId="0" fontId="13" fillId="9" borderId="6" xfId="0" applyFont="1" applyFill="1" applyBorder="1"/>
    <xf numFmtId="0" fontId="13" fillId="8" borderId="6" xfId="0" applyFont="1" applyFill="1" applyBorder="1"/>
    <xf numFmtId="0" fontId="13" fillId="19" borderId="6" xfId="0" applyFont="1" applyFill="1" applyBorder="1"/>
    <xf numFmtId="0" fontId="13" fillId="6" borderId="6" xfId="0" applyFont="1" applyFill="1" applyBorder="1"/>
    <xf numFmtId="0" fontId="13" fillId="18" borderId="6" xfId="0" applyFont="1" applyFill="1" applyBorder="1"/>
    <xf numFmtId="0" fontId="13" fillId="0" borderId="0" xfId="0" applyFont="1"/>
    <xf numFmtId="12" fontId="13" fillId="0" borderId="0" xfId="0" applyNumberFormat="1" applyFont="1"/>
    <xf numFmtId="12" fontId="13" fillId="8" borderId="2" xfId="0" applyNumberFormat="1" applyFont="1" applyFill="1" applyBorder="1"/>
    <xf numFmtId="12" fontId="13" fillId="14" borderId="2" xfId="0" applyNumberFormat="1" applyFont="1" applyFill="1" applyBorder="1"/>
    <xf numFmtId="12" fontId="13" fillId="18" borderId="2" xfId="0" applyNumberFormat="1" applyFont="1" applyFill="1" applyBorder="1"/>
    <xf numFmtId="12" fontId="13" fillId="6" borderId="2" xfId="0" applyNumberFormat="1" applyFont="1" applyFill="1" applyBorder="1"/>
    <xf numFmtId="12" fontId="13" fillId="9" borderId="2" xfId="0" applyNumberFormat="1" applyFont="1" applyFill="1" applyBorder="1"/>
    <xf numFmtId="0" fontId="13" fillId="14" borderId="7" xfId="0" applyFont="1" applyFill="1" applyBorder="1"/>
    <xf numFmtId="12" fontId="12" fillId="14" borderId="2" xfId="0" applyNumberFormat="1" applyFont="1" applyFill="1" applyBorder="1" applyAlignment="1">
      <alignment horizontal="center"/>
    </xf>
    <xf numFmtId="12" fontId="12" fillId="0" borderId="0" xfId="0" applyNumberFormat="1" applyFont="1" applyAlignment="1">
      <alignment horizontal="center" vertical="center"/>
    </xf>
    <xf numFmtId="167" fontId="12" fillId="0" borderId="0" xfId="0" applyNumberFormat="1" applyFont="1"/>
    <xf numFmtId="168" fontId="12" fillId="8" borderId="2" xfId="0" applyNumberFormat="1" applyFont="1" applyFill="1" applyBorder="1" applyAlignment="1">
      <alignment horizontal="center" vertical="center"/>
    </xf>
    <xf numFmtId="168" fontId="12" fillId="0" borderId="2" xfId="0" applyNumberFormat="1" applyFont="1" applyBorder="1" applyAlignment="1">
      <alignment horizontal="center" vertical="center"/>
    </xf>
    <xf numFmtId="0" fontId="13" fillId="9" borderId="7" xfId="0" applyFont="1" applyFill="1" applyBorder="1"/>
    <xf numFmtId="168" fontId="12" fillId="14" borderId="2" xfId="0" applyNumberFormat="1" applyFont="1" applyFill="1" applyBorder="1" applyAlignment="1">
      <alignment horizontal="center" vertical="center"/>
    </xf>
    <xf numFmtId="0" fontId="13" fillId="8" borderId="7" xfId="0" applyFont="1" applyFill="1" applyBorder="1"/>
    <xf numFmtId="12" fontId="12" fillId="8" borderId="2" xfId="0" applyNumberFormat="1" applyFont="1" applyFill="1" applyBorder="1" applyAlignment="1">
      <alignment horizontal="center" vertical="center"/>
    </xf>
    <xf numFmtId="168" fontId="12" fillId="18" borderId="2" xfId="0" applyNumberFormat="1" applyFont="1" applyFill="1" applyBorder="1" applyAlignment="1">
      <alignment horizontal="center" vertical="center"/>
    </xf>
    <xf numFmtId="0" fontId="13" fillId="19" borderId="7" xfId="0" applyFont="1" applyFill="1" applyBorder="1"/>
    <xf numFmtId="12" fontId="12" fillId="22" borderId="2" xfId="0" applyNumberFormat="1" applyFont="1" applyFill="1" applyBorder="1" applyAlignment="1">
      <alignment horizontal="center" vertical="center"/>
    </xf>
    <xf numFmtId="168" fontId="12" fillId="6" borderId="2" xfId="0" applyNumberFormat="1" applyFont="1" applyFill="1" applyBorder="1" applyAlignment="1">
      <alignment horizontal="center" vertical="center"/>
    </xf>
    <xf numFmtId="0" fontId="13" fillId="6" borderId="7" xfId="0" applyFont="1" applyFill="1" applyBorder="1"/>
    <xf numFmtId="168" fontId="12" fillId="9" borderId="2" xfId="0" applyNumberFormat="1" applyFont="1" applyFill="1" applyBorder="1" applyAlignment="1">
      <alignment horizontal="center" vertical="center"/>
    </xf>
    <xf numFmtId="0" fontId="13" fillId="18" borderId="7" xfId="0" applyFont="1" applyFill="1" applyBorder="1"/>
    <xf numFmtId="12" fontId="19" fillId="0" borderId="2" xfId="0" applyNumberFormat="1" applyFont="1" applyBorder="1" applyAlignment="1">
      <alignment horizontal="center" vertical="center"/>
    </xf>
    <xf numFmtId="12" fontId="12" fillId="18" borderId="2" xfId="0" applyNumberFormat="1" applyFont="1" applyFill="1" applyBorder="1" applyAlignment="1">
      <alignment horizontal="center" vertical="center"/>
    </xf>
    <xf numFmtId="0" fontId="9" fillId="6" borderId="0" xfId="2" applyFont="1" applyFill="1"/>
    <xf numFmtId="165" fontId="12" fillId="0" borderId="0" xfId="0" applyNumberFormat="1" applyFont="1" applyAlignment="1">
      <alignment horizontal="center" vertical="center"/>
    </xf>
    <xf numFmtId="168" fontId="12" fillId="0" borderId="0" xfId="0" applyNumberFormat="1" applyFont="1" applyAlignment="1">
      <alignment horizontal="center" vertical="center"/>
    </xf>
    <xf numFmtId="166" fontId="22" fillId="6" borderId="2" xfId="2" applyNumberFormat="1" applyFont="1" applyFill="1" applyBorder="1"/>
    <xf numFmtId="166" fontId="0" fillId="8" borderId="2" xfId="0" applyNumberFormat="1" applyFill="1" applyBorder="1"/>
    <xf numFmtId="166" fontId="0" fillId="14" borderId="2" xfId="0" applyNumberFormat="1" applyFill="1" applyBorder="1"/>
    <xf numFmtId="166" fontId="0" fillId="18" borderId="2" xfId="0" applyNumberFormat="1" applyFill="1" applyBorder="1"/>
    <xf numFmtId="166" fontId="0" fillId="6" borderId="2" xfId="0" applyNumberFormat="1" applyFill="1" applyBorder="1"/>
    <xf numFmtId="166" fontId="0" fillId="9" borderId="2" xfId="0" applyNumberFormat="1" applyFill="1" applyBorder="1"/>
    <xf numFmtId="166" fontId="0" fillId="24" borderId="2" xfId="0" applyNumberFormat="1" applyFill="1" applyBorder="1"/>
    <xf numFmtId="166" fontId="0" fillId="21" borderId="2" xfId="0" applyNumberFormat="1" applyFill="1" applyBorder="1"/>
    <xf numFmtId="166" fontId="0" fillId="20" borderId="2" xfId="0" applyNumberFormat="1" applyFill="1" applyBorder="1"/>
    <xf numFmtId="0" fontId="13" fillId="24" borderId="23" xfId="0" applyFont="1" applyFill="1" applyBorder="1" applyAlignment="1">
      <alignment horizontal="right" wrapText="1"/>
    </xf>
    <xf numFmtId="168" fontId="12" fillId="24" borderId="2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wrapText="1"/>
    </xf>
    <xf numFmtId="0" fontId="2" fillId="14" borderId="2" xfId="0" applyFont="1" applyFill="1" applyBorder="1" applyAlignment="1">
      <alignment horizontal="center" wrapText="1"/>
    </xf>
    <xf numFmtId="0" fontId="24" fillId="25" borderId="2" xfId="3" applyFont="1" applyFill="1" applyBorder="1" applyAlignment="1" applyProtection="1">
      <alignment horizontal="center" vertical="center"/>
    </xf>
    <xf numFmtId="0" fontId="25" fillId="0" borderId="29" xfId="3" applyFont="1" applyFill="1" applyBorder="1" applyAlignment="1" applyProtection="1">
      <alignment vertical="center" wrapText="1"/>
    </xf>
    <xf numFmtId="0" fontId="25" fillId="0" borderId="29" xfId="3" applyFont="1" applyFill="1" applyBorder="1" applyAlignment="1" applyProtection="1">
      <alignment horizontal="right" vertical="center" wrapText="1"/>
    </xf>
    <xf numFmtId="0" fontId="25" fillId="0" borderId="0" xfId="3" applyFont="1" applyFill="1" applyBorder="1" applyAlignment="1" applyProtection="1">
      <alignment horizontal="right" vertical="center" wrapText="1"/>
    </xf>
    <xf numFmtId="2" fontId="14" fillId="22" borderId="2" xfId="1" applyNumberFormat="1" applyFont="1" applyFill="1" applyBorder="1" applyAlignment="1" applyProtection="1"/>
    <xf numFmtId="1" fontId="0" fillId="0" borderId="0" xfId="0" applyNumberFormat="1" applyFill="1"/>
    <xf numFmtId="0" fontId="24" fillId="25" borderId="28" xfId="3" applyFont="1" applyFill="1" applyBorder="1" applyAlignment="1" applyProtection="1">
      <alignment horizontal="center" vertical="center"/>
    </xf>
    <xf numFmtId="1" fontId="2" fillId="8" borderId="4" xfId="0" applyNumberFormat="1" applyFont="1" applyFill="1" applyBorder="1"/>
    <xf numFmtId="1" fontId="2" fillId="9" borderId="4" xfId="0" applyNumberFormat="1" applyFont="1" applyFill="1" applyBorder="1"/>
    <xf numFmtId="1" fontId="0" fillId="8" borderId="0" xfId="0" applyNumberFormat="1" applyFill="1"/>
    <xf numFmtId="164" fontId="2" fillId="9" borderId="4" xfId="0" applyNumberFormat="1" applyFont="1" applyFill="1" applyBorder="1"/>
    <xf numFmtId="164" fontId="0" fillId="0" borderId="0" xfId="0" applyNumberFormat="1"/>
    <xf numFmtId="0" fontId="2" fillId="22" borderId="23" xfId="0" applyFont="1" applyFill="1" applyBorder="1"/>
    <xf numFmtId="2" fontId="12" fillId="22" borderId="23" xfId="0" applyNumberFormat="1" applyFont="1" applyFill="1" applyBorder="1"/>
    <xf numFmtId="1" fontId="3" fillId="22" borderId="23" xfId="0" applyNumberFormat="1" applyFont="1" applyFill="1" applyBorder="1"/>
    <xf numFmtId="0" fontId="3" fillId="22" borderId="23" xfId="0" applyFont="1" applyFill="1" applyBorder="1"/>
    <xf numFmtId="2" fontId="3" fillId="22" borderId="23" xfId="0" applyNumberFormat="1" applyFont="1" applyFill="1" applyBorder="1"/>
    <xf numFmtId="1" fontId="0" fillId="0" borderId="33" xfId="0" applyNumberFormat="1" applyBorder="1"/>
    <xf numFmtId="1" fontId="0" fillId="0" borderId="34" xfId="0" applyNumberFormat="1" applyBorder="1"/>
    <xf numFmtId="1" fontId="16" fillId="0" borderId="34" xfId="0" applyNumberFormat="1" applyFont="1" applyFill="1" applyBorder="1"/>
    <xf numFmtId="1" fontId="0" fillId="0" borderId="33" xfId="0" applyNumberFormat="1" applyFill="1" applyBorder="1"/>
    <xf numFmtId="1" fontId="0" fillId="0" borderId="34" xfId="0" applyNumberFormat="1" applyFill="1" applyBorder="1"/>
    <xf numFmtId="1" fontId="0" fillId="0" borderId="35" xfId="0" applyNumberFormat="1" applyBorder="1"/>
    <xf numFmtId="1" fontId="0" fillId="0" borderId="36" xfId="0" applyNumberFormat="1" applyBorder="1"/>
    <xf numFmtId="0" fontId="2" fillId="22" borderId="2" xfId="0" applyFont="1" applyFill="1" applyBorder="1"/>
    <xf numFmtId="2" fontId="13" fillId="22" borderId="2" xfId="0" applyNumberFormat="1" applyFont="1" applyFill="1" applyBorder="1"/>
    <xf numFmtId="0" fontId="12" fillId="0" borderId="0" xfId="0" applyFont="1" applyFill="1" applyBorder="1"/>
    <xf numFmtId="0" fontId="13" fillId="0" borderId="0" xfId="0" applyFont="1" applyFill="1" applyBorder="1"/>
    <xf numFmtId="2" fontId="0" fillId="0" borderId="0" xfId="0" applyNumberFormat="1" applyFont="1" applyFill="1" applyBorder="1" applyAlignment="1">
      <alignment horizontal="left"/>
    </xf>
    <xf numFmtId="0" fontId="11" fillId="0" borderId="7" xfId="0" applyFont="1" applyBorder="1"/>
    <xf numFmtId="0" fontId="6" fillId="4" borderId="37" xfId="0" applyFont="1" applyFill="1" applyBorder="1"/>
    <xf numFmtId="0" fontId="0" fillId="4" borderId="30" xfId="0" applyFont="1" applyFill="1" applyBorder="1"/>
    <xf numFmtId="0" fontId="0" fillId="16" borderId="37" xfId="0" applyFont="1" applyFill="1" applyBorder="1"/>
    <xf numFmtId="0" fontId="0" fillId="4" borderId="6" xfId="0" applyFont="1" applyFill="1" applyBorder="1"/>
    <xf numFmtId="2" fontId="0" fillId="4" borderId="38" xfId="0" applyNumberFormat="1" applyFont="1" applyFill="1" applyBorder="1"/>
    <xf numFmtId="2" fontId="0" fillId="4" borderId="37" xfId="0" applyNumberFormat="1" applyFont="1" applyFill="1" applyBorder="1"/>
    <xf numFmtId="2" fontId="0" fillId="4" borderId="6" xfId="0" applyNumberFormat="1" applyFont="1" applyFill="1" applyBorder="1"/>
    <xf numFmtId="0" fontId="0" fillId="4" borderId="37" xfId="0" applyFont="1" applyFill="1" applyBorder="1"/>
    <xf numFmtId="2" fontId="3" fillId="22" borderId="0" xfId="0" applyNumberFormat="1" applyFont="1" applyFill="1" applyBorder="1"/>
    <xf numFmtId="0" fontId="2" fillId="22" borderId="0" xfId="0" applyFont="1" applyFill="1" applyBorder="1" applyAlignment="1">
      <alignment horizontal="center"/>
    </xf>
    <xf numFmtId="0" fontId="3" fillId="22" borderId="0" xfId="0" applyFont="1" applyFill="1" applyBorder="1"/>
    <xf numFmtId="2" fontId="2" fillId="22" borderId="0" xfId="0" applyNumberFormat="1" applyFont="1" applyFill="1" applyBorder="1"/>
    <xf numFmtId="2" fontId="26" fillId="22" borderId="0" xfId="0" applyNumberFormat="1" applyFont="1" applyFill="1" applyBorder="1"/>
    <xf numFmtId="0" fontId="2" fillId="22" borderId="0" xfId="0" applyFont="1" applyFill="1" applyBorder="1" applyAlignment="1">
      <alignment horizontal="center" wrapText="1"/>
    </xf>
    <xf numFmtId="0" fontId="2" fillId="22" borderId="0" xfId="0" applyFont="1" applyFill="1" applyBorder="1"/>
    <xf numFmtId="49" fontId="0" fillId="22" borderId="0" xfId="0" applyNumberFormat="1" applyFill="1"/>
    <xf numFmtId="1" fontId="7" fillId="6" borderId="32" xfId="0" applyNumberFormat="1" applyFont="1" applyFill="1" applyBorder="1"/>
    <xf numFmtId="0" fontId="7" fillId="6" borderId="32" xfId="0" applyFont="1" applyFill="1" applyBorder="1"/>
    <xf numFmtId="12" fontId="12" fillId="0" borderId="0" xfId="0" applyNumberFormat="1" applyFont="1" applyFill="1" applyBorder="1" applyAlignment="1">
      <alignment horizontal="center" vertical="center"/>
    </xf>
    <xf numFmtId="12" fontId="13" fillId="0" borderId="0" xfId="0" applyNumberFormat="1" applyFont="1" applyFill="1" applyBorder="1"/>
    <xf numFmtId="168" fontId="12" fillId="0" borderId="0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wrapText="1"/>
    </xf>
    <xf numFmtId="1" fontId="7" fillId="26" borderId="24" xfId="0" applyNumberFormat="1" applyFont="1" applyFill="1" applyBorder="1"/>
    <xf numFmtId="0" fontId="7" fillId="26" borderId="13" xfId="0" applyFont="1" applyFill="1" applyBorder="1"/>
    <xf numFmtId="0" fontId="0" fillId="0" borderId="6" xfId="0" applyBorder="1"/>
    <xf numFmtId="2" fontId="0" fillId="0" borderId="6" xfId="0" applyNumberFormat="1" applyBorder="1"/>
    <xf numFmtId="2" fontId="0" fillId="0" borderId="38" xfId="0" applyNumberFormat="1" applyBorder="1"/>
    <xf numFmtId="0" fontId="0" fillId="4" borderId="41" xfId="0" applyFill="1" applyBorder="1"/>
    <xf numFmtId="2" fontId="0" fillId="4" borderId="41" xfId="0" applyNumberFormat="1" applyFill="1" applyBorder="1"/>
    <xf numFmtId="2" fontId="0" fillId="4" borderId="42" xfId="0" applyNumberFormat="1" applyFill="1" applyBorder="1"/>
    <xf numFmtId="0" fontId="7" fillId="26" borderId="15" xfId="0" applyFont="1" applyFill="1" applyBorder="1"/>
    <xf numFmtId="0" fontId="0" fillId="26" borderId="44" xfId="0" applyFont="1" applyFill="1" applyBorder="1"/>
    <xf numFmtId="0" fontId="0" fillId="0" borderId="37" xfId="0" applyFont="1" applyFill="1" applyBorder="1"/>
    <xf numFmtId="0" fontId="0" fillId="4" borderId="40" xfId="0" applyFont="1" applyFill="1" applyBorder="1"/>
    <xf numFmtId="165" fontId="15" fillId="0" borderId="45" xfId="0" applyNumberFormat="1" applyFont="1" applyBorder="1" applyAlignment="1">
      <alignment horizontal="center"/>
    </xf>
    <xf numFmtId="165" fontId="15" fillId="0" borderId="46" xfId="0" applyNumberFormat="1" applyFont="1" applyBorder="1" applyAlignment="1">
      <alignment horizontal="center"/>
    </xf>
    <xf numFmtId="0" fontId="0" fillId="0" borderId="30" xfId="0" applyBorder="1"/>
    <xf numFmtId="0" fontId="0" fillId="4" borderId="43" xfId="0" applyFill="1" applyBorder="1"/>
    <xf numFmtId="0" fontId="0" fillId="0" borderId="37" xfId="0" applyBorder="1"/>
    <xf numFmtId="0" fontId="0" fillId="4" borderId="40" xfId="0" applyFill="1" applyBorder="1"/>
    <xf numFmtId="2" fontId="0" fillId="0" borderId="37" xfId="0" applyNumberFormat="1" applyBorder="1"/>
    <xf numFmtId="2" fontId="0" fillId="4" borderId="40" xfId="0" applyNumberFormat="1" applyFill="1" applyBorder="1"/>
    <xf numFmtId="1" fontId="16" fillId="0" borderId="0" xfId="0" applyNumberFormat="1" applyFont="1" applyFill="1" applyBorder="1"/>
    <xf numFmtId="1" fontId="2" fillId="6" borderId="2" xfId="0" applyNumberFormat="1" applyFont="1" applyFill="1" applyBorder="1" applyAlignment="1">
      <alignment horizontal="center"/>
    </xf>
    <xf numFmtId="1" fontId="2" fillId="13" borderId="2" xfId="0" applyNumberFormat="1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13" borderId="2" xfId="0" applyFont="1" applyFill="1" applyBorder="1" applyAlignment="1">
      <alignment horizontal="center"/>
    </xf>
    <xf numFmtId="2" fontId="2" fillId="6" borderId="2" xfId="0" applyNumberFormat="1" applyFont="1" applyFill="1" applyBorder="1" applyAlignment="1">
      <alignment horizontal="center"/>
    </xf>
    <xf numFmtId="2" fontId="2" fillId="13" borderId="2" xfId="0" applyNumberFormat="1" applyFont="1" applyFill="1" applyBorder="1" applyAlignment="1">
      <alignment horizontal="center"/>
    </xf>
    <xf numFmtId="0" fontId="0" fillId="26" borderId="0" xfId="0" applyFill="1"/>
    <xf numFmtId="2" fontId="3" fillId="0" borderId="0" xfId="0" quotePrefix="1" applyNumberFormat="1" applyFont="1" applyBorder="1"/>
    <xf numFmtId="2" fontId="9" fillId="22" borderId="0" xfId="0" applyNumberFormat="1" applyFont="1" applyFill="1" applyBorder="1" applyAlignment="1">
      <alignment wrapText="1"/>
    </xf>
    <xf numFmtId="0" fontId="2" fillId="7" borderId="6" xfId="0" applyFont="1" applyFill="1" applyBorder="1" applyAlignment="1">
      <alignment horizontal="center"/>
    </xf>
    <xf numFmtId="0" fontId="2" fillId="26" borderId="6" xfId="0" applyFont="1" applyFill="1" applyBorder="1" applyAlignment="1">
      <alignment horizontal="center"/>
    </xf>
    <xf numFmtId="0" fontId="2" fillId="26" borderId="6" xfId="0" applyFont="1" applyFill="1" applyBorder="1" applyAlignment="1">
      <alignment horizontal="center" wrapText="1"/>
    </xf>
    <xf numFmtId="0" fontId="2" fillId="0" borderId="6" xfId="0" applyFont="1" applyFill="1" applyBorder="1" applyAlignment="1">
      <alignment horizontal="center"/>
    </xf>
    <xf numFmtId="1" fontId="2" fillId="0" borderId="6" xfId="0" applyNumberFormat="1" applyFont="1" applyFill="1" applyBorder="1" applyAlignment="1">
      <alignment horizontal="center"/>
    </xf>
    <xf numFmtId="2" fontId="2" fillId="0" borderId="6" xfId="0" applyNumberFormat="1" applyFont="1" applyFill="1" applyBorder="1" applyAlignment="1">
      <alignment horizontal="center"/>
    </xf>
    <xf numFmtId="2" fontId="2" fillId="9" borderId="6" xfId="0" applyNumberFormat="1" applyFont="1" applyFill="1" applyBorder="1" applyAlignment="1">
      <alignment horizontal="center" wrapText="1"/>
    </xf>
    <xf numFmtId="2" fontId="2" fillId="12" borderId="6" xfId="0" applyNumberFormat="1" applyFont="1" applyFill="1" applyBorder="1" applyAlignment="1">
      <alignment horizontal="center" wrapText="1"/>
    </xf>
    <xf numFmtId="2" fontId="9" fillId="9" borderId="6" xfId="0" applyNumberFormat="1" applyFont="1" applyFill="1" applyBorder="1" applyAlignment="1">
      <alignment wrapText="1"/>
    </xf>
    <xf numFmtId="2" fontId="9" fillId="12" borderId="6" xfId="0" applyNumberFormat="1" applyFont="1" applyFill="1" applyBorder="1" applyAlignment="1">
      <alignment wrapText="1"/>
    </xf>
    <xf numFmtId="1" fontId="16" fillId="0" borderId="47" xfId="0" applyNumberFormat="1" applyFont="1" applyFill="1" applyBorder="1"/>
    <xf numFmtId="2" fontId="9" fillId="26" borderId="6" xfId="0" applyNumberFormat="1" applyFont="1" applyFill="1" applyBorder="1" applyAlignment="1">
      <alignment vertical="center" wrapText="1"/>
    </xf>
    <xf numFmtId="2" fontId="29" fillId="22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wrapText="1"/>
    </xf>
    <xf numFmtId="0" fontId="10" fillId="0" borderId="0" xfId="0" applyFont="1" applyFill="1" applyBorder="1" applyAlignment="1">
      <alignment wrapText="1"/>
    </xf>
    <xf numFmtId="166" fontId="0" fillId="0" borderId="0" xfId="0" applyNumberFormat="1" applyFill="1" applyBorder="1"/>
    <xf numFmtId="165" fontId="12" fillId="0" borderId="0" xfId="0" applyNumberFormat="1" applyFont="1" applyFill="1" applyBorder="1" applyAlignment="1">
      <alignment horizontal="center" vertical="center"/>
    </xf>
    <xf numFmtId="166" fontId="20" fillId="0" borderId="0" xfId="0" applyNumberFormat="1" applyFont="1" applyFill="1" applyBorder="1"/>
    <xf numFmtId="166" fontId="22" fillId="0" borderId="0" xfId="2" applyNumberFormat="1" applyFont="1" applyFill="1" applyBorder="1"/>
    <xf numFmtId="168" fontId="12" fillId="0" borderId="0" xfId="0" applyNumberFormat="1" applyFont="1" applyBorder="1" applyAlignment="1">
      <alignment horizontal="center" vertical="center"/>
    </xf>
    <xf numFmtId="2" fontId="30" fillId="16" borderId="48" xfId="0" applyNumberFormat="1" applyFont="1" applyFill="1" applyBorder="1" applyAlignment="1">
      <alignment wrapText="1"/>
    </xf>
    <xf numFmtId="1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64" fontId="9" fillId="22" borderId="0" xfId="0" applyNumberFormat="1" applyFont="1" applyFill="1" applyBorder="1" applyAlignment="1">
      <alignment wrapText="1"/>
    </xf>
    <xf numFmtId="2" fontId="14" fillId="22" borderId="7" xfId="1" applyNumberFormat="1" applyFont="1" applyFill="1" applyBorder="1" applyAlignment="1" applyProtection="1"/>
    <xf numFmtId="1" fontId="2" fillId="6" borderId="6" xfId="0" applyNumberFormat="1" applyFont="1" applyFill="1" applyBorder="1" applyAlignment="1">
      <alignment horizontal="center"/>
    </xf>
    <xf numFmtId="1" fontId="2" fillId="13" borderId="6" xfId="0" applyNumberFormat="1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13" borderId="6" xfId="0" applyFont="1" applyFill="1" applyBorder="1" applyAlignment="1">
      <alignment horizontal="center"/>
    </xf>
    <xf numFmtId="2" fontId="2" fillId="6" borderId="6" xfId="0" applyNumberFormat="1" applyFont="1" applyFill="1" applyBorder="1" applyAlignment="1">
      <alignment horizontal="center"/>
    </xf>
    <xf numFmtId="2" fontId="2" fillId="13" borderId="6" xfId="0" applyNumberFormat="1" applyFont="1" applyFill="1" applyBorder="1" applyAlignment="1">
      <alignment horizontal="center"/>
    </xf>
    <xf numFmtId="0" fontId="2" fillId="7" borderId="6" xfId="0" applyFont="1" applyFill="1" applyBorder="1" applyAlignment="1">
      <alignment horizontal="center" wrapText="1"/>
    </xf>
    <xf numFmtId="0" fontId="2" fillId="14" borderId="6" xfId="0" applyFont="1" applyFill="1" applyBorder="1" applyAlignment="1">
      <alignment horizontal="center" wrapText="1"/>
    </xf>
    <xf numFmtId="1" fontId="0" fillId="0" borderId="52" xfId="0" applyNumberFormat="1" applyBorder="1"/>
    <xf numFmtId="1" fontId="16" fillId="0" borderId="52" xfId="0" applyNumberFormat="1" applyFont="1" applyFill="1" applyBorder="1"/>
    <xf numFmtId="164" fontId="2" fillId="0" borderId="53" xfId="0" applyNumberFormat="1" applyFont="1" applyFill="1" applyBorder="1" applyAlignment="1">
      <alignment horizontal="center"/>
    </xf>
    <xf numFmtId="164" fontId="2" fillId="0" borderId="53" xfId="0" applyNumberFormat="1" applyFont="1" applyFill="1" applyBorder="1" applyAlignment="1">
      <alignment horizontal="center" wrapText="1"/>
    </xf>
    <xf numFmtId="164" fontId="9" fillId="0" borderId="53" xfId="0" applyNumberFormat="1" applyFont="1" applyFill="1" applyBorder="1" applyAlignment="1">
      <alignment vertical="center" wrapText="1"/>
    </xf>
    <xf numFmtId="164" fontId="9" fillId="0" borderId="53" xfId="0" applyNumberFormat="1" applyFont="1" applyFill="1" applyBorder="1" applyAlignment="1">
      <alignment wrapText="1"/>
    </xf>
    <xf numFmtId="164" fontId="9" fillId="0" borderId="54" xfId="0" applyNumberFormat="1" applyFont="1" applyFill="1" applyBorder="1" applyAlignment="1">
      <alignment wrapText="1"/>
    </xf>
    <xf numFmtId="164" fontId="2" fillId="0" borderId="55" xfId="0" applyNumberFormat="1" applyFont="1" applyFill="1" applyBorder="1" applyAlignment="1">
      <alignment horizontal="center"/>
    </xf>
    <xf numFmtId="164" fontId="2" fillId="0" borderId="55" xfId="0" applyNumberFormat="1" applyFont="1" applyFill="1" applyBorder="1" applyAlignment="1">
      <alignment horizontal="center" wrapText="1"/>
    </xf>
    <xf numFmtId="164" fontId="9" fillId="0" borderId="55" xfId="0" applyNumberFormat="1" applyFont="1" applyFill="1" applyBorder="1" applyAlignment="1">
      <alignment vertical="center" wrapText="1"/>
    </xf>
    <xf numFmtId="164" fontId="9" fillId="0" borderId="55" xfId="0" applyNumberFormat="1" applyFont="1" applyFill="1" applyBorder="1" applyAlignment="1">
      <alignment wrapText="1"/>
    </xf>
    <xf numFmtId="164" fontId="9" fillId="0" borderId="56" xfId="0" applyNumberFormat="1" applyFont="1" applyFill="1" applyBorder="1" applyAlignment="1">
      <alignment wrapText="1"/>
    </xf>
    <xf numFmtId="164" fontId="2" fillId="0" borderId="57" xfId="0" applyNumberFormat="1" applyFont="1" applyFill="1" applyBorder="1" applyAlignment="1">
      <alignment horizontal="center"/>
    </xf>
    <xf numFmtId="164" fontId="2" fillId="0" borderId="57" xfId="0" applyNumberFormat="1" applyFont="1" applyFill="1" applyBorder="1" applyAlignment="1">
      <alignment horizontal="center" wrapText="1"/>
    </xf>
    <xf numFmtId="164" fontId="9" fillId="0" borderId="57" xfId="0" applyNumberFormat="1" applyFont="1" applyFill="1" applyBorder="1" applyAlignment="1">
      <alignment vertical="center" wrapText="1"/>
    </xf>
    <xf numFmtId="164" fontId="9" fillId="0" borderId="57" xfId="0" applyNumberFormat="1" applyFont="1" applyFill="1" applyBorder="1" applyAlignment="1">
      <alignment wrapText="1"/>
    </xf>
    <xf numFmtId="164" fontId="9" fillId="0" borderId="58" xfId="0" applyNumberFormat="1" applyFont="1" applyFill="1" applyBorder="1" applyAlignment="1">
      <alignment wrapText="1"/>
    </xf>
    <xf numFmtId="2" fontId="31" fillId="22" borderId="7" xfId="1" applyNumberFormat="1" applyFont="1" applyFill="1" applyBorder="1" applyAlignment="1" applyProtection="1"/>
    <xf numFmtId="0" fontId="0" fillId="22" borderId="0" xfId="0" applyFill="1"/>
    <xf numFmtId="0" fontId="2" fillId="22" borderId="59" xfId="0" applyFont="1" applyFill="1" applyBorder="1"/>
    <xf numFmtId="0" fontId="2" fillId="22" borderId="60" xfId="0" quotePrefix="1" applyFont="1" applyFill="1" applyBorder="1"/>
    <xf numFmtId="0" fontId="2" fillId="22" borderId="61" xfId="0" applyFont="1" applyFill="1" applyBorder="1"/>
    <xf numFmtId="0" fontId="2" fillId="22" borderId="62" xfId="0" applyFont="1" applyFill="1" applyBorder="1"/>
    <xf numFmtId="0" fontId="2" fillId="22" borderId="63" xfId="0" quotePrefix="1" applyFont="1" applyFill="1" applyBorder="1"/>
    <xf numFmtId="0" fontId="7" fillId="22" borderId="6" xfId="0" applyFont="1" applyFill="1" applyBorder="1"/>
    <xf numFmtId="2" fontId="7" fillId="22" borderId="6" xfId="0" applyNumberFormat="1" applyFont="1" applyFill="1" applyBorder="1"/>
    <xf numFmtId="2" fontId="30" fillId="16" borderId="6" xfId="0" applyNumberFormat="1" applyFont="1" applyFill="1" applyBorder="1" applyAlignment="1">
      <alignment wrapText="1"/>
    </xf>
    <xf numFmtId="2" fontId="9" fillId="22" borderId="28" xfId="0" applyNumberFormat="1" applyFont="1" applyFill="1" applyBorder="1" applyAlignment="1">
      <alignment wrapText="1"/>
    </xf>
    <xf numFmtId="1" fontId="16" fillId="22" borderId="52" xfId="0" applyNumberFormat="1" applyFont="1" applyFill="1" applyBorder="1"/>
    <xf numFmtId="1" fontId="16" fillId="22" borderId="64" xfId="0" applyNumberFormat="1" applyFont="1" applyFill="1" applyBorder="1"/>
    <xf numFmtId="164" fontId="16" fillId="16" borderId="65" xfId="0" applyNumberFormat="1" applyFont="1" applyFill="1" applyBorder="1" applyAlignment="1">
      <alignment wrapText="1"/>
    </xf>
    <xf numFmtId="164" fontId="16" fillId="16" borderId="66" xfId="0" applyNumberFormat="1" applyFont="1" applyFill="1" applyBorder="1" applyAlignment="1">
      <alignment wrapText="1"/>
    </xf>
    <xf numFmtId="164" fontId="16" fillId="16" borderId="67" xfId="0" applyNumberFormat="1" applyFont="1" applyFill="1" applyBorder="1" applyAlignment="1">
      <alignment wrapText="1"/>
    </xf>
    <xf numFmtId="2" fontId="30" fillId="22" borderId="0" xfId="0" applyNumberFormat="1" applyFont="1" applyFill="1" applyBorder="1" applyAlignment="1">
      <alignment wrapText="1"/>
    </xf>
    <xf numFmtId="1" fontId="7" fillId="6" borderId="24" xfId="0" applyNumberFormat="1" applyFont="1" applyFill="1" applyBorder="1"/>
    <xf numFmtId="2" fontId="14" fillId="22" borderId="69" xfId="1" applyNumberFormat="1" applyFont="1" applyFill="1" applyBorder="1" applyAlignment="1" applyProtection="1"/>
    <xf numFmtId="2" fontId="14" fillId="22" borderId="70" xfId="1" applyNumberFormat="1" applyFont="1" applyFill="1" applyBorder="1" applyAlignment="1" applyProtection="1"/>
    <xf numFmtId="1" fontId="16" fillId="22" borderId="47" xfId="0" applyNumberFormat="1" applyFont="1" applyFill="1" applyBorder="1"/>
    <xf numFmtId="0" fontId="2" fillId="22" borderId="71" xfId="0" applyFont="1" applyFill="1" applyBorder="1"/>
    <xf numFmtId="0" fontId="2" fillId="22" borderId="4" xfId="0" quotePrefix="1" applyFont="1" applyFill="1" applyBorder="1"/>
    <xf numFmtId="2" fontId="14" fillId="22" borderId="51" xfId="1" applyNumberFormat="1" applyFont="1" applyFill="1" applyBorder="1" applyAlignment="1" applyProtection="1"/>
    <xf numFmtId="0" fontId="2" fillId="22" borderId="73" xfId="0" applyFont="1" applyFill="1" applyBorder="1"/>
    <xf numFmtId="0" fontId="2" fillId="22" borderId="74" xfId="0" quotePrefix="1" applyFont="1" applyFill="1" applyBorder="1"/>
    <xf numFmtId="2" fontId="14" fillId="22" borderId="75" xfId="1" applyNumberFormat="1" applyFont="1" applyFill="1" applyBorder="1" applyAlignment="1" applyProtection="1"/>
    <xf numFmtId="1" fontId="0" fillId="0" borderId="76" xfId="0" applyNumberFormat="1" applyBorder="1"/>
    <xf numFmtId="1" fontId="16" fillId="0" borderId="76" xfId="0" applyNumberFormat="1" applyFont="1" applyFill="1" applyBorder="1"/>
    <xf numFmtId="1" fontId="16" fillId="0" borderId="68" xfId="0" applyNumberFormat="1" applyFont="1" applyFill="1" applyBorder="1" applyAlignment="1">
      <alignment horizontal="center"/>
    </xf>
    <xf numFmtId="1" fontId="16" fillId="0" borderId="77" xfId="0" applyNumberFormat="1" applyFont="1" applyFill="1" applyBorder="1" applyAlignment="1">
      <alignment horizontal="center"/>
    </xf>
    <xf numFmtId="1" fontId="16" fillId="0" borderId="72" xfId="0" applyNumberFormat="1" applyFont="1" applyFill="1" applyBorder="1" applyAlignment="1">
      <alignment horizontal="center"/>
    </xf>
    <xf numFmtId="1" fontId="0" fillId="15" borderId="34" xfId="0" applyNumberFormat="1" applyFill="1" applyBorder="1"/>
    <xf numFmtId="164" fontId="0" fillId="0" borderId="30" xfId="0" applyNumberFormat="1" applyBorder="1"/>
    <xf numFmtId="164" fontId="0" fillId="0" borderId="22" xfId="0" applyNumberFormat="1" applyBorder="1"/>
    <xf numFmtId="164" fontId="0" fillId="0" borderId="50" xfId="0" applyNumberFormat="1" applyBorder="1"/>
    <xf numFmtId="164" fontId="0" fillId="0" borderId="1" xfId="0" applyNumberFormat="1" applyBorder="1"/>
    <xf numFmtId="164" fontId="0" fillId="0" borderId="0" xfId="0" applyNumberFormat="1" applyBorder="1"/>
    <xf numFmtId="164" fontId="0" fillId="0" borderId="49" xfId="0" applyNumberFormat="1" applyBorder="1"/>
    <xf numFmtId="164" fontId="0" fillId="0" borderId="51" xfId="0" applyNumberFormat="1" applyBorder="1"/>
    <xf numFmtId="164" fontId="0" fillId="0" borderId="23" xfId="0" applyNumberFormat="1" applyBorder="1"/>
    <xf numFmtId="164" fontId="0" fillId="0" borderId="3" xfId="0" applyNumberFormat="1" applyBorder="1"/>
    <xf numFmtId="0" fontId="0" fillId="0" borderId="2" xfId="0" applyBorder="1" applyAlignment="1">
      <alignment horizontal="center"/>
    </xf>
    <xf numFmtId="0" fontId="34" fillId="0" borderId="2" xfId="0" applyFon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34" fillId="0" borderId="2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33" fillId="0" borderId="59" xfId="0" applyFont="1" applyBorder="1" applyAlignment="1">
      <alignment horizontal="center"/>
    </xf>
    <xf numFmtId="0" fontId="33" fillId="27" borderId="60" xfId="0" applyFont="1" applyFill="1" applyBorder="1" applyAlignment="1">
      <alignment horizontal="center"/>
    </xf>
    <xf numFmtId="0" fontId="33" fillId="28" borderId="60" xfId="0" applyFont="1" applyFill="1" applyBorder="1" applyAlignment="1">
      <alignment horizontal="center"/>
    </xf>
    <xf numFmtId="0" fontId="33" fillId="20" borderId="60" xfId="0" applyFont="1" applyFill="1" applyBorder="1" applyAlignment="1">
      <alignment horizontal="center"/>
    </xf>
    <xf numFmtId="0" fontId="33" fillId="29" borderId="60" xfId="0" applyFont="1" applyFill="1" applyBorder="1" applyAlignment="1">
      <alignment horizontal="center"/>
    </xf>
    <xf numFmtId="0" fontId="33" fillId="10" borderId="60" xfId="0" applyFont="1" applyFill="1" applyBorder="1" applyAlignment="1">
      <alignment horizontal="center"/>
    </xf>
    <xf numFmtId="0" fontId="33" fillId="24" borderId="60" xfId="0" applyFont="1" applyFill="1" applyBorder="1" applyAlignment="1">
      <alignment horizontal="center"/>
    </xf>
    <xf numFmtId="0" fontId="33" fillId="30" borderId="60" xfId="0" applyFont="1" applyFill="1" applyBorder="1" applyAlignment="1">
      <alignment horizontal="center"/>
    </xf>
    <xf numFmtId="0" fontId="33" fillId="8" borderId="60" xfId="0" applyFont="1" applyFill="1" applyBorder="1" applyAlignment="1">
      <alignment horizontal="center"/>
    </xf>
    <xf numFmtId="0" fontId="33" fillId="8" borderId="78" xfId="0" applyFont="1" applyFill="1" applyBorder="1" applyAlignment="1">
      <alignment horizontal="center"/>
    </xf>
    <xf numFmtId="0" fontId="33" fillId="0" borderId="61" xfId="0" applyNumberFormat="1" applyFont="1" applyBorder="1" applyAlignment="1">
      <alignment horizontal="center"/>
    </xf>
    <xf numFmtId="0" fontId="34" fillId="0" borderId="79" xfId="0" applyFont="1" applyBorder="1" applyAlignment="1">
      <alignment horizontal="center"/>
    </xf>
    <xf numFmtId="0" fontId="33" fillId="0" borderId="61" xfId="0" applyFont="1" applyBorder="1" applyAlignment="1">
      <alignment horizontal="center"/>
    </xf>
    <xf numFmtId="0" fontId="33" fillId="0" borderId="62" xfId="0" applyFont="1" applyBorder="1" applyAlignment="1">
      <alignment horizontal="center"/>
    </xf>
    <xf numFmtId="164" fontId="33" fillId="0" borderId="63" xfId="0" applyNumberFormat="1" applyFont="1" applyBorder="1" applyAlignment="1">
      <alignment horizontal="center"/>
    </xf>
    <xf numFmtId="164" fontId="33" fillId="0" borderId="80" xfId="0" applyNumberFormat="1" applyFont="1" applyBorder="1" applyAlignment="1">
      <alignment horizontal="center"/>
    </xf>
    <xf numFmtId="0" fontId="33" fillId="31" borderId="60" xfId="0" applyFont="1" applyFill="1" applyBorder="1" applyAlignment="1">
      <alignment horizontal="center"/>
    </xf>
    <xf numFmtId="0" fontId="33" fillId="24" borderId="78" xfId="0" applyFont="1" applyFill="1" applyBorder="1" applyAlignment="1">
      <alignment horizontal="center"/>
    </xf>
    <xf numFmtId="0" fontId="33" fillId="32" borderId="60" xfId="0" applyFont="1" applyFill="1" applyBorder="1" applyAlignment="1">
      <alignment horizontal="center"/>
    </xf>
    <xf numFmtId="0" fontId="33" fillId="27" borderId="78" xfId="0" applyFont="1" applyFill="1" applyBorder="1" applyAlignment="1">
      <alignment horizontal="center"/>
    </xf>
    <xf numFmtId="1" fontId="34" fillId="0" borderId="79" xfId="0" applyNumberFormat="1" applyFont="1" applyBorder="1" applyAlignment="1">
      <alignment horizontal="center"/>
    </xf>
    <xf numFmtId="0" fontId="33" fillId="33" borderId="60" xfId="0" applyFont="1" applyFill="1" applyBorder="1" applyAlignment="1">
      <alignment horizontal="center"/>
    </xf>
    <xf numFmtId="0" fontId="33" fillId="10" borderId="78" xfId="0" applyFont="1" applyFill="1" applyBorder="1" applyAlignment="1">
      <alignment horizontal="center"/>
    </xf>
    <xf numFmtId="1" fontId="0" fillId="0" borderId="79" xfId="0" applyNumberFormat="1" applyBorder="1" applyAlignment="1">
      <alignment horizontal="center"/>
    </xf>
    <xf numFmtId="0" fontId="33" fillId="0" borderId="62" xfId="0" applyFont="1" applyFill="1" applyBorder="1" applyAlignment="1">
      <alignment horizontal="center"/>
    </xf>
    <xf numFmtId="164" fontId="7" fillId="0" borderId="63" xfId="0" applyNumberFormat="1" applyFont="1" applyBorder="1" applyAlignment="1">
      <alignment horizontal="center"/>
    </xf>
    <xf numFmtId="164" fontId="7" fillId="0" borderId="80" xfId="0" applyNumberFormat="1" applyFont="1" applyBorder="1" applyAlignment="1">
      <alignment horizontal="center"/>
    </xf>
    <xf numFmtId="0" fontId="36" fillId="8" borderId="78" xfId="0" applyFont="1" applyFill="1" applyBorder="1" applyAlignment="1">
      <alignment horizontal="center"/>
    </xf>
    <xf numFmtId="1" fontId="7" fillId="0" borderId="80" xfId="0" applyNumberFormat="1" applyFont="1" applyBorder="1" applyAlignment="1">
      <alignment horizontal="center"/>
    </xf>
    <xf numFmtId="9" fontId="17" fillId="0" borderId="26" xfId="0" applyNumberFormat="1" applyFont="1" applyBorder="1" applyAlignment="1">
      <alignment horizontal="center" vertical="center"/>
    </xf>
    <xf numFmtId="9" fontId="17" fillId="0" borderId="27" xfId="0" applyNumberFormat="1" applyFont="1" applyBorder="1" applyAlignment="1">
      <alignment horizontal="center" vertical="center"/>
    </xf>
    <xf numFmtId="2" fontId="10" fillId="26" borderId="15" xfId="0" applyNumberFormat="1" applyFont="1" applyFill="1" applyBorder="1" applyAlignment="1">
      <alignment horizontal="center"/>
    </xf>
    <xf numFmtId="2" fontId="10" fillId="26" borderId="16" xfId="0" applyNumberFormat="1" applyFont="1" applyFill="1" applyBorder="1" applyAlignment="1">
      <alignment horizontal="center"/>
    </xf>
    <xf numFmtId="2" fontId="10" fillId="26" borderId="17" xfId="0" applyNumberFormat="1" applyFont="1" applyFill="1" applyBorder="1" applyAlignment="1">
      <alignment horizontal="center"/>
    </xf>
    <xf numFmtId="9" fontId="17" fillId="0" borderId="45" xfId="0" applyNumberFormat="1" applyFont="1" applyBorder="1" applyAlignment="1">
      <alignment horizontal="center" vertical="center"/>
    </xf>
    <xf numFmtId="9" fontId="17" fillId="0" borderId="46" xfId="0" applyNumberFormat="1" applyFont="1" applyBorder="1" applyAlignment="1">
      <alignment horizontal="center" vertical="center"/>
    </xf>
    <xf numFmtId="2" fontId="10" fillId="7" borderId="15" xfId="0" applyNumberFormat="1" applyFont="1" applyFill="1" applyBorder="1" applyAlignment="1">
      <alignment horizontal="center"/>
    </xf>
    <xf numFmtId="2" fontId="10" fillId="7" borderId="16" xfId="0" applyNumberFormat="1" applyFont="1" applyFill="1" applyBorder="1" applyAlignment="1">
      <alignment horizontal="center"/>
    </xf>
    <xf numFmtId="2" fontId="10" fillId="7" borderId="17" xfId="0" applyNumberFormat="1" applyFont="1" applyFill="1" applyBorder="1" applyAlignment="1">
      <alignment horizontal="center"/>
    </xf>
    <xf numFmtId="0" fontId="15" fillId="6" borderId="15" xfId="0" applyFont="1" applyFill="1" applyBorder="1" applyAlignment="1">
      <alignment horizontal="center"/>
    </xf>
    <xf numFmtId="0" fontId="15" fillId="6" borderId="16" xfId="0" applyFont="1" applyFill="1" applyBorder="1" applyAlignment="1">
      <alignment horizontal="center"/>
    </xf>
    <xf numFmtId="0" fontId="15" fillId="6" borderId="17" xfId="0" applyFont="1" applyFill="1" applyBorder="1" applyAlignment="1">
      <alignment horizontal="center"/>
    </xf>
    <xf numFmtId="1" fontId="10" fillId="0" borderId="39" xfId="0" applyNumberFormat="1" applyFont="1" applyBorder="1" applyAlignment="1">
      <alignment horizontal="center"/>
    </xf>
    <xf numFmtId="10" fontId="17" fillId="0" borderId="26" xfId="0" applyNumberFormat="1" applyFont="1" applyBorder="1" applyAlignment="1">
      <alignment horizontal="center" vertical="center"/>
    </xf>
    <xf numFmtId="10" fontId="17" fillId="0" borderId="27" xfId="0" applyNumberFormat="1" applyFont="1" applyBorder="1" applyAlignment="1">
      <alignment horizontal="center" vertical="center"/>
    </xf>
    <xf numFmtId="165" fontId="15" fillId="0" borderId="25" xfId="0" applyNumberFormat="1" applyFont="1" applyBorder="1" applyAlignment="1">
      <alignment horizontal="center" vertical="center"/>
    </xf>
    <xf numFmtId="165" fontId="15" fillId="0" borderId="31" xfId="0" applyNumberFormat="1" applyFont="1" applyBorder="1" applyAlignment="1">
      <alignment horizontal="center" vertical="center" wrapText="1"/>
    </xf>
    <xf numFmtId="165" fontId="15" fillId="0" borderId="32" xfId="0" applyNumberFormat="1" applyFont="1" applyBorder="1" applyAlignment="1">
      <alignment horizontal="center" vertical="center" wrapText="1"/>
    </xf>
    <xf numFmtId="165" fontId="15" fillId="0" borderId="31" xfId="0" applyNumberFormat="1" applyFont="1" applyBorder="1" applyAlignment="1">
      <alignment horizontal="center" vertical="center"/>
    </xf>
    <xf numFmtId="165" fontId="15" fillId="0" borderId="26" xfId="0" applyNumberFormat="1" applyFont="1" applyBorder="1" applyAlignment="1">
      <alignment horizontal="center" vertical="center"/>
    </xf>
    <xf numFmtId="165" fontId="15" fillId="0" borderId="27" xfId="0" applyNumberFormat="1" applyFont="1" applyBorder="1" applyAlignment="1">
      <alignment horizontal="center" vertical="center"/>
    </xf>
    <xf numFmtId="49" fontId="0" fillId="4" borderId="9" xfId="0" applyNumberFormat="1" applyFont="1" applyFill="1" applyBorder="1" applyAlignment="1">
      <alignment horizontal="center"/>
    </xf>
    <xf numFmtId="49" fontId="0" fillId="4" borderId="8" xfId="0" applyNumberFormat="1" applyFont="1" applyFill="1" applyBorder="1" applyAlignment="1">
      <alignment horizontal="center"/>
    </xf>
    <xf numFmtId="49" fontId="0" fillId="4" borderId="10" xfId="0" applyNumberFormat="1" applyFont="1" applyFill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8" xfId="0" applyNumberFormat="1" applyFont="1" applyBorder="1" applyAlignment="1">
      <alignment horizontal="center"/>
    </xf>
    <xf numFmtId="2" fontId="0" fillId="0" borderId="10" xfId="0" applyNumberFormat="1" applyFont="1" applyBorder="1" applyAlignment="1">
      <alignment horizontal="center"/>
    </xf>
    <xf numFmtId="2" fontId="0" fillId="5" borderId="9" xfId="0" applyNumberFormat="1" applyFont="1" applyFill="1" applyBorder="1" applyAlignment="1">
      <alignment horizontal="center"/>
    </xf>
    <xf numFmtId="2" fontId="0" fillId="5" borderId="8" xfId="0" applyNumberFormat="1" applyFont="1" applyFill="1" applyBorder="1" applyAlignment="1">
      <alignment horizontal="center"/>
    </xf>
    <xf numFmtId="2" fontId="0" fillId="5" borderId="10" xfId="0" applyNumberFormat="1" applyFont="1" applyFill="1" applyBorder="1" applyAlignment="1">
      <alignment horizontal="center"/>
    </xf>
    <xf numFmtId="0" fontId="7" fillId="22" borderId="30" xfId="0" applyFont="1" applyFill="1" applyBorder="1" applyAlignment="1">
      <alignment horizontal="center" vertical="center"/>
    </xf>
    <xf numFmtId="0" fontId="7" fillId="22" borderId="50" xfId="0" applyFont="1" applyFill="1" applyBorder="1" applyAlignment="1">
      <alignment horizontal="center" vertical="center"/>
    </xf>
    <xf numFmtId="0" fontId="7" fillId="22" borderId="1" xfId="0" applyFont="1" applyFill="1" applyBorder="1" applyAlignment="1">
      <alignment horizontal="center" vertical="center"/>
    </xf>
    <xf numFmtId="0" fontId="7" fillId="22" borderId="49" xfId="0" applyFont="1" applyFill="1" applyBorder="1" applyAlignment="1">
      <alignment horizontal="center" vertical="center"/>
    </xf>
    <xf numFmtId="0" fontId="7" fillId="22" borderId="51" xfId="0" applyFont="1" applyFill="1" applyBorder="1" applyAlignment="1">
      <alignment horizontal="center" vertical="center"/>
    </xf>
    <xf numFmtId="0" fontId="7" fillId="22" borderId="3" xfId="0" applyFont="1" applyFill="1" applyBorder="1" applyAlignment="1">
      <alignment horizontal="center" vertical="center"/>
    </xf>
    <xf numFmtId="2" fontId="2" fillId="2" borderId="2" xfId="0" applyNumberFormat="1" applyFont="1" applyFill="1" applyBorder="1" applyAlignment="1">
      <alignment horizontal="center"/>
    </xf>
    <xf numFmtId="2" fontId="2" fillId="2" borderId="7" xfId="0" applyNumberFormat="1" applyFont="1" applyFill="1" applyBorder="1" applyAlignment="1">
      <alignment horizontal="center"/>
    </xf>
    <xf numFmtId="2" fontId="2" fillId="2" borderId="8" xfId="0" applyNumberFormat="1" applyFont="1" applyFill="1" applyBorder="1" applyAlignment="1">
      <alignment horizontal="center"/>
    </xf>
    <xf numFmtId="2" fontId="2" fillId="2" borderId="5" xfId="0" applyNumberFormat="1" applyFont="1" applyFill="1" applyBorder="1" applyAlignment="1">
      <alignment horizontal="center"/>
    </xf>
    <xf numFmtId="0" fontId="37" fillId="0" borderId="0" xfId="0" applyFont="1"/>
    <xf numFmtId="0" fontId="38" fillId="0" borderId="0" xfId="0" applyFont="1"/>
    <xf numFmtId="0" fontId="39" fillId="0" borderId="0" xfId="0" applyFont="1"/>
  </cellXfs>
  <cellStyles count="4">
    <cellStyle name="Normal" xfId="1" xr:uid="{00000000-0005-0000-0000-000000000000}"/>
    <cellStyle name="Normální" xfId="0" builtinId="0"/>
    <cellStyle name="Normální 2" xfId="3" xr:uid="{7D89A3BD-F1E7-4635-9770-CCBE2AC4DE0F}"/>
    <cellStyle name="Správně" xfId="2" builtinId="26"/>
  </cellStyles>
  <dxfs count="63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2" formatCode="0.00"/>
      <fill>
        <patternFill patternType="solid">
          <fgColor indexed="64"/>
          <bgColor theme="5" tint="0.5999938962981048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ont>
        <strike val="0"/>
        <outline val="0"/>
        <shadow val="0"/>
        <u val="none"/>
        <sz val="8"/>
        <color theme="1"/>
        <name val="Calibri"/>
      </font>
      <numFmt numFmtId="2" formatCode="0.0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sz val="8"/>
        <color theme="1"/>
        <name val="Calibri"/>
      </font>
      <numFmt numFmtId="2" formatCode="0.0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sz val="8"/>
        <color theme="1"/>
        <name val="Calibri"/>
      </font>
      <numFmt numFmtId="2" formatCode="0.0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sz val="8"/>
        <color theme="1"/>
        <name val="Calibri"/>
      </font>
      <numFmt numFmtId="2" formatCode="0.0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sz val="8"/>
        <color theme="1"/>
        <name val="Calibri"/>
      </font>
      <numFmt numFmtId="2" formatCode="0.0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sz val="8"/>
        <color theme="1"/>
        <name val="Calibri"/>
      </font>
      <numFmt numFmtId="2" formatCode="0.0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sz val="8"/>
        <color theme="1"/>
        <name val="Calibri"/>
      </font>
      <numFmt numFmtId="2" formatCode="0.0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sz val="8"/>
        <color theme="1"/>
        <name val="Calibri"/>
      </font>
      <numFmt numFmtId="2" formatCode="0.0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sz val="8"/>
        <color theme="1"/>
        <name val="Calibri"/>
      </font>
      <numFmt numFmtId="2" formatCode="0.0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sz val="8"/>
        <color theme="1"/>
        <name val="Calibri"/>
      </font>
      <numFmt numFmtId="2" formatCode="0.0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sz val="8"/>
        <color theme="1"/>
        <name val="Calibri"/>
      </font>
      <numFmt numFmtId="2" formatCode="0.0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sz val="8"/>
        <color theme="1"/>
        <name val="Calibri"/>
      </font>
      <numFmt numFmtId="2" formatCode="0.0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sz val="8"/>
        <color theme="1"/>
        <name val="Calibri"/>
      </font>
      <numFmt numFmtId="2" formatCode="0.0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sz val="8"/>
        <color theme="1"/>
        <name val="Calibri"/>
      </font>
      <numFmt numFmtId="2" formatCode="0.0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sz val="8"/>
        <color theme="1"/>
        <name val="Calibri"/>
      </font>
      <numFmt numFmtId="2" formatCode="0.0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sz val="8"/>
        <color theme="1"/>
        <name val="Calibri"/>
      </font>
      <numFmt numFmtId="2" formatCode="0.0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sz val="8"/>
        <color theme="1"/>
        <name val="Calibri"/>
      </font>
      <numFmt numFmtId="2" formatCode="0.0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sz val="8"/>
        <color theme="1"/>
        <name val="Calibri"/>
      </font>
      <numFmt numFmtId="2" formatCode="0.0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2" formatCode="0.00"/>
      <fill>
        <patternFill>
          <fgColor indexed="64"/>
          <bgColor theme="5" tint="0.59999389629810485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2" formatCode="0.00"/>
      <fill>
        <patternFill>
          <fgColor indexed="64"/>
          <bgColor theme="5" tint="0.59999389629810485"/>
        </patternFill>
      </fill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sz val="8"/>
        <color theme="1"/>
        <name val="Calibri"/>
      </font>
      <numFmt numFmtId="2" formatCode="0.00"/>
      <fill>
        <patternFill>
          <fgColor indexed="64"/>
        </patternFill>
      </fill>
      <border diagonalUp="0" diagonalDown="0" outline="0"/>
    </dxf>
    <dxf>
      <border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2" formatCode="0.00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99"/>
      <color rgb="FF46A5F4"/>
      <color rgb="FF428EEA"/>
      <color rgb="FFFFEBAB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ulka1" displayName="Tabulka1" ref="A2:AP172" totalsRowShown="0" headerRowDxfId="46" dataDxfId="44" headerRowBorderDxfId="45" tableBorderDxfId="43" totalsRowBorderDxfId="42">
  <sortState xmlns:xlrd2="http://schemas.microsoft.com/office/spreadsheetml/2017/richdata2" ref="A3:AQ172">
    <sortCondition ref="A3"/>
  </sortState>
  <tableColumns count="42">
    <tableColumn id="1" xr3:uid="{00000000-0010-0000-0000-000001000000}" name="SEQ" dataDxfId="41"/>
    <tableColumn id="20" xr3:uid="{00000000-0010-0000-0000-000014000000}" name="ID" dataDxfId="40"/>
    <tableColumn id="2" xr3:uid="{00000000-0010-0000-0000-000002000000}" name="pHH2O_30" dataDxfId="39"/>
    <tableColumn id="3" xr3:uid="{00000000-0010-0000-0000-000003000000}" name="pHH20_60" dataDxfId="38"/>
    <tableColumn id="4" xr3:uid="{00000000-0010-0000-0000-000004000000}" name="pHKCl_30" dataDxfId="37"/>
    <tableColumn id="5" xr3:uid="{00000000-0010-0000-0000-000005000000}" name="pHKCl_60" dataDxfId="36"/>
    <tableColumn id="6" xr3:uid="{00000000-0010-0000-0000-000006000000}" name="hum_30" dataDxfId="35"/>
    <tableColumn id="7" xr3:uid="{00000000-0010-0000-0000-000007000000}" name="hum_60" dataDxfId="34"/>
    <tableColumn id="8" xr3:uid="{00000000-0010-0000-0000-000008000000}" name="COX_30" dataDxfId="33"/>
    <tableColumn id="9" xr3:uid="{00000000-0010-0000-0000-000009000000}" name="COX_60" dataDxfId="32"/>
    <tableColumn id="10" xr3:uid="{00000000-0010-0000-0000-00000A000000}" name="CaCO3_30" dataDxfId="31"/>
    <tableColumn id="11" xr3:uid="{00000000-0010-0000-0000-00000B000000}" name="CaCO3_60" dataDxfId="30"/>
    <tableColumn id="12" xr3:uid="{00000000-0010-0000-0000-00000C000000}" name="násobeno 10x P2O5_30" dataDxfId="29"/>
    <tableColumn id="13" xr3:uid="{00000000-0010-0000-0000-00000D000000}" name="P2O5_60" dataDxfId="28"/>
    <tableColumn id="14" xr3:uid="{00000000-0010-0000-0000-00000E000000}" name="K2O_30" dataDxfId="27"/>
    <tableColumn id="15" xr3:uid="{00000000-0010-0000-0000-00000F000000}" name="K2O_60" dataDxfId="26"/>
    <tableColumn id="16" xr3:uid="{00000000-0010-0000-0000-000010000000}" name="T_30" dataDxfId="25"/>
    <tableColumn id="17" xr3:uid="{00000000-0010-0000-0000-000011000000}" name="T_60" dataDxfId="24"/>
    <tableColumn id="18" xr3:uid="{00000000-0010-0000-0000-000012000000}" name="V_30" dataDxfId="23"/>
    <tableColumn id="19" xr3:uid="{00000000-0010-0000-0000-000013000000}" name="V_60" dataDxfId="22"/>
    <tableColumn id="34" xr3:uid="{00000000-0010-0000-0000-000022000000}" name="RVK" dataDxfId="21" dataCellStyle="Normal"/>
    <tableColumn id="39" xr3:uid="{806CDF58-BCA4-413A-A27D-B1203F346743}" name="BD_30" dataDxfId="20" dataCellStyle="Normal">
      <calculatedColumnFormula>VLOOKUP(Tabulka1[[#This Row],[ID]],'Zdroj hloubka okresy'!$A$2:$K$171,5,FALSE)</calculatedColumnFormula>
    </tableColumn>
    <tableColumn id="37" xr3:uid="{3F786004-5B67-448D-B6FE-2366B9469FA8}" name="BD_60" dataDxfId="19" dataCellStyle="Normal">
      <calculatedColumnFormula>VLOOKUP(Tabulka1[[#This Row],[ID]],'Zdroj hloubka okresy'!$A$2:$K$171,6,FALSE)</calculatedColumnFormula>
    </tableColumn>
    <tableColumn id="21" xr3:uid="{00000000-0010-0000-0000-000015000000}" name="0,002_30" dataDxfId="18" dataCellStyle="Normal"/>
    <tableColumn id="22" xr3:uid="{00000000-0010-0000-0000-000016000000}" name="0,002_60" dataDxfId="17" dataCellStyle="Normal"/>
    <tableColumn id="25" xr3:uid="{00000000-0010-0000-0000-000019000000}" name=" 0,01_30" dataDxfId="16" dataCellStyle="Normal"/>
    <tableColumn id="24" xr3:uid="{00000000-0010-0000-0000-000018000000}" name="0,01_60" dataDxfId="15" dataCellStyle="Normal"/>
    <tableColumn id="27" xr3:uid="{00000000-0010-0000-0000-00001B000000}" name="0,05_30" dataDxfId="14" dataCellStyle="Normal"/>
    <tableColumn id="26" xr3:uid="{00000000-0010-0000-0000-00001A000000}" name="0,05_60" dataDxfId="13" dataCellStyle="Normal"/>
    <tableColumn id="29" xr3:uid="{00000000-0010-0000-0000-00001D000000}" name="0,25_30" dataDxfId="12" dataCellStyle="Normal"/>
    <tableColumn id="28" xr3:uid="{00000000-0010-0000-0000-00001C000000}" name="0,25_60" dataDxfId="11" dataCellStyle="Normal"/>
    <tableColumn id="31" xr3:uid="{00000000-0010-0000-0000-00001F000000}" name="2_30" dataDxfId="10" dataCellStyle="Normal"/>
    <tableColumn id="30" xr3:uid="{00000000-0010-0000-0000-00001E000000}" name="2_60" dataDxfId="9" dataCellStyle="Normal"/>
    <tableColumn id="23" xr3:uid="{00000000-0010-0000-0000-000017000000}" name="BPEJ" dataDxfId="8" dataCellStyle="Normal"/>
    <tableColumn id="32" xr3:uid="{00000000-0010-0000-0000-000020000000}" name="bon." dataDxfId="7" dataCellStyle="Normal"/>
    <tableColumn id="33" xr3:uid="{00000000-0010-0000-0000-000021000000}" name="z.cena" dataDxfId="6" dataCellStyle="Normal"/>
    <tableColumn id="35" xr3:uid="{00000000-0010-0000-0000-000023000000}" name="kl.r.n." dataDxfId="5" dataCellStyle="Normal"/>
    <tableColumn id="36" xr3:uid="{00000000-0010-0000-0000-000024000000}" name="srážky" dataDxfId="4" dataCellStyle="Normal"/>
    <tableColumn id="38" xr3:uid="{00000000-0010-0000-0000-000026000000}" name="kv.ek." dataDxfId="3" dataCellStyle="Normal"/>
    <tableColumn id="40" xr3:uid="{00000000-0010-0000-0000-000028000000}" name="HSP" dataDxfId="2" dataCellStyle="Normal"/>
    <tableColumn id="42" xr3:uid="{805D7559-766B-4B45-BB47-742D977FEF4A}" name="Sloupec1" dataDxfId="1"/>
    <tableColumn id="41" xr3:uid="{00000000-0010-0000-0000-000029000000}" name="seal." dataDxfId="0" dataCellStyle="Normal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4EBDE-AEE9-4819-8BEF-35C0C3C37251}">
  <sheetPr codeName="List1"/>
  <dimension ref="A1:A9"/>
  <sheetViews>
    <sheetView tabSelected="1" workbookViewId="0">
      <selection activeCell="I12" sqref="I12"/>
    </sheetView>
  </sheetViews>
  <sheetFormatPr defaultRowHeight="14.5" x14ac:dyDescent="0.35"/>
  <sheetData>
    <row r="1" spans="1:1" ht="36" x14ac:dyDescent="0.8">
      <c r="A1" s="496" t="s">
        <v>1037</v>
      </c>
    </row>
    <row r="3" spans="1:1" ht="23.5" x14ac:dyDescent="0.55000000000000004">
      <c r="A3" s="495" t="s">
        <v>1038</v>
      </c>
    </row>
    <row r="5" spans="1:1" ht="23.5" x14ac:dyDescent="0.55000000000000004">
      <c r="A5" s="495" t="s">
        <v>1039</v>
      </c>
    </row>
    <row r="8" spans="1:1" ht="18.5" x14ac:dyDescent="0.45">
      <c r="A8" s="497" t="s">
        <v>1040</v>
      </c>
    </row>
    <row r="9" spans="1:1" ht="18.5" x14ac:dyDescent="0.45">
      <c r="A9" s="497" t="s">
        <v>1041</v>
      </c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E0622-0F81-43EF-8C32-E60533D83DD8}">
  <sheetPr codeName="List10"/>
  <dimension ref="A1:W168"/>
  <sheetViews>
    <sheetView workbookViewId="0">
      <selection activeCell="K2" sqref="K2"/>
    </sheetView>
  </sheetViews>
  <sheetFormatPr defaultRowHeight="14.5" x14ac:dyDescent="0.35"/>
  <cols>
    <col min="1" max="1" width="5" style="138" bestFit="1" customWidth="1"/>
    <col min="2" max="2" width="5.81640625" style="138" bestFit="1" customWidth="1"/>
    <col min="3" max="3" width="15" style="138" bestFit="1" customWidth="1"/>
    <col min="4" max="11" width="11.81640625" style="138" customWidth="1"/>
    <col min="12" max="12" width="13.7265625" style="138" customWidth="1"/>
    <col min="13" max="13" width="13.7265625" customWidth="1"/>
    <col min="14" max="14" width="9.1796875" style="139"/>
  </cols>
  <sheetData>
    <row r="1" spans="1:23" ht="52.5" customHeight="1" x14ac:dyDescent="0.35">
      <c r="A1" s="138" t="s">
        <v>0</v>
      </c>
      <c r="B1" s="138" t="s">
        <v>687</v>
      </c>
      <c r="C1" s="138" t="s">
        <v>965</v>
      </c>
      <c r="D1" s="349" t="s">
        <v>994</v>
      </c>
      <c r="E1" s="349" t="s">
        <v>988</v>
      </c>
      <c r="F1" s="349" t="s">
        <v>992</v>
      </c>
      <c r="G1" s="349" t="s">
        <v>989</v>
      </c>
      <c r="H1" s="349" t="s">
        <v>993</v>
      </c>
      <c r="I1" s="349" t="s">
        <v>990</v>
      </c>
      <c r="J1" s="349" t="s">
        <v>991</v>
      </c>
      <c r="K1" s="349" t="s">
        <v>1009</v>
      </c>
      <c r="L1" s="350" t="s">
        <v>996</v>
      </c>
      <c r="M1" s="9" t="s">
        <v>997</v>
      </c>
      <c r="O1" s="349" t="s">
        <v>994</v>
      </c>
      <c r="P1" s="349" t="s">
        <v>988</v>
      </c>
      <c r="Q1" s="349" t="s">
        <v>992</v>
      </c>
      <c r="R1" s="349" t="s">
        <v>989</v>
      </c>
      <c r="S1" s="349" t="s">
        <v>993</v>
      </c>
      <c r="T1" s="349" t="s">
        <v>990</v>
      </c>
      <c r="U1" s="349" t="s">
        <v>991</v>
      </c>
      <c r="V1" s="349" t="s">
        <v>995</v>
      </c>
    </row>
    <row r="2" spans="1:23" x14ac:dyDescent="0.35">
      <c r="A2" s="138">
        <v>4016</v>
      </c>
      <c r="B2" s="138" t="s">
        <v>313</v>
      </c>
      <c r="C2" s="138" t="s">
        <v>959</v>
      </c>
      <c r="D2" s="138">
        <v>8.0000000000000071</v>
      </c>
      <c r="E2" s="138">
        <v>37.68576172235106</v>
      </c>
      <c r="F2" s="138">
        <v>36.395302488142285</v>
      </c>
      <c r="G2" s="138">
        <v>81.864450136623731</v>
      </c>
      <c r="H2" s="138">
        <v>81.864450136623731</v>
      </c>
      <c r="I2" s="138">
        <v>119.55021185897479</v>
      </c>
      <c r="J2" s="138">
        <v>118.25975262476601</v>
      </c>
      <c r="K2" s="138">
        <v>245.8099644837408</v>
      </c>
      <c r="L2" s="9">
        <v>-763181.36</v>
      </c>
      <c r="M2" s="9">
        <v>-1079545</v>
      </c>
      <c r="O2" s="138">
        <f t="shared" ref="O2:V2" si="0">MAX(D2:D168)-MIN(D2:D168)</f>
        <v>13.333333333333346</v>
      </c>
      <c r="P2" s="138">
        <f t="shared" si="0"/>
        <v>32.066721613586196</v>
      </c>
      <c r="Q2" s="138">
        <f t="shared" si="0"/>
        <v>29.452615875960362</v>
      </c>
      <c r="R2" s="138">
        <f t="shared" si="0"/>
        <v>39.261428209567654</v>
      </c>
      <c r="S2" s="138">
        <f t="shared" si="0"/>
        <v>47.808831788249606</v>
      </c>
      <c r="T2" s="138">
        <f t="shared" si="0"/>
        <v>54.658370585323112</v>
      </c>
      <c r="U2" s="138">
        <f t="shared" si="0"/>
        <v>57.487037651599685</v>
      </c>
      <c r="V2" s="138">
        <f t="shared" si="0"/>
        <v>104.10826860974231</v>
      </c>
      <c r="W2" t="s">
        <v>999</v>
      </c>
    </row>
    <row r="3" spans="1:23" x14ac:dyDescent="0.35">
      <c r="A3" s="138">
        <v>4019</v>
      </c>
      <c r="B3" s="138" t="s">
        <v>61</v>
      </c>
      <c r="C3" s="138" t="s">
        <v>959</v>
      </c>
      <c r="D3" s="138">
        <v>5.3333333333333375</v>
      </c>
      <c r="E3" s="138">
        <v>42.058594350132303</v>
      </c>
      <c r="F3" s="138">
        <v>38.317526232655659</v>
      </c>
      <c r="G3" s="138">
        <v>56.83811318696582</v>
      </c>
      <c r="H3" s="138">
        <v>60.751737144041805</v>
      </c>
      <c r="I3" s="138">
        <v>98.896707537098123</v>
      </c>
      <c r="J3" s="138">
        <v>99.069263376697464</v>
      </c>
      <c r="K3" s="138">
        <v>203.29930424712893</v>
      </c>
      <c r="L3" s="9">
        <v>-763651</v>
      </c>
      <c r="M3" s="9">
        <v>-1079881</v>
      </c>
      <c r="O3">
        <f>O2/5</f>
        <v>2.6666666666666692</v>
      </c>
      <c r="P3" s="139">
        <f t="shared" ref="P3:V3" si="1">P2/5</f>
        <v>6.4133443227172391</v>
      </c>
      <c r="Q3" s="139">
        <f t="shared" si="1"/>
        <v>5.8905231751920724</v>
      </c>
      <c r="R3" s="139">
        <f t="shared" si="1"/>
        <v>7.8522856419135305</v>
      </c>
      <c r="S3" s="139">
        <f t="shared" si="1"/>
        <v>9.5617663576499208</v>
      </c>
      <c r="T3" s="139">
        <f t="shared" si="1"/>
        <v>10.931674117064622</v>
      </c>
      <c r="U3" s="139">
        <f t="shared" si="1"/>
        <v>11.497407530319936</v>
      </c>
      <c r="V3" s="139">
        <f t="shared" si="1"/>
        <v>20.821653721948461</v>
      </c>
      <c r="W3" t="s">
        <v>1000</v>
      </c>
    </row>
    <row r="4" spans="1:23" x14ac:dyDescent="0.35">
      <c r="A4" s="138">
        <v>4022</v>
      </c>
      <c r="B4" s="138" t="s">
        <v>300</v>
      </c>
      <c r="C4" s="138" t="s">
        <v>959</v>
      </c>
      <c r="D4" s="138">
        <v>5.3333333333333375</v>
      </c>
      <c r="E4" s="138">
        <v>35.748107578032958</v>
      </c>
      <c r="F4" s="138">
        <v>33.337481854452086</v>
      </c>
      <c r="G4" s="138">
        <v>76.406232972345762</v>
      </c>
      <c r="H4" s="138">
        <v>65.489798643789811</v>
      </c>
      <c r="I4" s="138">
        <v>112.15434055037872</v>
      </c>
      <c r="J4" s="138">
        <v>98.82728049824189</v>
      </c>
      <c r="K4" s="138">
        <v>216.31495438195395</v>
      </c>
      <c r="L4" s="9">
        <v>-765431.42</v>
      </c>
      <c r="M4" s="9">
        <v>-1072800.6299999999</v>
      </c>
      <c r="O4" s="411">
        <f t="shared" ref="O4:V4" si="2">MIN(D2:D168)</f>
        <v>2.6666666666666687</v>
      </c>
      <c r="P4" s="412">
        <f t="shared" si="2"/>
        <v>14.49982614010394</v>
      </c>
      <c r="Q4" s="412">
        <f t="shared" si="2"/>
        <v>14.845901966630793</v>
      </c>
      <c r="R4" s="412">
        <f t="shared" si="2"/>
        <v>42.603021927056076</v>
      </c>
      <c r="S4" s="412">
        <f t="shared" si="2"/>
        <v>37.144804762778094</v>
      </c>
      <c r="T4" s="412">
        <f t="shared" si="2"/>
        <v>64.891841273651679</v>
      </c>
      <c r="U4" s="412">
        <f t="shared" si="2"/>
        <v>61.858744868185646</v>
      </c>
      <c r="V4" s="413">
        <f t="shared" si="2"/>
        <v>141.70169587399849</v>
      </c>
    </row>
    <row r="5" spans="1:23" x14ac:dyDescent="0.35">
      <c r="A5" s="138">
        <v>4025</v>
      </c>
      <c r="B5" s="138" t="s">
        <v>301</v>
      </c>
      <c r="C5" s="138" t="s">
        <v>959</v>
      </c>
      <c r="D5" s="138">
        <v>5.3333333333333375</v>
      </c>
      <c r="E5" s="138">
        <v>33.237477183546702</v>
      </c>
      <c r="F5" s="138">
        <v>33.546845106048828</v>
      </c>
      <c r="G5" s="138">
        <v>76.406232972345762</v>
      </c>
      <c r="H5" s="138">
        <v>68.578985058193794</v>
      </c>
      <c r="I5" s="138">
        <v>109.64371015589246</v>
      </c>
      <c r="J5" s="138">
        <v>102.12583016424261</v>
      </c>
      <c r="K5" s="138">
        <v>217.10287365346844</v>
      </c>
      <c r="L5" s="9">
        <v>-764320.74</v>
      </c>
      <c r="M5" s="9">
        <v>-1079963</v>
      </c>
      <c r="O5" s="414">
        <f>O4+O$3</f>
        <v>5.3333333333333375</v>
      </c>
      <c r="P5" s="415">
        <f t="shared" ref="P5:V9" si="3">P4+P$3</f>
        <v>20.913170462821178</v>
      </c>
      <c r="Q5" s="415">
        <f t="shared" si="3"/>
        <v>20.736425141822863</v>
      </c>
      <c r="R5" s="415">
        <f t="shared" si="3"/>
        <v>50.455307568969609</v>
      </c>
      <c r="S5" s="415">
        <f t="shared" si="3"/>
        <v>46.706571120428016</v>
      </c>
      <c r="T5" s="415">
        <f t="shared" si="3"/>
        <v>75.823515390716295</v>
      </c>
      <c r="U5" s="415">
        <f t="shared" si="3"/>
        <v>73.356152398505586</v>
      </c>
      <c r="V5" s="416">
        <f t="shared" si="3"/>
        <v>162.52334959594694</v>
      </c>
    </row>
    <row r="6" spans="1:23" x14ac:dyDescent="0.35">
      <c r="A6" s="138">
        <v>4031</v>
      </c>
      <c r="B6" s="138" t="s">
        <v>79</v>
      </c>
      <c r="C6" s="138" t="s">
        <v>959</v>
      </c>
      <c r="D6" s="138">
        <v>5.3333333333333375</v>
      </c>
      <c r="E6" s="138">
        <v>28.623266295386266</v>
      </c>
      <c r="F6" s="138">
        <v>26.752732236647937</v>
      </c>
      <c r="G6" s="138">
        <v>62.837872491133353</v>
      </c>
      <c r="H6" s="138">
        <v>69.016245319941305</v>
      </c>
      <c r="I6" s="138">
        <v>91.461138786519626</v>
      </c>
      <c r="J6" s="138">
        <v>95.768977556589249</v>
      </c>
      <c r="K6" s="138">
        <v>192.56344967644222</v>
      </c>
      <c r="L6" s="9">
        <v>-775088.4</v>
      </c>
      <c r="M6" s="9">
        <v>-1095788.6000000001</v>
      </c>
      <c r="O6" s="414">
        <f t="shared" ref="O6:O9" si="4">O5+O$3</f>
        <v>8.0000000000000071</v>
      </c>
      <c r="P6" s="415">
        <f t="shared" si="3"/>
        <v>27.326514785538418</v>
      </c>
      <c r="Q6" s="415">
        <f t="shared" si="3"/>
        <v>26.626948317014936</v>
      </c>
      <c r="R6" s="415">
        <f t="shared" si="3"/>
        <v>58.307593210883141</v>
      </c>
      <c r="S6" s="415">
        <f t="shared" si="3"/>
        <v>56.268337478077939</v>
      </c>
      <c r="T6" s="415">
        <f t="shared" si="3"/>
        <v>86.755189507780912</v>
      </c>
      <c r="U6" s="415">
        <f t="shared" si="3"/>
        <v>84.853559928825518</v>
      </c>
      <c r="V6" s="416">
        <f t="shared" si="3"/>
        <v>183.34500331789539</v>
      </c>
    </row>
    <row r="7" spans="1:23" x14ac:dyDescent="0.35">
      <c r="A7" s="138">
        <v>4034</v>
      </c>
      <c r="B7" s="138" t="s">
        <v>98</v>
      </c>
      <c r="C7" s="138" t="s">
        <v>959</v>
      </c>
      <c r="D7" s="138">
        <v>8.0000000000000071</v>
      </c>
      <c r="E7" s="138">
        <v>35.898569381178554</v>
      </c>
      <c r="F7" s="138">
        <v>31.289698653788367</v>
      </c>
      <c r="G7" s="138">
        <v>74.037202222471763</v>
      </c>
      <c r="H7" s="138">
        <v>70.948015808067794</v>
      </c>
      <c r="I7" s="138">
        <v>109.93577160365032</v>
      </c>
      <c r="J7" s="138">
        <v>102.23771446185616</v>
      </c>
      <c r="K7" s="138">
        <v>220.17348606550649</v>
      </c>
      <c r="L7" s="9">
        <v>-781385.89</v>
      </c>
      <c r="M7" s="9">
        <v>-1093500.2</v>
      </c>
      <c r="O7" s="414">
        <f t="shared" si="4"/>
        <v>10.666666666666677</v>
      </c>
      <c r="P7" s="415">
        <f t="shared" si="3"/>
        <v>33.739859108255658</v>
      </c>
      <c r="Q7" s="415">
        <f t="shared" si="3"/>
        <v>32.517471492207008</v>
      </c>
      <c r="R7" s="415">
        <f t="shared" si="3"/>
        <v>66.159878852796666</v>
      </c>
      <c r="S7" s="415">
        <f t="shared" si="3"/>
        <v>65.830103835727854</v>
      </c>
      <c r="T7" s="415">
        <f t="shared" si="3"/>
        <v>97.686863624845529</v>
      </c>
      <c r="U7" s="415">
        <f t="shared" si="3"/>
        <v>96.350967459145451</v>
      </c>
      <c r="V7" s="416">
        <f t="shared" si="3"/>
        <v>204.16665703984384</v>
      </c>
    </row>
    <row r="8" spans="1:23" x14ac:dyDescent="0.35">
      <c r="A8" s="138">
        <v>4037</v>
      </c>
      <c r="B8" s="138" t="s">
        <v>92</v>
      </c>
      <c r="C8" s="138" t="s">
        <v>959</v>
      </c>
      <c r="D8" s="138">
        <v>5.3333333333333375</v>
      </c>
      <c r="E8" s="138">
        <v>37.474606916834844</v>
      </c>
      <c r="F8" s="138">
        <v>36.360755010186885</v>
      </c>
      <c r="G8" s="138">
        <v>74.667778499892293</v>
      </c>
      <c r="H8" s="138">
        <v>66.120374921210342</v>
      </c>
      <c r="I8" s="138">
        <v>112.14238541672714</v>
      </c>
      <c r="J8" s="138">
        <v>102.48112993139722</v>
      </c>
      <c r="K8" s="138">
        <v>219.9568486814577</v>
      </c>
      <c r="L8" s="9">
        <v>-763574.97</v>
      </c>
      <c r="M8" s="9">
        <v>-1075189.72</v>
      </c>
      <c r="O8" s="414">
        <f t="shared" si="4"/>
        <v>13.333333333333346</v>
      </c>
      <c r="P8" s="415">
        <f t="shared" si="3"/>
        <v>40.153203430972894</v>
      </c>
      <c r="Q8" s="415">
        <f t="shared" si="3"/>
        <v>38.40799466739908</v>
      </c>
      <c r="R8" s="415">
        <f t="shared" si="3"/>
        <v>74.012164494710191</v>
      </c>
      <c r="S8" s="415">
        <f t="shared" si="3"/>
        <v>75.39187019337777</v>
      </c>
      <c r="T8" s="415">
        <f t="shared" si="3"/>
        <v>108.61853774191015</v>
      </c>
      <c r="U8" s="415">
        <f t="shared" si="3"/>
        <v>107.84837498946538</v>
      </c>
      <c r="V8" s="416">
        <f t="shared" si="3"/>
        <v>224.98831076179229</v>
      </c>
    </row>
    <row r="9" spans="1:23" x14ac:dyDescent="0.35">
      <c r="A9" s="138">
        <v>4040</v>
      </c>
      <c r="B9" s="138" t="s">
        <v>295</v>
      </c>
      <c r="C9" s="138" t="s">
        <v>959</v>
      </c>
      <c r="D9" s="138">
        <v>8.0000000000000071</v>
      </c>
      <c r="E9" s="138">
        <v>24.555399885765578</v>
      </c>
      <c r="F9" s="138">
        <v>18.684763137362324</v>
      </c>
      <c r="G9" s="138">
        <v>62.131093016600801</v>
      </c>
      <c r="H9" s="138">
        <v>62.131093016600801</v>
      </c>
      <c r="I9" s="138">
        <v>86.686492902366382</v>
      </c>
      <c r="J9" s="138">
        <v>80.815856153963125</v>
      </c>
      <c r="K9" s="138">
        <v>175.50234905632951</v>
      </c>
      <c r="L9" s="9">
        <v>-794349.64</v>
      </c>
      <c r="M9" s="9">
        <v>-1090711.3999999999</v>
      </c>
      <c r="O9" s="417">
        <f t="shared" si="4"/>
        <v>16.000000000000014</v>
      </c>
      <c r="P9" s="418">
        <f t="shared" si="3"/>
        <v>46.566547753690131</v>
      </c>
      <c r="Q9" s="418">
        <f t="shared" si="3"/>
        <v>44.298517842591153</v>
      </c>
      <c r="R9" s="418">
        <f t="shared" si="3"/>
        <v>81.864450136623717</v>
      </c>
      <c r="S9" s="418">
        <f t="shared" si="3"/>
        <v>84.953636551027685</v>
      </c>
      <c r="T9" s="418">
        <f t="shared" si="3"/>
        <v>119.55021185897476</v>
      </c>
      <c r="U9" s="418">
        <f t="shared" si="3"/>
        <v>119.34578251978532</v>
      </c>
      <c r="V9" s="419">
        <f t="shared" si="3"/>
        <v>245.80996448374074</v>
      </c>
    </row>
    <row r="10" spans="1:23" x14ac:dyDescent="0.35">
      <c r="A10" s="138">
        <v>4046</v>
      </c>
      <c r="B10" s="138" t="s">
        <v>107</v>
      </c>
      <c r="C10" s="138" t="s">
        <v>959</v>
      </c>
      <c r="D10" s="138">
        <v>4.0000000000000036</v>
      </c>
      <c r="E10" s="138">
        <v>36.316887713688402</v>
      </c>
      <c r="F10" s="138">
        <v>30.850395651488494</v>
      </c>
      <c r="G10" s="138">
        <v>60.963125553425769</v>
      </c>
      <c r="H10" s="138">
        <v>59.418532346223785</v>
      </c>
      <c r="I10" s="138">
        <v>97.280013267114171</v>
      </c>
      <c r="J10" s="138">
        <v>90.268927997712282</v>
      </c>
      <c r="K10" s="138">
        <v>191.54894126482645</v>
      </c>
      <c r="L10" s="9">
        <v>-793612.75</v>
      </c>
      <c r="M10" s="9">
        <v>-1097095.2</v>
      </c>
      <c r="O10" s="138"/>
    </row>
    <row r="11" spans="1:23" x14ac:dyDescent="0.35">
      <c r="A11" s="138">
        <v>4049</v>
      </c>
      <c r="B11" s="138" t="s">
        <v>75</v>
      </c>
      <c r="C11" s="138" t="s">
        <v>959</v>
      </c>
      <c r="D11" s="138">
        <v>8.0000000000000071</v>
      </c>
      <c r="E11" s="138">
        <v>31.980992395639742</v>
      </c>
      <c r="F11" s="138">
        <v>27.710948400238312</v>
      </c>
      <c r="G11" s="138">
        <v>49.472872024436654</v>
      </c>
      <c r="H11" s="138">
        <v>44.014654860158664</v>
      </c>
      <c r="I11" s="138">
        <v>81.4538644200764</v>
      </c>
      <c r="J11" s="138">
        <v>71.72560326039698</v>
      </c>
      <c r="K11" s="138">
        <v>161.17946768047338</v>
      </c>
      <c r="L11" s="9">
        <v>-741598.11</v>
      </c>
      <c r="M11" s="9">
        <v>-1088578.8999999999</v>
      </c>
      <c r="O11" s="138" t="s">
        <v>998</v>
      </c>
    </row>
    <row r="12" spans="1:23" x14ac:dyDescent="0.35">
      <c r="A12" s="138">
        <v>4052</v>
      </c>
      <c r="B12" s="138" t="s">
        <v>105</v>
      </c>
      <c r="C12" s="138" t="s">
        <v>959</v>
      </c>
      <c r="D12" s="138">
        <v>8.0000000000000071</v>
      </c>
      <c r="E12" s="138">
        <v>24.887089549075704</v>
      </c>
      <c r="F12" s="138">
        <v>22.502776505516966</v>
      </c>
      <c r="G12" s="138">
        <v>58.594094803551748</v>
      </c>
      <c r="H12" s="138">
        <v>59.418532346223785</v>
      </c>
      <c r="I12" s="138">
        <v>83.481184352627452</v>
      </c>
      <c r="J12" s="138">
        <v>81.921308851740747</v>
      </c>
      <c r="K12" s="138">
        <v>173.4024932043682</v>
      </c>
      <c r="L12" s="9">
        <v>-795591.5</v>
      </c>
      <c r="M12" s="9">
        <v>-1097419.8</v>
      </c>
      <c r="O12" s="138"/>
    </row>
    <row r="13" spans="1:23" x14ac:dyDescent="0.35">
      <c r="A13" s="138">
        <v>4055</v>
      </c>
      <c r="B13" s="138" t="s">
        <v>99</v>
      </c>
      <c r="C13" s="138" t="s">
        <v>959</v>
      </c>
      <c r="D13" s="138">
        <v>8.0000000000000071</v>
      </c>
      <c r="E13" s="138">
        <v>22.230752243419634</v>
      </c>
      <c r="F13" s="138">
        <v>21.228020794594826</v>
      </c>
      <c r="G13" s="138">
        <v>75.416558095030766</v>
      </c>
      <c r="H13" s="138">
        <v>75.416558095030766</v>
      </c>
      <c r="I13" s="138">
        <v>97.647310338450396</v>
      </c>
      <c r="J13" s="138">
        <v>96.644578889625592</v>
      </c>
      <c r="K13" s="138">
        <v>202.291889228076</v>
      </c>
      <c r="L13" s="9">
        <v>-775947.05</v>
      </c>
      <c r="M13" s="9">
        <v>-1084249.5</v>
      </c>
    </row>
    <row r="14" spans="1:23" x14ac:dyDescent="0.35">
      <c r="A14" s="138">
        <v>4064</v>
      </c>
      <c r="B14" s="138" t="s">
        <v>104</v>
      </c>
      <c r="C14" s="138" t="s">
        <v>959</v>
      </c>
      <c r="D14" s="138">
        <v>5.3333333333333375</v>
      </c>
      <c r="E14" s="138">
        <v>28.513184016166637</v>
      </c>
      <c r="F14" s="138">
        <v>26.012863558073857</v>
      </c>
      <c r="G14" s="138">
        <v>66.533155166514078</v>
      </c>
      <c r="H14" s="138">
        <v>64.988561959312094</v>
      </c>
      <c r="I14" s="138">
        <v>95.046339182680711</v>
      </c>
      <c r="J14" s="138">
        <v>91.001425517385954</v>
      </c>
      <c r="K14" s="138">
        <v>191.38109803340001</v>
      </c>
      <c r="L14" s="9">
        <v>-762435.93</v>
      </c>
      <c r="M14" s="9">
        <v>-1083511.1000000001</v>
      </c>
    </row>
    <row r="15" spans="1:23" x14ac:dyDescent="0.35">
      <c r="A15" s="138">
        <v>4067</v>
      </c>
      <c r="B15" s="138" t="s">
        <v>95</v>
      </c>
      <c r="C15" s="138" t="s">
        <v>959</v>
      </c>
      <c r="D15" s="138">
        <v>8.0000000000000071</v>
      </c>
      <c r="E15" s="138">
        <v>26.195232061050525</v>
      </c>
      <c r="F15" s="138">
        <v>26.087043783793057</v>
      </c>
      <c r="G15" s="138">
        <v>71.502934137954767</v>
      </c>
      <c r="H15" s="138">
        <v>62.131093016600801</v>
      </c>
      <c r="I15" s="138">
        <v>97.6981661990053</v>
      </c>
      <c r="J15" s="138">
        <v>88.218136800393864</v>
      </c>
      <c r="K15" s="138">
        <v>193.91630299939916</v>
      </c>
      <c r="L15" s="9">
        <v>-742736.03</v>
      </c>
      <c r="M15" s="9">
        <v>-1089512.8</v>
      </c>
    </row>
    <row r="16" spans="1:23" x14ac:dyDescent="0.35">
      <c r="A16" s="138">
        <v>5292</v>
      </c>
      <c r="B16" s="138" t="s">
        <v>76</v>
      </c>
      <c r="C16" s="138" t="s">
        <v>960</v>
      </c>
      <c r="D16" s="138">
        <v>4.0000000000000036</v>
      </c>
      <c r="E16" s="138">
        <v>38.76628648360348</v>
      </c>
      <c r="F16" s="138">
        <v>33.712184482985911</v>
      </c>
      <c r="G16" s="138">
        <v>53.498308430322986</v>
      </c>
      <c r="H16" s="138">
        <v>51.129277680448972</v>
      </c>
      <c r="I16" s="138">
        <v>92.264594913926459</v>
      </c>
      <c r="J16" s="138">
        <v>84.841462163434883</v>
      </c>
      <c r="K16" s="138">
        <v>181.10605707736136</v>
      </c>
      <c r="L16" s="9">
        <v>-757255.44</v>
      </c>
      <c r="M16" s="9">
        <v>-1091540.7</v>
      </c>
    </row>
    <row r="17" spans="1:13" x14ac:dyDescent="0.35">
      <c r="A17" s="138">
        <v>5295</v>
      </c>
      <c r="B17" s="138" t="s">
        <v>298</v>
      </c>
      <c r="C17" s="138" t="s">
        <v>960</v>
      </c>
      <c r="D17" s="138">
        <v>9.3333333333333428</v>
      </c>
      <c r="E17" s="138">
        <v>39.20856323630413</v>
      </c>
      <c r="F17" s="138">
        <v>34.628216806586586</v>
      </c>
      <c r="G17" s="138">
        <v>69.958340930752783</v>
      </c>
      <c r="H17" s="138">
        <v>71.502934137954767</v>
      </c>
      <c r="I17" s="138">
        <v>109.16690416705691</v>
      </c>
      <c r="J17" s="138">
        <v>106.13115094454136</v>
      </c>
      <c r="K17" s="138">
        <v>224.63138844493162</v>
      </c>
      <c r="L17" s="9">
        <v>-751586</v>
      </c>
      <c r="M17" s="9">
        <v>-1084770.5</v>
      </c>
    </row>
    <row r="18" spans="1:13" x14ac:dyDescent="0.35">
      <c r="A18" s="138">
        <v>5298</v>
      </c>
      <c r="B18" s="138" t="s">
        <v>314</v>
      </c>
      <c r="C18" s="138" t="s">
        <v>960</v>
      </c>
      <c r="D18" s="138">
        <v>2.6666666666666687</v>
      </c>
      <c r="E18" s="138">
        <v>39.204307156609993</v>
      </c>
      <c r="F18" s="138">
        <v>36.458721393420042</v>
      </c>
      <c r="G18" s="138">
        <v>77.950826179547761</v>
      </c>
      <c r="H18" s="138">
        <v>73.317046557941794</v>
      </c>
      <c r="I18" s="138">
        <v>117.15513333615775</v>
      </c>
      <c r="J18" s="138">
        <v>109.77576795136184</v>
      </c>
      <c r="K18" s="138">
        <v>229.59756795418625</v>
      </c>
      <c r="L18" s="9">
        <v>-757911.4</v>
      </c>
      <c r="M18" s="9">
        <v>-1074189.2</v>
      </c>
    </row>
    <row r="19" spans="1:13" x14ac:dyDescent="0.35">
      <c r="A19" s="138">
        <v>5301</v>
      </c>
      <c r="B19" s="138" t="s">
        <v>77</v>
      </c>
      <c r="C19" s="138" t="s">
        <v>960</v>
      </c>
      <c r="D19" s="138">
        <v>8.0000000000000071</v>
      </c>
      <c r="E19" s="138">
        <v>41.757346605260146</v>
      </c>
      <c r="F19" s="138">
        <v>39.465090434040548</v>
      </c>
      <c r="G19" s="138">
        <v>64.665361101117796</v>
      </c>
      <c r="H19" s="138">
        <v>63.120767893915811</v>
      </c>
      <c r="I19" s="138">
        <v>106.42270770637793</v>
      </c>
      <c r="J19" s="138">
        <v>102.58585832795636</v>
      </c>
      <c r="K19" s="138">
        <v>217.00856603433431</v>
      </c>
      <c r="L19" s="9">
        <v>-765809.93</v>
      </c>
      <c r="M19" s="9">
        <v>-1088603.5</v>
      </c>
    </row>
    <row r="20" spans="1:13" x14ac:dyDescent="0.35">
      <c r="A20" s="138">
        <v>5478</v>
      </c>
      <c r="B20" s="138" t="s">
        <v>308</v>
      </c>
      <c r="C20" s="138" t="s">
        <v>960</v>
      </c>
      <c r="D20" s="138">
        <v>8.0000000000000071</v>
      </c>
      <c r="E20" s="138">
        <v>35.042964591540922</v>
      </c>
      <c r="F20" s="138">
        <v>33.812526868550528</v>
      </c>
      <c r="G20" s="138">
        <v>67.6616359372576</v>
      </c>
      <c r="H20" s="138">
        <v>62.203418772979639</v>
      </c>
      <c r="I20" s="138">
        <v>102.70460052879852</v>
      </c>
      <c r="J20" s="138">
        <v>96.015945641530166</v>
      </c>
      <c r="K20" s="138">
        <v>206.7205461703287</v>
      </c>
      <c r="L20" s="9">
        <v>-775724.98</v>
      </c>
      <c r="M20" s="9">
        <v>-1096176.3</v>
      </c>
    </row>
    <row r="21" spans="1:13" x14ac:dyDescent="0.35">
      <c r="A21" s="138">
        <v>5481</v>
      </c>
      <c r="B21" s="138" t="s">
        <v>305</v>
      </c>
      <c r="C21" s="138" t="s">
        <v>960</v>
      </c>
      <c r="D21" s="138">
        <v>8.0000000000000071</v>
      </c>
      <c r="E21" s="138">
        <v>37.99028166353358</v>
      </c>
      <c r="F21" s="138">
        <v>36.19509467040767</v>
      </c>
      <c r="G21" s="138">
        <v>74.122583230067633</v>
      </c>
      <c r="H21" s="138">
        <v>75.667176437269617</v>
      </c>
      <c r="I21" s="138">
        <v>112.11286489360121</v>
      </c>
      <c r="J21" s="138">
        <v>111.86227110767729</v>
      </c>
      <c r="K21" s="138">
        <v>231.97513600127849</v>
      </c>
      <c r="L21" s="9">
        <v>-773805.69</v>
      </c>
      <c r="M21" s="9">
        <v>-1097599.8999999999</v>
      </c>
    </row>
    <row r="22" spans="1:13" x14ac:dyDescent="0.35">
      <c r="A22" s="138">
        <v>5484</v>
      </c>
      <c r="B22" s="138" t="s">
        <v>309</v>
      </c>
      <c r="C22" s="138" t="s">
        <v>960</v>
      </c>
      <c r="D22" s="138">
        <v>5.3333333333333375</v>
      </c>
      <c r="E22" s="138">
        <v>33.320051484810186</v>
      </c>
      <c r="F22" s="138">
        <v>33.527816551341367</v>
      </c>
      <c r="G22" s="138">
        <v>80.319856929421761</v>
      </c>
      <c r="H22" s="138">
        <v>77.950826179547761</v>
      </c>
      <c r="I22" s="138">
        <v>113.63990841423194</v>
      </c>
      <c r="J22" s="138">
        <v>111.47864273088913</v>
      </c>
      <c r="K22" s="138">
        <v>230.45188447845442</v>
      </c>
      <c r="L22" s="9">
        <v>-742879.62</v>
      </c>
      <c r="M22" s="9">
        <v>-1086419.2</v>
      </c>
    </row>
    <row r="23" spans="1:13" x14ac:dyDescent="0.35">
      <c r="A23" s="138">
        <v>5487</v>
      </c>
      <c r="B23" s="138" t="s">
        <v>294</v>
      </c>
      <c r="C23" s="138" t="s">
        <v>960</v>
      </c>
      <c r="D23" s="138">
        <v>5.3333333333333375</v>
      </c>
      <c r="E23" s="138">
        <v>34.987558733562913</v>
      </c>
      <c r="F23" s="138">
        <v>32.862577839005191</v>
      </c>
      <c r="G23" s="138">
        <v>81.864450136623731</v>
      </c>
      <c r="H23" s="138">
        <v>77.950826179547761</v>
      </c>
      <c r="I23" s="138">
        <v>116.85200887018664</v>
      </c>
      <c r="J23" s="138">
        <v>110.81340401855294</v>
      </c>
      <c r="K23" s="138">
        <v>232.99874622207292</v>
      </c>
      <c r="L23" s="9">
        <v>-774914.07</v>
      </c>
      <c r="M23" s="9">
        <v>-1100597.8</v>
      </c>
    </row>
    <row r="24" spans="1:13" x14ac:dyDescent="0.35">
      <c r="A24" s="138">
        <v>5490</v>
      </c>
      <c r="B24" s="138" t="s">
        <v>292</v>
      </c>
      <c r="C24" s="138" t="s">
        <v>960</v>
      </c>
      <c r="D24" s="138">
        <v>5.3333333333333375</v>
      </c>
      <c r="E24" s="138">
        <v>33.315485607328334</v>
      </c>
      <c r="F24" s="138">
        <v>33.786095048763869</v>
      </c>
      <c r="G24" s="138">
        <v>77.950826179547761</v>
      </c>
      <c r="H24" s="138">
        <v>71.772453350739809</v>
      </c>
      <c r="I24" s="138">
        <v>111.26631178687609</v>
      </c>
      <c r="J24" s="138">
        <v>105.55854839950368</v>
      </c>
      <c r="K24" s="138">
        <v>222.15819351971311</v>
      </c>
      <c r="L24" s="9">
        <v>-780741.17</v>
      </c>
      <c r="M24" s="9">
        <v>-1079692.3999999999</v>
      </c>
    </row>
    <row r="25" spans="1:13" x14ac:dyDescent="0.35">
      <c r="A25" s="138">
        <v>5493</v>
      </c>
      <c r="B25" s="138" t="s">
        <v>312</v>
      </c>
      <c r="C25" s="138" t="s">
        <v>960</v>
      </c>
      <c r="D25" s="138">
        <v>8.0000000000000071</v>
      </c>
      <c r="E25" s="138">
        <v>43.845106442718269</v>
      </c>
      <c r="F25" s="138">
        <v>40.307065135227219</v>
      </c>
      <c r="G25" s="138">
        <v>66.117042730055616</v>
      </c>
      <c r="H25" s="138">
        <v>72.295415558863553</v>
      </c>
      <c r="I25" s="138">
        <v>109.96214917277388</v>
      </c>
      <c r="J25" s="138">
        <v>112.60248069409077</v>
      </c>
      <c r="K25" s="138">
        <v>230.56462986686466</v>
      </c>
      <c r="L25" s="9">
        <v>-743493.31</v>
      </c>
      <c r="M25" s="9">
        <v>-1086070.3</v>
      </c>
    </row>
    <row r="26" spans="1:13" x14ac:dyDescent="0.35">
      <c r="A26" s="138">
        <v>5496</v>
      </c>
      <c r="B26" s="138" t="s">
        <v>78</v>
      </c>
      <c r="C26" s="138" t="s">
        <v>960</v>
      </c>
      <c r="D26" s="138">
        <v>5.3333333333333375</v>
      </c>
      <c r="E26" s="138">
        <v>29.589311699073374</v>
      </c>
      <c r="F26" s="138">
        <v>29.013468500907113</v>
      </c>
      <c r="G26" s="138">
        <v>68.578985058193794</v>
      </c>
      <c r="H26" s="138">
        <v>67.034391850991796</v>
      </c>
      <c r="I26" s="138">
        <v>98.168296757267171</v>
      </c>
      <c r="J26" s="138">
        <v>96.047860351898905</v>
      </c>
      <c r="K26" s="138">
        <v>199.54949044249943</v>
      </c>
      <c r="L26" s="9">
        <v>-764133.58</v>
      </c>
      <c r="M26" s="9">
        <v>-1074005.2</v>
      </c>
    </row>
    <row r="27" spans="1:13" x14ac:dyDescent="0.35">
      <c r="A27" s="138">
        <v>5499</v>
      </c>
      <c r="B27" s="138" t="s">
        <v>81</v>
      </c>
      <c r="C27" s="138" t="s">
        <v>960</v>
      </c>
      <c r="D27" s="138">
        <v>5.3333333333333375</v>
      </c>
      <c r="E27" s="138">
        <v>30.445187792181496</v>
      </c>
      <c r="F27" s="138">
        <v>29.779499339326613</v>
      </c>
      <c r="G27" s="138">
        <v>70.697397465828928</v>
      </c>
      <c r="H27" s="138">
        <v>67.608211051424959</v>
      </c>
      <c r="I27" s="138">
        <v>101.14258525801043</v>
      </c>
      <c r="J27" s="138">
        <v>97.387710390751579</v>
      </c>
      <c r="K27" s="138">
        <v>203.86362898209535</v>
      </c>
      <c r="L27" s="9">
        <v>-766163.18</v>
      </c>
      <c r="M27" s="9">
        <v>-1074441.2</v>
      </c>
    </row>
    <row r="28" spans="1:13" x14ac:dyDescent="0.35">
      <c r="A28" s="138">
        <v>5502</v>
      </c>
      <c r="B28" s="138" t="s">
        <v>306</v>
      </c>
      <c r="C28" s="138" t="s">
        <v>960</v>
      </c>
      <c r="D28" s="138">
        <v>5.3333333333333375</v>
      </c>
      <c r="E28" s="138">
        <v>33.322240409046024</v>
      </c>
      <c r="F28" s="138">
        <v>35.107032178169334</v>
      </c>
      <c r="G28" s="138">
        <v>76.406232972345762</v>
      </c>
      <c r="H28" s="138">
        <v>63.945205436587827</v>
      </c>
      <c r="I28" s="138">
        <v>109.72847338139178</v>
      </c>
      <c r="J28" s="138">
        <v>99.052237614757161</v>
      </c>
      <c r="K28" s="138">
        <v>214.11404432948228</v>
      </c>
      <c r="L28" s="9">
        <v>-745956.22</v>
      </c>
      <c r="M28" s="9">
        <v>-1094802.2</v>
      </c>
    </row>
    <row r="29" spans="1:13" x14ac:dyDescent="0.35">
      <c r="A29" s="138">
        <v>5505</v>
      </c>
      <c r="B29" s="138" t="s">
        <v>307</v>
      </c>
      <c r="C29" s="138" t="s">
        <v>960</v>
      </c>
      <c r="D29" s="138">
        <v>6.6666666666666714</v>
      </c>
      <c r="E29" s="138">
        <v>26.480707974550608</v>
      </c>
      <c r="F29" s="138">
        <v>28.281781668768947</v>
      </c>
      <c r="G29" s="138">
        <v>80.319856929421761</v>
      </c>
      <c r="H29" s="138">
        <v>74.861639765143778</v>
      </c>
      <c r="I29" s="138">
        <v>106.80056490397237</v>
      </c>
      <c r="J29" s="138">
        <v>103.14342143391272</v>
      </c>
      <c r="K29" s="138">
        <v>216.61065300455175</v>
      </c>
      <c r="L29" s="9">
        <v>-751663.81</v>
      </c>
      <c r="M29" s="9">
        <v>-1085995.6000000001</v>
      </c>
    </row>
    <row r="30" spans="1:13" x14ac:dyDescent="0.35">
      <c r="A30" s="138">
        <v>5508</v>
      </c>
      <c r="B30" s="138" t="s">
        <v>304</v>
      </c>
      <c r="C30" s="138" t="s">
        <v>960</v>
      </c>
      <c r="D30" s="138">
        <v>5.3333333333333375</v>
      </c>
      <c r="E30" s="138">
        <v>26.290520334297359</v>
      </c>
      <c r="F30" s="138">
        <v>23.283688381268615</v>
      </c>
      <c r="G30" s="138">
        <v>73.693672301968732</v>
      </c>
      <c r="H30" s="138">
        <v>68.235455137690764</v>
      </c>
      <c r="I30" s="138">
        <v>99.984192636266087</v>
      </c>
      <c r="J30" s="138">
        <v>91.519143518959382</v>
      </c>
      <c r="K30" s="138">
        <v>196.83666948855881</v>
      </c>
      <c r="L30" s="9">
        <v>-773518.42</v>
      </c>
      <c r="M30" s="9">
        <v>-1089184.5</v>
      </c>
    </row>
    <row r="31" spans="1:13" x14ac:dyDescent="0.35">
      <c r="A31" s="138">
        <v>5511</v>
      </c>
      <c r="B31" s="138" t="s">
        <v>293</v>
      </c>
      <c r="C31" s="138" t="s">
        <v>960</v>
      </c>
      <c r="D31" s="138">
        <v>8.0000000000000071</v>
      </c>
      <c r="E31" s="138">
        <v>25.824779454226338</v>
      </c>
      <c r="F31" s="138">
        <v>25.469393435687575</v>
      </c>
      <c r="G31" s="138">
        <v>78.036207187143631</v>
      </c>
      <c r="H31" s="138">
        <v>71.033396815663664</v>
      </c>
      <c r="I31" s="138">
        <v>103.86098664136998</v>
      </c>
      <c r="J31" s="138">
        <v>96.502790251351243</v>
      </c>
      <c r="K31" s="138">
        <v>208.36377689272121</v>
      </c>
      <c r="L31" s="9">
        <v>-763021.66</v>
      </c>
      <c r="M31" s="9">
        <v>-1083847.8999999999</v>
      </c>
    </row>
    <row r="32" spans="1:13" x14ac:dyDescent="0.35">
      <c r="A32" s="138">
        <v>5516</v>
      </c>
      <c r="B32" s="138" t="s">
        <v>303</v>
      </c>
      <c r="C32" s="138" t="s">
        <v>960</v>
      </c>
      <c r="D32" s="138">
        <v>5.3333333333333375</v>
      </c>
      <c r="E32" s="138">
        <v>24.351438563966003</v>
      </c>
      <c r="F32" s="138">
        <v>23.348707115141202</v>
      </c>
      <c r="G32" s="138">
        <v>65.239180301550959</v>
      </c>
      <c r="H32" s="138">
        <v>71.521835008500943</v>
      </c>
      <c r="I32" s="138">
        <v>89.590618865516959</v>
      </c>
      <c r="J32" s="138">
        <v>94.870542123642139</v>
      </c>
      <c r="K32" s="138">
        <v>189.79449432249245</v>
      </c>
      <c r="L32" s="9">
        <v>-779384.1</v>
      </c>
      <c r="M32" s="9">
        <v>-1097978.3999999999</v>
      </c>
    </row>
    <row r="33" spans="1:13" x14ac:dyDescent="0.35">
      <c r="A33" s="138">
        <v>5519</v>
      </c>
      <c r="B33" s="138" t="s">
        <v>106</v>
      </c>
      <c r="C33" s="138" t="s">
        <v>960</v>
      </c>
      <c r="D33" s="138">
        <v>8.0000000000000071</v>
      </c>
      <c r="E33" s="138">
        <v>30.150531991488435</v>
      </c>
      <c r="F33" s="138">
        <v>29.257137264467968</v>
      </c>
      <c r="G33" s="138">
        <v>70.585585017018602</v>
      </c>
      <c r="H33" s="138">
        <v>69.040991809816603</v>
      </c>
      <c r="I33" s="138">
        <v>100.73611700850704</v>
      </c>
      <c r="J33" s="138">
        <v>98.298129074284574</v>
      </c>
      <c r="K33" s="138">
        <v>207.03424608279161</v>
      </c>
      <c r="L33" s="9">
        <v>-777924.45</v>
      </c>
      <c r="M33" s="9">
        <v>-1095216</v>
      </c>
    </row>
    <row r="34" spans="1:13" x14ac:dyDescent="0.35">
      <c r="A34" s="138">
        <v>5522</v>
      </c>
      <c r="B34" s="138" t="s">
        <v>96</v>
      </c>
      <c r="C34" s="138" t="s">
        <v>960</v>
      </c>
      <c r="D34" s="138">
        <v>5.3333333333333375</v>
      </c>
      <c r="E34" s="138">
        <v>28.190749475216236</v>
      </c>
      <c r="F34" s="138">
        <v>26.850975030421523</v>
      </c>
      <c r="G34" s="138">
        <v>76.155614630106911</v>
      </c>
      <c r="H34" s="138">
        <v>70.697397465828928</v>
      </c>
      <c r="I34" s="138">
        <v>104.34636410532315</v>
      </c>
      <c r="J34" s="138">
        <v>97.548372496250451</v>
      </c>
      <c r="K34" s="138">
        <v>207.22806993490693</v>
      </c>
      <c r="L34" s="9">
        <v>-753764.56</v>
      </c>
      <c r="M34" s="9">
        <v>-1071746.7</v>
      </c>
    </row>
    <row r="35" spans="1:13" x14ac:dyDescent="0.35">
      <c r="A35" s="138">
        <v>5525</v>
      </c>
      <c r="B35" s="138" t="s">
        <v>103</v>
      </c>
      <c r="C35" s="138" t="s">
        <v>960</v>
      </c>
      <c r="D35" s="138">
        <v>2.6666666666666687</v>
      </c>
      <c r="E35" s="138">
        <v>25.733020158699947</v>
      </c>
      <c r="F35" s="138">
        <v>25.866586604165562</v>
      </c>
      <c r="G35" s="138">
        <v>74.611021422904926</v>
      </c>
      <c r="H35" s="138">
        <v>69.152804258626944</v>
      </c>
      <c r="I35" s="138">
        <v>100.34404158160487</v>
      </c>
      <c r="J35" s="138">
        <v>95.019390862792505</v>
      </c>
      <c r="K35" s="138">
        <v>198.03009911106403</v>
      </c>
      <c r="L35" s="9">
        <v>-743900.94</v>
      </c>
      <c r="M35" s="9">
        <v>-1085519</v>
      </c>
    </row>
    <row r="36" spans="1:13" x14ac:dyDescent="0.35">
      <c r="A36" s="138">
        <v>5528</v>
      </c>
      <c r="B36" s="138" t="s">
        <v>297</v>
      </c>
      <c r="C36" s="138" t="s">
        <v>960</v>
      </c>
      <c r="D36" s="138">
        <v>8.0000000000000071</v>
      </c>
      <c r="E36" s="138">
        <v>26.436986783773605</v>
      </c>
      <c r="F36" s="138">
        <v>25.771298330918732</v>
      </c>
      <c r="G36" s="138">
        <v>73.871964887828781</v>
      </c>
      <c r="H36" s="138">
        <v>70.782778473424798</v>
      </c>
      <c r="I36" s="138">
        <v>100.30895167160239</v>
      </c>
      <c r="J36" s="138">
        <v>96.554076804343538</v>
      </c>
      <c r="K36" s="138">
        <v>204.86302847594592</v>
      </c>
      <c r="L36" s="9">
        <v>-758507.41</v>
      </c>
      <c r="M36" s="9">
        <v>-1081732.7</v>
      </c>
    </row>
    <row r="37" spans="1:13" x14ac:dyDescent="0.35">
      <c r="A37" s="138">
        <v>5531</v>
      </c>
      <c r="B37" s="138" t="s">
        <v>101</v>
      </c>
      <c r="C37" s="138" t="s">
        <v>960</v>
      </c>
      <c r="D37" s="138">
        <v>2.6666666666666687</v>
      </c>
      <c r="E37" s="138">
        <v>26.338558439046761</v>
      </c>
      <c r="F37" s="138">
        <v>24.333095541397153</v>
      </c>
      <c r="G37" s="138">
        <v>66.783773508752944</v>
      </c>
      <c r="H37" s="138">
        <v>73.066428215702942</v>
      </c>
      <c r="I37" s="138">
        <v>93.122331947799708</v>
      </c>
      <c r="J37" s="138">
        <v>97.399523757100098</v>
      </c>
      <c r="K37" s="138">
        <v>193.18852237156645</v>
      </c>
      <c r="L37" s="9">
        <v>-756640.79</v>
      </c>
      <c r="M37" s="9">
        <v>-1075481.8999999999</v>
      </c>
    </row>
    <row r="38" spans="1:13" x14ac:dyDescent="0.35">
      <c r="A38" s="138">
        <v>5534</v>
      </c>
      <c r="B38" s="138" t="s">
        <v>93</v>
      </c>
      <c r="C38" s="138" t="s">
        <v>960</v>
      </c>
      <c r="D38" s="138">
        <v>6.6666666666666714</v>
      </c>
      <c r="E38" s="138">
        <v>32.130402772031097</v>
      </c>
      <c r="F38" s="138">
        <v>27.179473430670434</v>
      </c>
      <c r="G38" s="138">
        <v>67.338691838639932</v>
      </c>
      <c r="H38" s="138">
        <v>64.249505424235963</v>
      </c>
      <c r="I38" s="138">
        <v>99.469094610671021</v>
      </c>
      <c r="J38" s="138">
        <v>91.428978854906404</v>
      </c>
      <c r="K38" s="138">
        <v>197.56474013224408</v>
      </c>
      <c r="L38" s="9">
        <v>-771229.69</v>
      </c>
      <c r="M38" s="9">
        <v>-1076928.2</v>
      </c>
    </row>
    <row r="39" spans="1:13" x14ac:dyDescent="0.35">
      <c r="A39" s="138">
        <v>5537</v>
      </c>
      <c r="B39" s="138" t="s">
        <v>296</v>
      </c>
      <c r="C39" s="138" t="s">
        <v>960</v>
      </c>
      <c r="D39" s="138">
        <v>5.3333333333333375</v>
      </c>
      <c r="E39" s="138">
        <v>20.074742271181226</v>
      </c>
      <c r="F39" s="138">
        <v>21.413154322530289</v>
      </c>
      <c r="G39" s="138">
        <v>69.219284395676638</v>
      </c>
      <c r="H39" s="138">
        <v>69.219284395676638</v>
      </c>
      <c r="I39" s="138">
        <v>89.29402666685786</v>
      </c>
      <c r="J39" s="138">
        <v>90.632438718206927</v>
      </c>
      <c r="K39" s="138">
        <v>185.25979871839812</v>
      </c>
      <c r="L39" s="9">
        <v>-761122.64</v>
      </c>
      <c r="M39" s="9">
        <v>-1078916</v>
      </c>
    </row>
    <row r="40" spans="1:13" x14ac:dyDescent="0.35">
      <c r="A40" s="138">
        <v>5540</v>
      </c>
      <c r="B40" s="138" t="s">
        <v>302</v>
      </c>
      <c r="C40" s="138" t="s">
        <v>960</v>
      </c>
      <c r="D40" s="138">
        <v>5.3333333333333375</v>
      </c>
      <c r="E40" s="138">
        <v>29.547504549134146</v>
      </c>
      <c r="F40" s="138">
        <v>28.855075534625463</v>
      </c>
      <c r="G40" s="138">
        <v>74.611021422904926</v>
      </c>
      <c r="H40" s="138">
        <v>69.152804258626944</v>
      </c>
      <c r="I40" s="138">
        <v>104.15852597203907</v>
      </c>
      <c r="J40" s="138">
        <v>98.007879793252414</v>
      </c>
      <c r="K40" s="138">
        <v>207.49973909862481</v>
      </c>
      <c r="L40" s="9">
        <v>-765385.26</v>
      </c>
      <c r="M40" s="9">
        <v>-1098481</v>
      </c>
    </row>
    <row r="41" spans="1:13" x14ac:dyDescent="0.35">
      <c r="A41" s="138">
        <v>5543</v>
      </c>
      <c r="B41" s="138" t="s">
        <v>102</v>
      </c>
      <c r="C41" s="138" t="s">
        <v>960</v>
      </c>
      <c r="D41" s="138">
        <v>8.0000000000000071</v>
      </c>
      <c r="E41" s="138">
        <v>24.861688571065979</v>
      </c>
      <c r="F41" s="138">
        <v>22.991154512327654</v>
      </c>
      <c r="G41" s="138">
        <v>51.591284432071795</v>
      </c>
      <c r="H41" s="138">
        <v>49.94240934672775</v>
      </c>
      <c r="I41" s="138">
        <v>76.452973003137771</v>
      </c>
      <c r="J41" s="138">
        <v>72.933563859055397</v>
      </c>
      <c r="K41" s="138">
        <v>157.38653686219317</v>
      </c>
      <c r="L41" s="9">
        <v>-781582.4</v>
      </c>
      <c r="M41" s="9">
        <v>-1098887.6000000001</v>
      </c>
    </row>
    <row r="42" spans="1:13" x14ac:dyDescent="0.35">
      <c r="A42" s="138">
        <v>5546</v>
      </c>
      <c r="B42" s="138" t="s">
        <v>291</v>
      </c>
      <c r="C42" s="138" t="s">
        <v>960</v>
      </c>
      <c r="D42" s="138">
        <v>8.0000000000000071</v>
      </c>
      <c r="E42" s="138">
        <v>30.067272158086329</v>
      </c>
      <c r="F42" s="138">
        <v>26.067018948244698</v>
      </c>
      <c r="G42" s="138">
        <v>64.633084040574204</v>
      </c>
      <c r="H42" s="138">
        <v>59.174866876296221</v>
      </c>
      <c r="I42" s="138">
        <v>94.700356198660529</v>
      </c>
      <c r="J42" s="138">
        <v>85.241885824540915</v>
      </c>
      <c r="K42" s="138">
        <v>187.94224202320146</v>
      </c>
      <c r="L42" s="9">
        <v>-771105.39</v>
      </c>
      <c r="M42" s="9">
        <v>-1081522.6000000001</v>
      </c>
    </row>
    <row r="43" spans="1:13" x14ac:dyDescent="0.35">
      <c r="A43" s="138">
        <v>5549</v>
      </c>
      <c r="B43" s="138" t="s">
        <v>23</v>
      </c>
      <c r="C43" s="138" t="s">
        <v>960</v>
      </c>
      <c r="D43" s="138">
        <v>8.0000000000000071</v>
      </c>
      <c r="E43" s="138">
        <v>29.378820041805383</v>
      </c>
      <c r="F43" s="138">
        <v>22.312219997898911</v>
      </c>
      <c r="G43" s="138">
        <v>62.131093016600801</v>
      </c>
      <c r="H43" s="138">
        <v>59.762062266726801</v>
      </c>
      <c r="I43" s="138">
        <v>91.509913058406184</v>
      </c>
      <c r="J43" s="138">
        <v>82.074282264625708</v>
      </c>
      <c r="K43" s="138">
        <v>181.58419532303191</v>
      </c>
      <c r="L43" s="9">
        <v>-747658.17</v>
      </c>
      <c r="M43" s="9">
        <v>-1091737.3</v>
      </c>
    </row>
    <row r="44" spans="1:13" x14ac:dyDescent="0.35">
      <c r="A44" s="138">
        <v>5552</v>
      </c>
      <c r="B44" s="138" t="s">
        <v>311</v>
      </c>
      <c r="C44" s="138" t="s">
        <v>960</v>
      </c>
      <c r="D44" s="138">
        <v>8.0000000000000071</v>
      </c>
      <c r="E44" s="138">
        <v>26.419427752842033</v>
      </c>
      <c r="F44" s="138">
        <v>23.850559583156219</v>
      </c>
      <c r="G44" s="138">
        <v>66.335384011750875</v>
      </c>
      <c r="H44" s="138">
        <v>53.874356475992947</v>
      </c>
      <c r="I44" s="138">
        <v>92.754811764592915</v>
      </c>
      <c r="J44" s="138">
        <v>77.724916059149166</v>
      </c>
      <c r="K44" s="138">
        <v>178.47972782374208</v>
      </c>
      <c r="L44" s="9">
        <v>-768578.38</v>
      </c>
      <c r="M44" s="9">
        <v>-1079658.7</v>
      </c>
    </row>
    <row r="45" spans="1:13" x14ac:dyDescent="0.35">
      <c r="A45" s="138">
        <v>5555</v>
      </c>
      <c r="B45" s="138" t="s">
        <v>24</v>
      </c>
      <c r="C45" s="138" t="s">
        <v>960</v>
      </c>
      <c r="D45" s="138">
        <v>8.0000000000000071</v>
      </c>
      <c r="E45" s="138">
        <v>25.65607490802196</v>
      </c>
      <c r="F45" s="138">
        <v>22.714261688865804</v>
      </c>
      <c r="G45" s="138">
        <v>62.171141712436025</v>
      </c>
      <c r="H45" s="138">
        <v>58.257517755360041</v>
      </c>
      <c r="I45" s="138">
        <v>87.827216620457989</v>
      </c>
      <c r="J45" s="138">
        <v>80.971779444225845</v>
      </c>
      <c r="K45" s="138">
        <v>176.79899606468382</v>
      </c>
      <c r="L45" s="9">
        <v>-769996.79</v>
      </c>
      <c r="M45" s="9">
        <v>-1091134.3700000001</v>
      </c>
    </row>
    <row r="46" spans="1:13" x14ac:dyDescent="0.35">
      <c r="A46" s="138">
        <v>5558</v>
      </c>
      <c r="B46" s="138" t="s">
        <v>63</v>
      </c>
      <c r="C46" s="138" t="s">
        <v>960</v>
      </c>
      <c r="D46" s="138">
        <v>5.3333333333333375</v>
      </c>
      <c r="E46" s="138">
        <v>27.517447474913673</v>
      </c>
      <c r="F46" s="138">
        <v>24.25615029071917</v>
      </c>
      <c r="G46" s="138">
        <v>60.963125553425769</v>
      </c>
      <c r="H46" s="138">
        <v>62.507718760627753</v>
      </c>
      <c r="I46" s="138">
        <v>88.48057302833945</v>
      </c>
      <c r="J46" s="138">
        <v>86.763869051346916</v>
      </c>
      <c r="K46" s="138">
        <v>180.57777541301971</v>
      </c>
      <c r="L46" s="9">
        <v>-760193.84</v>
      </c>
      <c r="M46" s="9">
        <v>-1093721.67</v>
      </c>
    </row>
    <row r="47" spans="1:13" x14ac:dyDescent="0.35">
      <c r="A47" s="138">
        <v>5561</v>
      </c>
      <c r="B47" s="138" t="s">
        <v>25</v>
      </c>
      <c r="C47" s="138" t="s">
        <v>960</v>
      </c>
      <c r="D47" s="138">
        <v>8.0000000000000071</v>
      </c>
      <c r="E47" s="138">
        <v>25.417274705825619</v>
      </c>
      <c r="F47" s="138">
        <v>23.54674064708729</v>
      </c>
      <c r="G47" s="138">
        <v>67.41434978617346</v>
      </c>
      <c r="H47" s="138">
        <v>62.676288286425461</v>
      </c>
      <c r="I47" s="138">
        <v>92.831624491999079</v>
      </c>
      <c r="J47" s="138">
        <v>86.223028933512751</v>
      </c>
      <c r="K47" s="138">
        <v>187.05465342551184</v>
      </c>
      <c r="L47" s="9">
        <v>-759283.63</v>
      </c>
      <c r="M47" s="9">
        <v>-1073977.1499999999</v>
      </c>
    </row>
    <row r="48" spans="1:13" x14ac:dyDescent="0.35">
      <c r="A48" s="138">
        <v>5564</v>
      </c>
      <c r="B48" s="138" t="s">
        <v>100</v>
      </c>
      <c r="C48" s="138" t="s">
        <v>960</v>
      </c>
      <c r="D48" s="138">
        <v>5.3333333333333375</v>
      </c>
      <c r="E48" s="138">
        <v>22.741002250519614</v>
      </c>
      <c r="F48" s="138">
        <v>22.317068520387814</v>
      </c>
      <c r="G48" s="138">
        <v>57.966850717285951</v>
      </c>
      <c r="H48" s="138">
        <v>56.422257510083959</v>
      </c>
      <c r="I48" s="138">
        <v>80.707852967805565</v>
      </c>
      <c r="J48" s="138">
        <v>78.739326030471773</v>
      </c>
      <c r="K48" s="138">
        <v>164.78051233161068</v>
      </c>
      <c r="L48" s="9">
        <v>-743284.05</v>
      </c>
      <c r="M48" s="9">
        <v>-1086882.8</v>
      </c>
    </row>
    <row r="49" spans="1:13" x14ac:dyDescent="0.35">
      <c r="A49" s="138">
        <v>5567</v>
      </c>
      <c r="B49" s="138" t="s">
        <v>310</v>
      </c>
      <c r="C49" s="138" t="s">
        <v>960</v>
      </c>
      <c r="D49" s="138">
        <v>8.0000000000000071</v>
      </c>
      <c r="E49" s="138">
        <v>34.745310896640568</v>
      </c>
      <c r="F49" s="138">
        <v>30.356897348877883</v>
      </c>
      <c r="G49" s="138">
        <v>63.833392987777479</v>
      </c>
      <c r="H49" s="138">
        <v>59.919769030701502</v>
      </c>
      <c r="I49" s="138">
        <v>98.578703884418047</v>
      </c>
      <c r="J49" s="138">
        <v>90.276666379579382</v>
      </c>
      <c r="K49" s="138">
        <v>196.85537026399743</v>
      </c>
      <c r="L49" s="9">
        <v>-773838.07</v>
      </c>
      <c r="M49" s="9">
        <v>-1098940</v>
      </c>
    </row>
    <row r="50" spans="1:13" x14ac:dyDescent="0.35">
      <c r="A50" s="138">
        <v>5572</v>
      </c>
      <c r="B50" s="138" t="s">
        <v>91</v>
      </c>
      <c r="C50" s="138" t="s">
        <v>960</v>
      </c>
      <c r="D50" s="138">
        <v>14.666666666666682</v>
      </c>
      <c r="E50" s="138">
        <v>14.49982614010394</v>
      </c>
      <c r="F50" s="138">
        <v>15.636124034394356</v>
      </c>
      <c r="G50" s="138">
        <v>56.099056651889669</v>
      </c>
      <c r="H50" s="138">
        <v>49.096246280409709</v>
      </c>
      <c r="I50" s="138">
        <v>70.598882791993603</v>
      </c>
      <c r="J50" s="138">
        <v>64.732370314804058</v>
      </c>
      <c r="K50" s="138">
        <v>149.99791977346433</v>
      </c>
      <c r="L50" s="9">
        <v>-757334.85</v>
      </c>
      <c r="M50" s="9">
        <v>-1091179.1000000001</v>
      </c>
    </row>
    <row r="51" spans="1:13" x14ac:dyDescent="0.35">
      <c r="A51" s="138">
        <v>5575</v>
      </c>
      <c r="B51" s="138" t="s">
        <v>315</v>
      </c>
      <c r="C51" s="138" t="s">
        <v>960</v>
      </c>
      <c r="D51" s="138">
        <v>2.6666666666666687</v>
      </c>
      <c r="E51" s="138">
        <v>23.979837512594962</v>
      </c>
      <c r="F51" s="138">
        <v>20.575997942041493</v>
      </c>
      <c r="G51" s="138">
        <v>63.120767893915811</v>
      </c>
      <c r="H51" s="138">
        <v>53.748926772561845</v>
      </c>
      <c r="I51" s="138">
        <v>87.100605406510766</v>
      </c>
      <c r="J51" s="138">
        <v>74.324924714603341</v>
      </c>
      <c r="K51" s="138">
        <v>164.09219678778075</v>
      </c>
      <c r="L51" s="9">
        <v>-711200</v>
      </c>
      <c r="M51" s="9">
        <v>-1000950</v>
      </c>
    </row>
    <row r="52" spans="1:13" x14ac:dyDescent="0.35">
      <c r="A52" s="138">
        <v>5580</v>
      </c>
      <c r="B52" s="138" t="s">
        <v>290</v>
      </c>
      <c r="C52" s="138" t="s">
        <v>960</v>
      </c>
      <c r="D52" s="138">
        <v>14.666666666666682</v>
      </c>
      <c r="E52" s="138">
        <v>27.699854472207569</v>
      </c>
      <c r="F52" s="138">
        <v>22.50315319556745</v>
      </c>
      <c r="G52" s="138">
        <v>51.379896022687838</v>
      </c>
      <c r="H52" s="138">
        <v>49.835302815485846</v>
      </c>
      <c r="I52" s="138">
        <v>79.079750494895407</v>
      </c>
      <c r="J52" s="138">
        <v>72.338456011053296</v>
      </c>
      <c r="K52" s="138">
        <v>166.0848731726154</v>
      </c>
      <c r="L52" s="9">
        <v>-712700</v>
      </c>
      <c r="M52" s="9">
        <v>-1007870</v>
      </c>
    </row>
    <row r="53" spans="1:13" x14ac:dyDescent="0.35">
      <c r="A53" s="138">
        <v>5585</v>
      </c>
      <c r="B53" s="138" t="s">
        <v>94</v>
      </c>
      <c r="C53" s="138" t="s">
        <v>960</v>
      </c>
      <c r="D53" s="138">
        <v>8.0000000000000071</v>
      </c>
      <c r="E53" s="138">
        <v>28.986660946769561</v>
      </c>
      <c r="F53" s="138">
        <v>26.131738461775278</v>
      </c>
      <c r="G53" s="138">
        <v>65.377986194979471</v>
      </c>
      <c r="H53" s="138">
        <v>65.377986194979471</v>
      </c>
      <c r="I53" s="138">
        <v>94.364647141749032</v>
      </c>
      <c r="J53" s="138">
        <v>91.509724656754742</v>
      </c>
      <c r="K53" s="138">
        <v>193.87437179850377</v>
      </c>
      <c r="L53" s="9">
        <v>-696370</v>
      </c>
      <c r="M53" s="9">
        <v>-1006450</v>
      </c>
    </row>
    <row r="54" spans="1:13" x14ac:dyDescent="0.35">
      <c r="A54" s="138">
        <v>5588</v>
      </c>
      <c r="B54" s="138" t="s">
        <v>299</v>
      </c>
      <c r="C54" s="138" t="s">
        <v>960</v>
      </c>
      <c r="D54" s="138">
        <v>8.0000000000000071</v>
      </c>
      <c r="E54" s="138">
        <v>32.059213917626607</v>
      </c>
      <c r="F54" s="138">
        <v>27.881076274387624</v>
      </c>
      <c r="G54" s="138">
        <v>76.406232972345762</v>
      </c>
      <c r="H54" s="138">
        <v>78.775263722219762</v>
      </c>
      <c r="I54" s="138">
        <v>108.46544688997237</v>
      </c>
      <c r="J54" s="138">
        <v>106.65633999660739</v>
      </c>
      <c r="K54" s="138">
        <v>223.12178688657974</v>
      </c>
      <c r="L54" s="9">
        <v>-698300</v>
      </c>
      <c r="M54" s="9">
        <v>-1002300</v>
      </c>
    </row>
    <row r="55" spans="1:13" x14ac:dyDescent="0.35">
      <c r="A55" s="138">
        <v>5591</v>
      </c>
      <c r="B55" s="138" t="s">
        <v>80</v>
      </c>
      <c r="C55" s="138" t="s">
        <v>960</v>
      </c>
      <c r="D55" s="138">
        <v>8.0000000000000071</v>
      </c>
      <c r="E55" s="138">
        <v>27.694653303253741</v>
      </c>
      <c r="F55" s="138">
        <v>24.576251151883127</v>
      </c>
      <c r="G55" s="138">
        <v>74.037202222471763</v>
      </c>
      <c r="H55" s="138">
        <v>70.123578265395778</v>
      </c>
      <c r="I55" s="138">
        <v>101.73185552572551</v>
      </c>
      <c r="J55" s="138">
        <v>94.699829417278906</v>
      </c>
      <c r="K55" s="138">
        <v>204.43168494300443</v>
      </c>
      <c r="L55" s="9">
        <v>-698650</v>
      </c>
      <c r="M55" s="9">
        <v>-1010680</v>
      </c>
    </row>
    <row r="56" spans="1:13" x14ac:dyDescent="0.35">
      <c r="A56" s="138">
        <v>2560</v>
      </c>
      <c r="B56" s="138" t="s">
        <v>586</v>
      </c>
      <c r="C56" s="138" t="s">
        <v>961</v>
      </c>
      <c r="D56" s="138">
        <v>14.666666666666682</v>
      </c>
      <c r="E56" s="138">
        <v>27.011383960580261</v>
      </c>
      <c r="F56" s="138">
        <v>26.707396108988274</v>
      </c>
      <c r="G56" s="138">
        <v>58.956525594600961</v>
      </c>
      <c r="H56" s="138">
        <v>55.867339180196986</v>
      </c>
      <c r="I56" s="138">
        <v>85.967909555181222</v>
      </c>
      <c r="J56" s="138">
        <v>82.574735289185256</v>
      </c>
      <c r="K56" s="138">
        <v>183.20931151103315</v>
      </c>
      <c r="L56" s="9">
        <v>-703580</v>
      </c>
      <c r="M56" s="9">
        <v>-1004560</v>
      </c>
    </row>
    <row r="57" spans="1:13" x14ac:dyDescent="0.35">
      <c r="A57" s="138">
        <v>2566</v>
      </c>
      <c r="B57" s="138" t="s">
        <v>624</v>
      </c>
      <c r="C57" s="138" t="s">
        <v>961</v>
      </c>
      <c r="D57" s="138">
        <v>5.3333333333333375</v>
      </c>
      <c r="E57" s="138">
        <v>29.766813284214784</v>
      </c>
      <c r="F57" s="138">
        <v>28.881816096279266</v>
      </c>
      <c r="G57" s="138">
        <v>74.037202222471763</v>
      </c>
      <c r="H57" s="138">
        <v>77.230670515017792</v>
      </c>
      <c r="I57" s="138">
        <v>103.80401550668654</v>
      </c>
      <c r="J57" s="138">
        <v>106.11248661129706</v>
      </c>
      <c r="K57" s="138">
        <v>215.24983545131695</v>
      </c>
      <c r="L57" s="9">
        <v>-701200</v>
      </c>
      <c r="M57" s="9">
        <v>-1006450</v>
      </c>
    </row>
    <row r="58" spans="1:13" x14ac:dyDescent="0.35">
      <c r="A58" s="138">
        <v>2569</v>
      </c>
      <c r="B58" s="138" t="s">
        <v>638</v>
      </c>
      <c r="C58" s="138" t="s">
        <v>961</v>
      </c>
      <c r="D58" s="138">
        <v>14.666666666666682</v>
      </c>
      <c r="E58" s="138">
        <v>36.366709554456641</v>
      </c>
      <c r="F58" s="138">
        <v>26.210046105898929</v>
      </c>
      <c r="G58" s="138">
        <v>55.293519979763829</v>
      </c>
      <c r="H58" s="138">
        <v>55.293519979763829</v>
      </c>
      <c r="I58" s="138">
        <v>91.660229534220463</v>
      </c>
      <c r="J58" s="138">
        <v>81.503566085662754</v>
      </c>
      <c r="K58" s="138">
        <v>187.8304622865499</v>
      </c>
      <c r="L58" s="9">
        <v>-712692.98</v>
      </c>
      <c r="M58" s="9">
        <v>-1018927.44</v>
      </c>
    </row>
    <row r="59" spans="1:13" x14ac:dyDescent="0.35">
      <c r="A59" s="138">
        <v>2572</v>
      </c>
      <c r="B59" s="138" t="s">
        <v>661</v>
      </c>
      <c r="C59" s="138" t="s">
        <v>961</v>
      </c>
      <c r="D59" s="138">
        <v>8.0000000000000071</v>
      </c>
      <c r="E59" s="138">
        <v>25.028664627385858</v>
      </c>
      <c r="F59" s="138">
        <v>24.38131919709982</v>
      </c>
      <c r="G59" s="138">
        <v>70.948015808067794</v>
      </c>
      <c r="H59" s="138">
        <v>77.126388636875731</v>
      </c>
      <c r="I59" s="138">
        <v>95.976680435453659</v>
      </c>
      <c r="J59" s="138">
        <v>101.50770783397556</v>
      </c>
      <c r="K59" s="138">
        <v>205.48438826942922</v>
      </c>
      <c r="L59" s="9">
        <v>-708140</v>
      </c>
      <c r="M59" s="9">
        <v>-1004330</v>
      </c>
    </row>
    <row r="60" spans="1:13" x14ac:dyDescent="0.35">
      <c r="A60" s="138">
        <v>2575</v>
      </c>
      <c r="B60" s="138" t="s">
        <v>604</v>
      </c>
      <c r="C60" s="138" t="s">
        <v>961</v>
      </c>
      <c r="D60" s="138">
        <v>2.6666666666666687</v>
      </c>
      <c r="E60" s="138">
        <v>45.284989225207944</v>
      </c>
      <c r="F60" s="138">
        <v>44.298517842591153</v>
      </c>
      <c r="G60" s="138">
        <v>58.382706394167805</v>
      </c>
      <c r="H60" s="138">
        <v>54.469082437091807</v>
      </c>
      <c r="I60" s="138">
        <v>103.66769561937575</v>
      </c>
      <c r="J60" s="138">
        <v>98.767600279682966</v>
      </c>
      <c r="K60" s="138">
        <v>205.10196256572536</v>
      </c>
      <c r="L60" s="9">
        <v>-710330</v>
      </c>
      <c r="M60" s="9">
        <v>-1021150</v>
      </c>
    </row>
    <row r="61" spans="1:13" x14ac:dyDescent="0.35">
      <c r="A61" s="138">
        <v>2578</v>
      </c>
      <c r="B61" s="138" t="s">
        <v>639</v>
      </c>
      <c r="C61" s="138" t="s">
        <v>961</v>
      </c>
      <c r="D61" s="138">
        <v>8.0000000000000071</v>
      </c>
      <c r="E61" s="138">
        <v>27.522202366889452</v>
      </c>
      <c r="F61" s="138">
        <v>26.280670715868311</v>
      </c>
      <c r="G61" s="138">
        <v>66.295335315915651</v>
      </c>
      <c r="H61" s="138">
        <v>74.947020772739648</v>
      </c>
      <c r="I61" s="138">
        <v>93.817537682805096</v>
      </c>
      <c r="J61" s="138">
        <v>101.22769148860796</v>
      </c>
      <c r="K61" s="138">
        <v>203.04522917141304</v>
      </c>
      <c r="L61" s="9">
        <v>-708820</v>
      </c>
      <c r="M61" s="9">
        <v>-1021980</v>
      </c>
    </row>
    <row r="62" spans="1:13" x14ac:dyDescent="0.35">
      <c r="A62" s="138">
        <v>2581</v>
      </c>
      <c r="B62" s="138" t="s">
        <v>640</v>
      </c>
      <c r="C62" s="138" t="s">
        <v>961</v>
      </c>
      <c r="D62" s="138">
        <v>14.666666666666682</v>
      </c>
      <c r="E62" s="138">
        <v>22.943900399215526</v>
      </c>
      <c r="F62" s="138">
        <v>19.170186623646266</v>
      </c>
      <c r="G62" s="138">
        <v>56.099056651889669</v>
      </c>
      <c r="H62" s="138">
        <v>57.64364985909166</v>
      </c>
      <c r="I62" s="138">
        <v>79.042957051105191</v>
      </c>
      <c r="J62" s="138">
        <v>76.813836482737926</v>
      </c>
      <c r="K62" s="138">
        <v>170.52346020050982</v>
      </c>
      <c r="L62" s="9">
        <v>-708820</v>
      </c>
      <c r="M62" s="9">
        <v>-1021980</v>
      </c>
    </row>
    <row r="63" spans="1:13" x14ac:dyDescent="0.35">
      <c r="A63" s="138">
        <v>2584</v>
      </c>
      <c r="B63" s="138" t="s">
        <v>625</v>
      </c>
      <c r="C63" s="138" t="s">
        <v>961</v>
      </c>
      <c r="D63" s="138">
        <v>8.0000000000000071</v>
      </c>
      <c r="E63" s="138">
        <v>29.39608331593562</v>
      </c>
      <c r="F63" s="138">
        <v>27.147717251016072</v>
      </c>
      <c r="G63" s="138">
        <v>74.037202222471763</v>
      </c>
      <c r="H63" s="138">
        <v>78.775263722219762</v>
      </c>
      <c r="I63" s="138">
        <v>103.43328553840738</v>
      </c>
      <c r="J63" s="138">
        <v>105.92298097323584</v>
      </c>
      <c r="K63" s="138">
        <v>217.35626651164321</v>
      </c>
      <c r="L63" s="9">
        <v>-721850</v>
      </c>
      <c r="M63" s="9">
        <v>-1017980</v>
      </c>
    </row>
    <row r="64" spans="1:13" x14ac:dyDescent="0.35">
      <c r="A64" s="138">
        <v>2587</v>
      </c>
      <c r="B64" s="138" t="s">
        <v>584</v>
      </c>
      <c r="C64" s="138" t="s">
        <v>961</v>
      </c>
      <c r="D64" s="138">
        <v>5.3333333333333375</v>
      </c>
      <c r="E64" s="138">
        <v>25.809154679490305</v>
      </c>
      <c r="F64" s="138">
        <v>22.641846803819078</v>
      </c>
      <c r="G64" s="138">
        <v>70.948015808067794</v>
      </c>
      <c r="H64" s="138">
        <v>72.492609015269778</v>
      </c>
      <c r="I64" s="138">
        <v>96.757170487558099</v>
      </c>
      <c r="J64" s="138">
        <v>95.134455819088856</v>
      </c>
      <c r="K64" s="138">
        <v>197.22495963998031</v>
      </c>
      <c r="L64" s="9">
        <v>-675920</v>
      </c>
      <c r="M64" s="9">
        <v>-1070580</v>
      </c>
    </row>
    <row r="65" spans="1:13" x14ac:dyDescent="0.35">
      <c r="A65" s="138">
        <v>2590</v>
      </c>
      <c r="B65" s="138" t="s">
        <v>627</v>
      </c>
      <c r="C65" s="138" t="s">
        <v>961</v>
      </c>
      <c r="D65" s="138">
        <v>5.3333333333333375</v>
      </c>
      <c r="E65" s="138">
        <v>27.525734808150563</v>
      </c>
      <c r="F65" s="138">
        <v>27.801412294802788</v>
      </c>
      <c r="G65" s="138">
        <v>74.037202222471763</v>
      </c>
      <c r="H65" s="138">
        <v>73.317046557941794</v>
      </c>
      <c r="I65" s="138">
        <v>101.56293703062232</v>
      </c>
      <c r="J65" s="138">
        <v>101.11845885274458</v>
      </c>
      <c r="K65" s="138">
        <v>208.01472921670026</v>
      </c>
      <c r="L65" s="9">
        <v>-676700</v>
      </c>
      <c r="M65" s="9">
        <v>-1060920</v>
      </c>
    </row>
    <row r="66" spans="1:13" x14ac:dyDescent="0.35">
      <c r="A66" s="138">
        <v>2593</v>
      </c>
      <c r="B66" s="138" t="s">
        <v>626</v>
      </c>
      <c r="C66" s="138" t="s">
        <v>961</v>
      </c>
      <c r="D66" s="138">
        <v>16.000000000000014</v>
      </c>
      <c r="E66" s="138">
        <v>31.546347585733148</v>
      </c>
      <c r="F66" s="138">
        <v>30.131226075326005</v>
      </c>
      <c r="G66" s="138">
        <v>77.768198457473233</v>
      </c>
      <c r="H66" s="138">
        <v>83.12213374360914</v>
      </c>
      <c r="I66" s="138">
        <v>109.31454604320638</v>
      </c>
      <c r="J66" s="138">
        <v>113.25335981893514</v>
      </c>
      <c r="K66" s="138">
        <v>238.56790586214152</v>
      </c>
      <c r="L66" s="9">
        <v>-671680</v>
      </c>
      <c r="M66" s="9">
        <v>-1072360</v>
      </c>
    </row>
    <row r="67" spans="1:13" x14ac:dyDescent="0.35">
      <c r="A67" s="138">
        <v>2599</v>
      </c>
      <c r="B67" s="138" t="s">
        <v>628</v>
      </c>
      <c r="C67" s="138" t="s">
        <v>961</v>
      </c>
      <c r="D67" s="138">
        <v>16.000000000000014</v>
      </c>
      <c r="E67" s="138">
        <v>27.73041717393934</v>
      </c>
      <c r="F67" s="138">
        <v>29.77159003507759</v>
      </c>
      <c r="G67" s="138">
        <v>78.488354122003187</v>
      </c>
      <c r="H67" s="138">
        <v>82.401978079079186</v>
      </c>
      <c r="I67" s="138">
        <v>106.21877129594253</v>
      </c>
      <c r="J67" s="138">
        <v>112.17356811415678</v>
      </c>
      <c r="K67" s="138">
        <v>234.39233941009934</v>
      </c>
      <c r="L67" s="9">
        <v>-670840</v>
      </c>
      <c r="M67" s="9">
        <v>-1071320</v>
      </c>
    </row>
    <row r="68" spans="1:13" x14ac:dyDescent="0.35">
      <c r="A68" s="138">
        <v>2602</v>
      </c>
      <c r="B68" s="138" t="s">
        <v>614</v>
      </c>
      <c r="C68" s="138" t="s">
        <v>961</v>
      </c>
      <c r="D68" s="138">
        <v>14.666666666666682</v>
      </c>
      <c r="E68" s="138">
        <v>31.602371983366023</v>
      </c>
      <c r="F68" s="138">
        <v>30.708977256345555</v>
      </c>
      <c r="G68" s="138">
        <v>68.552553616979324</v>
      </c>
      <c r="H68" s="138">
        <v>77.924394738333291</v>
      </c>
      <c r="I68" s="138">
        <v>100.15492560034535</v>
      </c>
      <c r="J68" s="138">
        <v>108.63337199467884</v>
      </c>
      <c r="K68" s="138">
        <v>223.45496426169086</v>
      </c>
      <c r="L68" s="9">
        <v>-684928.69</v>
      </c>
      <c r="M68" s="9">
        <v>-1081812.43</v>
      </c>
    </row>
    <row r="69" spans="1:13" x14ac:dyDescent="0.35">
      <c r="A69" s="138">
        <v>9107</v>
      </c>
      <c r="B69" s="138" t="s">
        <v>635</v>
      </c>
      <c r="C69" s="138" t="s">
        <v>962</v>
      </c>
      <c r="D69" s="138">
        <v>2.6666666666666687</v>
      </c>
      <c r="E69" s="138">
        <v>30.025082260112146</v>
      </c>
      <c r="F69" s="138">
        <v>29.744175687634584</v>
      </c>
      <c r="G69" s="138">
        <v>80.319856929421761</v>
      </c>
      <c r="H69" s="138">
        <v>73.317046557941794</v>
      </c>
      <c r="I69" s="138">
        <v>110.3449391895339</v>
      </c>
      <c r="J69" s="138">
        <v>103.06122224557637</v>
      </c>
      <c r="K69" s="138">
        <v>216.07282810177693</v>
      </c>
      <c r="L69" s="9">
        <v>-682270</v>
      </c>
      <c r="M69" s="9">
        <v>-1065600</v>
      </c>
    </row>
    <row r="70" spans="1:13" x14ac:dyDescent="0.35">
      <c r="A70" s="138">
        <v>9110</v>
      </c>
      <c r="B70" s="138" t="s">
        <v>588</v>
      </c>
      <c r="C70" s="138" t="s">
        <v>962</v>
      </c>
      <c r="D70" s="138">
        <v>5.3333333333333375</v>
      </c>
      <c r="E70" s="138">
        <v>37.590267859275336</v>
      </c>
      <c r="F70" s="138">
        <v>39.326172299444394</v>
      </c>
      <c r="G70" s="138">
        <v>80.319856929421761</v>
      </c>
      <c r="H70" s="138">
        <v>77.950826179547761</v>
      </c>
      <c r="I70" s="138">
        <v>117.91012478869709</v>
      </c>
      <c r="J70" s="138">
        <v>117.27699847899216</v>
      </c>
      <c r="K70" s="138">
        <v>240.52045660102257</v>
      </c>
      <c r="L70" s="9">
        <v>-687630</v>
      </c>
      <c r="M70" s="9">
        <v>-1068690</v>
      </c>
    </row>
    <row r="71" spans="1:13" x14ac:dyDescent="0.35">
      <c r="A71" s="138">
        <v>9113</v>
      </c>
      <c r="B71" s="138" t="s">
        <v>622</v>
      </c>
      <c r="C71" s="138" t="s">
        <v>962</v>
      </c>
      <c r="D71" s="138">
        <v>5.3333333333333375</v>
      </c>
      <c r="E71" s="138">
        <v>28.251387882560241</v>
      </c>
      <c r="F71" s="138">
        <v>26.043810827851988</v>
      </c>
      <c r="G71" s="138">
        <v>71.575259894333584</v>
      </c>
      <c r="H71" s="138">
        <v>76.313321394081598</v>
      </c>
      <c r="I71" s="138">
        <v>99.826647776893822</v>
      </c>
      <c r="J71" s="138">
        <v>102.35713222193358</v>
      </c>
      <c r="K71" s="138">
        <v>207.51711333216073</v>
      </c>
      <c r="L71" s="9">
        <v>-679870</v>
      </c>
      <c r="M71" s="9">
        <v>-1081330</v>
      </c>
    </row>
    <row r="72" spans="1:13" x14ac:dyDescent="0.35">
      <c r="A72" s="138">
        <v>9116</v>
      </c>
      <c r="B72" s="138" t="s">
        <v>632</v>
      </c>
      <c r="C72" s="138" t="s">
        <v>962</v>
      </c>
      <c r="D72" s="138">
        <v>5.3333333333333375</v>
      </c>
      <c r="E72" s="138">
        <v>29.175811687261394</v>
      </c>
      <c r="F72" s="138">
        <v>25.8496444693596</v>
      </c>
      <c r="G72" s="138">
        <v>72.492609015269778</v>
      </c>
      <c r="H72" s="138">
        <v>69.403422600865809</v>
      </c>
      <c r="I72" s="138">
        <v>101.66842070253117</v>
      </c>
      <c r="J72" s="138">
        <v>95.253067070225413</v>
      </c>
      <c r="K72" s="138">
        <v>202.25482110608991</v>
      </c>
      <c r="L72" s="9">
        <v>-698900</v>
      </c>
      <c r="M72" s="9">
        <v>-1080880</v>
      </c>
    </row>
    <row r="73" spans="1:13" x14ac:dyDescent="0.35">
      <c r="A73" s="138">
        <v>9119</v>
      </c>
      <c r="B73" s="138" t="s">
        <v>634</v>
      </c>
      <c r="C73" s="138" t="s">
        <v>962</v>
      </c>
      <c r="D73" s="138">
        <v>5.3333333333333375</v>
      </c>
      <c r="E73" s="138">
        <v>25.807071723129468</v>
      </c>
      <c r="F73" s="138">
        <v>25.351659174798289</v>
      </c>
      <c r="G73" s="138">
        <v>67.034391850991796</v>
      </c>
      <c r="H73" s="138">
        <v>67.858829393663825</v>
      </c>
      <c r="I73" s="138">
        <v>92.841463574121263</v>
      </c>
      <c r="J73" s="138">
        <v>93.210488568462111</v>
      </c>
      <c r="K73" s="138">
        <v>191.38528547591673</v>
      </c>
      <c r="L73" s="9">
        <v>-690308.6</v>
      </c>
      <c r="M73" s="9">
        <v>-1068093.8999999999</v>
      </c>
    </row>
    <row r="74" spans="1:13" x14ac:dyDescent="0.35">
      <c r="A74" s="138">
        <v>9122</v>
      </c>
      <c r="B74" s="138" t="s">
        <v>596</v>
      </c>
      <c r="C74" s="138" t="s">
        <v>962</v>
      </c>
      <c r="D74" s="138">
        <v>5.3333333333333375</v>
      </c>
      <c r="E74" s="138">
        <v>34.282015782310715</v>
      </c>
      <c r="F74" s="138">
        <v>32.730181696973467</v>
      </c>
      <c r="G74" s="138">
        <v>81.864450136623731</v>
      </c>
      <c r="H74" s="138">
        <v>73.317046557941794</v>
      </c>
      <c r="I74" s="138">
        <v>116.14646591893444</v>
      </c>
      <c r="J74" s="138">
        <v>106.04722825491527</v>
      </c>
      <c r="K74" s="138">
        <v>227.52702750718305</v>
      </c>
      <c r="L74" s="9">
        <v>-699996.89</v>
      </c>
      <c r="M74" s="9">
        <v>-1077172.8899999999</v>
      </c>
    </row>
    <row r="75" spans="1:13" x14ac:dyDescent="0.35">
      <c r="A75" s="138">
        <v>9125</v>
      </c>
      <c r="B75" s="138" t="s">
        <v>654</v>
      </c>
      <c r="C75" s="138" t="s">
        <v>962</v>
      </c>
      <c r="D75" s="138">
        <v>8.0000000000000071</v>
      </c>
      <c r="E75" s="138">
        <v>29.387050485378687</v>
      </c>
      <c r="F75" s="138">
        <v>28.11404001615816</v>
      </c>
      <c r="G75" s="138">
        <v>72.317648620564469</v>
      </c>
      <c r="H75" s="138">
        <v>70.773055413362485</v>
      </c>
      <c r="I75" s="138">
        <v>101.70469910594315</v>
      </c>
      <c r="J75" s="138">
        <v>98.887095429520642</v>
      </c>
      <c r="K75" s="138">
        <v>208.59179453546381</v>
      </c>
      <c r="L75" s="9">
        <v>-693210</v>
      </c>
      <c r="M75" s="9">
        <v>-1071190</v>
      </c>
    </row>
    <row r="76" spans="1:13" x14ac:dyDescent="0.35">
      <c r="A76" s="138">
        <v>9128</v>
      </c>
      <c r="B76" s="138" t="s">
        <v>671</v>
      </c>
      <c r="C76" s="138" t="s">
        <v>962</v>
      </c>
      <c r="D76" s="138">
        <v>5.3333333333333375</v>
      </c>
      <c r="E76" s="138">
        <v>25.733020158699947</v>
      </c>
      <c r="F76" s="138">
        <v>25.200898151310682</v>
      </c>
      <c r="G76" s="138">
        <v>65.86642438781675</v>
      </c>
      <c r="H76" s="138">
        <v>73.693672301968732</v>
      </c>
      <c r="I76" s="138">
        <v>91.599444546516693</v>
      </c>
      <c r="J76" s="138">
        <v>98.894570453279414</v>
      </c>
      <c r="K76" s="138">
        <v>195.82734833312944</v>
      </c>
      <c r="L76" s="9">
        <v>-700720</v>
      </c>
      <c r="M76" s="9">
        <v>-1073150</v>
      </c>
    </row>
    <row r="77" spans="1:13" x14ac:dyDescent="0.35">
      <c r="A77" s="138">
        <v>9131</v>
      </c>
      <c r="B77" s="138" t="s">
        <v>595</v>
      </c>
      <c r="C77" s="138" t="s">
        <v>962</v>
      </c>
      <c r="D77" s="138">
        <v>5.3333333333333375</v>
      </c>
      <c r="E77" s="138">
        <v>25.372107012614993</v>
      </c>
      <c r="F77" s="138">
        <v>24.612706612691813</v>
      </c>
      <c r="G77" s="138">
        <v>72.492609015269778</v>
      </c>
      <c r="H77" s="138">
        <v>70.948015808067794</v>
      </c>
      <c r="I77" s="138">
        <v>97.864716027884768</v>
      </c>
      <c r="J77" s="138">
        <v>95.560722420759603</v>
      </c>
      <c r="K77" s="138">
        <v>198.75877178197771</v>
      </c>
      <c r="L77" s="9">
        <v>-686167.27</v>
      </c>
      <c r="M77" s="9">
        <v>-1078891.26</v>
      </c>
    </row>
    <row r="78" spans="1:13" x14ac:dyDescent="0.35">
      <c r="A78" s="138">
        <v>9134</v>
      </c>
      <c r="B78" s="138" t="s">
        <v>633</v>
      </c>
      <c r="C78" s="138" t="s">
        <v>962</v>
      </c>
      <c r="D78" s="138">
        <v>5.3333333333333375</v>
      </c>
      <c r="E78" s="138">
        <v>25.269063014647763</v>
      </c>
      <c r="F78" s="138">
        <v>24.375668287627288</v>
      </c>
      <c r="G78" s="138">
        <v>74.037202222471763</v>
      </c>
      <c r="H78" s="138">
        <v>69.403422600865809</v>
      </c>
      <c r="I78" s="138">
        <v>99.306265237119533</v>
      </c>
      <c r="J78" s="138">
        <v>93.779090888493101</v>
      </c>
      <c r="K78" s="138">
        <v>198.41868945894598</v>
      </c>
      <c r="L78" s="9">
        <v>-774300</v>
      </c>
      <c r="M78" s="9">
        <v>-1082470</v>
      </c>
    </row>
    <row r="79" spans="1:13" x14ac:dyDescent="0.35">
      <c r="A79" s="138">
        <v>9137</v>
      </c>
      <c r="B79" s="138" t="s">
        <v>652</v>
      </c>
      <c r="C79" s="138" t="s">
        <v>962</v>
      </c>
      <c r="D79" s="138">
        <v>5.3333333333333375</v>
      </c>
      <c r="E79" s="138">
        <v>27.668572951310857</v>
      </c>
      <c r="F79" s="138">
        <v>27.029625060109783</v>
      </c>
      <c r="G79" s="138">
        <v>80.319856929421761</v>
      </c>
      <c r="H79" s="138">
        <v>78.775263722219762</v>
      </c>
      <c r="I79" s="138">
        <v>107.98842988073261</v>
      </c>
      <c r="J79" s="138">
        <v>105.80488878232954</v>
      </c>
      <c r="K79" s="138">
        <v>219.12665199639551</v>
      </c>
      <c r="L79" s="9">
        <v>-760248.62</v>
      </c>
      <c r="M79" s="9">
        <v>-1083356.27</v>
      </c>
    </row>
    <row r="80" spans="1:13" x14ac:dyDescent="0.35">
      <c r="A80" s="138">
        <v>9140</v>
      </c>
      <c r="B80" s="138" t="s">
        <v>672</v>
      </c>
      <c r="C80" s="138" t="s">
        <v>962</v>
      </c>
      <c r="D80" s="138">
        <v>5.3333333333333375</v>
      </c>
      <c r="E80" s="138">
        <v>20.545351712616764</v>
      </c>
      <c r="F80" s="138">
        <v>20.545351712616764</v>
      </c>
      <c r="G80" s="138">
        <v>64.414742758878944</v>
      </c>
      <c r="H80" s="138">
        <v>65.239180301550959</v>
      </c>
      <c r="I80" s="138">
        <v>84.960094471495708</v>
      </c>
      <c r="J80" s="138">
        <v>85.784532014167723</v>
      </c>
      <c r="K80" s="138">
        <v>176.07795981899679</v>
      </c>
      <c r="L80" s="9">
        <v>-758665.4</v>
      </c>
      <c r="M80" s="9">
        <v>-1085467.92</v>
      </c>
    </row>
    <row r="81" spans="1:13" x14ac:dyDescent="0.35">
      <c r="A81" s="138">
        <v>9143</v>
      </c>
      <c r="B81" s="138" t="s">
        <v>585</v>
      </c>
      <c r="C81" s="138" t="s">
        <v>962</v>
      </c>
      <c r="D81" s="138">
        <v>14.666666666666682</v>
      </c>
      <c r="E81" s="138">
        <v>20.31001349565712</v>
      </c>
      <c r="F81" s="138">
        <v>19.238734335239293</v>
      </c>
      <c r="G81" s="138">
        <v>55.293519979763829</v>
      </c>
      <c r="H81" s="138">
        <v>60.031581479511843</v>
      </c>
      <c r="I81" s="138">
        <v>75.603533475420946</v>
      </c>
      <c r="J81" s="138">
        <v>79.270315814751143</v>
      </c>
      <c r="K81" s="138">
        <v>169.54051595683876</v>
      </c>
      <c r="L81" s="9">
        <v>-764846.02</v>
      </c>
      <c r="M81" s="9">
        <v>-1087415.97</v>
      </c>
    </row>
    <row r="82" spans="1:13" x14ac:dyDescent="0.35">
      <c r="A82" s="138">
        <v>9146</v>
      </c>
      <c r="B82" s="138" t="s">
        <v>583</v>
      </c>
      <c r="C82" s="138" t="s">
        <v>962</v>
      </c>
      <c r="D82" s="138">
        <v>14.666666666666682</v>
      </c>
      <c r="E82" s="138">
        <v>19.510758597336622</v>
      </c>
      <c r="F82" s="138">
        <v>17.640224538598297</v>
      </c>
      <c r="G82" s="138">
        <v>65.292605187383614</v>
      </c>
      <c r="H82" s="138">
        <v>63.748011980181623</v>
      </c>
      <c r="I82" s="138">
        <v>84.803363784720233</v>
      </c>
      <c r="J82" s="138">
        <v>81.388236518779919</v>
      </c>
      <c r="K82" s="138">
        <v>180.85826697016682</v>
      </c>
      <c r="L82" s="9">
        <v>-752500</v>
      </c>
      <c r="M82" s="9">
        <v>-1079350</v>
      </c>
    </row>
    <row r="83" spans="1:13" x14ac:dyDescent="0.35">
      <c r="A83" s="138">
        <v>9149</v>
      </c>
      <c r="B83" s="138" t="s">
        <v>641</v>
      </c>
      <c r="C83" s="138" t="s">
        <v>962</v>
      </c>
      <c r="D83" s="138">
        <v>14.666666666666682</v>
      </c>
      <c r="E83" s="138">
        <v>23.238837024904221</v>
      </c>
      <c r="F83" s="138">
        <v>20.643527513906605</v>
      </c>
      <c r="G83" s="138">
        <v>54.554463444687684</v>
      </c>
      <c r="H83" s="138">
        <v>51.465277030283708</v>
      </c>
      <c r="I83" s="138">
        <v>77.793300469591912</v>
      </c>
      <c r="J83" s="138">
        <v>72.10880454419032</v>
      </c>
      <c r="K83" s="138">
        <v>164.56877168044892</v>
      </c>
      <c r="L83" s="9">
        <v>-759270</v>
      </c>
      <c r="M83" s="9">
        <v>-1066320</v>
      </c>
    </row>
    <row r="84" spans="1:13" x14ac:dyDescent="0.35">
      <c r="A84" s="138">
        <v>9152</v>
      </c>
      <c r="B84" s="138" t="s">
        <v>601</v>
      </c>
      <c r="C84" s="138" t="s">
        <v>962</v>
      </c>
      <c r="D84" s="138">
        <v>8.0000000000000071</v>
      </c>
      <c r="E84" s="138">
        <v>22.356519590484297</v>
      </c>
      <c r="F84" s="138">
        <v>22.633113193604146</v>
      </c>
      <c r="G84" s="138">
        <v>63.748011980181623</v>
      </c>
      <c r="H84" s="138">
        <v>64.572449522853631</v>
      </c>
      <c r="I84" s="138">
        <v>86.104531570665927</v>
      </c>
      <c r="J84" s="138">
        <v>87.205562716457777</v>
      </c>
      <c r="K84" s="138">
        <v>181.31009428712372</v>
      </c>
      <c r="L84" s="9">
        <v>-780913.06</v>
      </c>
      <c r="M84" s="9">
        <v>-1086362.76</v>
      </c>
    </row>
    <row r="85" spans="1:13" x14ac:dyDescent="0.35">
      <c r="A85" s="138">
        <v>9155</v>
      </c>
      <c r="B85" s="138" t="s">
        <v>603</v>
      </c>
      <c r="C85" s="138" t="s">
        <v>962</v>
      </c>
      <c r="D85" s="138">
        <v>5.3333333333333375</v>
      </c>
      <c r="E85" s="138">
        <v>36.948170375069111</v>
      </c>
      <c r="F85" s="138">
        <v>38.37642768110679</v>
      </c>
      <c r="G85" s="138">
        <v>60.751737144041805</v>
      </c>
      <c r="H85" s="138">
        <v>57.558268851495782</v>
      </c>
      <c r="I85" s="138">
        <v>97.699907519110923</v>
      </c>
      <c r="J85" s="138">
        <v>95.934696532602572</v>
      </c>
      <c r="K85" s="138">
        <v>198.96793738504684</v>
      </c>
      <c r="L85" s="9">
        <v>-763049.7</v>
      </c>
      <c r="M85" s="9">
        <v>-1090222.52</v>
      </c>
    </row>
    <row r="86" spans="1:13" x14ac:dyDescent="0.35">
      <c r="A86" s="138">
        <v>9158</v>
      </c>
      <c r="B86" s="138" t="s">
        <v>594</v>
      </c>
      <c r="C86" s="138" t="s">
        <v>962</v>
      </c>
      <c r="D86" s="138">
        <v>5.3333333333333375</v>
      </c>
      <c r="E86" s="138">
        <v>40.165057700734906</v>
      </c>
      <c r="F86" s="138">
        <v>37.669624199353002</v>
      </c>
      <c r="G86" s="138">
        <v>70.208959272991649</v>
      </c>
      <c r="H86" s="138">
        <v>74.842738894597602</v>
      </c>
      <c r="I86" s="138">
        <v>110.37401697372655</v>
      </c>
      <c r="J86" s="138">
        <v>112.5123630939506</v>
      </c>
      <c r="K86" s="138">
        <v>228.21971340101049</v>
      </c>
      <c r="L86" s="9">
        <v>-761040.59</v>
      </c>
      <c r="M86" s="9">
        <v>-1087726.47</v>
      </c>
    </row>
    <row r="87" spans="1:13" x14ac:dyDescent="0.35">
      <c r="A87" s="138">
        <v>9161</v>
      </c>
      <c r="B87" s="138" t="s">
        <v>656</v>
      </c>
      <c r="C87" s="138" t="s">
        <v>962</v>
      </c>
      <c r="D87" s="138">
        <v>6.6666666666666714</v>
      </c>
      <c r="E87" s="138">
        <v>29.79907609405144</v>
      </c>
      <c r="F87" s="138">
        <v>29.950223429335651</v>
      </c>
      <c r="G87" s="138">
        <v>65.959335966080928</v>
      </c>
      <c r="H87" s="138">
        <v>72.962146337560867</v>
      </c>
      <c r="I87" s="138">
        <v>95.758412060132372</v>
      </c>
      <c r="J87" s="138">
        <v>102.91236976689652</v>
      </c>
      <c r="K87" s="138">
        <v>205.33744849369555</v>
      </c>
      <c r="L87" s="9">
        <v>-756260</v>
      </c>
      <c r="M87" s="9">
        <v>-1071000</v>
      </c>
    </row>
    <row r="88" spans="1:13" x14ac:dyDescent="0.35">
      <c r="A88" s="138">
        <v>9164</v>
      </c>
      <c r="B88" s="138" t="s">
        <v>629</v>
      </c>
      <c r="C88" s="138" t="s">
        <v>962</v>
      </c>
      <c r="D88" s="138">
        <v>14.666666666666682</v>
      </c>
      <c r="E88" s="138">
        <v>23.821334280369992</v>
      </c>
      <c r="F88" s="138">
        <v>18.649626680152814</v>
      </c>
      <c r="G88" s="138">
        <v>53.301114973916768</v>
      </c>
      <c r="H88" s="138">
        <v>43.209118188032832</v>
      </c>
      <c r="I88" s="138">
        <v>77.122449254286764</v>
      </c>
      <c r="J88" s="138">
        <v>61.858744868185646</v>
      </c>
      <c r="K88" s="138">
        <v>153.64786078913909</v>
      </c>
      <c r="L88" s="9">
        <v>-749900</v>
      </c>
      <c r="M88" s="9">
        <v>-1090000</v>
      </c>
    </row>
    <row r="89" spans="1:13" x14ac:dyDescent="0.35">
      <c r="A89" s="138">
        <v>9167</v>
      </c>
      <c r="B89" s="138" t="s">
        <v>597</v>
      </c>
      <c r="C89" s="138" t="s">
        <v>962</v>
      </c>
      <c r="D89" s="138">
        <v>5.3333333333333375</v>
      </c>
      <c r="E89" s="138">
        <v>16.338903239529898</v>
      </c>
      <c r="F89" s="138">
        <v>14.845901966630793</v>
      </c>
      <c r="G89" s="138">
        <v>58.382706394167805</v>
      </c>
      <c r="H89" s="138">
        <v>55.293519979763829</v>
      </c>
      <c r="I89" s="138">
        <v>74.72160963369771</v>
      </c>
      <c r="J89" s="138">
        <v>70.13942194639462</v>
      </c>
      <c r="K89" s="138">
        <v>150.19436491342569</v>
      </c>
      <c r="L89" s="9">
        <v>-764030</v>
      </c>
      <c r="M89" s="9">
        <v>-1096480.68</v>
      </c>
    </row>
    <row r="90" spans="1:13" x14ac:dyDescent="0.35">
      <c r="A90" s="138">
        <v>9170</v>
      </c>
      <c r="B90" s="138" t="s">
        <v>642</v>
      </c>
      <c r="C90" s="138" t="s">
        <v>962</v>
      </c>
      <c r="D90" s="138">
        <v>8.0000000000000071</v>
      </c>
      <c r="E90" s="138">
        <v>25.924570192398846</v>
      </c>
      <c r="F90" s="138">
        <v>20.214725222410291</v>
      </c>
      <c r="G90" s="138">
        <v>55.293519979763829</v>
      </c>
      <c r="H90" s="138">
        <v>56.83811318696582</v>
      </c>
      <c r="I90" s="138">
        <v>81.218090172162675</v>
      </c>
      <c r="J90" s="138">
        <v>77.052838409376108</v>
      </c>
      <c r="K90" s="138">
        <v>166.27092858153878</v>
      </c>
      <c r="L90" s="9">
        <v>-753180</v>
      </c>
      <c r="M90" s="9">
        <v>-1090930</v>
      </c>
    </row>
    <row r="91" spans="1:13" x14ac:dyDescent="0.35">
      <c r="A91" s="138">
        <v>9173</v>
      </c>
      <c r="B91" s="138" t="s">
        <v>602</v>
      </c>
      <c r="C91" s="138" t="s">
        <v>962</v>
      </c>
      <c r="D91" s="138">
        <v>8.0000000000000071</v>
      </c>
      <c r="E91" s="138">
        <v>40.811918419820927</v>
      </c>
      <c r="F91" s="138">
        <v>38.064249700270139</v>
      </c>
      <c r="G91" s="138">
        <v>44.846622973498981</v>
      </c>
      <c r="H91" s="138">
        <v>47.93580938790295</v>
      </c>
      <c r="I91" s="138">
        <v>85.658541393319908</v>
      </c>
      <c r="J91" s="138">
        <v>86.000059088173089</v>
      </c>
      <c r="K91" s="138">
        <v>179.65860048149301</v>
      </c>
      <c r="L91" s="9">
        <v>-751668.58</v>
      </c>
      <c r="M91" s="9">
        <v>-1092980.75</v>
      </c>
    </row>
    <row r="92" spans="1:13" x14ac:dyDescent="0.35">
      <c r="A92" s="138">
        <v>9176</v>
      </c>
      <c r="B92" s="138" t="s">
        <v>663</v>
      </c>
      <c r="C92" s="138" t="s">
        <v>962</v>
      </c>
      <c r="D92" s="138">
        <v>2.6666666666666687</v>
      </c>
      <c r="E92" s="138">
        <v>35.326379407567195</v>
      </c>
      <c r="F92" s="138">
        <v>34.870966859236006</v>
      </c>
      <c r="G92" s="138">
        <v>58.468087401763675</v>
      </c>
      <c r="H92" s="138">
        <v>53.0098702374857</v>
      </c>
      <c r="I92" s="138">
        <v>93.794466809330871</v>
      </c>
      <c r="J92" s="138">
        <v>87.880837096721706</v>
      </c>
      <c r="K92" s="138">
        <v>184.34197057271925</v>
      </c>
      <c r="L92" s="9">
        <v>-743490</v>
      </c>
      <c r="M92" s="9">
        <v>-1089680</v>
      </c>
    </row>
    <row r="93" spans="1:13" x14ac:dyDescent="0.35">
      <c r="A93" s="138">
        <v>9179</v>
      </c>
      <c r="B93" s="138" t="s">
        <v>623</v>
      </c>
      <c r="C93" s="138" t="s">
        <v>962</v>
      </c>
      <c r="D93" s="138">
        <v>5.3333333333333375</v>
      </c>
      <c r="E93" s="138">
        <v>31.105675076082548</v>
      </c>
      <c r="F93" s="138">
        <v>24.155211107999797</v>
      </c>
      <c r="G93" s="138">
        <v>70.948015808067794</v>
      </c>
      <c r="H93" s="138">
        <v>67.858829393663825</v>
      </c>
      <c r="I93" s="138">
        <v>102.05369088415034</v>
      </c>
      <c r="J93" s="138">
        <v>92.014040501663629</v>
      </c>
      <c r="K93" s="138">
        <v>199.40106471914731</v>
      </c>
      <c r="L93" s="9">
        <v>-777892.3</v>
      </c>
      <c r="M93" s="9">
        <v>-1080542.56</v>
      </c>
    </row>
    <row r="94" spans="1:13" x14ac:dyDescent="0.35">
      <c r="A94" s="138">
        <v>9182</v>
      </c>
      <c r="B94" s="138" t="s">
        <v>605</v>
      </c>
      <c r="C94" s="138" t="s">
        <v>962</v>
      </c>
      <c r="D94" s="138">
        <v>2.6666666666666687</v>
      </c>
      <c r="E94" s="138">
        <v>32.196329379688287</v>
      </c>
      <c r="F94" s="138">
        <v>31.33454213215688</v>
      </c>
      <c r="G94" s="138">
        <v>74.861639765143778</v>
      </c>
      <c r="H94" s="138">
        <v>61.576174686713827</v>
      </c>
      <c r="I94" s="138">
        <v>107.05796914483207</v>
      </c>
      <c r="J94" s="138">
        <v>92.910716818870711</v>
      </c>
      <c r="K94" s="138">
        <v>202.63535263036945</v>
      </c>
      <c r="L94" s="9">
        <v>-756460</v>
      </c>
      <c r="M94" s="9">
        <v>-1099140</v>
      </c>
    </row>
    <row r="95" spans="1:13" x14ac:dyDescent="0.35">
      <c r="A95" s="138">
        <v>9185</v>
      </c>
      <c r="B95" s="138" t="s">
        <v>655</v>
      </c>
      <c r="C95" s="138" t="s">
        <v>962</v>
      </c>
      <c r="D95" s="138">
        <v>8.0000000000000071</v>
      </c>
      <c r="E95" s="138">
        <v>31.365919878010516</v>
      </c>
      <c r="F95" s="138">
        <v>26.640463334277914</v>
      </c>
      <c r="G95" s="138">
        <v>60.501118801802946</v>
      </c>
      <c r="H95" s="138">
        <v>62.870149551676953</v>
      </c>
      <c r="I95" s="138">
        <v>91.867038679813461</v>
      </c>
      <c r="J95" s="138">
        <v>89.51061288595487</v>
      </c>
      <c r="K95" s="138">
        <v>189.37765156576833</v>
      </c>
      <c r="L95" s="9">
        <v>-783430</v>
      </c>
      <c r="M95" s="9">
        <v>-1097800</v>
      </c>
    </row>
    <row r="96" spans="1:13" x14ac:dyDescent="0.35">
      <c r="A96" s="138">
        <v>9188</v>
      </c>
      <c r="B96" s="138" t="s">
        <v>653</v>
      </c>
      <c r="C96" s="138" t="s">
        <v>962</v>
      </c>
      <c r="D96" s="138">
        <v>6.6666666666666714</v>
      </c>
      <c r="E96" s="138">
        <v>33.097996120117124</v>
      </c>
      <c r="F96" s="138">
        <v>29.729744390821139</v>
      </c>
      <c r="G96" s="138">
        <v>78.775263722219762</v>
      </c>
      <c r="H96" s="138">
        <v>84.953636551027699</v>
      </c>
      <c r="I96" s="138">
        <v>111.87325984233689</v>
      </c>
      <c r="J96" s="138">
        <v>114.68338094184884</v>
      </c>
      <c r="K96" s="138">
        <v>233.22330745085242</v>
      </c>
      <c r="L96" s="9">
        <v>-686551.73</v>
      </c>
      <c r="M96" s="9">
        <v>-1073313</v>
      </c>
    </row>
    <row r="97" spans="1:13" x14ac:dyDescent="0.35">
      <c r="A97" s="138">
        <v>9191</v>
      </c>
      <c r="B97" s="138" t="s">
        <v>662</v>
      </c>
      <c r="C97" s="138" t="s">
        <v>962</v>
      </c>
      <c r="D97" s="138">
        <v>9.3333333333333428</v>
      </c>
      <c r="E97" s="138">
        <v>28.709582572354439</v>
      </c>
      <c r="F97" s="138">
        <v>28.389969946026415</v>
      </c>
      <c r="G97" s="138">
        <v>61.858562063855075</v>
      </c>
      <c r="H97" s="138">
        <v>66.596623563603103</v>
      </c>
      <c r="I97" s="138">
        <v>90.56814463620951</v>
      </c>
      <c r="J97" s="138">
        <v>94.986593509629515</v>
      </c>
      <c r="K97" s="138">
        <v>194.88807147917237</v>
      </c>
      <c r="L97" s="9">
        <v>-681219.3</v>
      </c>
      <c r="M97" s="9">
        <v>-1081575.6000000001</v>
      </c>
    </row>
    <row r="98" spans="1:13" x14ac:dyDescent="0.35">
      <c r="A98" s="138">
        <v>9194</v>
      </c>
      <c r="B98" s="138" t="s">
        <v>637</v>
      </c>
      <c r="C98" s="138" t="s">
        <v>962</v>
      </c>
      <c r="D98" s="138">
        <v>6.6666666666666714</v>
      </c>
      <c r="E98" s="138">
        <v>31.017224651172327</v>
      </c>
      <c r="F98" s="138">
        <v>27.486432438219378</v>
      </c>
      <c r="G98" s="138">
        <v>75.380266837053028</v>
      </c>
      <c r="H98" s="138">
        <v>75.380266837053028</v>
      </c>
      <c r="I98" s="138">
        <v>106.39749148822536</v>
      </c>
      <c r="J98" s="138">
        <v>102.86669927527241</v>
      </c>
      <c r="K98" s="138">
        <v>215.93085743016445</v>
      </c>
      <c r="L98" s="9">
        <v>-667133.94999999995</v>
      </c>
      <c r="M98" s="9">
        <v>-1070638.3</v>
      </c>
    </row>
    <row r="99" spans="1:13" x14ac:dyDescent="0.35">
      <c r="A99" s="138">
        <v>9197</v>
      </c>
      <c r="B99" s="138" t="s">
        <v>664</v>
      </c>
      <c r="C99" s="138" t="s">
        <v>962</v>
      </c>
      <c r="D99" s="138">
        <v>8.0000000000000071</v>
      </c>
      <c r="E99" s="138">
        <v>46.566547753690138</v>
      </c>
      <c r="F99" s="138">
        <v>40.406456373547655</v>
      </c>
      <c r="G99" s="138">
        <v>51.379896022687838</v>
      </c>
      <c r="H99" s="138">
        <v>53.748926772561845</v>
      </c>
      <c r="I99" s="138">
        <v>97.946443776377976</v>
      </c>
      <c r="J99" s="138">
        <v>94.1553831461095</v>
      </c>
      <c r="K99" s="138">
        <v>200.10182692248748</v>
      </c>
      <c r="L99" s="9">
        <v>-681575.4</v>
      </c>
      <c r="M99" s="9">
        <v>-1062970.8</v>
      </c>
    </row>
    <row r="100" spans="1:13" x14ac:dyDescent="0.35">
      <c r="A100" s="138">
        <v>9200</v>
      </c>
      <c r="B100" s="138" t="s">
        <v>636</v>
      </c>
      <c r="C100" s="138" t="s">
        <v>962</v>
      </c>
      <c r="D100" s="138">
        <v>8.0000000000000071</v>
      </c>
      <c r="E100" s="138">
        <v>46.390386703107367</v>
      </c>
      <c r="F100" s="138">
        <v>43.32340457757055</v>
      </c>
      <c r="G100" s="138">
        <v>58.382706394167805</v>
      </c>
      <c r="H100" s="138">
        <v>54.469082437091807</v>
      </c>
      <c r="I100" s="138">
        <v>104.77309309727517</v>
      </c>
      <c r="J100" s="138">
        <v>97.792487014662356</v>
      </c>
      <c r="K100" s="138">
        <v>210.56558011193752</v>
      </c>
      <c r="L100" s="9">
        <v>-674751</v>
      </c>
      <c r="M100" s="9">
        <v>-1074831.3</v>
      </c>
    </row>
    <row r="101" spans="1:13" x14ac:dyDescent="0.35">
      <c r="A101" s="138">
        <v>9203</v>
      </c>
      <c r="B101" s="138" t="s">
        <v>665</v>
      </c>
      <c r="C101" s="138" t="s">
        <v>962</v>
      </c>
      <c r="D101" s="138">
        <v>8.0000000000000071</v>
      </c>
      <c r="E101" s="138">
        <v>42.377929615005357</v>
      </c>
      <c r="F101" s="138">
        <v>39.404637577649808</v>
      </c>
      <c r="G101" s="138">
        <v>66.20995430831978</v>
      </c>
      <c r="H101" s="138">
        <v>63.120767893915811</v>
      </c>
      <c r="I101" s="138">
        <v>108.58788392332514</v>
      </c>
      <c r="J101" s="138">
        <v>102.52540547156562</v>
      </c>
      <c r="K101" s="138">
        <v>219.11328939489076</v>
      </c>
      <c r="L101" s="9">
        <v>-673354</v>
      </c>
      <c r="M101" s="9">
        <v>-1068006.5</v>
      </c>
    </row>
    <row r="102" spans="1:13" x14ac:dyDescent="0.35">
      <c r="A102" s="138">
        <v>803</v>
      </c>
      <c r="B102" s="138" t="s">
        <v>522</v>
      </c>
      <c r="C102" s="138" t="s">
        <v>963</v>
      </c>
      <c r="D102" s="138">
        <v>5.3333333333333375</v>
      </c>
      <c r="E102" s="138">
        <v>26.203629600135482</v>
      </c>
      <c r="F102" s="138">
        <v>24.643397975713267</v>
      </c>
      <c r="G102" s="138">
        <v>72.215559231816457</v>
      </c>
      <c r="H102" s="138">
        <v>66.757342067538474</v>
      </c>
      <c r="I102" s="138">
        <v>98.419188831951942</v>
      </c>
      <c r="J102" s="138">
        <v>91.400740043251744</v>
      </c>
      <c r="K102" s="138">
        <v>195.15326220853703</v>
      </c>
      <c r="L102" s="9">
        <v>-678739.83</v>
      </c>
      <c r="M102" s="9">
        <v>-1070102</v>
      </c>
    </row>
    <row r="103" spans="1:13" x14ac:dyDescent="0.35">
      <c r="A103" s="138">
        <v>806</v>
      </c>
      <c r="B103" s="138" t="s">
        <v>523</v>
      </c>
      <c r="C103" s="138" t="s">
        <v>963</v>
      </c>
      <c r="D103" s="138">
        <v>14.666666666666682</v>
      </c>
      <c r="E103" s="138">
        <v>26.547361684181478</v>
      </c>
      <c r="F103" s="138">
        <v>24.89403500881658</v>
      </c>
      <c r="G103" s="138">
        <v>72.954615766892601</v>
      </c>
      <c r="H103" s="138">
        <v>72.954615766892601</v>
      </c>
      <c r="I103" s="138">
        <v>99.501977451074083</v>
      </c>
      <c r="J103" s="138">
        <v>97.848650775709189</v>
      </c>
      <c r="K103" s="138">
        <v>212.01729489344996</v>
      </c>
      <c r="L103" s="9">
        <v>-678782.91</v>
      </c>
      <c r="M103" s="9">
        <v>-1073361.7</v>
      </c>
    </row>
    <row r="104" spans="1:13" x14ac:dyDescent="0.35">
      <c r="A104" s="138">
        <v>809</v>
      </c>
      <c r="B104" s="138" t="s">
        <v>538</v>
      </c>
      <c r="C104" s="138" t="s">
        <v>963</v>
      </c>
      <c r="D104" s="138">
        <v>16.000000000000014</v>
      </c>
      <c r="E104" s="138">
        <v>33.96420565203502</v>
      </c>
      <c r="F104" s="138">
        <v>32.741017023582721</v>
      </c>
      <c r="G104" s="138">
        <v>64.25326286209345</v>
      </c>
      <c r="H104" s="138">
        <v>70.535917569043448</v>
      </c>
      <c r="I104" s="138">
        <v>98.21746851412847</v>
      </c>
      <c r="J104" s="138">
        <v>103.27693459262616</v>
      </c>
      <c r="K104" s="138">
        <v>217.49440310675465</v>
      </c>
      <c r="L104" s="9">
        <v>-671165.46</v>
      </c>
      <c r="M104" s="9">
        <v>-1075235.1000000001</v>
      </c>
    </row>
    <row r="105" spans="1:13" x14ac:dyDescent="0.35">
      <c r="A105" s="138">
        <v>812</v>
      </c>
      <c r="B105" s="138" t="s">
        <v>539</v>
      </c>
      <c r="C105" s="138" t="s">
        <v>963</v>
      </c>
      <c r="D105" s="138">
        <v>5.3333333333333375</v>
      </c>
      <c r="E105" s="138">
        <v>31.693222980325441</v>
      </c>
      <c r="F105" s="138">
        <v>28.819957472762315</v>
      </c>
      <c r="G105" s="138">
        <v>66.044716973676799</v>
      </c>
      <c r="H105" s="138">
        <v>72.327371680626783</v>
      </c>
      <c r="I105" s="138">
        <v>97.737939954002243</v>
      </c>
      <c r="J105" s="138">
        <v>101.14732915338909</v>
      </c>
      <c r="K105" s="138">
        <v>204.21860244072468</v>
      </c>
      <c r="L105" s="9">
        <v>-674412.12</v>
      </c>
      <c r="M105" s="9">
        <v>-1069595.2</v>
      </c>
    </row>
    <row r="106" spans="1:13" x14ac:dyDescent="0.35">
      <c r="A106" s="138">
        <v>815</v>
      </c>
      <c r="B106" s="138" t="s">
        <v>559</v>
      </c>
      <c r="C106" s="138" t="s">
        <v>963</v>
      </c>
      <c r="D106" s="138">
        <v>5.3333333333333375</v>
      </c>
      <c r="E106" s="138">
        <v>24.453695106755298</v>
      </c>
      <c r="F106" s="138">
        <v>23.507100081422852</v>
      </c>
      <c r="G106" s="138">
        <v>70.697397465828928</v>
      </c>
      <c r="H106" s="138">
        <v>62.870149551676953</v>
      </c>
      <c r="I106" s="138">
        <v>95.151092572584218</v>
      </c>
      <c r="J106" s="138">
        <v>86.377249633099808</v>
      </c>
      <c r="K106" s="138">
        <v>186.86167553901737</v>
      </c>
      <c r="L106" s="9">
        <v>-692064.35</v>
      </c>
      <c r="M106" s="9">
        <v>-1064279.8999999999</v>
      </c>
    </row>
    <row r="107" spans="1:13" x14ac:dyDescent="0.35">
      <c r="A107" s="138">
        <v>818</v>
      </c>
      <c r="B107" s="138" t="s">
        <v>544</v>
      </c>
      <c r="C107" s="138" t="s">
        <v>963</v>
      </c>
      <c r="D107" s="138">
        <v>5.3333333333333375</v>
      </c>
      <c r="E107" s="138">
        <v>26.675601435016681</v>
      </c>
      <c r="F107" s="138">
        <v>23.820678950022398</v>
      </c>
      <c r="G107" s="138">
        <v>68.328366715954928</v>
      </c>
      <c r="H107" s="138">
        <v>66.783773508752944</v>
      </c>
      <c r="I107" s="138">
        <v>95.003968150971616</v>
      </c>
      <c r="J107" s="138">
        <v>90.604452458775341</v>
      </c>
      <c r="K107" s="138">
        <v>190.9417539430803</v>
      </c>
      <c r="L107" s="9">
        <v>-689399.56</v>
      </c>
      <c r="M107" s="9">
        <v>-1065592.8</v>
      </c>
    </row>
    <row r="108" spans="1:13" x14ac:dyDescent="0.35">
      <c r="A108" s="138">
        <v>821</v>
      </c>
      <c r="B108" s="138" t="s">
        <v>521</v>
      </c>
      <c r="C108" s="138" t="s">
        <v>963</v>
      </c>
      <c r="D108" s="138">
        <v>14.666666666666682</v>
      </c>
      <c r="E108" s="138">
        <v>28.118858336856039</v>
      </c>
      <c r="F108" s="138">
        <v>26.400233746152178</v>
      </c>
      <c r="G108" s="138">
        <v>64.25326286209345</v>
      </c>
      <c r="H108" s="138">
        <v>64.25326286209345</v>
      </c>
      <c r="I108" s="138">
        <v>92.372121198949486</v>
      </c>
      <c r="J108" s="138">
        <v>90.653496608245632</v>
      </c>
      <c r="K108" s="138">
        <v>197.6922844738618</v>
      </c>
      <c r="L108" s="9">
        <v>-668733.18999999994</v>
      </c>
      <c r="M108" s="9">
        <v>-1073218.1000000001</v>
      </c>
    </row>
    <row r="109" spans="1:13" x14ac:dyDescent="0.35">
      <c r="A109" s="138">
        <v>824</v>
      </c>
      <c r="B109" s="138" t="s">
        <v>565</v>
      </c>
      <c r="C109" s="138" t="s">
        <v>963</v>
      </c>
      <c r="D109" s="138">
        <v>2.6666666666666687</v>
      </c>
      <c r="E109" s="138">
        <v>33.974681040410886</v>
      </c>
      <c r="F109" s="138">
        <v>27.184674599624262</v>
      </c>
      <c r="G109" s="138">
        <v>64.249505424235963</v>
      </c>
      <c r="H109" s="138">
        <v>56.422257510083959</v>
      </c>
      <c r="I109" s="138">
        <v>98.224186464646849</v>
      </c>
      <c r="J109" s="138">
        <v>83.606932109708225</v>
      </c>
      <c r="K109" s="138">
        <v>184.49778524102172</v>
      </c>
      <c r="L109" s="9">
        <v>-675807.76</v>
      </c>
      <c r="M109" s="9">
        <v>-1075616.8999999999</v>
      </c>
    </row>
    <row r="110" spans="1:13" x14ac:dyDescent="0.35">
      <c r="A110" s="138">
        <v>827</v>
      </c>
      <c r="B110" s="138" t="s">
        <v>545</v>
      </c>
      <c r="C110" s="138" t="s">
        <v>963</v>
      </c>
      <c r="D110" s="138">
        <v>2.6666666666666687</v>
      </c>
      <c r="E110" s="138">
        <v>30.365441944598881</v>
      </c>
      <c r="F110" s="138">
        <v>26.951785551851202</v>
      </c>
      <c r="G110" s="138">
        <v>60.224069018349617</v>
      </c>
      <c r="H110" s="138">
        <v>66.506723725299608</v>
      </c>
      <c r="I110" s="138">
        <v>90.589510962948495</v>
      </c>
      <c r="J110" s="138">
        <v>93.45850927715081</v>
      </c>
      <c r="K110" s="138">
        <v>186.71468690676596</v>
      </c>
      <c r="L110" s="9">
        <v>-675991.29</v>
      </c>
      <c r="M110" s="9">
        <v>-1079745.1000000001</v>
      </c>
    </row>
    <row r="111" spans="1:13" x14ac:dyDescent="0.35">
      <c r="A111" s="138">
        <v>830</v>
      </c>
      <c r="B111" s="138" t="s">
        <v>117</v>
      </c>
      <c r="C111" s="138" t="s">
        <v>963</v>
      </c>
      <c r="D111" s="138">
        <v>5.3333333333333375</v>
      </c>
      <c r="E111" s="138">
        <v>25.198917117989168</v>
      </c>
      <c r="F111" s="138">
        <v>24.67655504313052</v>
      </c>
      <c r="G111" s="138">
        <v>67.589310180878783</v>
      </c>
      <c r="H111" s="138">
        <v>69.133903388080768</v>
      </c>
      <c r="I111" s="138">
        <v>92.788227298867952</v>
      </c>
      <c r="J111" s="138">
        <v>93.810458431211288</v>
      </c>
      <c r="K111" s="138">
        <v>191.93201906341258</v>
      </c>
      <c r="L111" s="9">
        <v>-670242.5</v>
      </c>
      <c r="M111" s="9">
        <v>-1074102.5</v>
      </c>
    </row>
    <row r="112" spans="1:13" x14ac:dyDescent="0.35">
      <c r="A112" s="138">
        <v>833</v>
      </c>
      <c r="B112" s="138" t="s">
        <v>546</v>
      </c>
      <c r="C112" s="138" t="s">
        <v>963</v>
      </c>
      <c r="D112" s="138">
        <v>2.6666666666666687</v>
      </c>
      <c r="E112" s="138">
        <v>26.532275057020442</v>
      </c>
      <c r="F112" s="138">
        <v>25.529543608195645</v>
      </c>
      <c r="G112" s="138">
        <v>68.968666053437772</v>
      </c>
      <c r="H112" s="138">
        <v>63.510448889159811</v>
      </c>
      <c r="I112" s="138">
        <v>95.500941110458214</v>
      </c>
      <c r="J112" s="138">
        <v>89.039992497355456</v>
      </c>
      <c r="K112" s="138">
        <v>187.20760027448031</v>
      </c>
      <c r="L112" s="9">
        <v>-676529.92</v>
      </c>
      <c r="M112" s="9">
        <v>-1081187.3</v>
      </c>
    </row>
    <row r="113" spans="1:13" x14ac:dyDescent="0.35">
      <c r="A113" s="138">
        <v>836</v>
      </c>
      <c r="B113" s="138" t="s">
        <v>550</v>
      </c>
      <c r="C113" s="138" t="s">
        <v>963</v>
      </c>
      <c r="D113" s="138">
        <v>8.0000000000000071</v>
      </c>
      <c r="E113" s="138">
        <v>18.648861083861906</v>
      </c>
      <c r="F113" s="138">
        <v>16.736220654842345</v>
      </c>
      <c r="G113" s="138">
        <v>56.71292454815805</v>
      </c>
      <c r="H113" s="138">
        <v>61.34670416976401</v>
      </c>
      <c r="I113" s="138">
        <v>75.361785632019959</v>
      </c>
      <c r="J113" s="138">
        <v>78.082924824606351</v>
      </c>
      <c r="K113" s="138">
        <v>161.4447104566263</v>
      </c>
      <c r="L113" s="9">
        <v>-696082.02</v>
      </c>
      <c r="M113" s="9">
        <v>-1070408.6000000001</v>
      </c>
    </row>
    <row r="114" spans="1:13" x14ac:dyDescent="0.35">
      <c r="A114" s="138">
        <v>839</v>
      </c>
      <c r="B114" s="138" t="s">
        <v>529</v>
      </c>
      <c r="C114" s="138" t="s">
        <v>963</v>
      </c>
      <c r="D114" s="138">
        <v>8.0000000000000071</v>
      </c>
      <c r="E114" s="138">
        <v>20.062815754375826</v>
      </c>
      <c r="F114" s="138">
        <v>17.544936265351463</v>
      </c>
      <c r="G114" s="138">
        <v>49.472872024436654</v>
      </c>
      <c r="H114" s="138">
        <v>47.928278817234663</v>
      </c>
      <c r="I114" s="138">
        <v>69.535687778812473</v>
      </c>
      <c r="J114" s="138">
        <v>65.473215082586123</v>
      </c>
      <c r="K114" s="138">
        <v>143.00890286139861</v>
      </c>
      <c r="L114" s="9">
        <v>-688980.81</v>
      </c>
      <c r="M114" s="9">
        <v>-1076753.1000000001</v>
      </c>
    </row>
    <row r="115" spans="1:13" x14ac:dyDescent="0.35">
      <c r="A115" s="138">
        <v>842</v>
      </c>
      <c r="B115" s="138" t="s">
        <v>108</v>
      </c>
      <c r="C115" s="138" t="s">
        <v>963</v>
      </c>
      <c r="D115" s="138">
        <v>16.000000000000014</v>
      </c>
      <c r="E115" s="138">
        <v>24.553188268115058</v>
      </c>
      <c r="F115" s="138">
        <v>23.973245568415859</v>
      </c>
      <c r="G115" s="138">
        <v>58.257517755360041</v>
      </c>
      <c r="H115" s="138">
        <v>64.435890584167979</v>
      </c>
      <c r="I115" s="138">
        <v>82.810706023475092</v>
      </c>
      <c r="J115" s="138">
        <v>88.409136152583841</v>
      </c>
      <c r="K115" s="138">
        <v>187.21984217605893</v>
      </c>
      <c r="L115" s="9">
        <v>-708786.58</v>
      </c>
      <c r="M115" s="9">
        <v>-1070338.6000000001</v>
      </c>
    </row>
    <row r="116" spans="1:13" x14ac:dyDescent="0.35">
      <c r="A116" s="138">
        <v>845</v>
      </c>
      <c r="B116" s="138" t="s">
        <v>111</v>
      </c>
      <c r="C116" s="138" t="s">
        <v>963</v>
      </c>
      <c r="D116" s="138">
        <v>9.3333333333333428</v>
      </c>
      <c r="E116" s="138">
        <v>19.919788596721592</v>
      </c>
      <c r="F116" s="138">
        <v>19.565318694650443</v>
      </c>
      <c r="G116" s="138">
        <v>44.972052676930083</v>
      </c>
      <c r="H116" s="138">
        <v>48.061239091334052</v>
      </c>
      <c r="I116" s="138">
        <v>64.891841273651679</v>
      </c>
      <c r="J116" s="138">
        <v>67.626557785984488</v>
      </c>
      <c r="K116" s="138">
        <v>141.85173239296952</v>
      </c>
      <c r="L116" s="9">
        <v>-680998.94</v>
      </c>
      <c r="M116" s="9">
        <v>-1081741</v>
      </c>
    </row>
    <row r="117" spans="1:13" x14ac:dyDescent="0.35">
      <c r="A117" s="138">
        <v>848</v>
      </c>
      <c r="B117" s="138" t="s">
        <v>124</v>
      </c>
      <c r="C117" s="138" t="s">
        <v>963</v>
      </c>
      <c r="D117" s="138">
        <v>8.0000000000000071</v>
      </c>
      <c r="E117" s="138">
        <v>24.484640556522034</v>
      </c>
      <c r="F117" s="138">
        <v>22.192384385302429</v>
      </c>
      <c r="G117" s="138">
        <v>52.799300591082066</v>
      </c>
      <c r="H117" s="138">
        <v>44.972052676930083</v>
      </c>
      <c r="I117" s="138">
        <v>77.283941147604096</v>
      </c>
      <c r="J117" s="138">
        <v>67.164437062232508</v>
      </c>
      <c r="K117" s="138">
        <v>152.44837820983662</v>
      </c>
      <c r="L117" s="9">
        <v>-706560.88</v>
      </c>
      <c r="M117" s="9">
        <v>-1071326.8</v>
      </c>
    </row>
    <row r="118" spans="1:13" x14ac:dyDescent="0.35">
      <c r="A118" s="138">
        <v>851</v>
      </c>
      <c r="B118" s="138" t="s">
        <v>526</v>
      </c>
      <c r="C118" s="138" t="s">
        <v>963</v>
      </c>
      <c r="D118" s="138">
        <v>8.0000000000000071</v>
      </c>
      <c r="E118" s="138">
        <v>26.720568695311535</v>
      </c>
      <c r="F118" s="138">
        <v>26.720568695311535</v>
      </c>
      <c r="G118" s="138">
        <v>62.668620959056241</v>
      </c>
      <c r="H118" s="138">
        <v>52.472342295030252</v>
      </c>
      <c r="I118" s="138">
        <v>89.389189654367783</v>
      </c>
      <c r="J118" s="138">
        <v>79.192910990341787</v>
      </c>
      <c r="K118" s="138">
        <v>176.58210064470956</v>
      </c>
      <c r="L118" s="9">
        <v>-690399.66</v>
      </c>
      <c r="M118" s="9">
        <v>-1079882.3999999999</v>
      </c>
    </row>
    <row r="119" spans="1:13" x14ac:dyDescent="0.35">
      <c r="A119" s="138">
        <v>854</v>
      </c>
      <c r="B119" s="138" t="s">
        <v>562</v>
      </c>
      <c r="C119" s="138" t="s">
        <v>963</v>
      </c>
      <c r="D119" s="138">
        <v>16.000000000000014</v>
      </c>
      <c r="E119" s="138">
        <v>27.155750337191439</v>
      </c>
      <c r="F119" s="138">
        <v>27.085119669237578</v>
      </c>
      <c r="G119" s="138">
        <v>58.293127007058345</v>
      </c>
      <c r="H119" s="138">
        <v>58.293127007058345</v>
      </c>
      <c r="I119" s="138">
        <v>85.44887734424978</v>
      </c>
      <c r="J119" s="138">
        <v>85.37824667629593</v>
      </c>
      <c r="K119" s="138">
        <v>186.82712402054574</v>
      </c>
      <c r="L119" s="9">
        <v>-682727.12</v>
      </c>
      <c r="M119" s="9">
        <v>-1081375.8</v>
      </c>
    </row>
    <row r="120" spans="1:13" x14ac:dyDescent="0.35">
      <c r="A120" s="138">
        <v>857</v>
      </c>
      <c r="B120" s="138" t="s">
        <v>560</v>
      </c>
      <c r="C120" s="138" t="s">
        <v>963</v>
      </c>
      <c r="D120" s="138">
        <v>8.0000000000000071</v>
      </c>
      <c r="E120" s="138">
        <v>23.642513691629397</v>
      </c>
      <c r="F120" s="138">
        <v>20.506684634157551</v>
      </c>
      <c r="G120" s="138">
        <v>62.171141712436025</v>
      </c>
      <c r="H120" s="138">
        <v>64.435890584167979</v>
      </c>
      <c r="I120" s="138">
        <v>85.813655404065429</v>
      </c>
      <c r="J120" s="138">
        <v>84.94257521832553</v>
      </c>
      <c r="K120" s="138">
        <v>178.75623062239094</v>
      </c>
      <c r="L120" s="9">
        <v>-676958.24</v>
      </c>
      <c r="M120" s="9">
        <v>-1081881.3</v>
      </c>
    </row>
    <row r="121" spans="1:13" x14ac:dyDescent="0.35">
      <c r="A121" s="138">
        <v>860</v>
      </c>
      <c r="B121" s="138" t="s">
        <v>557</v>
      </c>
      <c r="C121" s="138" t="s">
        <v>963</v>
      </c>
      <c r="D121" s="138">
        <v>14.666666666666682</v>
      </c>
      <c r="E121" s="138">
        <v>29.260320184625179</v>
      </c>
      <c r="F121" s="138">
        <v>24.82091795620104</v>
      </c>
      <c r="G121" s="138">
        <v>73.087576040991991</v>
      </c>
      <c r="H121" s="138">
        <v>66.084765669512024</v>
      </c>
      <c r="I121" s="138">
        <v>102.34789622561718</v>
      </c>
      <c r="J121" s="138">
        <v>90.905683625713067</v>
      </c>
      <c r="K121" s="138">
        <v>207.92024651799693</v>
      </c>
      <c r="L121" s="9">
        <v>-706767.39</v>
      </c>
      <c r="M121" s="9">
        <v>-1072556.8999999999</v>
      </c>
    </row>
    <row r="122" spans="1:13" x14ac:dyDescent="0.35">
      <c r="A122" s="138">
        <v>863</v>
      </c>
      <c r="B122" s="138" t="s">
        <v>120</v>
      </c>
      <c r="C122" s="138" t="s">
        <v>963</v>
      </c>
      <c r="D122" s="138">
        <v>16.000000000000014</v>
      </c>
      <c r="E122" s="138">
        <v>26.41559955477959</v>
      </c>
      <c r="F122" s="138">
        <v>27.915403645238754</v>
      </c>
      <c r="G122" s="138">
        <v>61.94394307145096</v>
      </c>
      <c r="H122" s="138">
        <v>63.488536278652951</v>
      </c>
      <c r="I122" s="138">
        <v>88.359542626230549</v>
      </c>
      <c r="J122" s="138">
        <v>91.403939923891699</v>
      </c>
      <c r="K122" s="138">
        <v>195.76348255012226</v>
      </c>
      <c r="L122" s="9">
        <v>-678533.07</v>
      </c>
      <c r="M122" s="9">
        <v>-1080153.5</v>
      </c>
    </row>
    <row r="123" spans="1:13" x14ac:dyDescent="0.35">
      <c r="A123" s="138">
        <v>1018</v>
      </c>
      <c r="B123" s="138" t="s">
        <v>554</v>
      </c>
      <c r="C123" s="138" t="s">
        <v>963</v>
      </c>
      <c r="D123" s="138">
        <v>2.6666666666666687</v>
      </c>
      <c r="E123" s="138">
        <v>33.727204117663199</v>
      </c>
      <c r="F123" s="138">
        <v>30.513645817876096</v>
      </c>
      <c r="G123" s="138">
        <v>73.871964887828781</v>
      </c>
      <c r="H123" s="138">
        <v>76.96115130223275</v>
      </c>
      <c r="I123" s="138">
        <v>107.59916900549197</v>
      </c>
      <c r="J123" s="138">
        <v>107.47479712010885</v>
      </c>
      <c r="K123" s="138">
        <v>217.74063279226746</v>
      </c>
      <c r="L123" s="9">
        <v>-700242.97</v>
      </c>
      <c r="M123" s="9">
        <v>-1088366.7</v>
      </c>
    </row>
    <row r="124" spans="1:13" x14ac:dyDescent="0.35">
      <c r="A124" s="138">
        <v>1021</v>
      </c>
      <c r="B124" s="138" t="s">
        <v>549</v>
      </c>
      <c r="C124" s="138" t="s">
        <v>963</v>
      </c>
      <c r="D124" s="138">
        <v>8.0000000000000071</v>
      </c>
      <c r="E124" s="138">
        <v>24.408358979095631</v>
      </c>
      <c r="F124" s="138">
        <v>23.742371305898754</v>
      </c>
      <c r="G124" s="138">
        <v>56.462306205919198</v>
      </c>
      <c r="H124" s="138">
        <v>65.834147327273158</v>
      </c>
      <c r="I124" s="138">
        <v>80.870665185014829</v>
      </c>
      <c r="J124" s="138">
        <v>89.576518633171915</v>
      </c>
      <c r="K124" s="138">
        <v>178.44718381818674</v>
      </c>
      <c r="L124" s="9">
        <v>-680514.59</v>
      </c>
      <c r="M124" s="9">
        <v>-1075038</v>
      </c>
    </row>
    <row r="125" spans="1:13" x14ac:dyDescent="0.35">
      <c r="A125" s="138">
        <v>1024</v>
      </c>
      <c r="B125" s="138" t="s">
        <v>119</v>
      </c>
      <c r="C125" s="138" t="s">
        <v>963</v>
      </c>
      <c r="D125" s="138">
        <v>9.3333333333333428</v>
      </c>
      <c r="E125" s="138">
        <v>25.738373491359738</v>
      </c>
      <c r="F125" s="138">
        <v>24.669327807479448</v>
      </c>
      <c r="G125" s="138">
        <v>55.813149509146527</v>
      </c>
      <c r="H125" s="138">
        <v>57.357742716348518</v>
      </c>
      <c r="I125" s="138">
        <v>81.551523000506265</v>
      </c>
      <c r="J125" s="138">
        <v>82.027070523827973</v>
      </c>
      <c r="K125" s="138">
        <v>172.91192685766757</v>
      </c>
      <c r="L125" s="9">
        <v>-699566.7</v>
      </c>
      <c r="M125" s="9">
        <v>-1086722.3</v>
      </c>
    </row>
    <row r="126" spans="1:13" x14ac:dyDescent="0.35">
      <c r="A126" s="138">
        <v>1027</v>
      </c>
      <c r="B126" s="138" t="s">
        <v>536</v>
      </c>
      <c r="C126" s="138" t="s">
        <v>963</v>
      </c>
      <c r="D126" s="138">
        <v>4.0000000000000036</v>
      </c>
      <c r="E126" s="138">
        <v>29.258026642685227</v>
      </c>
      <c r="F126" s="138">
        <v>25.753675771044072</v>
      </c>
      <c r="G126" s="138">
        <v>52.472342295030252</v>
      </c>
      <c r="H126" s="138">
        <v>54.016935502232236</v>
      </c>
      <c r="I126" s="138">
        <v>81.730368937715483</v>
      </c>
      <c r="J126" s="138">
        <v>79.770611273276302</v>
      </c>
      <c r="K126" s="138">
        <v>165.50098021099177</v>
      </c>
      <c r="L126" s="9">
        <v>-692324.56</v>
      </c>
      <c r="M126" s="9">
        <v>-1081214.3999999999</v>
      </c>
    </row>
    <row r="127" spans="1:13" x14ac:dyDescent="0.35">
      <c r="A127" s="138">
        <v>1030</v>
      </c>
      <c r="B127" s="138" t="s">
        <v>537</v>
      </c>
      <c r="C127" s="138" t="s">
        <v>963</v>
      </c>
      <c r="D127" s="138">
        <v>5.3333333333333375</v>
      </c>
      <c r="E127" s="138">
        <v>21.9537792555845</v>
      </c>
      <c r="F127" s="138">
        <v>19.627832648514989</v>
      </c>
      <c r="G127" s="138">
        <v>51.666805622904413</v>
      </c>
      <c r="H127" s="138">
        <v>50.842368080232397</v>
      </c>
      <c r="I127" s="138">
        <v>73.620584878488913</v>
      </c>
      <c r="J127" s="138">
        <v>70.470200728747386</v>
      </c>
      <c r="K127" s="138">
        <v>149.42411894056963</v>
      </c>
      <c r="L127" s="9">
        <v>-693125.57</v>
      </c>
      <c r="M127" s="9">
        <v>-1084599.7</v>
      </c>
    </row>
    <row r="128" spans="1:13" x14ac:dyDescent="0.35">
      <c r="A128" s="138">
        <v>1033</v>
      </c>
      <c r="B128" s="138" t="s">
        <v>129</v>
      </c>
      <c r="C128" s="138" t="s">
        <v>963</v>
      </c>
      <c r="D128" s="138">
        <v>5.3333333333333375</v>
      </c>
      <c r="E128" s="138">
        <v>23.06018699521595</v>
      </c>
      <c r="F128" s="138">
        <v>21.988907834798123</v>
      </c>
      <c r="G128" s="138">
        <v>59.669150688462629</v>
      </c>
      <c r="H128" s="138">
        <v>71.305740681548556</v>
      </c>
      <c r="I128" s="138">
        <v>82.72933768367858</v>
      </c>
      <c r="J128" s="138">
        <v>93.294648516346683</v>
      </c>
      <c r="K128" s="138">
        <v>181.35731953335861</v>
      </c>
      <c r="L128" s="9">
        <v>-704088</v>
      </c>
      <c r="M128" s="9">
        <v>-1077372.7</v>
      </c>
    </row>
    <row r="129" spans="1:13" x14ac:dyDescent="0.35">
      <c r="A129" s="138">
        <v>1036</v>
      </c>
      <c r="B129" s="138" t="s">
        <v>123</v>
      </c>
      <c r="C129" s="138" t="s">
        <v>963</v>
      </c>
      <c r="D129" s="138">
        <v>14.666666666666682</v>
      </c>
      <c r="E129" s="138">
        <v>29.051679680642152</v>
      </c>
      <c r="F129" s="138">
        <v>27.181145621903823</v>
      </c>
      <c r="G129" s="138">
        <v>62.171141712436025</v>
      </c>
      <c r="H129" s="138">
        <v>62.171141712436025</v>
      </c>
      <c r="I129" s="138">
        <v>91.222821393078178</v>
      </c>
      <c r="J129" s="138">
        <v>89.352287334339849</v>
      </c>
      <c r="K129" s="138">
        <v>195.2417753940847</v>
      </c>
      <c r="L129" s="9">
        <v>-667408.09</v>
      </c>
      <c r="M129" s="9">
        <v>-1068522.2</v>
      </c>
    </row>
    <row r="130" spans="1:13" x14ac:dyDescent="0.35">
      <c r="A130" s="138">
        <v>1039</v>
      </c>
      <c r="B130" s="138" t="s">
        <v>553</v>
      </c>
      <c r="C130" s="138" t="s">
        <v>963</v>
      </c>
      <c r="D130" s="138">
        <v>16.000000000000014</v>
      </c>
      <c r="E130" s="138">
        <v>35.235302080417767</v>
      </c>
      <c r="F130" s="138">
        <v>33.204292099036948</v>
      </c>
      <c r="G130" s="138">
        <v>58.409378900005613</v>
      </c>
      <c r="H130" s="138">
        <v>61.498565314409582</v>
      </c>
      <c r="I130" s="138">
        <v>93.644680980423374</v>
      </c>
      <c r="J130" s="138">
        <v>94.702857413446537</v>
      </c>
      <c r="K130" s="138">
        <v>204.34753839386991</v>
      </c>
      <c r="L130" s="9">
        <v>-674187.81</v>
      </c>
      <c r="M130" s="9">
        <v>-1061371.2</v>
      </c>
    </row>
    <row r="131" spans="1:13" x14ac:dyDescent="0.35">
      <c r="A131" s="138">
        <v>1042</v>
      </c>
      <c r="B131" s="138" t="s">
        <v>528</v>
      </c>
      <c r="C131" s="138" t="s">
        <v>963</v>
      </c>
      <c r="D131" s="138">
        <v>14.666666666666682</v>
      </c>
      <c r="E131" s="138">
        <v>25.765282968536606</v>
      </c>
      <c r="F131" s="138">
        <v>23.43092042703578</v>
      </c>
      <c r="G131" s="138">
        <v>51.048656568184057</v>
      </c>
      <c r="H131" s="138">
        <v>49.504063360982066</v>
      </c>
      <c r="I131" s="138">
        <v>76.813939536720667</v>
      </c>
      <c r="J131" s="138">
        <v>72.934983788017846</v>
      </c>
      <c r="K131" s="138">
        <v>164.4155899914052</v>
      </c>
      <c r="L131" s="9">
        <v>-671619.19</v>
      </c>
      <c r="M131" s="9">
        <v>-1065502.7</v>
      </c>
    </row>
    <row r="132" spans="1:13" x14ac:dyDescent="0.35">
      <c r="A132" s="138">
        <v>1045</v>
      </c>
      <c r="B132" s="138" t="s">
        <v>541</v>
      </c>
      <c r="C132" s="138" t="s">
        <v>963</v>
      </c>
      <c r="D132" s="138">
        <v>6.6666666666666714</v>
      </c>
      <c r="E132" s="138">
        <v>24.73670521563859</v>
      </c>
      <c r="F132" s="138">
        <v>24.348544877717536</v>
      </c>
      <c r="G132" s="138">
        <v>62.131093016600801</v>
      </c>
      <c r="H132" s="138">
        <v>63.675686223802792</v>
      </c>
      <c r="I132" s="138">
        <v>86.867798232239394</v>
      </c>
      <c r="J132" s="138">
        <v>88.024231101520328</v>
      </c>
      <c r="K132" s="138">
        <v>181.55869600042638</v>
      </c>
      <c r="L132" s="9">
        <v>-672534.18</v>
      </c>
      <c r="M132" s="9">
        <v>-1063006.5</v>
      </c>
    </row>
    <row r="133" spans="1:13" x14ac:dyDescent="0.35">
      <c r="A133" s="138">
        <v>1048</v>
      </c>
      <c r="B133" s="138" t="s">
        <v>540</v>
      </c>
      <c r="C133" s="138" t="s">
        <v>963</v>
      </c>
      <c r="D133" s="138">
        <v>2.6666666666666687</v>
      </c>
      <c r="E133" s="138">
        <v>38.420576288607357</v>
      </c>
      <c r="F133" s="138">
        <v>32.882238221643966</v>
      </c>
      <c r="G133" s="138">
        <v>70.697397465828928</v>
      </c>
      <c r="H133" s="138">
        <v>62.870149551676953</v>
      </c>
      <c r="I133" s="138">
        <v>109.11797375443629</v>
      </c>
      <c r="J133" s="138">
        <v>95.752387773320919</v>
      </c>
      <c r="K133" s="138">
        <v>207.53702819442387</v>
      </c>
      <c r="L133" s="9">
        <v>-684861.33</v>
      </c>
      <c r="M133" s="9">
        <v>-1070012.6000000001</v>
      </c>
    </row>
    <row r="134" spans="1:13" x14ac:dyDescent="0.35">
      <c r="A134" s="138">
        <v>1051</v>
      </c>
      <c r="B134" s="138" t="s">
        <v>542</v>
      </c>
      <c r="C134" s="138" t="s">
        <v>963</v>
      </c>
      <c r="D134" s="138">
        <v>8.0000000000000071</v>
      </c>
      <c r="E134" s="138">
        <v>32.169334089898939</v>
      </c>
      <c r="F134" s="138">
        <v>26.709770043008092</v>
      </c>
      <c r="G134" s="138">
        <v>58.795045697815475</v>
      </c>
      <c r="H134" s="138">
        <v>66.518011733825404</v>
      </c>
      <c r="I134" s="138">
        <v>90.964379787714421</v>
      </c>
      <c r="J134" s="138">
        <v>93.227781776833496</v>
      </c>
      <c r="K134" s="138">
        <v>192.19216156454792</v>
      </c>
      <c r="L134" s="9">
        <v>-669776.07999999996</v>
      </c>
      <c r="M134" s="9">
        <v>-1072278.3999999999</v>
      </c>
    </row>
    <row r="135" spans="1:13" x14ac:dyDescent="0.35">
      <c r="A135" s="138">
        <v>1054</v>
      </c>
      <c r="B135" s="138" t="s">
        <v>118</v>
      </c>
      <c r="C135" s="138" t="s">
        <v>963</v>
      </c>
      <c r="D135" s="138">
        <v>16.000000000000014</v>
      </c>
      <c r="E135" s="138">
        <v>21.613586666609422</v>
      </c>
      <c r="F135" s="138">
        <v>23.651399465550291</v>
      </c>
      <c r="G135" s="138">
        <v>58.257517755360041</v>
      </c>
      <c r="H135" s="138">
        <v>56.71292454815805</v>
      </c>
      <c r="I135" s="138">
        <v>79.871104421969463</v>
      </c>
      <c r="J135" s="138">
        <v>80.364324013708341</v>
      </c>
      <c r="K135" s="138">
        <v>176.23542843567782</v>
      </c>
      <c r="L135" s="9">
        <v>-680862.45</v>
      </c>
      <c r="M135" s="9">
        <v>-1064248.3</v>
      </c>
    </row>
    <row r="136" spans="1:13" x14ac:dyDescent="0.35">
      <c r="A136" s="138">
        <v>1057</v>
      </c>
      <c r="B136" s="138" t="s">
        <v>535</v>
      </c>
      <c r="C136" s="138" t="s">
        <v>963</v>
      </c>
      <c r="D136" s="138">
        <v>14.666666666666682</v>
      </c>
      <c r="E136" s="138">
        <v>29.559042159699121</v>
      </c>
      <c r="F136" s="138">
        <v>29.135108429567325</v>
      </c>
      <c r="G136" s="138">
        <v>69.958340930752783</v>
      </c>
      <c r="H136" s="138">
        <v>65.32456130914683</v>
      </c>
      <c r="I136" s="138">
        <v>99.517383090451901</v>
      </c>
      <c r="J136" s="138">
        <v>94.459669738714155</v>
      </c>
      <c r="K136" s="138">
        <v>208.64371949583273</v>
      </c>
      <c r="L136" s="9">
        <v>-695598.34</v>
      </c>
      <c r="M136" s="9">
        <v>-1012964</v>
      </c>
    </row>
    <row r="137" spans="1:13" x14ac:dyDescent="0.35">
      <c r="A137" s="138">
        <v>1060</v>
      </c>
      <c r="B137" s="138" t="s">
        <v>525</v>
      </c>
      <c r="C137" s="138" t="s">
        <v>963</v>
      </c>
      <c r="D137" s="138">
        <v>16.000000000000014</v>
      </c>
      <c r="E137" s="138">
        <v>32.775255759670969</v>
      </c>
      <c r="F137" s="138">
        <v>33.089856231539095</v>
      </c>
      <c r="G137" s="138">
        <v>60.20667863091807</v>
      </c>
      <c r="H137" s="138">
        <v>61.751271838120054</v>
      </c>
      <c r="I137" s="138">
        <v>92.981934390589032</v>
      </c>
      <c r="J137" s="138">
        <v>94.841128069659149</v>
      </c>
      <c r="K137" s="138">
        <v>203.8230624602482</v>
      </c>
      <c r="L137" s="9">
        <v>-714885.66</v>
      </c>
      <c r="M137" s="9">
        <v>-1008948.4</v>
      </c>
    </row>
    <row r="138" spans="1:13" x14ac:dyDescent="0.35">
      <c r="A138" s="138">
        <v>1063</v>
      </c>
      <c r="B138" s="138" t="s">
        <v>524</v>
      </c>
      <c r="C138" s="138" t="s">
        <v>963</v>
      </c>
      <c r="D138" s="138">
        <v>5.3333333333333375</v>
      </c>
      <c r="E138" s="138">
        <v>26.048675925675852</v>
      </c>
      <c r="F138" s="138">
        <v>25.651183536855861</v>
      </c>
      <c r="G138" s="138">
        <v>62.171141712436025</v>
      </c>
      <c r="H138" s="138">
        <v>71.542982833790006</v>
      </c>
      <c r="I138" s="138">
        <v>88.219817638111877</v>
      </c>
      <c r="J138" s="138">
        <v>97.19416637064586</v>
      </c>
      <c r="K138" s="138">
        <v>190.74731734209107</v>
      </c>
      <c r="L138" s="9">
        <v>-713168.5</v>
      </c>
      <c r="M138" s="9">
        <v>-1006538.5</v>
      </c>
    </row>
    <row r="139" spans="1:13" x14ac:dyDescent="0.35">
      <c r="A139" s="138">
        <v>1066</v>
      </c>
      <c r="B139" s="138" t="s">
        <v>534</v>
      </c>
      <c r="C139" s="138" t="s">
        <v>963</v>
      </c>
      <c r="D139" s="138">
        <v>5.3333333333333375</v>
      </c>
      <c r="E139" s="138">
        <v>19.078427328119872</v>
      </c>
      <c r="F139" s="138">
        <v>18.344191163671962</v>
      </c>
      <c r="G139" s="138">
        <v>49.472872024436654</v>
      </c>
      <c r="H139" s="138">
        <v>49.472872024436654</v>
      </c>
      <c r="I139" s="138">
        <v>68.551299352556526</v>
      </c>
      <c r="J139" s="138">
        <v>67.817063188108619</v>
      </c>
      <c r="K139" s="138">
        <v>141.70169587399849</v>
      </c>
      <c r="L139" s="9">
        <v>-707437.04</v>
      </c>
      <c r="M139" s="9">
        <v>-1007647.6</v>
      </c>
    </row>
    <row r="140" spans="1:13" x14ac:dyDescent="0.35">
      <c r="A140" s="138">
        <v>1069</v>
      </c>
      <c r="B140" s="138" t="s">
        <v>128</v>
      </c>
      <c r="C140" s="138" t="s">
        <v>963</v>
      </c>
      <c r="D140" s="138">
        <v>5.3333333333333375</v>
      </c>
      <c r="E140" s="138">
        <v>35.422158991167805</v>
      </c>
      <c r="F140" s="138">
        <v>29.163211384666791</v>
      </c>
      <c r="G140" s="138">
        <v>66.044716973676799</v>
      </c>
      <c r="H140" s="138">
        <v>68.309465845408752</v>
      </c>
      <c r="I140" s="138">
        <v>101.4668759648446</v>
      </c>
      <c r="J140" s="138">
        <v>97.472677230075547</v>
      </c>
      <c r="K140" s="138">
        <v>204.27288652825351</v>
      </c>
      <c r="L140" s="9">
        <v>-709497.71</v>
      </c>
      <c r="M140" s="9">
        <v>-1007394.2</v>
      </c>
    </row>
    <row r="141" spans="1:13" x14ac:dyDescent="0.35">
      <c r="A141" s="138">
        <v>1072</v>
      </c>
      <c r="B141" s="138" t="s">
        <v>543</v>
      </c>
      <c r="C141" s="138" t="s">
        <v>963</v>
      </c>
      <c r="D141" s="138">
        <v>8.0000000000000071</v>
      </c>
      <c r="E141" s="138">
        <v>33.361622843129503</v>
      </c>
      <c r="F141" s="138">
        <v>29.772464193687309</v>
      </c>
      <c r="G141" s="138">
        <v>66.044716973676799</v>
      </c>
      <c r="H141" s="138">
        <v>72.223089802484736</v>
      </c>
      <c r="I141" s="138">
        <v>99.406339816806309</v>
      </c>
      <c r="J141" s="138">
        <v>101.99555399617205</v>
      </c>
      <c r="K141" s="138">
        <v>209.40189381297836</v>
      </c>
      <c r="L141" s="9">
        <v>-718450.85</v>
      </c>
      <c r="M141" s="9">
        <v>-1006663.3</v>
      </c>
    </row>
    <row r="142" spans="1:13" x14ac:dyDescent="0.35">
      <c r="A142" s="138">
        <v>1075</v>
      </c>
      <c r="B142" s="138" t="s">
        <v>561</v>
      </c>
      <c r="C142" s="138" t="s">
        <v>963</v>
      </c>
      <c r="D142" s="138">
        <v>2.6666666666666687</v>
      </c>
      <c r="E142" s="138">
        <v>25.108886312347281</v>
      </c>
      <c r="F142" s="138">
        <v>23.590461837864289</v>
      </c>
      <c r="G142" s="138">
        <v>66.783773508752944</v>
      </c>
      <c r="H142" s="138">
        <v>74.611021422904926</v>
      </c>
      <c r="I142" s="138">
        <v>91.892659821100224</v>
      </c>
      <c r="J142" s="138">
        <v>98.201483260769209</v>
      </c>
      <c r="K142" s="138">
        <v>192.7608097485361</v>
      </c>
      <c r="L142" s="9">
        <v>-693907.11</v>
      </c>
      <c r="M142" s="9">
        <v>-994672.84</v>
      </c>
    </row>
    <row r="143" spans="1:13" x14ac:dyDescent="0.35">
      <c r="A143" s="138">
        <v>1078</v>
      </c>
      <c r="B143" s="138" t="s">
        <v>127</v>
      </c>
      <c r="C143" s="138" t="s">
        <v>963</v>
      </c>
      <c r="D143" s="138">
        <v>14.666666666666682</v>
      </c>
      <c r="E143" s="138">
        <v>38.426498501550391</v>
      </c>
      <c r="F143" s="138">
        <v>35.19194187900969</v>
      </c>
      <c r="G143" s="138">
        <v>60.719460083498205</v>
      </c>
      <c r="H143" s="138">
        <v>63.088490833372219</v>
      </c>
      <c r="I143" s="138">
        <v>99.145958585048589</v>
      </c>
      <c r="J143" s="138">
        <v>98.280432712381909</v>
      </c>
      <c r="K143" s="138">
        <v>212.09305796409717</v>
      </c>
      <c r="L143" s="9">
        <v>-698384.09</v>
      </c>
      <c r="M143" s="9">
        <v>-996356.84</v>
      </c>
    </row>
    <row r="144" spans="1:13" x14ac:dyDescent="0.35">
      <c r="A144" s="138">
        <v>1081</v>
      </c>
      <c r="B144" s="138" t="s">
        <v>564</v>
      </c>
      <c r="C144" s="138" t="s">
        <v>963</v>
      </c>
      <c r="D144" s="138">
        <v>5.3333333333333375</v>
      </c>
      <c r="E144" s="138">
        <v>40.720182298783243</v>
      </c>
      <c r="F144" s="138">
        <v>36.483678219055022</v>
      </c>
      <c r="G144" s="138">
        <v>61.213743895664614</v>
      </c>
      <c r="H144" s="138">
        <v>59.669150688462629</v>
      </c>
      <c r="I144" s="138">
        <v>101.93392619444785</v>
      </c>
      <c r="J144" s="138">
        <v>96.152828907517659</v>
      </c>
      <c r="K144" s="138">
        <v>203.42008843529885</v>
      </c>
      <c r="L144" s="9">
        <v>-714234.15</v>
      </c>
      <c r="M144" s="9">
        <v>-1006740.2</v>
      </c>
    </row>
    <row r="145" spans="1:13" x14ac:dyDescent="0.35">
      <c r="A145" s="138">
        <v>1087</v>
      </c>
      <c r="B145" s="138" t="s">
        <v>555</v>
      </c>
      <c r="C145" s="138" t="s">
        <v>963</v>
      </c>
      <c r="D145" s="138">
        <v>9.3333333333333428</v>
      </c>
      <c r="E145" s="138">
        <v>36.533518455169606</v>
      </c>
      <c r="F145" s="138">
        <v>34.975801132280587</v>
      </c>
      <c r="G145" s="138">
        <v>63.58277464553862</v>
      </c>
      <c r="H145" s="138">
        <v>76.04380218129657</v>
      </c>
      <c r="I145" s="138">
        <v>100.11629310070822</v>
      </c>
      <c r="J145" s="138">
        <v>111.01960331357716</v>
      </c>
      <c r="K145" s="138">
        <v>220.46922974761873</v>
      </c>
      <c r="L145" s="9">
        <v>-708522.55</v>
      </c>
      <c r="M145" s="9">
        <v>-1008616.3</v>
      </c>
    </row>
    <row r="146" spans="1:13" x14ac:dyDescent="0.35">
      <c r="A146" s="138">
        <v>1090</v>
      </c>
      <c r="B146" s="138" t="s">
        <v>126</v>
      </c>
      <c r="C146" s="138" t="s">
        <v>963</v>
      </c>
      <c r="D146" s="138">
        <v>9.3333333333333428</v>
      </c>
      <c r="E146" s="138">
        <v>31.631138728103977</v>
      </c>
      <c r="F146" s="138">
        <v>30.216017217696837</v>
      </c>
      <c r="G146" s="138">
        <v>72.327371680626783</v>
      </c>
      <c r="H146" s="138">
        <v>71.502934137954767</v>
      </c>
      <c r="I146" s="138">
        <v>103.95851040873076</v>
      </c>
      <c r="J146" s="138">
        <v>101.7189513556516</v>
      </c>
      <c r="K146" s="138">
        <v>215.01079509771571</v>
      </c>
      <c r="L146" s="9">
        <v>-706299.91</v>
      </c>
      <c r="M146" s="9">
        <v>-1010629.93</v>
      </c>
    </row>
    <row r="147" spans="1:13" x14ac:dyDescent="0.35">
      <c r="A147" s="138">
        <v>1093</v>
      </c>
      <c r="B147" s="138" t="s">
        <v>531</v>
      </c>
      <c r="C147" s="138" t="s">
        <v>963</v>
      </c>
      <c r="D147" s="138">
        <v>16.000000000000014</v>
      </c>
      <c r="E147" s="138">
        <v>35.524116313615089</v>
      </c>
      <c r="F147" s="138">
        <v>29.073235825159234</v>
      </c>
      <c r="G147" s="138">
        <v>75.036736916550026</v>
      </c>
      <c r="H147" s="138">
        <v>76.581330123751997</v>
      </c>
      <c r="I147" s="138">
        <v>110.56085323016512</v>
      </c>
      <c r="J147" s="138">
        <v>105.65456594891123</v>
      </c>
      <c r="K147" s="138">
        <v>232.21541917907638</v>
      </c>
      <c r="L147" s="9">
        <v>-696180.06</v>
      </c>
      <c r="M147" s="9">
        <v>-993457.5</v>
      </c>
    </row>
    <row r="148" spans="1:13" x14ac:dyDescent="0.35">
      <c r="A148" s="138">
        <v>1096</v>
      </c>
      <c r="B148" s="138" t="s">
        <v>116</v>
      </c>
      <c r="C148" s="138" t="s">
        <v>963</v>
      </c>
      <c r="D148" s="138">
        <v>8.0000000000000071</v>
      </c>
      <c r="E148" s="138">
        <v>38.607893517321834</v>
      </c>
      <c r="F148" s="138">
        <v>35.000391845310794</v>
      </c>
      <c r="G148" s="138">
        <v>55.755526731386645</v>
      </c>
      <c r="H148" s="138">
        <v>58.020275603118598</v>
      </c>
      <c r="I148" s="138">
        <v>94.363420248708479</v>
      </c>
      <c r="J148" s="138">
        <v>93.020667448429393</v>
      </c>
      <c r="K148" s="138">
        <v>195.38408769713789</v>
      </c>
      <c r="L148" s="9">
        <v>-715996.07</v>
      </c>
      <c r="M148" s="9">
        <v>-1000837.2</v>
      </c>
    </row>
    <row r="149" spans="1:13" x14ac:dyDescent="0.35">
      <c r="A149" s="138">
        <v>1099</v>
      </c>
      <c r="B149" s="138" t="s">
        <v>556</v>
      </c>
      <c r="C149" s="138" t="s">
        <v>963</v>
      </c>
      <c r="D149" s="138">
        <v>16.000000000000014</v>
      </c>
      <c r="E149" s="138">
        <v>37.838818472477158</v>
      </c>
      <c r="F149" s="138">
        <v>34.479599573738092</v>
      </c>
      <c r="G149" s="138">
        <v>62.171141712436025</v>
      </c>
      <c r="H149" s="138">
        <v>76.176762455395973</v>
      </c>
      <c r="I149" s="138">
        <v>100.00996018491318</v>
      </c>
      <c r="J149" s="138">
        <v>110.65636202913407</v>
      </c>
      <c r="K149" s="138">
        <v>226.66632221404728</v>
      </c>
      <c r="L149" s="9">
        <v>-714512.47</v>
      </c>
      <c r="M149" s="9">
        <v>-1002347.5</v>
      </c>
    </row>
    <row r="150" spans="1:13" x14ac:dyDescent="0.35">
      <c r="A150" s="138">
        <v>1102</v>
      </c>
      <c r="B150" s="138" t="s">
        <v>112</v>
      </c>
      <c r="C150" s="138" t="s">
        <v>963</v>
      </c>
      <c r="D150" s="138">
        <v>9.3333333333333428</v>
      </c>
      <c r="E150" s="138">
        <v>36.551674283255934</v>
      </c>
      <c r="F150" s="138">
        <v>37.336880733018937</v>
      </c>
      <c r="G150" s="138">
        <v>54.210933524184661</v>
      </c>
      <c r="H150" s="138">
        <v>61.213743895664614</v>
      </c>
      <c r="I150" s="138">
        <v>90.762607807440588</v>
      </c>
      <c r="J150" s="138">
        <v>98.550624628683551</v>
      </c>
      <c r="K150" s="138">
        <v>198.64656576945748</v>
      </c>
      <c r="L150" s="9">
        <v>-701530.49</v>
      </c>
      <c r="M150" s="9">
        <v>-1007616.2</v>
      </c>
    </row>
    <row r="151" spans="1:13" x14ac:dyDescent="0.35">
      <c r="A151" s="138">
        <v>4322</v>
      </c>
      <c r="B151" s="138" t="s">
        <v>551</v>
      </c>
      <c r="C151" s="138" t="s">
        <v>963</v>
      </c>
      <c r="D151" s="138">
        <v>8.0000000000000071</v>
      </c>
      <c r="E151" s="138">
        <v>27.428937975641329</v>
      </c>
      <c r="F151" s="138">
        <v>21.641662983679517</v>
      </c>
      <c r="G151" s="138">
        <v>69.998389626588022</v>
      </c>
      <c r="H151" s="138">
        <v>58.257517755360041</v>
      </c>
      <c r="I151" s="138">
        <v>97.427327602229354</v>
      </c>
      <c r="J151" s="138">
        <v>79.899180739039565</v>
      </c>
      <c r="K151" s="138">
        <v>185.32650834126892</v>
      </c>
      <c r="L151" s="9">
        <v>-694861.19</v>
      </c>
      <c r="M151" s="9">
        <v>-1016863.67</v>
      </c>
    </row>
    <row r="152" spans="1:13" x14ac:dyDescent="0.35">
      <c r="A152" s="138">
        <v>4325</v>
      </c>
      <c r="B152" s="138" t="s">
        <v>530</v>
      </c>
      <c r="C152" s="138" t="s">
        <v>963</v>
      </c>
      <c r="D152" s="138">
        <v>14.666666666666682</v>
      </c>
      <c r="E152" s="138">
        <v>20.412270038446412</v>
      </c>
      <c r="F152" s="138">
        <v>19.078427328119872</v>
      </c>
      <c r="G152" s="138">
        <v>58.217469059524817</v>
      </c>
      <c r="H152" s="138">
        <v>47.301034730968858</v>
      </c>
      <c r="I152" s="138">
        <v>78.629739097971225</v>
      </c>
      <c r="J152" s="138">
        <v>66.379462059088723</v>
      </c>
      <c r="K152" s="138">
        <v>159.67586782372663</v>
      </c>
      <c r="L152" s="9">
        <v>-696083.14</v>
      </c>
      <c r="M152" s="9">
        <v>-1011103.1</v>
      </c>
    </row>
    <row r="153" spans="1:13" x14ac:dyDescent="0.35">
      <c r="A153" s="138">
        <v>4328</v>
      </c>
      <c r="B153" s="138" t="s">
        <v>533</v>
      </c>
      <c r="C153" s="138" t="s">
        <v>963</v>
      </c>
      <c r="D153" s="138">
        <v>5.3333333333333375</v>
      </c>
      <c r="E153" s="138">
        <v>29.273566246199042</v>
      </c>
      <c r="F153" s="138">
        <v>24.017350088522832</v>
      </c>
      <c r="G153" s="138">
        <v>61.952800430740766</v>
      </c>
      <c r="H153" s="138">
        <v>58.039176473664781</v>
      </c>
      <c r="I153" s="138">
        <v>91.226366676939804</v>
      </c>
      <c r="J153" s="138">
        <v>82.056526562187614</v>
      </c>
      <c r="K153" s="138">
        <v>178.61622657246076</v>
      </c>
      <c r="L153" s="9">
        <v>-701121.92</v>
      </c>
      <c r="M153" s="9">
        <v>-1009214.7</v>
      </c>
    </row>
    <row r="154" spans="1:13" x14ac:dyDescent="0.35">
      <c r="A154" s="138">
        <v>4331</v>
      </c>
      <c r="B154" s="138" t="s">
        <v>563</v>
      </c>
      <c r="C154" s="138" t="s">
        <v>963</v>
      </c>
      <c r="D154" s="138">
        <v>16.000000000000014</v>
      </c>
      <c r="E154" s="138">
        <v>27.999323223443682</v>
      </c>
      <c r="F154" s="138">
        <v>25.707067052224073</v>
      </c>
      <c r="G154" s="138">
        <v>58.92037109332415</v>
      </c>
      <c r="H154" s="138">
        <v>61.289401843198164</v>
      </c>
      <c r="I154" s="138">
        <v>86.919694316767831</v>
      </c>
      <c r="J154" s="138">
        <v>86.99646889542224</v>
      </c>
      <c r="K154" s="138">
        <v>189.9161632121901</v>
      </c>
      <c r="L154" s="9">
        <v>-692181.1</v>
      </c>
      <c r="M154" s="9">
        <v>-996901.83</v>
      </c>
    </row>
    <row r="155" spans="1:13" x14ac:dyDescent="0.35">
      <c r="A155" s="138">
        <v>4334</v>
      </c>
      <c r="B155" s="138" t="s">
        <v>532</v>
      </c>
      <c r="C155" s="138" t="s">
        <v>963</v>
      </c>
      <c r="D155" s="138">
        <v>9.3333333333333428</v>
      </c>
      <c r="E155" s="138">
        <v>27.146695647747485</v>
      </c>
      <c r="F155" s="138">
        <v>26.555508499840833</v>
      </c>
      <c r="G155" s="138">
        <v>53.444118759272527</v>
      </c>
      <c r="H155" s="138">
        <v>54.988711966474511</v>
      </c>
      <c r="I155" s="138">
        <v>80.590814407020019</v>
      </c>
      <c r="J155" s="138">
        <v>81.544220466315352</v>
      </c>
      <c r="K155" s="138">
        <v>171.46836820666871</v>
      </c>
      <c r="L155" s="9">
        <v>-690358.27</v>
      </c>
      <c r="M155" s="9">
        <v>-1015201.61</v>
      </c>
    </row>
    <row r="156" spans="1:13" x14ac:dyDescent="0.35">
      <c r="A156" s="138">
        <v>4339</v>
      </c>
      <c r="B156" s="138" t="s">
        <v>507</v>
      </c>
      <c r="C156" s="138" t="s">
        <v>963</v>
      </c>
      <c r="D156" s="138">
        <v>9.3333333333333428</v>
      </c>
      <c r="E156" s="138">
        <v>30.820533413701035</v>
      </c>
      <c r="F156" s="138">
        <v>29.347195986981358</v>
      </c>
      <c r="G156" s="138">
        <v>70.915738747524202</v>
      </c>
      <c r="H156" s="138">
        <v>67.002114790448204</v>
      </c>
      <c r="I156" s="138">
        <v>101.73627216122523</v>
      </c>
      <c r="J156" s="138">
        <v>96.349310777429565</v>
      </c>
      <c r="K156" s="138">
        <v>207.41891627198814</v>
      </c>
      <c r="L156" s="9">
        <v>-696716.67</v>
      </c>
      <c r="M156" s="9">
        <v>-1011969.32</v>
      </c>
    </row>
    <row r="157" spans="1:13" x14ac:dyDescent="0.35">
      <c r="A157" s="138">
        <v>4342</v>
      </c>
      <c r="B157" s="138" t="s">
        <v>552</v>
      </c>
      <c r="C157" s="138" t="s">
        <v>963</v>
      </c>
      <c r="D157" s="138">
        <v>4.0000000000000036</v>
      </c>
      <c r="E157" s="138">
        <v>27.581425845484183</v>
      </c>
      <c r="F157" s="138">
        <v>24.188648635725563</v>
      </c>
      <c r="G157" s="138">
        <v>60.224069018349617</v>
      </c>
      <c r="H157" s="138">
        <v>61.768662225551608</v>
      </c>
      <c r="I157" s="138">
        <v>87.8054948638338</v>
      </c>
      <c r="J157" s="138">
        <v>85.957310861277165</v>
      </c>
      <c r="K157" s="138">
        <v>177.76280572511098</v>
      </c>
      <c r="L157" s="9">
        <v>-698372.2</v>
      </c>
      <c r="M157" s="9">
        <v>-1006852.58</v>
      </c>
    </row>
    <row r="158" spans="1:13" x14ac:dyDescent="0.35">
      <c r="A158" s="138">
        <v>4345</v>
      </c>
      <c r="B158" s="138" t="s">
        <v>558</v>
      </c>
      <c r="C158" s="138" t="s">
        <v>963</v>
      </c>
      <c r="D158" s="138">
        <v>16.000000000000014</v>
      </c>
      <c r="E158" s="138">
        <v>25.994643038589228</v>
      </c>
      <c r="F158" s="138">
        <v>27.477016759406499</v>
      </c>
      <c r="G158" s="138">
        <v>42.603021927056076</v>
      </c>
      <c r="H158" s="138">
        <v>37.144804762778094</v>
      </c>
      <c r="I158" s="138">
        <v>68.597664965645308</v>
      </c>
      <c r="J158" s="138">
        <v>64.62182152218459</v>
      </c>
      <c r="K158" s="138">
        <v>149.2194864878299</v>
      </c>
      <c r="L158" s="9">
        <v>-695648.56</v>
      </c>
      <c r="M158" s="9">
        <v>-1016119.3</v>
      </c>
    </row>
    <row r="159" spans="1:13" x14ac:dyDescent="0.35">
      <c r="A159" s="138">
        <v>4351</v>
      </c>
      <c r="B159" s="138" t="s">
        <v>110</v>
      </c>
      <c r="C159" s="138" t="s">
        <v>963</v>
      </c>
      <c r="D159" s="138">
        <v>14.666666666666682</v>
      </c>
      <c r="E159" s="138">
        <v>21.50293258473517</v>
      </c>
      <c r="F159" s="138">
        <v>20.431653424317336</v>
      </c>
      <c r="G159" s="138">
        <v>48.061239091334052</v>
      </c>
      <c r="H159" s="138">
        <v>46.516645884132068</v>
      </c>
      <c r="I159" s="138">
        <v>69.564171676069222</v>
      </c>
      <c r="J159" s="138">
        <v>66.948299308449407</v>
      </c>
      <c r="K159" s="138">
        <v>151.17913765118533</v>
      </c>
      <c r="L159" s="9">
        <v>-696161.49</v>
      </c>
      <c r="M159" s="9">
        <v>-1007518.7</v>
      </c>
    </row>
    <row r="160" spans="1:13" x14ac:dyDescent="0.35">
      <c r="A160" s="138">
        <v>4354</v>
      </c>
      <c r="B160" s="138" t="s">
        <v>527</v>
      </c>
      <c r="C160" s="138" t="s">
        <v>963</v>
      </c>
      <c r="D160" s="138">
        <v>5.3333333333333375</v>
      </c>
      <c r="E160" s="138">
        <v>29.885032316399343</v>
      </c>
      <c r="F160" s="138">
        <v>23.271761864463215</v>
      </c>
      <c r="G160" s="138">
        <v>63.295865045322039</v>
      </c>
      <c r="H160" s="138">
        <v>63.295865045322039</v>
      </c>
      <c r="I160" s="138">
        <v>93.180897361721378</v>
      </c>
      <c r="J160" s="138">
        <v>86.567626909785247</v>
      </c>
      <c r="K160" s="138">
        <v>185.08185760483997</v>
      </c>
      <c r="L160" s="9">
        <v>-713380.63</v>
      </c>
      <c r="M160" s="9">
        <v>-1007172.1</v>
      </c>
    </row>
    <row r="161" spans="1:13" x14ac:dyDescent="0.35">
      <c r="A161" s="138">
        <v>4357</v>
      </c>
      <c r="B161" s="138" t="s">
        <v>114</v>
      </c>
      <c r="C161" s="138" t="s">
        <v>963</v>
      </c>
      <c r="D161" s="138">
        <v>2.6666666666666687</v>
      </c>
      <c r="E161" s="138">
        <v>27.719561631972315</v>
      </c>
      <c r="F161" s="138">
        <v>28.306457669408282</v>
      </c>
      <c r="G161" s="138">
        <v>65.30566043860064</v>
      </c>
      <c r="H161" s="138">
        <v>66.130097981272669</v>
      </c>
      <c r="I161" s="138">
        <v>93.025222070572951</v>
      </c>
      <c r="J161" s="138">
        <v>94.436555650680958</v>
      </c>
      <c r="K161" s="138">
        <v>190.12844438792055</v>
      </c>
      <c r="L161" s="9">
        <v>-698736.64000000001</v>
      </c>
      <c r="M161" s="9">
        <v>-1011680</v>
      </c>
    </row>
    <row r="162" spans="1:13" x14ac:dyDescent="0.35">
      <c r="A162" s="138">
        <v>4360</v>
      </c>
      <c r="B162" s="138" t="s">
        <v>125</v>
      </c>
      <c r="C162" s="138" t="s">
        <v>964</v>
      </c>
      <c r="D162" s="138">
        <v>16.000000000000014</v>
      </c>
      <c r="E162" s="138">
        <v>23.365901693163188</v>
      </c>
      <c r="F162" s="138">
        <v>22.330395924956097</v>
      </c>
      <c r="G162" s="138">
        <v>52.967870116879773</v>
      </c>
      <c r="H162" s="138">
        <v>56.057056531283742</v>
      </c>
      <c r="I162" s="138">
        <v>76.333771810042961</v>
      </c>
      <c r="J162" s="138">
        <v>78.387452456239842</v>
      </c>
      <c r="K162" s="138">
        <v>170.72122426628283</v>
      </c>
      <c r="L162" s="9">
        <v>-694762.88</v>
      </c>
      <c r="M162" s="9">
        <v>-995449.2</v>
      </c>
    </row>
    <row r="163" spans="1:13" x14ac:dyDescent="0.35">
      <c r="A163" s="138">
        <v>4363</v>
      </c>
      <c r="B163" s="138" t="s">
        <v>115</v>
      </c>
      <c r="C163" s="138" t="s">
        <v>963</v>
      </c>
      <c r="D163" s="138">
        <v>2.6666666666666687</v>
      </c>
      <c r="E163" s="138">
        <v>24.418837831012173</v>
      </c>
      <c r="F163" s="138">
        <v>23.456895392398675</v>
      </c>
      <c r="G163" s="138">
        <v>66.783773508752944</v>
      </c>
      <c r="H163" s="138">
        <v>66.783773508752944</v>
      </c>
      <c r="I163" s="138">
        <v>91.202611339765113</v>
      </c>
      <c r="J163" s="138">
        <v>90.240668901151622</v>
      </c>
      <c r="K163" s="138">
        <v>184.10994690758341</v>
      </c>
      <c r="L163" s="9">
        <v>-704236.51</v>
      </c>
      <c r="M163" s="9">
        <v>-1009220</v>
      </c>
    </row>
    <row r="164" spans="1:13" x14ac:dyDescent="0.35">
      <c r="A164" s="138">
        <v>4366</v>
      </c>
      <c r="B164" s="138" t="s">
        <v>113</v>
      </c>
      <c r="C164" s="138" t="s">
        <v>963</v>
      </c>
      <c r="D164" s="138">
        <v>14.666666666666682</v>
      </c>
      <c r="E164" s="138">
        <v>26.318506965469023</v>
      </c>
      <c r="F164" s="138">
        <v>25.649568716360086</v>
      </c>
      <c r="G164" s="138">
        <v>56.881494073955757</v>
      </c>
      <c r="H164" s="138">
        <v>54.512463324081757</v>
      </c>
      <c r="I164" s="138">
        <v>83.200001039424777</v>
      </c>
      <c r="J164" s="138">
        <v>80.162032040441844</v>
      </c>
      <c r="K164" s="138">
        <v>178.02869974653331</v>
      </c>
      <c r="L164" s="9">
        <v>-693391.18</v>
      </c>
      <c r="M164" s="9">
        <v>-996618.21</v>
      </c>
    </row>
    <row r="165" spans="1:13" x14ac:dyDescent="0.35">
      <c r="A165" s="138">
        <v>4369</v>
      </c>
      <c r="B165" s="138" t="s">
        <v>109</v>
      </c>
      <c r="C165" s="138" t="s">
        <v>963</v>
      </c>
      <c r="D165" s="138">
        <v>4.0000000000000036</v>
      </c>
      <c r="E165" s="138">
        <v>40.147801085853686</v>
      </c>
      <c r="F165" s="138">
        <v>40.840038010350597</v>
      </c>
      <c r="G165" s="138">
        <v>62.131093016600801</v>
      </c>
      <c r="H165" s="138">
        <v>78.505744509434734</v>
      </c>
      <c r="I165" s="138">
        <v>102.27889410245449</v>
      </c>
      <c r="J165" s="138">
        <v>119.34578251978533</v>
      </c>
      <c r="K165" s="138">
        <v>225.6246766222398</v>
      </c>
      <c r="L165" s="9">
        <v>-708190.15</v>
      </c>
      <c r="M165" s="9">
        <v>-1019938.2</v>
      </c>
    </row>
    <row r="166" spans="1:13" x14ac:dyDescent="0.35">
      <c r="A166" s="138">
        <v>4372</v>
      </c>
      <c r="B166" s="138" t="s">
        <v>548</v>
      </c>
      <c r="C166" s="138" t="s">
        <v>963</v>
      </c>
      <c r="D166" s="138">
        <v>5.3333333333333375</v>
      </c>
      <c r="E166" s="138">
        <v>34.206513089451661</v>
      </c>
      <c r="F166" s="138">
        <v>29.757650148838909</v>
      </c>
      <c r="G166" s="138">
        <v>74.611021422904926</v>
      </c>
      <c r="H166" s="138">
        <v>70.697397465828928</v>
      </c>
      <c r="I166" s="138">
        <v>108.81753451235659</v>
      </c>
      <c r="J166" s="138">
        <v>100.45504761466783</v>
      </c>
      <c r="K166" s="138">
        <v>214.60591546035775</v>
      </c>
      <c r="L166" s="9">
        <v>-697159.76</v>
      </c>
      <c r="M166" s="9">
        <v>-1007521.8</v>
      </c>
    </row>
    <row r="167" spans="1:13" x14ac:dyDescent="0.35">
      <c r="A167" s="138">
        <v>4375</v>
      </c>
      <c r="B167" s="138" t="s">
        <v>121</v>
      </c>
      <c r="C167" s="138" t="s">
        <v>963</v>
      </c>
      <c r="D167" s="138">
        <v>14.666666666666682</v>
      </c>
      <c r="E167" s="138">
        <v>26.580797933065117</v>
      </c>
      <c r="F167" s="138">
        <v>23.782011871563189</v>
      </c>
      <c r="G167" s="138">
        <v>49.472872024436654</v>
      </c>
      <c r="H167" s="138">
        <v>51.017465231638639</v>
      </c>
      <c r="I167" s="138">
        <v>76.053669957501768</v>
      </c>
      <c r="J167" s="138">
        <v>74.799477103201824</v>
      </c>
      <c r="K167" s="138">
        <v>165.51981372737026</v>
      </c>
      <c r="L167" s="9">
        <v>-696352.68</v>
      </c>
      <c r="M167" s="9">
        <v>-1013025.3</v>
      </c>
    </row>
    <row r="168" spans="1:13" x14ac:dyDescent="0.35">
      <c r="A168" s="138">
        <v>4378</v>
      </c>
      <c r="B168" s="138" t="s">
        <v>547</v>
      </c>
      <c r="C168" s="138" t="s">
        <v>963</v>
      </c>
      <c r="D168" s="138">
        <v>5.3333333333333375</v>
      </c>
      <c r="E168" s="138">
        <v>29.852363964892049</v>
      </c>
      <c r="F168" s="138">
        <v>29.273566246199042</v>
      </c>
      <c r="G168" s="138">
        <v>74.611021422904926</v>
      </c>
      <c r="H168" s="138">
        <v>72.241990673030912</v>
      </c>
      <c r="I168" s="138">
        <v>104.46338538779698</v>
      </c>
      <c r="J168" s="138">
        <v>101.51555691922995</v>
      </c>
      <c r="K168" s="138">
        <v>211.31227564036027</v>
      </c>
      <c r="L168" s="9">
        <v>-697752.3</v>
      </c>
      <c r="M168" s="9">
        <v>-1007288.6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1"/>
  <dimension ref="A1:BP172"/>
  <sheetViews>
    <sheetView zoomScaleNormal="100" workbookViewId="0">
      <selection activeCell="AH160" sqref="AH160"/>
    </sheetView>
  </sheetViews>
  <sheetFormatPr defaultColWidth="9.1796875" defaultRowHeight="14.5" x14ac:dyDescent="0.35"/>
  <cols>
    <col min="1" max="1" width="6.7265625" style="17" customWidth="1"/>
    <col min="2" max="2" width="5.26953125" style="10" customWidth="1"/>
    <col min="3" max="4" width="6.1796875" style="8" customWidth="1"/>
    <col min="5" max="6" width="6" style="8" customWidth="1"/>
    <col min="7" max="8" width="5.54296875" style="8" customWidth="1"/>
    <col min="9" max="10" width="4.7265625" style="8" customWidth="1"/>
    <col min="11" max="12" width="6.26953125" style="8" customWidth="1"/>
    <col min="13" max="13" width="7.453125" style="8" customWidth="1"/>
    <col min="14" max="14" width="7.54296875" style="8" customWidth="1"/>
    <col min="15" max="15" width="7.26953125" style="8" customWidth="1"/>
    <col min="16" max="16" width="5" style="8" customWidth="1"/>
    <col min="17" max="17" width="8.7265625" style="8" customWidth="1"/>
    <col min="18" max="18" width="5.26953125" style="8" customWidth="1"/>
    <col min="19" max="19" width="6.54296875" style="8" customWidth="1"/>
    <col min="20" max="20" width="6.81640625" style="8" customWidth="1"/>
    <col min="21" max="21" width="7.7265625" style="8" customWidth="1"/>
    <col min="22" max="23" width="13.7265625" style="8" bestFit="1" customWidth="1"/>
    <col min="24" max="24" width="11.7265625" style="8" customWidth="1"/>
    <col min="25" max="25" width="10.54296875" style="8" customWidth="1"/>
    <col min="26" max="26" width="10" style="8" customWidth="1"/>
    <col min="27" max="27" width="11.453125" style="8" customWidth="1"/>
    <col min="28" max="28" width="8" style="8" customWidth="1"/>
    <col min="29" max="29" width="12.26953125" style="8" customWidth="1"/>
    <col min="30" max="30" width="5.81640625" style="8" customWidth="1"/>
    <col min="31" max="31" width="5.7265625" style="8" customWidth="1"/>
    <col min="32" max="32" width="8" style="8" customWidth="1"/>
    <col min="33" max="33" width="4.54296875" style="8" customWidth="1"/>
    <col min="34" max="34" width="6.1796875" style="8" bestFit="1" customWidth="1"/>
    <col min="35" max="35" width="3.54296875" style="8" customWidth="1"/>
    <col min="36" max="36" width="4.54296875" style="8" customWidth="1"/>
    <col min="37" max="37" width="4" style="8" customWidth="1"/>
    <col min="38" max="38" width="7.54296875" style="8" customWidth="1"/>
    <col min="39" max="39" width="4.81640625" style="18" bestFit="1" customWidth="1"/>
    <col min="40" max="40" width="3.54296875" style="8" bestFit="1" customWidth="1"/>
    <col min="41" max="41" width="4.453125" style="8" customWidth="1"/>
    <col min="42" max="42" width="7.453125" style="9" hidden="1" customWidth="1"/>
    <col min="43" max="48" width="0" style="9" hidden="1" customWidth="1"/>
    <col min="53" max="53" width="9.1796875" style="9"/>
    <col min="54" max="54" width="4.7265625" style="9" customWidth="1"/>
    <col min="55" max="55" width="7.453125" style="9" customWidth="1"/>
    <col min="56" max="56" width="6" style="9" customWidth="1"/>
    <col min="57" max="64" width="9.1796875" style="2"/>
    <col min="65" max="65" width="5.26953125" style="2" customWidth="1"/>
    <col min="66" max="16384" width="9.1796875" style="2"/>
  </cols>
  <sheetData>
    <row r="1" spans="1:68" x14ac:dyDescent="0.35">
      <c r="A1" s="10"/>
      <c r="X1" s="491" t="s">
        <v>688</v>
      </c>
      <c r="Y1" s="491"/>
      <c r="Z1" s="491" t="s">
        <v>689</v>
      </c>
      <c r="AA1" s="491"/>
      <c r="AB1" s="491"/>
      <c r="AC1" s="491"/>
      <c r="AD1" s="491" t="s">
        <v>690</v>
      </c>
      <c r="AE1" s="491"/>
      <c r="AF1" s="491"/>
      <c r="AG1" s="491"/>
      <c r="AP1" s="115" t="s">
        <v>691</v>
      </c>
      <c r="AQ1" s="116"/>
      <c r="AR1" s="116"/>
      <c r="AS1" s="116"/>
      <c r="AT1" s="116"/>
      <c r="AU1" s="116"/>
      <c r="AV1" s="116"/>
      <c r="BA1" s="116"/>
      <c r="BB1" s="116"/>
      <c r="BC1" s="116"/>
      <c r="BD1" s="116"/>
    </row>
    <row r="2" spans="1:68" s="3" customFormat="1" ht="33.5" x14ac:dyDescent="0.35">
      <c r="A2" s="11" t="s">
        <v>0</v>
      </c>
      <c r="B2" s="12" t="s">
        <v>687</v>
      </c>
      <c r="C2" s="12" t="s">
        <v>829</v>
      </c>
      <c r="D2" s="12" t="s">
        <v>830</v>
      </c>
      <c r="E2" s="12" t="s">
        <v>831</v>
      </c>
      <c r="F2" s="12" t="s">
        <v>832</v>
      </c>
      <c r="G2" s="12" t="s">
        <v>827</v>
      </c>
      <c r="H2" s="12" t="s">
        <v>828</v>
      </c>
      <c r="I2" s="12" t="s">
        <v>833</v>
      </c>
      <c r="J2" s="12" t="s">
        <v>834</v>
      </c>
      <c r="K2" s="12" t="s">
        <v>835</v>
      </c>
      <c r="L2" s="12" t="s">
        <v>836</v>
      </c>
      <c r="M2" s="137" t="s">
        <v>904</v>
      </c>
      <c r="N2" s="12" t="s">
        <v>838</v>
      </c>
      <c r="O2" s="12" t="s">
        <v>839</v>
      </c>
      <c r="P2" s="12" t="s">
        <v>840</v>
      </c>
      <c r="Q2" s="12" t="s">
        <v>808</v>
      </c>
      <c r="R2" s="12" t="s">
        <v>809</v>
      </c>
      <c r="S2" s="12" t="s">
        <v>810</v>
      </c>
      <c r="T2" s="12" t="s">
        <v>811</v>
      </c>
      <c r="U2" s="12" t="s">
        <v>807</v>
      </c>
      <c r="V2" s="12" t="s">
        <v>874</v>
      </c>
      <c r="W2" s="12" t="s">
        <v>875</v>
      </c>
      <c r="X2" s="68" t="s">
        <v>812</v>
      </c>
      <c r="Y2" s="69" t="s">
        <v>813</v>
      </c>
      <c r="Z2" s="68" t="s">
        <v>814</v>
      </c>
      <c r="AA2" s="69" t="s">
        <v>815</v>
      </c>
      <c r="AB2" s="12" t="s">
        <v>816</v>
      </c>
      <c r="AC2" s="12" t="s">
        <v>817</v>
      </c>
      <c r="AD2" s="12" t="s">
        <v>818</v>
      </c>
      <c r="AE2" s="12" t="s">
        <v>819</v>
      </c>
      <c r="AF2" s="12" t="s">
        <v>820</v>
      </c>
      <c r="AG2" s="12" t="s">
        <v>821</v>
      </c>
      <c r="AH2" s="12" t="s">
        <v>691</v>
      </c>
      <c r="AI2" s="12" t="s">
        <v>822</v>
      </c>
      <c r="AJ2" s="12" t="s">
        <v>823</v>
      </c>
      <c r="AK2" s="12" t="s">
        <v>841</v>
      </c>
      <c r="AL2" s="12" t="s">
        <v>794</v>
      </c>
      <c r="AM2" s="19" t="s">
        <v>826</v>
      </c>
      <c r="AN2" s="12" t="s">
        <v>795</v>
      </c>
      <c r="AO2" s="12" t="s">
        <v>987</v>
      </c>
      <c r="AP2" s="12" t="s">
        <v>825</v>
      </c>
      <c r="AR2" s="112" t="s">
        <v>822</v>
      </c>
      <c r="AS2" s="112" t="s">
        <v>823</v>
      </c>
      <c r="AT2" s="112" t="s">
        <v>841</v>
      </c>
      <c r="AU2" s="112" t="s">
        <v>794</v>
      </c>
      <c r="AV2" s="112" t="s">
        <v>826</v>
      </c>
      <c r="AW2" s="112" t="s">
        <v>795</v>
      </c>
      <c r="AX2" s="3" t="s">
        <v>860</v>
      </c>
      <c r="AY2" s="3" t="s">
        <v>861</v>
      </c>
      <c r="AZ2" s="3" t="s">
        <v>862</v>
      </c>
      <c r="BA2" s="132" t="s">
        <v>863</v>
      </c>
      <c r="BB2" s="112" t="s">
        <v>860</v>
      </c>
      <c r="BC2" s="112" t="s">
        <v>861</v>
      </c>
      <c r="BD2" s="112" t="s">
        <v>862</v>
      </c>
      <c r="BE2" s="113" t="s">
        <v>863</v>
      </c>
      <c r="BF2" s="3" t="s">
        <v>898</v>
      </c>
      <c r="BG2" s="3" t="s">
        <v>903</v>
      </c>
      <c r="BL2" s="132"/>
      <c r="BM2" s="132"/>
      <c r="BN2" s="132" t="s">
        <v>918</v>
      </c>
      <c r="BO2" s="246" t="s">
        <v>957</v>
      </c>
      <c r="BP2" s="246" t="s">
        <v>958</v>
      </c>
    </row>
    <row r="3" spans="1:68" x14ac:dyDescent="0.35">
      <c r="A3" s="13">
        <v>803</v>
      </c>
      <c r="B3" s="14" t="s">
        <v>522</v>
      </c>
      <c r="C3" s="7">
        <v>6.5</v>
      </c>
      <c r="D3" s="7">
        <v>6.4</v>
      </c>
      <c r="E3" s="7">
        <v>5.77</v>
      </c>
      <c r="F3" s="7">
        <v>5.65</v>
      </c>
      <c r="G3" s="7">
        <v>1.4</v>
      </c>
      <c r="H3" s="7">
        <v>0.98</v>
      </c>
      <c r="I3" s="7">
        <v>0.81</v>
      </c>
      <c r="J3" s="7">
        <v>0.56999999999999995</v>
      </c>
      <c r="K3" s="7">
        <v>0</v>
      </c>
      <c r="L3" s="7">
        <v>0</v>
      </c>
      <c r="M3" s="7">
        <v>21.299999999999997</v>
      </c>
      <c r="N3" s="139">
        <v>13.5</v>
      </c>
      <c r="O3" s="139">
        <v>93.3</v>
      </c>
      <c r="P3" s="139">
        <v>86.7</v>
      </c>
      <c r="Q3" s="7">
        <v>14</v>
      </c>
      <c r="R3" s="7">
        <v>18.559999999999999</v>
      </c>
      <c r="S3" s="7">
        <v>71.53</v>
      </c>
      <c r="T3" s="7">
        <v>78.650000000000006</v>
      </c>
      <c r="U3" s="4">
        <v>4</v>
      </c>
      <c r="V3" s="4">
        <f>VLOOKUP(Tabulka1[[#This Row],[ID]],'Zdroj hloubka okresy'!$A$2:$K$171,6,FALSE)</f>
        <v>1.39</v>
      </c>
      <c r="W3" s="4">
        <f>VLOOKUP(Tabulka1[[#This Row],[ID]],'Zdroj hloubka okresy'!$A$2:$K$171,6,FALSE)</f>
        <v>1.39</v>
      </c>
      <c r="X3" s="4">
        <v>13.45</v>
      </c>
      <c r="Y3" s="4">
        <v>21.24</v>
      </c>
      <c r="Z3" s="4">
        <v>17.45</v>
      </c>
      <c r="AA3" s="4">
        <v>17.760000000000002</v>
      </c>
      <c r="AB3" s="4">
        <v>28.63</v>
      </c>
      <c r="AC3" s="4">
        <v>27.87</v>
      </c>
      <c r="AD3" s="4">
        <v>14.13</v>
      </c>
      <c r="AE3" s="4">
        <v>13.27</v>
      </c>
      <c r="AF3" s="4">
        <v>26.33</v>
      </c>
      <c r="AG3" s="4">
        <v>19.87</v>
      </c>
      <c r="AH3" s="4" t="s">
        <v>692</v>
      </c>
      <c r="AI3" s="5" t="s">
        <v>789</v>
      </c>
      <c r="AJ3" s="4">
        <v>8.66</v>
      </c>
      <c r="AK3" s="4">
        <v>4</v>
      </c>
      <c r="AL3" s="4" t="s">
        <v>797</v>
      </c>
      <c r="AM3" s="20" t="s">
        <v>824</v>
      </c>
      <c r="AN3" s="7" t="s">
        <v>803</v>
      </c>
      <c r="AP3" s="15">
        <v>0</v>
      </c>
      <c r="AQ3" s="21" t="str">
        <f>MID(Tabulka1[[#This Row],[BPEJ]],1,1)</f>
        <v>5</v>
      </c>
      <c r="AW3" s="9"/>
      <c r="AX3">
        <v>5</v>
      </c>
      <c r="AY3" s="114">
        <v>15</v>
      </c>
      <c r="AZ3" s="114">
        <v>1</v>
      </c>
      <c r="BA3" s="114">
        <v>2</v>
      </c>
      <c r="BB3" s="9">
        <v>5</v>
      </c>
      <c r="BC3" s="9" t="str">
        <f>MID(Tabulka1[[#This Row],[BPEJ]],3,2)</f>
        <v>15</v>
      </c>
      <c r="BD3" s="9" t="str">
        <f>MID(Tabulka1[[#This Row],[BPEJ]],6,1)</f>
        <v>1</v>
      </c>
      <c r="BE3" s="9" t="str">
        <f>MID(Tabulka1[[#This Row],[BPEJ]],7,1)</f>
        <v>2</v>
      </c>
      <c r="BF3" s="2" t="str">
        <f>IF(OR(AX3=2,AX3=3,AX3=4,AX3=5),"T",IF(OR(AX3=0,AX3=1),"VT",IF(OR(AX3=6,AX3=7,AX3=8,AX3=9),"CH"," ")))</f>
        <v>T</v>
      </c>
      <c r="BG3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3" s="134">
        <v>2.13</v>
      </c>
      <c r="BI3" s="2">
        <f>BH3*10</f>
        <v>21.299999999999997</v>
      </c>
      <c r="BJ3" s="2">
        <f>Tabulka1[[#This Row],[P2O5_60]]*10</f>
        <v>135</v>
      </c>
      <c r="BK3" s="2">
        <f>Tabulka1[[#This Row],[K2O_30]]*10</f>
        <v>933</v>
      </c>
      <c r="BL3" s="2">
        <f>Tabulka1[[#This Row],[K2O_60]]*10</f>
        <v>867</v>
      </c>
      <c r="BN3" s="2">
        <f>VLOOKUP(Tabulka1[[#This Row],[ID]],'Zdroj hloubka okresy'!$A$2:$F$171,5,FALSE)</f>
        <v>1.47</v>
      </c>
      <c r="BO3" s="2">
        <f>VLOOKUP(Tabulka1[[#This Row],[ID]],'Zdroj hloubka okresy'!$A$2:$D$171,3,FALSE)</f>
        <v>20</v>
      </c>
      <c r="BP3" s="2">
        <f>VLOOKUP(Tabulka1[[#This Row],[ID]],'Zdroj hloubka okresy'!$A$2:$D$171,4,FALSE)</f>
        <v>16</v>
      </c>
    </row>
    <row r="4" spans="1:68" x14ac:dyDescent="0.35">
      <c r="A4" s="13">
        <v>806</v>
      </c>
      <c r="B4" s="14" t="s">
        <v>523</v>
      </c>
      <c r="C4" s="7">
        <v>5.8</v>
      </c>
      <c r="D4" s="7">
        <v>5.97</v>
      </c>
      <c r="E4" s="7">
        <v>4.95</v>
      </c>
      <c r="F4" s="7">
        <v>5.16</v>
      </c>
      <c r="G4" s="7">
        <v>1.42</v>
      </c>
      <c r="H4" s="7">
        <v>0.88</v>
      </c>
      <c r="I4" s="7">
        <v>0.82</v>
      </c>
      <c r="J4" s="7">
        <v>0.51</v>
      </c>
      <c r="K4" s="7">
        <v>0</v>
      </c>
      <c r="L4" s="7">
        <v>0</v>
      </c>
      <c r="M4" s="7">
        <v>26.5</v>
      </c>
      <c r="N4" s="139">
        <v>20.2</v>
      </c>
      <c r="O4" s="139">
        <v>182.7</v>
      </c>
      <c r="P4" s="139">
        <v>128.69999999999999</v>
      </c>
      <c r="Q4" s="7">
        <v>16.579999999999998</v>
      </c>
      <c r="R4" s="7">
        <v>18.05</v>
      </c>
      <c r="S4" s="7">
        <v>69.41</v>
      </c>
      <c r="T4" s="7">
        <v>77.12</v>
      </c>
      <c r="U4" s="4">
        <v>3</v>
      </c>
      <c r="V4" s="4">
        <f>VLOOKUP(Tabulka1[[#This Row],[ID]],'Zdroj hloubka okresy'!$A$2:$K$171,5,FALSE)</f>
        <v>1.44</v>
      </c>
      <c r="W4" s="4">
        <f>VLOOKUP(Tabulka1[[#This Row],[ID]],'Zdroj hloubka okresy'!$A$2:$K$171,6,FALSE)</f>
        <v>1.41</v>
      </c>
      <c r="X4" s="4">
        <v>15.73</v>
      </c>
      <c r="Y4" s="4">
        <v>20.48</v>
      </c>
      <c r="Z4" s="4">
        <v>15.1</v>
      </c>
      <c r="AA4" s="4">
        <v>11.39</v>
      </c>
      <c r="AB4" s="4">
        <v>29.59</v>
      </c>
      <c r="AC4" s="4">
        <v>26.88</v>
      </c>
      <c r="AD4" s="4">
        <v>14.47</v>
      </c>
      <c r="AE4" s="4">
        <v>15.75</v>
      </c>
      <c r="AF4" s="4">
        <v>25.11</v>
      </c>
      <c r="AG4" s="4">
        <v>25.5</v>
      </c>
      <c r="AH4" s="4" t="s">
        <v>693</v>
      </c>
      <c r="AI4" s="5" t="s">
        <v>790</v>
      </c>
      <c r="AJ4" s="4">
        <v>5.75</v>
      </c>
      <c r="AK4" s="4">
        <v>4</v>
      </c>
      <c r="AL4" s="4" t="s">
        <v>797</v>
      </c>
      <c r="AM4" s="20" t="s">
        <v>824</v>
      </c>
      <c r="AN4" s="7" t="s">
        <v>804</v>
      </c>
      <c r="AP4" s="15">
        <v>0</v>
      </c>
      <c r="AQ4" s="9" t="str">
        <f>MID(Tabulka1[[#This Row],[BPEJ]],1,1)</f>
        <v>5</v>
      </c>
      <c r="AW4" s="9"/>
      <c r="AX4">
        <v>5</v>
      </c>
      <c r="AY4" s="114">
        <v>32</v>
      </c>
      <c r="AZ4" s="114">
        <v>1</v>
      </c>
      <c r="BA4" s="114">
        <v>1</v>
      </c>
      <c r="BB4" s="9">
        <v>5</v>
      </c>
      <c r="BC4" s="9" t="str">
        <f>MID(Tabulka1[[#This Row],[BPEJ]],3,2)</f>
        <v>32</v>
      </c>
      <c r="BD4" s="9" t="str">
        <f>MID(Tabulka1[[#This Row],[BPEJ]],6,1)</f>
        <v>1</v>
      </c>
      <c r="BE4" s="9" t="str">
        <f>MID(Tabulka1[[#This Row],[BPEJ]],7,1)</f>
        <v>1</v>
      </c>
      <c r="BF4" s="2" t="str">
        <f t="shared" ref="BF4:BF52" si="0">IF(OR(AX4=2,AX4=3,AX4=4,AX4=5),"T",IF(OR(AX4=0,AX4=1),"VT",IF(OR(AX4=6,AX4=7,AX4=8,AX4=9),"CH"," ")))</f>
        <v>T</v>
      </c>
      <c r="BG4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4" s="7">
        <v>2.65</v>
      </c>
      <c r="BI4" s="2">
        <f t="shared" ref="BI4:BI52" si="1">BH4*10</f>
        <v>26.5</v>
      </c>
      <c r="BJ4" s="2">
        <f>Tabulka1[[#This Row],[P2O5_60]]*10</f>
        <v>202</v>
      </c>
      <c r="BK4" s="2">
        <f>Tabulka1[[#This Row],[K2O_30]]*10</f>
        <v>1827</v>
      </c>
      <c r="BL4" s="2">
        <f>Tabulka1[[#This Row],[K2O_60]]*10</f>
        <v>1287</v>
      </c>
      <c r="BN4" s="2">
        <f>VLOOKUP(Tabulka1[[#This Row],[ID]],'Zdroj hloubka okresy'!$A$2:$F$171,5,FALSE)</f>
        <v>1.44</v>
      </c>
      <c r="BO4" s="2">
        <f>VLOOKUP(Tabulka1[[#This Row],[ID]],'Zdroj hloubka okresy'!$A$2:$D$171,3,FALSE)</f>
        <v>22</v>
      </c>
      <c r="BP4" s="2">
        <f>VLOOKUP(Tabulka1[[#This Row],[ID]],'Zdroj hloubka okresy'!$A$2:$D$171,4,FALSE)</f>
        <v>22</v>
      </c>
    </row>
    <row r="5" spans="1:68" x14ac:dyDescent="0.35">
      <c r="A5" s="13">
        <v>809</v>
      </c>
      <c r="B5" s="14" t="s">
        <v>538</v>
      </c>
      <c r="C5" s="7">
        <v>7.04</v>
      </c>
      <c r="D5" s="7">
        <v>7.1</v>
      </c>
      <c r="E5" s="7">
        <v>6.4</v>
      </c>
      <c r="F5" s="7">
        <v>6.47</v>
      </c>
      <c r="G5" s="7">
        <v>1.3</v>
      </c>
      <c r="H5" s="7">
        <v>0.82</v>
      </c>
      <c r="I5" s="7">
        <v>0.75</v>
      </c>
      <c r="J5" s="7">
        <v>0.48</v>
      </c>
      <c r="K5" s="7">
        <v>0</v>
      </c>
      <c r="L5" s="7">
        <v>0</v>
      </c>
      <c r="M5" s="7">
        <v>71.5</v>
      </c>
      <c r="N5" s="139">
        <v>91.4</v>
      </c>
      <c r="O5" s="139">
        <v>101.89999999999999</v>
      </c>
      <c r="P5" s="139">
        <v>92.4</v>
      </c>
      <c r="Q5" s="7">
        <v>14.77</v>
      </c>
      <c r="R5" s="7">
        <v>16.350000000000001</v>
      </c>
      <c r="S5" s="7">
        <v>87.2</v>
      </c>
      <c r="T5" s="7">
        <v>86.79</v>
      </c>
      <c r="U5" s="4">
        <v>1</v>
      </c>
      <c r="V5" s="4">
        <f>VLOOKUP(Tabulka1[[#This Row],[ID]],'Zdroj hloubka okresy'!$A$2:$K$171,5,FALSE)</f>
        <v>1.43</v>
      </c>
      <c r="W5" s="4">
        <f>VLOOKUP(Tabulka1[[#This Row],[ID]],'Zdroj hloubka okresy'!$A$2:$K$171,6,FALSE)</f>
        <v>1.41</v>
      </c>
      <c r="X5" s="4">
        <v>16.79</v>
      </c>
      <c r="Y5" s="4">
        <v>20.92</v>
      </c>
      <c r="Z5" s="4">
        <v>13.19</v>
      </c>
      <c r="AA5" s="4">
        <v>10.06</v>
      </c>
      <c r="AB5" s="4">
        <v>29.05</v>
      </c>
      <c r="AC5" s="4">
        <v>25.61</v>
      </c>
      <c r="AD5" s="4">
        <v>13.7</v>
      </c>
      <c r="AE5" s="4">
        <v>13.46</v>
      </c>
      <c r="AF5" s="4">
        <v>27.27</v>
      </c>
      <c r="AG5" s="4">
        <v>29.96</v>
      </c>
      <c r="AH5" s="4" t="s">
        <v>694</v>
      </c>
      <c r="AI5" s="5" t="s">
        <v>791</v>
      </c>
      <c r="AJ5" s="4">
        <v>1.35</v>
      </c>
      <c r="AK5" s="4">
        <v>5</v>
      </c>
      <c r="AL5" s="4" t="s">
        <v>798</v>
      </c>
      <c r="AM5" s="20" t="s">
        <v>796</v>
      </c>
      <c r="AN5" s="7" t="s">
        <v>804</v>
      </c>
      <c r="AP5" s="15">
        <v>0</v>
      </c>
      <c r="AQ5" s="9" t="str">
        <f>MID(Tabulka1[[#This Row],[BPEJ]],1,1)</f>
        <v>4</v>
      </c>
      <c r="AW5" s="9"/>
      <c r="AX5">
        <v>4</v>
      </c>
      <c r="AY5" s="114">
        <v>37</v>
      </c>
      <c r="AZ5" s="114">
        <v>1</v>
      </c>
      <c r="BA5" s="114">
        <v>6</v>
      </c>
      <c r="BB5" s="9">
        <v>4</v>
      </c>
      <c r="BC5" s="9" t="str">
        <f>MID(Tabulka1[[#This Row],[BPEJ]],3,2)</f>
        <v>37</v>
      </c>
      <c r="BD5" s="9" t="str">
        <f>MID(Tabulka1[[#This Row],[BPEJ]],6,1)</f>
        <v>1</v>
      </c>
      <c r="BE5" s="9" t="str">
        <f>MID(Tabulka1[[#This Row],[BPEJ]],7,1)</f>
        <v>6</v>
      </c>
      <c r="BF5" s="2" t="str">
        <f t="shared" si="0"/>
        <v>T</v>
      </c>
      <c r="BG5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5" s="134">
        <v>7.15</v>
      </c>
      <c r="BI5" s="2">
        <f t="shared" si="1"/>
        <v>71.5</v>
      </c>
      <c r="BJ5" s="2">
        <f>Tabulka1[[#This Row],[P2O5_60]]*10</f>
        <v>914</v>
      </c>
      <c r="BK5" s="2">
        <f>Tabulka1[[#This Row],[K2O_30]]*10</f>
        <v>1018.9999999999999</v>
      </c>
      <c r="BL5" s="2">
        <f>Tabulka1[[#This Row],[K2O_60]]*10</f>
        <v>924</v>
      </c>
      <c r="BN5" s="2">
        <f>VLOOKUP(Tabulka1[[#This Row],[ID]],'Zdroj hloubka okresy'!$A$2:$F$171,5,FALSE)</f>
        <v>1.43</v>
      </c>
      <c r="BO5" s="2">
        <f>VLOOKUP(Tabulka1[[#This Row],[ID]],'Zdroj hloubka okresy'!$A$2:$D$171,3,FALSE)</f>
        <v>22</v>
      </c>
      <c r="BP5" s="2">
        <f>VLOOKUP(Tabulka1[[#This Row],[ID]],'Zdroj hloubka okresy'!$A$2:$D$171,4,FALSE)</f>
        <v>17</v>
      </c>
    </row>
    <row r="6" spans="1:68" x14ac:dyDescent="0.35">
      <c r="A6" s="13">
        <v>812</v>
      </c>
      <c r="B6" s="14" t="s">
        <v>539</v>
      </c>
      <c r="C6" s="7">
        <v>6.79</v>
      </c>
      <c r="D6" s="7">
        <v>6.69</v>
      </c>
      <c r="E6" s="7">
        <v>6.1</v>
      </c>
      <c r="F6" s="7">
        <v>5.99</v>
      </c>
      <c r="G6" s="7">
        <v>2.15</v>
      </c>
      <c r="H6" s="7">
        <v>1.49</v>
      </c>
      <c r="I6" s="7">
        <v>1.25</v>
      </c>
      <c r="J6" s="7">
        <v>0.87</v>
      </c>
      <c r="K6" s="7">
        <v>0</v>
      </c>
      <c r="L6" s="7">
        <v>0</v>
      </c>
      <c r="M6" s="7">
        <v>35</v>
      </c>
      <c r="N6" s="139">
        <v>22.799999999999997</v>
      </c>
      <c r="O6" s="139">
        <v>240</v>
      </c>
      <c r="P6" s="139">
        <v>182.3</v>
      </c>
      <c r="Q6" s="7">
        <v>16.670000000000002</v>
      </c>
      <c r="R6" s="7">
        <v>18.239999999999998</v>
      </c>
      <c r="S6" s="7">
        <v>76</v>
      </c>
      <c r="T6" s="7">
        <v>79.13</v>
      </c>
      <c r="U6" s="4">
        <v>2</v>
      </c>
      <c r="V6" s="4">
        <f>VLOOKUP(Tabulka1[[#This Row],[ID]],'Zdroj hloubka okresy'!$A$2:$K$171,5,FALSE)</f>
        <v>1.48</v>
      </c>
      <c r="W6" s="4">
        <f>VLOOKUP(Tabulka1[[#This Row],[ID]],'Zdroj hloubka okresy'!$A$2:$K$171,6,FALSE)</f>
        <v>1.42</v>
      </c>
      <c r="X6" s="4">
        <v>14.29</v>
      </c>
      <c r="Y6" s="4">
        <v>18.649999999999999</v>
      </c>
      <c r="Z6" s="4">
        <v>13.71</v>
      </c>
      <c r="AA6" s="4">
        <v>15.15</v>
      </c>
      <c r="AB6" s="4">
        <v>22.73</v>
      </c>
      <c r="AC6" s="4">
        <v>23.49</v>
      </c>
      <c r="AD6" s="4">
        <v>22.7</v>
      </c>
      <c r="AE6" s="4">
        <v>20.91</v>
      </c>
      <c r="AF6" s="4">
        <v>26.57</v>
      </c>
      <c r="AG6" s="4">
        <v>21.8</v>
      </c>
      <c r="AH6" s="4" t="s">
        <v>695</v>
      </c>
      <c r="AI6" s="5" t="s">
        <v>792</v>
      </c>
      <c r="AJ6" s="4">
        <v>5.87</v>
      </c>
      <c r="AK6" s="4">
        <v>4</v>
      </c>
      <c r="AL6" s="4" t="s">
        <v>797</v>
      </c>
      <c r="AM6" s="20" t="s">
        <v>824</v>
      </c>
      <c r="AN6" s="7" t="s">
        <v>805</v>
      </c>
      <c r="AP6" s="15">
        <v>0</v>
      </c>
      <c r="AQ6" s="9" t="str">
        <f>MID(Tabulka1[[#This Row],[BPEJ]],1,1)</f>
        <v>5</v>
      </c>
      <c r="AW6" s="9"/>
      <c r="AX6">
        <v>5</v>
      </c>
      <c r="AY6" s="114">
        <v>64</v>
      </c>
      <c r="AZ6" s="114">
        <v>0</v>
      </c>
      <c r="BA6" s="114">
        <v>1</v>
      </c>
      <c r="BB6" s="9">
        <v>5</v>
      </c>
      <c r="BC6" s="9" t="str">
        <f>MID(Tabulka1[[#This Row],[BPEJ]],3,2)</f>
        <v>64</v>
      </c>
      <c r="BD6" s="9" t="str">
        <f>MID(Tabulka1[[#This Row],[BPEJ]],6,1)</f>
        <v>0</v>
      </c>
      <c r="BE6" s="9" t="str">
        <f>MID(Tabulka1[[#This Row],[BPEJ]],7,1)</f>
        <v>1</v>
      </c>
      <c r="BF6" s="2" t="str">
        <f t="shared" si="0"/>
        <v>T</v>
      </c>
      <c r="BG6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6" s="7">
        <v>3.5</v>
      </c>
      <c r="BI6" s="2">
        <f t="shared" si="1"/>
        <v>35</v>
      </c>
      <c r="BJ6" s="2">
        <f>Tabulka1[[#This Row],[P2O5_60]]*10</f>
        <v>227.99999999999997</v>
      </c>
      <c r="BK6" s="2">
        <f>Tabulka1[[#This Row],[K2O_30]]*10</f>
        <v>2400</v>
      </c>
      <c r="BL6" s="2">
        <f>Tabulka1[[#This Row],[K2O_60]]*10</f>
        <v>1823</v>
      </c>
      <c r="BN6" s="2">
        <f>VLOOKUP(Tabulka1[[#This Row],[ID]],'Zdroj hloubka okresy'!$A$2:$F$171,5,FALSE)</f>
        <v>1.48</v>
      </c>
      <c r="BO6" s="2">
        <f>VLOOKUP(Tabulka1[[#This Row],[ID]],'Zdroj hloubka okresy'!$A$2:$D$171,3,FALSE)</f>
        <v>20</v>
      </c>
      <c r="BP6" s="2">
        <f>VLOOKUP(Tabulka1[[#This Row],[ID]],'Zdroj hloubka okresy'!$A$2:$D$171,4,FALSE)</f>
        <v>18</v>
      </c>
    </row>
    <row r="7" spans="1:68" x14ac:dyDescent="0.35">
      <c r="A7" s="13">
        <v>815</v>
      </c>
      <c r="B7" s="14" t="s">
        <v>559</v>
      </c>
      <c r="C7" s="7">
        <v>5.35</v>
      </c>
      <c r="D7" s="7">
        <v>5.62</v>
      </c>
      <c r="E7" s="7">
        <v>4.43</v>
      </c>
      <c r="F7" s="7">
        <v>4.75</v>
      </c>
      <c r="G7" s="7">
        <v>1.56</v>
      </c>
      <c r="H7" s="7">
        <v>0.98</v>
      </c>
      <c r="I7" s="7">
        <v>0.91</v>
      </c>
      <c r="J7" s="7">
        <v>0.56999999999999995</v>
      </c>
      <c r="K7" s="7">
        <v>0</v>
      </c>
      <c r="L7" s="7">
        <v>0</v>
      </c>
      <c r="M7" s="7">
        <v>39.300000000000004</v>
      </c>
      <c r="N7" s="139">
        <v>22.799999999999997</v>
      </c>
      <c r="O7" s="139">
        <v>136.69999999999999</v>
      </c>
      <c r="P7" s="139">
        <v>99.2</v>
      </c>
      <c r="Q7" s="7">
        <v>13.3</v>
      </c>
      <c r="R7" s="7">
        <v>17.329999999999998</v>
      </c>
      <c r="S7" s="7">
        <v>57</v>
      </c>
      <c r="T7" s="7">
        <v>69.25</v>
      </c>
      <c r="U7" s="4">
        <v>4</v>
      </c>
      <c r="V7" s="4">
        <f>VLOOKUP(Tabulka1[[#This Row],[ID]],'Zdroj hloubka okresy'!$A$2:$K$171,5,FALSE)</f>
        <v>1.44</v>
      </c>
      <c r="W7" s="4">
        <f>VLOOKUP(Tabulka1[[#This Row],[ID]],'Zdroj hloubka okresy'!$A$2:$K$171,6,FALSE)</f>
        <v>1.38</v>
      </c>
      <c r="X7" s="4">
        <v>13.37</v>
      </c>
      <c r="Y7" s="4">
        <v>19.32</v>
      </c>
      <c r="Z7" s="4">
        <v>24.73</v>
      </c>
      <c r="AA7" s="4">
        <v>23.94</v>
      </c>
      <c r="AB7" s="4">
        <v>37.07</v>
      </c>
      <c r="AC7" s="4">
        <v>34.44</v>
      </c>
      <c r="AD7" s="4">
        <v>13.23</v>
      </c>
      <c r="AE7" s="4">
        <v>12.6</v>
      </c>
      <c r="AF7" s="4">
        <v>11.6</v>
      </c>
      <c r="AG7" s="4">
        <v>9.69</v>
      </c>
      <c r="AH7" s="4" t="s">
        <v>696</v>
      </c>
      <c r="AI7" s="5" t="s">
        <v>792</v>
      </c>
      <c r="AJ7" s="4">
        <v>8.94</v>
      </c>
      <c r="AK7" s="4">
        <v>4</v>
      </c>
      <c r="AL7" s="4" t="s">
        <v>797</v>
      </c>
      <c r="AM7" s="20" t="s">
        <v>824</v>
      </c>
      <c r="AN7" s="7" t="s">
        <v>803</v>
      </c>
      <c r="AP7" s="15">
        <v>0</v>
      </c>
      <c r="AQ7" s="9" t="str">
        <f>MID(Tabulka1[[#This Row],[BPEJ]],1,1)</f>
        <v>5</v>
      </c>
      <c r="AW7" s="9"/>
      <c r="AX7">
        <v>5</v>
      </c>
      <c r="AY7" s="114">
        <v>46</v>
      </c>
      <c r="AZ7" s="114">
        <v>0</v>
      </c>
      <c r="BA7" s="114">
        <v>0</v>
      </c>
      <c r="BB7" s="9">
        <v>5</v>
      </c>
      <c r="BC7" s="9" t="str">
        <f>MID(Tabulka1[[#This Row],[BPEJ]],3,2)</f>
        <v>46</v>
      </c>
      <c r="BD7" s="9" t="str">
        <f>MID(Tabulka1[[#This Row],[BPEJ]],6,1)</f>
        <v>0</v>
      </c>
      <c r="BE7" s="9" t="str">
        <f>MID(Tabulka1[[#This Row],[BPEJ]],7,1)</f>
        <v>0</v>
      </c>
      <c r="BF7" s="2" t="str">
        <f t="shared" si="0"/>
        <v>T</v>
      </c>
      <c r="BG7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7" s="134">
        <v>3.93</v>
      </c>
      <c r="BI7" s="2">
        <f t="shared" si="1"/>
        <v>39.300000000000004</v>
      </c>
      <c r="BJ7" s="2">
        <f>Tabulka1[[#This Row],[P2O5_60]]*10</f>
        <v>227.99999999999997</v>
      </c>
      <c r="BK7" s="2">
        <f>Tabulka1[[#This Row],[K2O_30]]*10</f>
        <v>1367</v>
      </c>
      <c r="BL7" s="2">
        <f>Tabulka1[[#This Row],[K2O_60]]*10</f>
        <v>992</v>
      </c>
      <c r="BN7" s="2">
        <f>VLOOKUP(Tabulka1[[#This Row],[ID]],'Zdroj hloubka okresy'!$A$2:$F$171,5,FALSE)</f>
        <v>1.44</v>
      </c>
      <c r="BO7" s="2">
        <f>VLOOKUP(Tabulka1[[#This Row],[ID]],'Zdroj hloubka okresy'!$A$2:$D$171,3,FALSE)</f>
        <v>20</v>
      </c>
      <c r="BP7" s="2">
        <f>VLOOKUP(Tabulka1[[#This Row],[ID]],'Zdroj hloubka okresy'!$A$2:$D$171,4,FALSE)</f>
        <v>20</v>
      </c>
    </row>
    <row r="8" spans="1:68" x14ac:dyDescent="0.35">
      <c r="A8" s="13">
        <v>818</v>
      </c>
      <c r="B8" s="14" t="s">
        <v>544</v>
      </c>
      <c r="C8" s="7">
        <v>7.01</v>
      </c>
      <c r="D8" s="7">
        <v>6.93</v>
      </c>
      <c r="E8" s="7">
        <v>6.36</v>
      </c>
      <c r="F8" s="7">
        <v>6.27</v>
      </c>
      <c r="G8" s="7">
        <v>1.86</v>
      </c>
      <c r="H8" s="7">
        <v>1.21</v>
      </c>
      <c r="I8" s="7">
        <v>1.08</v>
      </c>
      <c r="J8" s="7">
        <v>0.7</v>
      </c>
      <c r="K8" s="7">
        <v>0</v>
      </c>
      <c r="L8" s="7">
        <v>0</v>
      </c>
      <c r="M8" s="7">
        <v>37.1</v>
      </c>
      <c r="N8" s="139">
        <v>27.1</v>
      </c>
      <c r="O8" s="139">
        <v>87.2</v>
      </c>
      <c r="P8" s="139">
        <v>70.7</v>
      </c>
      <c r="Q8" s="7">
        <v>13.03</v>
      </c>
      <c r="R8" s="7">
        <v>12.32</v>
      </c>
      <c r="S8" s="7">
        <v>78.09</v>
      </c>
      <c r="T8" s="7">
        <v>79.47</v>
      </c>
      <c r="U8" s="4">
        <v>4</v>
      </c>
      <c r="V8" s="4">
        <f>VLOOKUP(Tabulka1[[#This Row],[ID]],'Zdroj hloubka okresy'!$A$2:$K$171,5,FALSE)</f>
        <v>1.47</v>
      </c>
      <c r="W8" s="4">
        <f>VLOOKUP(Tabulka1[[#This Row],[ID]],'Zdroj hloubka okresy'!$A$2:$K$171,6,FALSE)</f>
        <v>1.45</v>
      </c>
      <c r="X8" s="4">
        <v>12.67</v>
      </c>
      <c r="Y8" s="4">
        <v>15.11</v>
      </c>
      <c r="Z8" s="4">
        <v>15.09</v>
      </c>
      <c r="AA8" s="4">
        <v>14.79</v>
      </c>
      <c r="AB8" s="4">
        <v>25.4</v>
      </c>
      <c r="AC8" s="4">
        <v>27.67</v>
      </c>
      <c r="AD8" s="4">
        <v>21.42</v>
      </c>
      <c r="AE8" s="4">
        <v>19.850000000000001</v>
      </c>
      <c r="AF8" s="4" t="s">
        <v>867</v>
      </c>
      <c r="AG8" s="4">
        <v>22.59</v>
      </c>
      <c r="AH8" s="4" t="s">
        <v>697</v>
      </c>
      <c r="AI8" s="5" t="s">
        <v>789</v>
      </c>
      <c r="AJ8" s="4">
        <v>11.76</v>
      </c>
      <c r="AK8" s="4">
        <v>3</v>
      </c>
      <c r="AL8" s="4" t="s">
        <v>798</v>
      </c>
      <c r="AM8" s="20" t="s">
        <v>824</v>
      </c>
      <c r="AN8" s="7" t="s">
        <v>803</v>
      </c>
      <c r="AP8" s="15">
        <v>0</v>
      </c>
      <c r="AQ8" s="9" t="str">
        <f>MID(Tabulka1[[#This Row],[BPEJ]],1,1)</f>
        <v>5</v>
      </c>
      <c r="AW8" s="9"/>
      <c r="AX8">
        <v>5</v>
      </c>
      <c r="AY8" s="114">
        <v>15</v>
      </c>
      <c r="AZ8" s="114">
        <v>0</v>
      </c>
      <c r="BA8" s="114">
        <v>0</v>
      </c>
      <c r="BB8" s="9">
        <v>5</v>
      </c>
      <c r="BC8" s="9" t="str">
        <f>MID(Tabulka1[[#This Row],[BPEJ]],3,2)</f>
        <v>15</v>
      </c>
      <c r="BD8" s="9" t="str">
        <f>MID(Tabulka1[[#This Row],[BPEJ]],6,1)</f>
        <v>0</v>
      </c>
      <c r="BE8" s="9" t="str">
        <f>MID(Tabulka1[[#This Row],[BPEJ]],7,1)</f>
        <v>0</v>
      </c>
      <c r="BF8" s="2" t="str">
        <f t="shared" si="0"/>
        <v>T</v>
      </c>
      <c r="BG8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8" s="7">
        <v>3.71</v>
      </c>
      <c r="BI8" s="2">
        <f t="shared" si="1"/>
        <v>37.1</v>
      </c>
      <c r="BJ8" s="2">
        <f>Tabulka1[[#This Row],[P2O5_60]]*10</f>
        <v>271</v>
      </c>
      <c r="BK8" s="2">
        <f>Tabulka1[[#This Row],[K2O_30]]*10</f>
        <v>872</v>
      </c>
      <c r="BL8" s="2">
        <f>Tabulka1[[#This Row],[K2O_60]]*10</f>
        <v>707</v>
      </c>
      <c r="BN8" s="2">
        <f>VLOOKUP(Tabulka1[[#This Row],[ID]],'Zdroj hloubka okresy'!$A$2:$F$171,5,FALSE)</f>
        <v>1.47</v>
      </c>
      <c r="BO8" s="2">
        <f>VLOOKUP(Tabulka1[[#This Row],[ID]],'Zdroj hloubka okresy'!$A$2:$D$171,3,FALSE)</f>
        <v>26</v>
      </c>
      <c r="BP8" s="2">
        <f>VLOOKUP(Tabulka1[[#This Row],[ID]],'Zdroj hloubka okresy'!$A$2:$D$171,4,FALSE)</f>
        <v>22</v>
      </c>
    </row>
    <row r="9" spans="1:68" x14ac:dyDescent="0.35">
      <c r="A9" s="13">
        <v>821</v>
      </c>
      <c r="B9" s="14" t="s">
        <v>521</v>
      </c>
      <c r="C9" s="7">
        <v>6.03</v>
      </c>
      <c r="D9" s="7">
        <v>6.21</v>
      </c>
      <c r="E9" s="7">
        <v>5.22</v>
      </c>
      <c r="F9" s="7">
        <v>5.44</v>
      </c>
      <c r="G9" s="7">
        <v>1.83</v>
      </c>
      <c r="H9" s="7">
        <v>1.24</v>
      </c>
      <c r="I9" s="7">
        <v>1.06</v>
      </c>
      <c r="J9" s="7">
        <v>0.72</v>
      </c>
      <c r="K9" s="7">
        <v>0</v>
      </c>
      <c r="L9" s="7">
        <v>0</v>
      </c>
      <c r="M9" s="7">
        <v>13.600000000000001</v>
      </c>
      <c r="N9" s="139">
        <v>14.2</v>
      </c>
      <c r="O9" s="139">
        <v>93</v>
      </c>
      <c r="P9" s="139">
        <v>77.8</v>
      </c>
      <c r="Q9" s="7">
        <v>14.1</v>
      </c>
      <c r="R9" s="7">
        <v>12.18</v>
      </c>
      <c r="S9" s="7">
        <v>59.64</v>
      </c>
      <c r="T9" s="7">
        <v>65.19</v>
      </c>
      <c r="U9" s="4">
        <v>1</v>
      </c>
      <c r="V9" s="4">
        <f>VLOOKUP(Tabulka1[[#This Row],[ID]],'Zdroj hloubka okresy'!$A$2:$K$171,5,FALSE)</f>
        <v>1.51</v>
      </c>
      <c r="W9" s="4">
        <f>VLOOKUP(Tabulka1[[#This Row],[ID]],'Zdroj hloubka okresy'!$A$2:$K$171,6,FALSE)</f>
        <v>1.51</v>
      </c>
      <c r="X9" s="4">
        <v>9.9499999999999993</v>
      </c>
      <c r="Y9" s="4">
        <v>9.92</v>
      </c>
      <c r="Z9" s="4">
        <v>18.18</v>
      </c>
      <c r="AA9" s="4">
        <v>18.670000000000002</v>
      </c>
      <c r="AB9" s="4">
        <v>31.21</v>
      </c>
      <c r="AC9" s="4">
        <v>32.44</v>
      </c>
      <c r="AD9" s="4">
        <v>13.45</v>
      </c>
      <c r="AE9" s="4">
        <v>12.15</v>
      </c>
      <c r="AF9" s="4">
        <v>27.2</v>
      </c>
      <c r="AG9" s="4">
        <v>26.81</v>
      </c>
      <c r="AH9" s="4" t="s">
        <v>694</v>
      </c>
      <c r="AI9" s="5" t="s">
        <v>791</v>
      </c>
      <c r="AJ9" s="4">
        <v>1.35</v>
      </c>
      <c r="AK9" s="4">
        <v>4</v>
      </c>
      <c r="AL9" s="4" t="s">
        <v>797</v>
      </c>
      <c r="AM9" s="20" t="s">
        <v>824</v>
      </c>
      <c r="AN9" s="7" t="s">
        <v>804</v>
      </c>
      <c r="AP9" s="15">
        <v>0</v>
      </c>
      <c r="AQ9" s="9" t="str">
        <f>MID(Tabulka1[[#This Row],[BPEJ]],1,1)</f>
        <v>4</v>
      </c>
      <c r="AW9" s="9"/>
      <c r="AX9">
        <v>4</v>
      </c>
      <c r="AY9" s="114">
        <v>37</v>
      </c>
      <c r="AZ9" s="114">
        <v>1</v>
      </c>
      <c r="BA9" s="114">
        <v>6</v>
      </c>
      <c r="BB9" s="9">
        <v>4</v>
      </c>
      <c r="BC9" s="9" t="str">
        <f>MID(Tabulka1[[#This Row],[BPEJ]],3,2)</f>
        <v>37</v>
      </c>
      <c r="BD9" s="9" t="str">
        <f>MID(Tabulka1[[#This Row],[BPEJ]],6,1)</f>
        <v>1</v>
      </c>
      <c r="BE9" s="9" t="str">
        <f>MID(Tabulka1[[#This Row],[BPEJ]],7,1)</f>
        <v>6</v>
      </c>
      <c r="BF9" s="2" t="str">
        <f t="shared" si="0"/>
        <v>T</v>
      </c>
      <c r="BG9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9" s="134">
        <v>1.36</v>
      </c>
      <c r="BI9" s="2">
        <f t="shared" si="1"/>
        <v>13.600000000000001</v>
      </c>
      <c r="BJ9" s="2">
        <f>Tabulka1[[#This Row],[P2O5_60]]*10</f>
        <v>142</v>
      </c>
      <c r="BK9" s="2">
        <f>Tabulka1[[#This Row],[K2O_30]]*10</f>
        <v>930</v>
      </c>
      <c r="BL9" s="2">
        <f>Tabulka1[[#This Row],[K2O_60]]*10</f>
        <v>778</v>
      </c>
      <c r="BN9" s="2">
        <f>VLOOKUP(Tabulka1[[#This Row],[ID]],'Zdroj hloubka okresy'!$A$2:$F$171,5,FALSE)</f>
        <v>1.51</v>
      </c>
      <c r="BO9" s="2">
        <f>VLOOKUP(Tabulka1[[#This Row],[ID]],'Zdroj hloubka okresy'!$A$2:$D$171,3,FALSE)</f>
        <v>24</v>
      </c>
      <c r="BP9" s="2">
        <f>VLOOKUP(Tabulka1[[#This Row],[ID]],'Zdroj hloubka okresy'!$A$2:$D$171,4,FALSE)</f>
        <v>22</v>
      </c>
    </row>
    <row r="10" spans="1:68" x14ac:dyDescent="0.35">
      <c r="A10" s="13">
        <v>824</v>
      </c>
      <c r="B10" s="14" t="s">
        <v>565</v>
      </c>
      <c r="C10" s="7">
        <v>5.55</v>
      </c>
      <c r="D10" s="7">
        <v>5.25</v>
      </c>
      <c r="E10" s="7">
        <v>4.67</v>
      </c>
      <c r="F10" s="7">
        <v>4.32</v>
      </c>
      <c r="G10" s="7">
        <v>2.5099999999999998</v>
      </c>
      <c r="H10" s="7">
        <v>1.44</v>
      </c>
      <c r="I10" s="7">
        <v>1.45</v>
      </c>
      <c r="J10" s="7">
        <v>0.84</v>
      </c>
      <c r="K10" s="7">
        <v>0</v>
      </c>
      <c r="L10" s="7">
        <v>0</v>
      </c>
      <c r="M10" s="7">
        <v>28.799999999999997</v>
      </c>
      <c r="N10" s="139">
        <v>17.5</v>
      </c>
      <c r="O10" s="139">
        <v>114.7</v>
      </c>
      <c r="P10" s="139">
        <v>83.3</v>
      </c>
      <c r="Q10" s="7">
        <v>16.420000000000002</v>
      </c>
      <c r="R10" s="7">
        <v>13.69</v>
      </c>
      <c r="S10" s="7">
        <v>40.049999999999997</v>
      </c>
      <c r="T10" s="7">
        <v>41.38</v>
      </c>
      <c r="U10" s="4">
        <v>1</v>
      </c>
      <c r="V10" s="4">
        <f>VLOOKUP(Tabulka1[[#This Row],[ID]],'Zdroj hloubka okresy'!$A$2:$K$171,5,FALSE)</f>
        <v>1.44</v>
      </c>
      <c r="W10" s="4">
        <f>VLOOKUP(Tabulka1[[#This Row],[ID]],'Zdroj hloubka okresy'!$A$2:$K$171,6,FALSE)</f>
        <v>1.41</v>
      </c>
      <c r="X10" s="4">
        <v>13.94</v>
      </c>
      <c r="Y10" s="4">
        <v>17.440000000000001</v>
      </c>
      <c r="Z10" s="4">
        <v>23.3</v>
      </c>
      <c r="AA10" s="4">
        <v>22.71</v>
      </c>
      <c r="AB10" s="4">
        <v>31.46</v>
      </c>
      <c r="AC10" s="4">
        <v>31.65</v>
      </c>
      <c r="AD10" s="4">
        <v>14.51</v>
      </c>
      <c r="AE10" s="4">
        <v>13.96</v>
      </c>
      <c r="AF10" s="4">
        <v>16.79</v>
      </c>
      <c r="AG10" s="4">
        <v>14.24</v>
      </c>
      <c r="AH10" s="4" t="s">
        <v>698</v>
      </c>
      <c r="AI10" s="5" t="s">
        <v>791</v>
      </c>
      <c r="AJ10" s="4">
        <v>1.34</v>
      </c>
      <c r="AK10" s="4">
        <v>5</v>
      </c>
      <c r="AL10" s="4" t="s">
        <v>798</v>
      </c>
      <c r="AM10" s="20" t="s">
        <v>824</v>
      </c>
      <c r="AN10" s="7" t="s">
        <v>806</v>
      </c>
      <c r="AP10" s="15">
        <v>0</v>
      </c>
      <c r="AQ10" s="9" t="str">
        <f>MID(Tabulka1[[#This Row],[BPEJ]],1,1)</f>
        <v>7</v>
      </c>
      <c r="AW10" s="9"/>
      <c r="AX10">
        <v>7</v>
      </c>
      <c r="AY10" s="114">
        <v>67</v>
      </c>
      <c r="AZ10" s="114">
        <v>0</v>
      </c>
      <c r="BA10" s="114">
        <v>1</v>
      </c>
      <c r="BB10" s="9">
        <v>7</v>
      </c>
      <c r="BC10" s="9" t="str">
        <f>MID(Tabulka1[[#This Row],[BPEJ]],3,2)</f>
        <v>67</v>
      </c>
      <c r="BD10" s="9" t="str">
        <f>MID(Tabulka1[[#This Row],[BPEJ]],6,1)</f>
        <v>0</v>
      </c>
      <c r="BE10" s="9" t="str">
        <f>MID(Tabulka1[[#This Row],[BPEJ]],7,1)</f>
        <v>1</v>
      </c>
      <c r="BF10" s="2" t="str">
        <f t="shared" si="0"/>
        <v>CH</v>
      </c>
      <c r="BG10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0" s="7">
        <v>2.88</v>
      </c>
      <c r="BI10" s="2">
        <f t="shared" si="1"/>
        <v>28.799999999999997</v>
      </c>
      <c r="BJ10" s="2">
        <f>Tabulka1[[#This Row],[P2O5_60]]*10</f>
        <v>175</v>
      </c>
      <c r="BK10" s="2">
        <f>Tabulka1[[#This Row],[K2O_30]]*10</f>
        <v>1147</v>
      </c>
      <c r="BL10" s="2">
        <f>Tabulka1[[#This Row],[K2O_60]]*10</f>
        <v>833</v>
      </c>
      <c r="BN10" s="2">
        <f>VLOOKUP(Tabulka1[[#This Row],[ID]],'Zdroj hloubka okresy'!$A$2:$F$171,5,FALSE)</f>
        <v>1.44</v>
      </c>
      <c r="BO10" s="2">
        <f>VLOOKUP(Tabulka1[[#This Row],[ID]],'Zdroj hloubka okresy'!$A$2:$D$171,3,FALSE)</f>
        <v>19</v>
      </c>
      <c r="BP10" s="2">
        <f>VLOOKUP(Tabulka1[[#This Row],[ID]],'Zdroj hloubka okresy'!$A$2:$D$171,4,FALSE)</f>
        <v>16</v>
      </c>
    </row>
    <row r="11" spans="1:68" x14ac:dyDescent="0.35">
      <c r="A11" s="13">
        <v>827</v>
      </c>
      <c r="B11" s="14" t="s">
        <v>545</v>
      </c>
      <c r="C11" s="7">
        <v>6.87</v>
      </c>
      <c r="D11" s="7">
        <v>6.05</v>
      </c>
      <c r="E11" s="7">
        <v>6.2</v>
      </c>
      <c r="F11" s="7">
        <v>5.25</v>
      </c>
      <c r="G11" s="7">
        <v>2.2000000000000002</v>
      </c>
      <c r="H11" s="7">
        <v>1.26</v>
      </c>
      <c r="I11" s="7">
        <v>1.28</v>
      </c>
      <c r="J11" s="7">
        <v>0.73</v>
      </c>
      <c r="K11" s="7">
        <v>0</v>
      </c>
      <c r="L11" s="7">
        <v>0</v>
      </c>
      <c r="M11" s="7">
        <v>131</v>
      </c>
      <c r="N11" s="139">
        <v>65.7</v>
      </c>
      <c r="O11" s="139">
        <v>217</v>
      </c>
      <c r="P11" s="139">
        <v>144</v>
      </c>
      <c r="Q11" s="7">
        <v>16.670000000000002</v>
      </c>
      <c r="R11" s="7">
        <v>16.32</v>
      </c>
      <c r="S11" s="7">
        <v>82.87</v>
      </c>
      <c r="T11" s="7">
        <v>80.55</v>
      </c>
      <c r="U11" s="4">
        <v>4</v>
      </c>
      <c r="V11" s="4">
        <f>VLOOKUP(Tabulka1[[#This Row],[ID]],'Zdroj hloubka okresy'!$A$2:$K$171,5,FALSE)</f>
        <v>1.51</v>
      </c>
      <c r="W11" s="4">
        <f>VLOOKUP(Tabulka1[[#This Row],[ID]],'Zdroj hloubka okresy'!$A$2:$K$171,6,FALSE)</f>
        <v>1.44</v>
      </c>
      <c r="X11" s="4">
        <v>10.92</v>
      </c>
      <c r="Y11" s="4">
        <v>16.62</v>
      </c>
      <c r="Z11" s="4">
        <v>17.920000000000002</v>
      </c>
      <c r="AA11" s="4">
        <v>16.04</v>
      </c>
      <c r="AB11" s="4">
        <v>22.47</v>
      </c>
      <c r="AC11" s="4">
        <v>19.96</v>
      </c>
      <c r="AD11" s="4">
        <v>17.7</v>
      </c>
      <c r="AE11" s="4">
        <v>16.73</v>
      </c>
      <c r="AF11" s="4">
        <v>31</v>
      </c>
      <c r="AG11" s="4">
        <v>30.65</v>
      </c>
      <c r="AH11" s="4" t="s">
        <v>699</v>
      </c>
      <c r="AI11" s="5" t="s">
        <v>790</v>
      </c>
      <c r="AJ11" s="4">
        <v>3.44</v>
      </c>
      <c r="AK11" s="4">
        <v>4</v>
      </c>
      <c r="AL11" s="4" t="s">
        <v>797</v>
      </c>
      <c r="AM11" s="20" t="s">
        <v>824</v>
      </c>
      <c r="AN11" s="7" t="s">
        <v>806</v>
      </c>
      <c r="AP11" s="15">
        <v>0</v>
      </c>
      <c r="AQ11" s="9" t="str">
        <f>MID(Tabulka1[[#This Row],[BPEJ]],1,1)</f>
        <v>7</v>
      </c>
      <c r="AW11" s="9"/>
      <c r="AX11">
        <v>7</v>
      </c>
      <c r="AY11" s="114">
        <v>47</v>
      </c>
      <c r="AZ11" s="114">
        <v>1</v>
      </c>
      <c r="BA11" s="114">
        <v>2</v>
      </c>
      <c r="BB11" s="9">
        <v>7</v>
      </c>
      <c r="BC11" s="9" t="str">
        <f>MID(Tabulka1[[#This Row],[BPEJ]],3,2)</f>
        <v>47</v>
      </c>
      <c r="BD11" s="9" t="str">
        <f>MID(Tabulka1[[#This Row],[BPEJ]],6,1)</f>
        <v>1</v>
      </c>
      <c r="BE11" s="9" t="str">
        <f>MID(Tabulka1[[#This Row],[BPEJ]],7,1)</f>
        <v>2</v>
      </c>
      <c r="BF11" s="2" t="str">
        <f t="shared" si="0"/>
        <v>CH</v>
      </c>
      <c r="BG11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1" s="134">
        <v>13.1</v>
      </c>
      <c r="BI11" s="2">
        <f t="shared" si="1"/>
        <v>131</v>
      </c>
      <c r="BJ11" s="2">
        <f>Tabulka1[[#This Row],[P2O5_60]]*10</f>
        <v>657</v>
      </c>
      <c r="BK11" s="2">
        <f>Tabulka1[[#This Row],[K2O_30]]*10</f>
        <v>2170</v>
      </c>
      <c r="BL11" s="2">
        <f>Tabulka1[[#This Row],[K2O_60]]*10</f>
        <v>1440</v>
      </c>
      <c r="BN11" s="2">
        <f>VLOOKUP(Tabulka1[[#This Row],[ID]],'Zdroj hloubka okresy'!$A$2:$F$171,5,FALSE)</f>
        <v>1.51</v>
      </c>
      <c r="BO11" s="2">
        <f>VLOOKUP(Tabulka1[[#This Row],[ID]],'Zdroj hloubka okresy'!$A$2:$D$171,3,FALSE)</f>
        <v>20</v>
      </c>
      <c r="BP11" s="2">
        <f>VLOOKUP(Tabulka1[[#This Row],[ID]],'Zdroj hloubka okresy'!$A$2:$D$171,4,FALSE)</f>
        <v>18</v>
      </c>
    </row>
    <row r="12" spans="1:68" x14ac:dyDescent="0.35">
      <c r="A12" s="13">
        <v>830</v>
      </c>
      <c r="B12" s="14" t="s">
        <v>117</v>
      </c>
      <c r="C12" s="7">
        <v>7.68</v>
      </c>
      <c r="D12" s="7">
        <v>7.29</v>
      </c>
      <c r="E12" s="7">
        <v>7.13</v>
      </c>
      <c r="F12" s="7">
        <v>6.68</v>
      </c>
      <c r="G12" s="7">
        <v>1.65</v>
      </c>
      <c r="H12" s="7">
        <v>1.08</v>
      </c>
      <c r="I12" s="7">
        <v>0.95</v>
      </c>
      <c r="J12" s="7">
        <v>0.63</v>
      </c>
      <c r="K12" s="7">
        <v>0.17</v>
      </c>
      <c r="L12" s="7">
        <v>0.08</v>
      </c>
      <c r="M12" s="7">
        <v>40.700000000000003</v>
      </c>
      <c r="N12" s="139">
        <v>26.7</v>
      </c>
      <c r="O12" s="139">
        <v>66.7</v>
      </c>
      <c r="P12" s="139">
        <v>59.2</v>
      </c>
      <c r="Q12" s="7">
        <v>12.33</v>
      </c>
      <c r="R12" s="7">
        <v>11.48</v>
      </c>
      <c r="S12" s="7">
        <v>85.32</v>
      </c>
      <c r="T12" s="7">
        <v>86.7</v>
      </c>
      <c r="U12" s="4">
        <v>3</v>
      </c>
      <c r="V12" s="4">
        <f>VLOOKUP(Tabulka1[[#This Row],[ID]],'Zdroj hloubka okresy'!$A$2:$K$171,5,FALSE)</f>
        <v>1.54</v>
      </c>
      <c r="W12" s="4">
        <f>VLOOKUP(Tabulka1[[#This Row],[ID]],'Zdroj hloubka okresy'!$A$2:$K$171,6,FALSE)</f>
        <v>1.51</v>
      </c>
      <c r="X12" s="4">
        <v>9.08</v>
      </c>
      <c r="Y12" s="4">
        <v>10.92</v>
      </c>
      <c r="Z12" s="4">
        <v>16.66</v>
      </c>
      <c r="AA12" s="4">
        <v>16.13</v>
      </c>
      <c r="AB12" s="4">
        <v>26.88</v>
      </c>
      <c r="AC12" s="4">
        <v>25.34</v>
      </c>
      <c r="AD12" s="4">
        <v>30.77</v>
      </c>
      <c r="AE12" s="4">
        <v>29.58</v>
      </c>
      <c r="AF12" s="4">
        <v>16.62</v>
      </c>
      <c r="AG12" s="4">
        <v>18.03</v>
      </c>
      <c r="AH12" s="4" t="s">
        <v>700</v>
      </c>
      <c r="AI12" s="5" t="s">
        <v>789</v>
      </c>
      <c r="AJ12" s="4">
        <v>9</v>
      </c>
      <c r="AK12" s="4">
        <v>5</v>
      </c>
      <c r="AL12" s="4" t="s">
        <v>798</v>
      </c>
      <c r="AM12" s="20" t="s">
        <v>824</v>
      </c>
      <c r="AN12" s="7" t="s">
        <v>805</v>
      </c>
      <c r="AP12" s="15">
        <v>0</v>
      </c>
      <c r="AQ12" s="9" t="str">
        <f>MID(Tabulka1[[#This Row],[BPEJ]],1,1)</f>
        <v>5</v>
      </c>
      <c r="AW12" s="9"/>
      <c r="AX12">
        <v>5</v>
      </c>
      <c r="AY12" s="114">
        <v>29</v>
      </c>
      <c r="AZ12" s="114">
        <v>0</v>
      </c>
      <c r="BA12" s="114">
        <v>1</v>
      </c>
      <c r="BB12" s="9">
        <v>5</v>
      </c>
      <c r="BC12" s="9" t="str">
        <f>MID(Tabulka1[[#This Row],[BPEJ]],3,2)</f>
        <v>29</v>
      </c>
      <c r="BD12" s="9" t="str">
        <f>MID(Tabulka1[[#This Row],[BPEJ]],6,1)</f>
        <v>0</v>
      </c>
      <c r="BE12" s="9" t="str">
        <f>MID(Tabulka1[[#This Row],[BPEJ]],7,1)</f>
        <v>1</v>
      </c>
      <c r="BF12" s="2" t="str">
        <f t="shared" si="0"/>
        <v>T</v>
      </c>
      <c r="BG12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2" s="7">
        <v>4.07</v>
      </c>
      <c r="BI12" s="2">
        <f t="shared" si="1"/>
        <v>40.700000000000003</v>
      </c>
      <c r="BJ12" s="2">
        <f>Tabulka1[[#This Row],[P2O5_60]]*10</f>
        <v>267</v>
      </c>
      <c r="BK12" s="2">
        <f>Tabulka1[[#This Row],[K2O_30]]*10</f>
        <v>667</v>
      </c>
      <c r="BL12" s="2">
        <f>Tabulka1[[#This Row],[K2O_60]]*10</f>
        <v>592</v>
      </c>
      <c r="BN12" s="2">
        <f>VLOOKUP(Tabulka1[[#This Row],[ID]],'Zdroj hloubka okresy'!$A$2:$F$171,5,FALSE)</f>
        <v>1.54</v>
      </c>
      <c r="BO12" s="2">
        <f>VLOOKUP(Tabulka1[[#This Row],[ID]],'Zdroj hloubka okresy'!$A$2:$D$171,3,FALSE)</f>
        <v>25</v>
      </c>
      <c r="BP12" s="2">
        <f>VLOOKUP(Tabulka1[[#This Row],[ID]],'Zdroj hloubka okresy'!$A$2:$D$171,4,FALSE)</f>
        <v>30</v>
      </c>
    </row>
    <row r="13" spans="1:68" x14ac:dyDescent="0.35">
      <c r="A13" s="13">
        <v>833</v>
      </c>
      <c r="B13" s="14" t="s">
        <v>546</v>
      </c>
      <c r="C13" s="7">
        <v>6.29</v>
      </c>
      <c r="D13" s="7">
        <v>5.96</v>
      </c>
      <c r="E13" s="7">
        <v>5.53</v>
      </c>
      <c r="F13" s="7">
        <v>5.14</v>
      </c>
      <c r="G13" s="7">
        <v>1.81</v>
      </c>
      <c r="H13" s="7">
        <v>1.1200000000000001</v>
      </c>
      <c r="I13" s="7">
        <v>1.05</v>
      </c>
      <c r="J13" s="7">
        <v>0.65</v>
      </c>
      <c r="K13" s="7">
        <v>0</v>
      </c>
      <c r="L13" s="7">
        <v>0</v>
      </c>
      <c r="M13" s="7">
        <v>20.299999999999997</v>
      </c>
      <c r="N13" s="139">
        <v>13.5</v>
      </c>
      <c r="O13" s="139">
        <v>71</v>
      </c>
      <c r="P13" s="139">
        <v>68.899999999999991</v>
      </c>
      <c r="Q13" s="7">
        <v>14.92</v>
      </c>
      <c r="R13" s="7">
        <v>15.04</v>
      </c>
      <c r="S13" s="7">
        <v>58.89</v>
      </c>
      <c r="T13" s="7">
        <v>58.86</v>
      </c>
      <c r="U13" s="4">
        <v>3</v>
      </c>
      <c r="V13" s="4">
        <f>VLOOKUP(Tabulka1[[#This Row],[ID]],'Zdroj hloubka okresy'!$A$2:$K$171,5,FALSE)</f>
        <v>1.44</v>
      </c>
      <c r="W13" s="4">
        <f>VLOOKUP(Tabulka1[[#This Row],[ID]],'Zdroj hloubka okresy'!$A$2:$K$171,6,FALSE)</f>
        <v>1.39</v>
      </c>
      <c r="X13" s="4">
        <v>16.66</v>
      </c>
      <c r="Y13" s="4">
        <v>22.24</v>
      </c>
      <c r="Z13" s="4">
        <v>14.85</v>
      </c>
      <c r="AA13" s="4">
        <v>15.3</v>
      </c>
      <c r="AB13" s="4">
        <v>25.72</v>
      </c>
      <c r="AC13" s="4">
        <v>25.66</v>
      </c>
      <c r="AD13" s="4">
        <v>14.4</v>
      </c>
      <c r="AE13" s="4">
        <v>12.67</v>
      </c>
      <c r="AF13" s="4">
        <v>28.36</v>
      </c>
      <c r="AG13" s="4">
        <v>24.12</v>
      </c>
      <c r="AH13" s="4" t="s">
        <v>701</v>
      </c>
      <c r="AI13" s="5" t="s">
        <v>792</v>
      </c>
      <c r="AJ13" s="4">
        <v>4.7300000000000004</v>
      </c>
      <c r="AK13" s="4">
        <v>4</v>
      </c>
      <c r="AL13" s="4" t="s">
        <v>797</v>
      </c>
      <c r="AM13" s="20" t="s">
        <v>824</v>
      </c>
      <c r="AN13" s="7" t="s">
        <v>806</v>
      </c>
      <c r="AP13" s="15">
        <v>0</v>
      </c>
      <c r="AQ13" s="9" t="str">
        <f>MID(Tabulka1[[#This Row],[BPEJ]],1,1)</f>
        <v>7</v>
      </c>
      <c r="AW13" s="9"/>
      <c r="AX13">
        <v>7</v>
      </c>
      <c r="AY13" s="114">
        <v>47</v>
      </c>
      <c r="AZ13" s="114">
        <v>0</v>
      </c>
      <c r="BA13" s="114">
        <v>2</v>
      </c>
      <c r="BB13" s="9">
        <v>7</v>
      </c>
      <c r="BC13" s="9" t="str">
        <f>MID(Tabulka1[[#This Row],[BPEJ]],3,2)</f>
        <v>47</v>
      </c>
      <c r="BD13" s="9" t="str">
        <f>MID(Tabulka1[[#This Row],[BPEJ]],6,1)</f>
        <v>0</v>
      </c>
      <c r="BE13" s="9" t="str">
        <f>MID(Tabulka1[[#This Row],[BPEJ]],7,1)</f>
        <v>2</v>
      </c>
      <c r="BF13" s="2" t="str">
        <f t="shared" si="0"/>
        <v>CH</v>
      </c>
      <c r="BG13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3" s="134">
        <v>2.0299999999999998</v>
      </c>
      <c r="BI13" s="2">
        <f t="shared" si="1"/>
        <v>20.299999999999997</v>
      </c>
      <c r="BJ13" s="2">
        <f>Tabulka1[[#This Row],[P2O5_60]]*10</f>
        <v>135</v>
      </c>
      <c r="BK13" s="2">
        <f>Tabulka1[[#This Row],[K2O_30]]*10</f>
        <v>710</v>
      </c>
      <c r="BL13" s="2">
        <f>Tabulka1[[#This Row],[K2O_60]]*10</f>
        <v>688.99999999999989</v>
      </c>
      <c r="BN13" s="2">
        <f>VLOOKUP(Tabulka1[[#This Row],[ID]],'Zdroj hloubka okresy'!$A$2:$F$171,5,FALSE)</f>
        <v>1.44</v>
      </c>
      <c r="BO13" s="2">
        <f>VLOOKUP(Tabulka1[[#This Row],[ID]],'Zdroj hloubka okresy'!$A$2:$D$171,3,FALSE)</f>
        <v>23</v>
      </c>
      <c r="BP13" s="2">
        <f>VLOOKUP(Tabulka1[[#This Row],[ID]],'Zdroj hloubka okresy'!$A$2:$D$171,4,FALSE)</f>
        <v>17</v>
      </c>
    </row>
    <row r="14" spans="1:68" x14ac:dyDescent="0.35">
      <c r="A14" s="13">
        <v>836</v>
      </c>
      <c r="B14" s="14" t="s">
        <v>550</v>
      </c>
      <c r="C14" s="7">
        <v>5.08</v>
      </c>
      <c r="D14" s="7">
        <v>5.01</v>
      </c>
      <c r="E14" s="7">
        <v>4.12</v>
      </c>
      <c r="F14" s="7">
        <v>4.04</v>
      </c>
      <c r="G14" s="7">
        <v>0.84</v>
      </c>
      <c r="H14" s="7">
        <v>0.48</v>
      </c>
      <c r="I14" s="7">
        <v>0.49</v>
      </c>
      <c r="J14" s="7">
        <v>0.28000000000000003</v>
      </c>
      <c r="K14" s="7">
        <v>0</v>
      </c>
      <c r="L14" s="7">
        <v>0</v>
      </c>
      <c r="M14" s="7">
        <v>9</v>
      </c>
      <c r="N14" s="139">
        <v>5.8</v>
      </c>
      <c r="O14" s="139">
        <v>140</v>
      </c>
      <c r="P14" s="139">
        <v>115</v>
      </c>
      <c r="Q14" s="7">
        <v>10.46</v>
      </c>
      <c r="R14" s="7">
        <v>9.5500000000000007</v>
      </c>
      <c r="S14" s="7">
        <v>47.46</v>
      </c>
      <c r="T14" s="7">
        <v>52.3</v>
      </c>
      <c r="U14" s="4">
        <v>3</v>
      </c>
      <c r="V14" s="4">
        <f>VLOOKUP(Tabulka1[[#This Row],[ID]],'Zdroj hloubka okresy'!$A$2:$K$171,5,FALSE)</f>
        <v>1.58</v>
      </c>
      <c r="W14" s="4">
        <f>VLOOKUP(Tabulka1[[#This Row],[ID]],'Zdroj hloubka okresy'!$A$2:$K$171,6,FALSE)</f>
        <v>1.59</v>
      </c>
      <c r="X14" s="4">
        <v>8.33</v>
      </c>
      <c r="Y14" s="4">
        <v>8.06</v>
      </c>
      <c r="Z14" s="4">
        <v>15.59</v>
      </c>
      <c r="AA14" s="4">
        <v>13.32</v>
      </c>
      <c r="AB14" s="4">
        <v>14.48</v>
      </c>
      <c r="AC14" s="4">
        <v>12.89</v>
      </c>
      <c r="AD14" s="4">
        <v>15.18</v>
      </c>
      <c r="AE14" s="4">
        <v>17.149999999999999</v>
      </c>
      <c r="AF14" s="4">
        <v>46.42</v>
      </c>
      <c r="AG14" s="4">
        <v>48.59</v>
      </c>
      <c r="AH14" s="4" t="s">
        <v>702</v>
      </c>
      <c r="AI14" s="5" t="s">
        <v>790</v>
      </c>
      <c r="AJ14" s="4">
        <v>4.3899999999999997</v>
      </c>
      <c r="AK14" s="4">
        <v>4</v>
      </c>
      <c r="AL14" s="4" t="s">
        <v>797</v>
      </c>
      <c r="AM14" s="20" t="s">
        <v>824</v>
      </c>
      <c r="AN14" s="7" t="s">
        <v>802</v>
      </c>
      <c r="AP14" s="15">
        <v>0</v>
      </c>
      <c r="AQ14" s="9" t="str">
        <f>MID(Tabulka1[[#This Row],[BPEJ]],1,1)</f>
        <v>5</v>
      </c>
      <c r="AW14" s="9"/>
      <c r="AX14">
        <v>5</v>
      </c>
      <c r="AY14" s="114">
        <v>26</v>
      </c>
      <c r="AZ14" s="114">
        <v>1</v>
      </c>
      <c r="BA14" s="114">
        <v>4</v>
      </c>
      <c r="BB14" s="9">
        <v>5</v>
      </c>
      <c r="BC14" s="9" t="str">
        <f>MID(Tabulka1[[#This Row],[BPEJ]],3,2)</f>
        <v>26</v>
      </c>
      <c r="BD14" s="9" t="str">
        <f>MID(Tabulka1[[#This Row],[BPEJ]],6,1)</f>
        <v>1</v>
      </c>
      <c r="BE14" s="9" t="str">
        <f>MID(Tabulka1[[#This Row],[BPEJ]],7,1)</f>
        <v>4</v>
      </c>
      <c r="BF14" s="2" t="str">
        <f t="shared" si="0"/>
        <v>T</v>
      </c>
      <c r="BG14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4" s="7">
        <v>0.9</v>
      </c>
      <c r="BI14" s="2">
        <f t="shared" si="1"/>
        <v>9</v>
      </c>
      <c r="BJ14" s="2">
        <f>Tabulka1[[#This Row],[P2O5_60]]*10</f>
        <v>58</v>
      </c>
      <c r="BK14" s="2">
        <f>Tabulka1[[#This Row],[K2O_30]]*10</f>
        <v>1400</v>
      </c>
      <c r="BL14" s="2">
        <f>Tabulka1[[#This Row],[K2O_60]]*10</f>
        <v>1150</v>
      </c>
      <c r="BN14" s="2">
        <f>VLOOKUP(Tabulka1[[#This Row],[ID]],'Zdroj hloubka okresy'!$A$2:$F$171,5,FALSE)</f>
        <v>1.58</v>
      </c>
      <c r="BO14" s="2">
        <f>VLOOKUP(Tabulka1[[#This Row],[ID]],'Zdroj hloubka okresy'!$A$2:$D$171,3,FALSE)</f>
        <v>18</v>
      </c>
      <c r="BP14" s="2">
        <f>VLOOKUP(Tabulka1[[#This Row],[ID]],'Zdroj hloubka okresy'!$A$2:$D$171,4,FALSE)</f>
        <v>32</v>
      </c>
    </row>
    <row r="15" spans="1:68" x14ac:dyDescent="0.35">
      <c r="A15" s="13">
        <v>839</v>
      </c>
      <c r="B15" s="14" t="s">
        <v>529</v>
      </c>
      <c r="C15" s="7">
        <v>5.61</v>
      </c>
      <c r="D15" s="7">
        <v>5.69</v>
      </c>
      <c r="E15" s="7">
        <v>4.7300000000000004</v>
      </c>
      <c r="F15" s="7">
        <v>4.83</v>
      </c>
      <c r="G15" s="7">
        <v>1.25</v>
      </c>
      <c r="H15" s="7">
        <v>0.76</v>
      </c>
      <c r="I15" s="7">
        <v>0.72</v>
      </c>
      <c r="J15" s="7">
        <v>0.44</v>
      </c>
      <c r="K15" s="7">
        <v>0</v>
      </c>
      <c r="L15" s="7">
        <v>0</v>
      </c>
      <c r="M15" s="7">
        <v>10</v>
      </c>
      <c r="N15" s="139">
        <v>9.6999999999999993</v>
      </c>
      <c r="O15" s="139">
        <v>60</v>
      </c>
      <c r="P15" s="139">
        <v>53.3</v>
      </c>
      <c r="Q15" s="7">
        <v>10.63</v>
      </c>
      <c r="R15" s="7">
        <v>9.6300000000000008</v>
      </c>
      <c r="S15" s="7">
        <v>50.43</v>
      </c>
      <c r="T15" s="7">
        <v>59.23</v>
      </c>
      <c r="U15" s="4">
        <v>3</v>
      </c>
      <c r="V15" s="4">
        <f>VLOOKUP(Tabulka1[[#This Row],[ID]],'Zdroj hloubka okresy'!$A$2:$K$171,5,FALSE)</f>
        <v>1.62</v>
      </c>
      <c r="W15" s="4">
        <f>VLOOKUP(Tabulka1[[#This Row],[ID]],'Zdroj hloubka okresy'!$A$2:$K$171,6,FALSE)</f>
        <v>1.62</v>
      </c>
      <c r="X15" s="4">
        <v>6.97</v>
      </c>
      <c r="Y15" s="4">
        <v>7.09</v>
      </c>
      <c r="Z15" s="4">
        <v>7.76</v>
      </c>
      <c r="AA15" s="4">
        <v>6.67</v>
      </c>
      <c r="AB15" s="4">
        <v>17.670000000000002</v>
      </c>
      <c r="AC15" s="4">
        <v>16.75</v>
      </c>
      <c r="AD15" s="4">
        <v>22.35</v>
      </c>
      <c r="AE15" s="4">
        <v>23.4</v>
      </c>
      <c r="AF15" s="4">
        <v>45.24</v>
      </c>
      <c r="AG15" s="4">
        <v>46.09</v>
      </c>
      <c r="AH15" s="4" t="s">
        <v>703</v>
      </c>
      <c r="AI15" s="5" t="s">
        <v>789</v>
      </c>
      <c r="AJ15" s="4">
        <v>7.79</v>
      </c>
      <c r="AK15" s="4">
        <v>4</v>
      </c>
      <c r="AL15" s="4" t="s">
        <v>797</v>
      </c>
      <c r="AM15" s="20" t="s">
        <v>824</v>
      </c>
      <c r="AN15" s="7" t="s">
        <v>802</v>
      </c>
      <c r="AP15" s="15">
        <v>0</v>
      </c>
      <c r="AQ15" s="9" t="str">
        <f>MID(Tabulka1[[#This Row],[BPEJ]],1,1)</f>
        <v>5</v>
      </c>
      <c r="AW15" s="9"/>
      <c r="AX15">
        <v>5</v>
      </c>
      <c r="AY15" s="114">
        <v>29</v>
      </c>
      <c r="AZ15" s="114">
        <v>1</v>
      </c>
      <c r="BA15" s="114">
        <v>1</v>
      </c>
      <c r="BB15" s="9">
        <v>5</v>
      </c>
      <c r="BC15" s="9" t="str">
        <f>MID(Tabulka1[[#This Row],[BPEJ]],3,2)</f>
        <v>29</v>
      </c>
      <c r="BD15" s="9" t="str">
        <f>MID(Tabulka1[[#This Row],[BPEJ]],6,1)</f>
        <v>1</v>
      </c>
      <c r="BE15" s="9" t="str">
        <f>MID(Tabulka1[[#This Row],[BPEJ]],7,1)</f>
        <v>1</v>
      </c>
      <c r="BF15" s="2" t="str">
        <f t="shared" si="0"/>
        <v>T</v>
      </c>
      <c r="BG15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15" s="134">
        <v>1</v>
      </c>
      <c r="BI15" s="2">
        <f t="shared" si="1"/>
        <v>10</v>
      </c>
      <c r="BJ15" s="2">
        <f>Tabulka1[[#This Row],[P2O5_60]]*10</f>
        <v>97</v>
      </c>
      <c r="BK15" s="2">
        <f>Tabulka1[[#This Row],[K2O_30]]*10</f>
        <v>600</v>
      </c>
      <c r="BL15" s="2">
        <f>Tabulka1[[#This Row],[K2O_60]]*10</f>
        <v>533</v>
      </c>
      <c r="BN15" s="2">
        <f>VLOOKUP(Tabulka1[[#This Row],[ID]],'Zdroj hloubka okresy'!$A$2:$F$171,5,FALSE)</f>
        <v>1.62</v>
      </c>
      <c r="BO15" s="2">
        <f>VLOOKUP(Tabulka1[[#This Row],[ID]],'Zdroj hloubka okresy'!$A$2:$D$171,3,FALSE)</f>
        <v>20</v>
      </c>
      <c r="BP15" s="2">
        <f>VLOOKUP(Tabulka1[[#This Row],[ID]],'Zdroj hloubka okresy'!$A$2:$D$171,4,FALSE)</f>
        <v>15</v>
      </c>
    </row>
    <row r="16" spans="1:68" x14ac:dyDescent="0.35">
      <c r="A16" s="13">
        <v>842</v>
      </c>
      <c r="B16" s="14" t="s">
        <v>108</v>
      </c>
      <c r="C16" s="7">
        <v>5.93</v>
      </c>
      <c r="D16" s="7">
        <v>5.36</v>
      </c>
      <c r="E16" s="7">
        <v>5.0999999999999996</v>
      </c>
      <c r="F16" s="7">
        <v>4.45</v>
      </c>
      <c r="G16" s="7">
        <v>1.72</v>
      </c>
      <c r="H16" s="7">
        <v>1.39</v>
      </c>
      <c r="I16" s="7">
        <v>1</v>
      </c>
      <c r="J16" s="7">
        <v>0.8</v>
      </c>
      <c r="K16" s="7">
        <v>0</v>
      </c>
      <c r="L16" s="7">
        <v>0</v>
      </c>
      <c r="M16" s="7">
        <v>15.9</v>
      </c>
      <c r="N16" s="139">
        <v>30.4</v>
      </c>
      <c r="O16" s="139">
        <v>152</v>
      </c>
      <c r="P16" s="139">
        <v>106</v>
      </c>
      <c r="Q16" s="7">
        <v>12.84</v>
      </c>
      <c r="R16" s="7">
        <v>12.42</v>
      </c>
      <c r="S16" s="7">
        <v>56.5</v>
      </c>
      <c r="T16" s="7">
        <v>55.35</v>
      </c>
      <c r="U16" s="4">
        <v>2</v>
      </c>
      <c r="V16" s="4">
        <f>VLOOKUP(Tabulka1[[#This Row],[ID]],'Zdroj hloubka okresy'!$A$2:$K$171,5,FALSE)</f>
        <v>1.55</v>
      </c>
      <c r="W16" s="4">
        <f>VLOOKUP(Tabulka1[[#This Row],[ID]],'Zdroj hloubka okresy'!$A$2:$K$171,6,FALSE)</f>
        <v>1.57</v>
      </c>
      <c r="X16" s="4">
        <v>8.7200000000000006</v>
      </c>
      <c r="Y16" s="4">
        <v>8.02</v>
      </c>
      <c r="Z16" s="4">
        <v>14.13</v>
      </c>
      <c r="AA16" s="4">
        <v>14.11</v>
      </c>
      <c r="AB16" s="4">
        <v>22.97</v>
      </c>
      <c r="AC16" s="4">
        <v>23.09</v>
      </c>
      <c r="AD16" s="4">
        <v>14.73</v>
      </c>
      <c r="AE16" s="4">
        <v>13.97</v>
      </c>
      <c r="AF16" s="4">
        <v>39.44</v>
      </c>
      <c r="AG16" s="4">
        <v>40.82</v>
      </c>
      <c r="AH16" s="4" t="s">
        <v>704</v>
      </c>
      <c r="AI16" s="5" t="s">
        <v>791</v>
      </c>
      <c r="AJ16" s="4">
        <v>3.9</v>
      </c>
      <c r="AK16" s="4">
        <v>5</v>
      </c>
      <c r="AL16" s="4" t="s">
        <v>798</v>
      </c>
      <c r="AM16" s="20" t="s">
        <v>796</v>
      </c>
      <c r="AN16" s="7" t="s">
        <v>804</v>
      </c>
      <c r="AP16" s="15">
        <v>0</v>
      </c>
      <c r="AQ16" s="9" t="str">
        <f>MID(Tabulka1[[#This Row],[BPEJ]],1,1)</f>
        <v>5</v>
      </c>
      <c r="AW16" s="9"/>
      <c r="AX16">
        <v>5</v>
      </c>
      <c r="AY16" s="114">
        <v>32</v>
      </c>
      <c r="AZ16" s="114">
        <v>1</v>
      </c>
      <c r="BA16" s="114">
        <v>4</v>
      </c>
      <c r="BB16" s="9">
        <v>5</v>
      </c>
      <c r="BC16" s="9" t="str">
        <f>MID(Tabulka1[[#This Row],[BPEJ]],3,2)</f>
        <v>32</v>
      </c>
      <c r="BD16" s="9" t="str">
        <f>MID(Tabulka1[[#This Row],[BPEJ]],6,1)</f>
        <v>1</v>
      </c>
      <c r="BE16" s="9" t="str">
        <f>MID(Tabulka1[[#This Row],[BPEJ]],7,1)</f>
        <v>4</v>
      </c>
      <c r="BF16" s="2" t="str">
        <f t="shared" si="0"/>
        <v>T</v>
      </c>
      <c r="BG16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6" s="7">
        <v>1.59</v>
      </c>
      <c r="BI16" s="2">
        <f t="shared" si="1"/>
        <v>15.9</v>
      </c>
      <c r="BJ16" s="2">
        <f>Tabulka1[[#This Row],[P2O5_60]]*10</f>
        <v>304</v>
      </c>
      <c r="BK16" s="2">
        <f>Tabulka1[[#This Row],[K2O_30]]*10</f>
        <v>1520</v>
      </c>
      <c r="BL16" s="2">
        <f>Tabulka1[[#This Row],[K2O_60]]*10</f>
        <v>1060</v>
      </c>
      <c r="BN16" s="2">
        <f>VLOOKUP(Tabulka1[[#This Row],[ID]],'Zdroj hloubka okresy'!$A$2:$F$171,5,FALSE)</f>
        <v>1.55</v>
      </c>
      <c r="BO16" s="2">
        <f>VLOOKUP(Tabulka1[[#This Row],[ID]],'Zdroj hloubka okresy'!$A$2:$D$171,3,FALSE)</f>
        <v>23</v>
      </c>
      <c r="BP16" s="2">
        <f>VLOOKUP(Tabulka1[[#This Row],[ID]],'Zdroj hloubka okresy'!$A$2:$D$171,4,FALSE)</f>
        <v>42</v>
      </c>
    </row>
    <row r="17" spans="1:68" x14ac:dyDescent="0.35">
      <c r="A17" s="13">
        <v>845</v>
      </c>
      <c r="B17" s="14" t="s">
        <v>111</v>
      </c>
      <c r="C17" s="7">
        <v>5.2</v>
      </c>
      <c r="D17" s="7">
        <v>5.24</v>
      </c>
      <c r="E17" s="7">
        <v>4.26</v>
      </c>
      <c r="F17" s="7">
        <v>4.3099999999999996</v>
      </c>
      <c r="G17" s="7">
        <v>1.0900000000000001</v>
      </c>
      <c r="H17" s="7">
        <v>0.8</v>
      </c>
      <c r="I17" s="7">
        <v>0.63</v>
      </c>
      <c r="J17" s="7">
        <v>0.47</v>
      </c>
      <c r="K17" s="7">
        <v>0</v>
      </c>
      <c r="L17" s="7">
        <v>0</v>
      </c>
      <c r="M17" s="7">
        <v>8</v>
      </c>
      <c r="N17" s="139">
        <v>8.8000000000000007</v>
      </c>
      <c r="O17" s="139">
        <v>75.3</v>
      </c>
      <c r="P17" s="139">
        <v>60</v>
      </c>
      <c r="Q17" s="7">
        <v>11.36</v>
      </c>
      <c r="R17" s="7">
        <v>11.05</v>
      </c>
      <c r="S17" s="7">
        <v>52.79</v>
      </c>
      <c r="T17" s="7">
        <v>60.16</v>
      </c>
      <c r="U17" s="4">
        <v>3</v>
      </c>
      <c r="V17" s="4">
        <f>VLOOKUP(Tabulka1[[#This Row],[ID]],'Zdroj hloubka okresy'!$A$2:$K$171,5,FALSE)</f>
        <v>1.67</v>
      </c>
      <c r="W17" s="4">
        <f>VLOOKUP(Tabulka1[[#This Row],[ID]],'Zdroj hloubka okresy'!$A$2:$K$171,6,FALSE)</f>
        <v>1.67</v>
      </c>
      <c r="X17" s="4">
        <v>4.62</v>
      </c>
      <c r="Y17" s="4">
        <v>4.67</v>
      </c>
      <c r="Z17" s="4">
        <v>7.59</v>
      </c>
      <c r="AA17" s="4">
        <v>7.02</v>
      </c>
      <c r="AB17" s="4">
        <v>15.25</v>
      </c>
      <c r="AC17" s="4">
        <v>15.89</v>
      </c>
      <c r="AD17" s="4">
        <v>19.350000000000001</v>
      </c>
      <c r="AE17" s="4">
        <v>20.010000000000002</v>
      </c>
      <c r="AF17" s="4">
        <v>53.2</v>
      </c>
      <c r="AG17" s="4">
        <v>52.42</v>
      </c>
      <c r="AH17" s="4" t="s">
        <v>705</v>
      </c>
      <c r="AI17" s="5" t="s">
        <v>792</v>
      </c>
      <c r="AJ17" s="4">
        <v>5</v>
      </c>
      <c r="AK17" s="4">
        <v>4</v>
      </c>
      <c r="AL17" s="4" t="s">
        <v>797</v>
      </c>
      <c r="AM17" s="20" t="s">
        <v>796</v>
      </c>
      <c r="AN17" s="7" t="s">
        <v>802</v>
      </c>
      <c r="AP17" s="15">
        <v>0</v>
      </c>
      <c r="AQ17" s="9" t="str">
        <f>MID(Tabulka1[[#This Row],[BPEJ]],1,1)</f>
        <v>5</v>
      </c>
      <c r="AW17" s="9"/>
      <c r="AX17">
        <v>5</v>
      </c>
      <c r="AY17" s="114">
        <v>29</v>
      </c>
      <c r="AZ17" s="114">
        <v>1</v>
      </c>
      <c r="BA17" s="114">
        <v>4</v>
      </c>
      <c r="BB17" s="9">
        <v>5</v>
      </c>
      <c r="BC17" s="9" t="str">
        <f>MID(Tabulka1[[#This Row],[BPEJ]],3,2)</f>
        <v>29</v>
      </c>
      <c r="BD17" s="9" t="str">
        <f>MID(Tabulka1[[#This Row],[BPEJ]],6,1)</f>
        <v>1</v>
      </c>
      <c r="BE17" s="9" t="str">
        <f>MID(Tabulka1[[#This Row],[BPEJ]],7,1)</f>
        <v>4</v>
      </c>
      <c r="BF17" s="2" t="str">
        <f t="shared" si="0"/>
        <v>T</v>
      </c>
      <c r="BG17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17" s="134">
        <v>0.8</v>
      </c>
      <c r="BI17" s="2">
        <f t="shared" si="1"/>
        <v>8</v>
      </c>
      <c r="BJ17" s="2">
        <f>Tabulka1[[#This Row],[P2O5_60]]*10</f>
        <v>88</v>
      </c>
      <c r="BK17" s="2">
        <f>Tabulka1[[#This Row],[K2O_30]]*10</f>
        <v>753</v>
      </c>
      <c r="BL17" s="2">
        <f>Tabulka1[[#This Row],[K2O_60]]*10</f>
        <v>600</v>
      </c>
      <c r="BN17" s="2">
        <f>VLOOKUP(Tabulka1[[#This Row],[ID]],'Zdroj hloubka okresy'!$A$2:$F$171,5,FALSE)</f>
        <v>1.67</v>
      </c>
      <c r="BO17" s="2">
        <f>VLOOKUP(Tabulka1[[#This Row],[ID]],'Zdroj hloubka okresy'!$A$2:$D$171,3,FALSE)</f>
        <v>19</v>
      </c>
      <c r="BP17" s="2">
        <f>VLOOKUP(Tabulka1[[#This Row],[ID]],'Zdroj hloubka okresy'!$A$2:$D$171,4,FALSE)</f>
        <v>25</v>
      </c>
    </row>
    <row r="18" spans="1:68" x14ac:dyDescent="0.35">
      <c r="A18" s="13">
        <v>848</v>
      </c>
      <c r="B18" s="14" t="s">
        <v>124</v>
      </c>
      <c r="C18" s="7">
        <v>6.26</v>
      </c>
      <c r="D18" s="7">
        <v>6.24</v>
      </c>
      <c r="E18" s="7">
        <v>5.49</v>
      </c>
      <c r="F18" s="7">
        <v>5.47</v>
      </c>
      <c r="G18" s="7">
        <v>1.51</v>
      </c>
      <c r="H18" s="7">
        <v>1.06</v>
      </c>
      <c r="I18" s="7">
        <v>0.88</v>
      </c>
      <c r="J18" s="7">
        <v>0.62</v>
      </c>
      <c r="K18" s="7">
        <v>0</v>
      </c>
      <c r="L18" s="7">
        <v>0</v>
      </c>
      <c r="M18" s="7">
        <v>62.800000000000004</v>
      </c>
      <c r="N18" s="139">
        <v>48.4</v>
      </c>
      <c r="O18" s="139">
        <v>133.4</v>
      </c>
      <c r="P18" s="139">
        <v>106.4</v>
      </c>
      <c r="Q18" s="7">
        <v>11.67</v>
      </c>
      <c r="R18" s="7">
        <v>10.27</v>
      </c>
      <c r="S18" s="7">
        <v>74.98</v>
      </c>
      <c r="T18" s="7">
        <v>76.22</v>
      </c>
      <c r="U18" s="4">
        <v>3</v>
      </c>
      <c r="V18" s="4">
        <f>VLOOKUP(Tabulka1[[#This Row],[ID]],'Zdroj hloubka okresy'!$A$2:$K$171,5,FALSE)</f>
        <v>1.61</v>
      </c>
      <c r="W18" s="4">
        <f>VLOOKUP(Tabulka1[[#This Row],[ID]],'Zdroj hloubka okresy'!$A$2:$K$171,6,FALSE)</f>
        <v>1.69</v>
      </c>
      <c r="X18" s="4">
        <v>6.44</v>
      </c>
      <c r="Y18" s="4">
        <v>6.19</v>
      </c>
      <c r="Z18" s="4">
        <v>8.8800000000000008</v>
      </c>
      <c r="AA18" s="4">
        <v>6.99</v>
      </c>
      <c r="AB18" s="4">
        <v>14.49</v>
      </c>
      <c r="AC18" s="4">
        <v>11.97</v>
      </c>
      <c r="AD18" s="4">
        <v>20.73</v>
      </c>
      <c r="AE18" s="4">
        <v>18.940000000000001</v>
      </c>
      <c r="AF18" s="4">
        <v>49.46</v>
      </c>
      <c r="AG18" s="4">
        <v>55.91</v>
      </c>
      <c r="AH18" s="4" t="s">
        <v>705</v>
      </c>
      <c r="AI18" s="5" t="s">
        <v>792</v>
      </c>
      <c r="AJ18" s="4">
        <v>5</v>
      </c>
      <c r="AK18" s="4">
        <v>3</v>
      </c>
      <c r="AL18" s="4" t="s">
        <v>798</v>
      </c>
      <c r="AM18" s="20" t="s">
        <v>824</v>
      </c>
      <c r="AN18" s="7" t="s">
        <v>802</v>
      </c>
      <c r="AP18" s="15">
        <v>0</v>
      </c>
      <c r="AQ18" s="9" t="str">
        <f>MID(Tabulka1[[#This Row],[BPEJ]],1,1)</f>
        <v>5</v>
      </c>
      <c r="AW18" s="9"/>
      <c r="AX18">
        <v>5</v>
      </c>
      <c r="AY18" s="114">
        <v>29</v>
      </c>
      <c r="AZ18" s="114">
        <v>1</v>
      </c>
      <c r="BA18" s="114">
        <v>4</v>
      </c>
      <c r="BB18" s="9">
        <v>5</v>
      </c>
      <c r="BC18" s="9" t="str">
        <f>MID(Tabulka1[[#This Row],[BPEJ]],3,2)</f>
        <v>29</v>
      </c>
      <c r="BD18" s="9" t="str">
        <f>MID(Tabulka1[[#This Row],[BPEJ]],6,1)</f>
        <v>1</v>
      </c>
      <c r="BE18" s="9" t="str">
        <f>MID(Tabulka1[[#This Row],[BPEJ]],7,1)</f>
        <v>4</v>
      </c>
      <c r="BF18" s="2" t="str">
        <f t="shared" si="0"/>
        <v>T</v>
      </c>
      <c r="BG18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18" s="7">
        <v>6.28</v>
      </c>
      <c r="BI18" s="2">
        <f t="shared" si="1"/>
        <v>62.800000000000004</v>
      </c>
      <c r="BJ18" s="2">
        <f>Tabulka1[[#This Row],[P2O5_60]]*10</f>
        <v>484</v>
      </c>
      <c r="BK18" s="2">
        <f>Tabulka1[[#This Row],[K2O_30]]*10</f>
        <v>1334</v>
      </c>
      <c r="BL18" s="2">
        <f>Tabulka1[[#This Row],[K2O_60]]*10</f>
        <v>1064</v>
      </c>
      <c r="BN18" s="2">
        <f>VLOOKUP(Tabulka1[[#This Row],[ID]],'Zdroj hloubka okresy'!$A$2:$F$171,5,FALSE)</f>
        <v>1.61</v>
      </c>
      <c r="BO18" s="2">
        <f>VLOOKUP(Tabulka1[[#This Row],[ID]],'Zdroj hloubka okresy'!$A$2:$D$171,3,FALSE)</f>
        <v>19</v>
      </c>
      <c r="BP18" s="2">
        <f>VLOOKUP(Tabulka1[[#This Row],[ID]],'Zdroj hloubka okresy'!$A$2:$D$171,4,FALSE)</f>
        <v>19</v>
      </c>
    </row>
    <row r="19" spans="1:68" x14ac:dyDescent="0.35">
      <c r="A19" s="13">
        <v>851</v>
      </c>
      <c r="B19" s="14" t="s">
        <v>526</v>
      </c>
      <c r="C19" s="7">
        <v>6.1</v>
      </c>
      <c r="D19" s="7">
        <v>6.35</v>
      </c>
      <c r="E19" s="7">
        <v>5.3</v>
      </c>
      <c r="F19" s="7">
        <v>5.6</v>
      </c>
      <c r="G19" s="7">
        <v>1.38</v>
      </c>
      <c r="H19" s="7">
        <v>1.08</v>
      </c>
      <c r="I19" s="7">
        <v>0.8</v>
      </c>
      <c r="J19" s="7">
        <v>0.63</v>
      </c>
      <c r="K19" s="7">
        <v>0</v>
      </c>
      <c r="L19" s="7">
        <v>0</v>
      </c>
      <c r="M19" s="7">
        <v>39.200000000000003</v>
      </c>
      <c r="N19" s="139">
        <v>29.6</v>
      </c>
      <c r="O19" s="139">
        <v>231.4</v>
      </c>
      <c r="P19" s="139">
        <v>192.7</v>
      </c>
      <c r="Q19" s="7">
        <v>19.7</v>
      </c>
      <c r="R19" s="7">
        <v>19.850000000000001</v>
      </c>
      <c r="S19" s="7">
        <v>82.14</v>
      </c>
      <c r="T19" s="7">
        <v>86.07</v>
      </c>
      <c r="U19" s="4">
        <v>3</v>
      </c>
      <c r="V19" s="4">
        <f>VLOOKUP(Tabulka1[[#This Row],[ID]],'Zdroj hloubka okresy'!$A$2:$K$171,5,FALSE)</f>
        <v>1.54</v>
      </c>
      <c r="W19" s="4">
        <f>VLOOKUP(Tabulka1[[#This Row],[ID]],'Zdroj hloubka okresy'!$A$2:$K$171,6,FALSE)</f>
        <v>1.58</v>
      </c>
      <c r="X19" s="4">
        <v>9.64</v>
      </c>
      <c r="Y19" s="4">
        <v>6.18</v>
      </c>
      <c r="Z19" s="4">
        <v>10.9</v>
      </c>
      <c r="AA19" s="4">
        <v>6.4</v>
      </c>
      <c r="AB19" s="4">
        <v>21.2</v>
      </c>
      <c r="AC19" s="4">
        <v>12.79</v>
      </c>
      <c r="AD19" s="4">
        <v>28.96</v>
      </c>
      <c r="AE19" s="4">
        <v>17.73</v>
      </c>
      <c r="AF19" s="4">
        <v>29.3</v>
      </c>
      <c r="AG19" s="4">
        <v>20.239999999999998</v>
      </c>
      <c r="AH19" s="4" t="s">
        <v>706</v>
      </c>
      <c r="AI19" s="5" t="s">
        <v>792</v>
      </c>
      <c r="AJ19" s="4">
        <v>7.46</v>
      </c>
      <c r="AK19" s="4">
        <v>4</v>
      </c>
      <c r="AL19" s="4" t="s">
        <v>797</v>
      </c>
      <c r="AM19" s="20" t="s">
        <v>824</v>
      </c>
      <c r="AN19" s="7" t="s">
        <v>802</v>
      </c>
      <c r="AP19" s="15">
        <v>0</v>
      </c>
      <c r="AQ19" s="9" t="str">
        <f>MID(Tabulka1[[#This Row],[BPEJ]],1,1)</f>
        <v>4</v>
      </c>
      <c r="AW19" s="9"/>
      <c r="AX19">
        <v>4</v>
      </c>
      <c r="AY19" s="114">
        <v>26</v>
      </c>
      <c r="AZ19" s="114">
        <v>0</v>
      </c>
      <c r="BA19" s="114">
        <v>1</v>
      </c>
      <c r="BB19" s="9">
        <v>4</v>
      </c>
      <c r="BC19" s="9" t="str">
        <f>MID(Tabulka1[[#This Row],[BPEJ]],3,2)</f>
        <v>26</v>
      </c>
      <c r="BD19" s="9" t="str">
        <f>MID(Tabulka1[[#This Row],[BPEJ]],6,1)</f>
        <v>0</v>
      </c>
      <c r="BE19" s="9" t="str">
        <f>MID(Tabulka1[[#This Row],[BPEJ]],7,1)</f>
        <v>1</v>
      </c>
      <c r="BF19" s="2" t="str">
        <f t="shared" si="0"/>
        <v>T</v>
      </c>
      <c r="BG19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9" s="134">
        <v>3.92</v>
      </c>
      <c r="BI19" s="2">
        <f t="shared" si="1"/>
        <v>39.200000000000003</v>
      </c>
      <c r="BJ19" s="2">
        <f>Tabulka1[[#This Row],[P2O5_60]]*10</f>
        <v>296</v>
      </c>
      <c r="BK19" s="2">
        <f>Tabulka1[[#This Row],[K2O_30]]*10</f>
        <v>2314</v>
      </c>
      <c r="BL19" s="2">
        <f>Tabulka1[[#This Row],[K2O_60]]*10</f>
        <v>1927</v>
      </c>
      <c r="BN19" s="2">
        <f>VLOOKUP(Tabulka1[[#This Row],[ID]],'Zdroj hloubka okresy'!$A$2:$F$171,5,FALSE)</f>
        <v>1.54</v>
      </c>
      <c r="BO19" s="2">
        <f>VLOOKUP(Tabulka1[[#This Row],[ID]],'Zdroj hloubka okresy'!$A$2:$D$171,3,FALSE)</f>
        <v>18</v>
      </c>
      <c r="BP19" s="2">
        <f>VLOOKUP(Tabulka1[[#This Row],[ID]],'Zdroj hloubka okresy'!$A$2:$D$171,4,FALSE)</f>
        <v>20</v>
      </c>
    </row>
    <row r="20" spans="1:68" x14ac:dyDescent="0.35">
      <c r="A20" s="13">
        <v>854</v>
      </c>
      <c r="B20" s="14" t="s">
        <v>562</v>
      </c>
      <c r="C20" s="7">
        <v>5.84</v>
      </c>
      <c r="D20" s="7">
        <v>6</v>
      </c>
      <c r="E20" s="7">
        <v>5.01</v>
      </c>
      <c r="F20" s="7">
        <v>5.19</v>
      </c>
      <c r="G20" s="7">
        <v>1.2</v>
      </c>
      <c r="H20" s="7">
        <v>1.1299999999999999</v>
      </c>
      <c r="I20" s="7">
        <v>0.69</v>
      </c>
      <c r="J20" s="7">
        <v>0.66</v>
      </c>
      <c r="K20" s="7">
        <v>0</v>
      </c>
      <c r="L20" s="7">
        <v>0</v>
      </c>
      <c r="M20" s="7">
        <v>77.699999999999989</v>
      </c>
      <c r="N20" s="139">
        <v>304</v>
      </c>
      <c r="O20" s="139">
        <v>128</v>
      </c>
      <c r="P20" s="139">
        <v>113.3</v>
      </c>
      <c r="Q20" s="7">
        <v>14.48</v>
      </c>
      <c r="R20" s="7">
        <v>16.34</v>
      </c>
      <c r="S20" s="7">
        <v>68.08</v>
      </c>
      <c r="T20" s="7">
        <v>72.45</v>
      </c>
      <c r="U20" s="4">
        <v>2</v>
      </c>
      <c r="V20" s="4">
        <f>VLOOKUP(Tabulka1[[#This Row],[ID]],'Zdroj hloubka okresy'!$A$2:$K$171,5,FALSE)</f>
        <v>1.49</v>
      </c>
      <c r="W20" s="4">
        <f>VLOOKUP(Tabulka1[[#This Row],[ID]],'Zdroj hloubka okresy'!$A$2:$K$171,6,FALSE)</f>
        <v>1.51</v>
      </c>
      <c r="X20" s="4">
        <v>13.37</v>
      </c>
      <c r="Y20" s="4">
        <v>13.6</v>
      </c>
      <c r="Z20" s="4">
        <v>11.39</v>
      </c>
      <c r="AA20" s="4">
        <v>11.06</v>
      </c>
      <c r="AB20" s="4">
        <v>23.94</v>
      </c>
      <c r="AC20" s="4">
        <v>24.42</v>
      </c>
      <c r="AD20" s="4">
        <v>24.8</v>
      </c>
      <c r="AE20" s="4">
        <v>25.31</v>
      </c>
      <c r="AF20" s="4">
        <v>26.51</v>
      </c>
      <c r="AG20" s="4">
        <v>25.6</v>
      </c>
      <c r="AH20" s="4" t="s">
        <v>707</v>
      </c>
      <c r="AI20" s="5" t="s">
        <v>790</v>
      </c>
      <c r="AJ20" s="4">
        <v>4.62</v>
      </c>
      <c r="AK20" s="4">
        <v>4</v>
      </c>
      <c r="AL20" s="4" t="s">
        <v>797</v>
      </c>
      <c r="AM20" s="20" t="s">
        <v>796</v>
      </c>
      <c r="AN20" s="7" t="s">
        <v>804</v>
      </c>
      <c r="AP20" s="15">
        <v>0</v>
      </c>
      <c r="AQ20" s="9" t="str">
        <f>MID(Tabulka1[[#This Row],[BPEJ]],1,1)</f>
        <v>5</v>
      </c>
      <c r="AW20" s="9"/>
      <c r="AX20">
        <v>5</v>
      </c>
      <c r="AY20" s="114">
        <v>32</v>
      </c>
      <c r="AZ20" s="114">
        <v>5</v>
      </c>
      <c r="BA20" s="114">
        <v>1</v>
      </c>
      <c r="BB20" s="9">
        <v>5</v>
      </c>
      <c r="BC20" s="9" t="str">
        <f>MID(Tabulka1[[#This Row],[BPEJ]],3,2)</f>
        <v>32</v>
      </c>
      <c r="BD20" s="9" t="str">
        <f>MID(Tabulka1[[#This Row],[BPEJ]],6,1)</f>
        <v>5</v>
      </c>
      <c r="BE20" s="9" t="str">
        <f>MID(Tabulka1[[#This Row],[BPEJ]],7,1)</f>
        <v>1</v>
      </c>
      <c r="BF20" s="2" t="str">
        <f t="shared" si="0"/>
        <v>T</v>
      </c>
      <c r="BG20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20" s="7">
        <v>7.77</v>
      </c>
      <c r="BI20" s="2">
        <f t="shared" si="1"/>
        <v>77.699999999999989</v>
      </c>
      <c r="BJ20" s="2">
        <f>Tabulka1[[#This Row],[P2O5_60]]*10</f>
        <v>3040</v>
      </c>
      <c r="BK20" s="2">
        <f>Tabulka1[[#This Row],[K2O_30]]*10</f>
        <v>1280</v>
      </c>
      <c r="BL20" s="2">
        <f>Tabulka1[[#This Row],[K2O_60]]*10</f>
        <v>1133</v>
      </c>
      <c r="BN20" s="2">
        <f>VLOOKUP(Tabulka1[[#This Row],[ID]],'Zdroj hloubka okresy'!$A$2:$F$171,5,FALSE)</f>
        <v>1.49</v>
      </c>
      <c r="BO20" s="2">
        <f>VLOOKUP(Tabulka1[[#This Row],[ID]],'Zdroj hloubka okresy'!$A$2:$D$171,3,FALSE)</f>
        <v>16</v>
      </c>
      <c r="BP20" s="2">
        <f>VLOOKUP(Tabulka1[[#This Row],[ID]],'Zdroj hloubka okresy'!$A$2:$D$171,4,FALSE)</f>
        <v>16</v>
      </c>
    </row>
    <row r="21" spans="1:68" x14ac:dyDescent="0.35">
      <c r="A21" s="13">
        <v>857</v>
      </c>
      <c r="B21" s="14" t="s">
        <v>560</v>
      </c>
      <c r="C21" s="7">
        <v>5.35</v>
      </c>
      <c r="D21" s="7">
        <v>5.46</v>
      </c>
      <c r="E21" s="7">
        <v>4.43</v>
      </c>
      <c r="F21" s="7">
        <v>4.57</v>
      </c>
      <c r="G21" s="7">
        <v>1.68</v>
      </c>
      <c r="H21" s="7">
        <v>0.98</v>
      </c>
      <c r="I21" s="7">
        <v>0.98</v>
      </c>
      <c r="J21" s="7">
        <v>0.56999999999999995</v>
      </c>
      <c r="K21" s="7">
        <v>0</v>
      </c>
      <c r="L21" s="7">
        <v>0</v>
      </c>
      <c r="M21" s="7">
        <v>25.7</v>
      </c>
      <c r="N21" s="139">
        <v>15.3</v>
      </c>
      <c r="O21" s="139">
        <v>113.3</v>
      </c>
      <c r="P21" s="139">
        <v>86.7</v>
      </c>
      <c r="Q21" s="7">
        <v>15.07</v>
      </c>
      <c r="R21" s="7">
        <v>13.63</v>
      </c>
      <c r="S21" s="7">
        <v>53.93</v>
      </c>
      <c r="T21" s="7">
        <v>65.47</v>
      </c>
      <c r="U21" s="4">
        <v>3</v>
      </c>
      <c r="V21" s="4">
        <f>VLOOKUP(Tabulka1[[#This Row],[ID]],'Zdroj hloubka okresy'!$A$2:$K$171,5,FALSE)</f>
        <v>1.53</v>
      </c>
      <c r="W21" s="4">
        <f>VLOOKUP(Tabulka1[[#This Row],[ID]],'Zdroj hloubka okresy'!$A$2:$K$171,6,FALSE)</f>
        <v>1.54</v>
      </c>
      <c r="X21" s="4">
        <v>8.98</v>
      </c>
      <c r="Y21" s="4">
        <v>8.69</v>
      </c>
      <c r="Z21" s="4">
        <v>17.72</v>
      </c>
      <c r="AA21" s="4">
        <v>16.010000000000002</v>
      </c>
      <c r="AB21" s="4">
        <v>29.37</v>
      </c>
      <c r="AC21" s="4">
        <v>27.43</v>
      </c>
      <c r="AD21" s="4">
        <v>18.68</v>
      </c>
      <c r="AE21" s="4">
        <v>20.67</v>
      </c>
      <c r="AF21" s="4">
        <v>25.25</v>
      </c>
      <c r="AG21" s="4">
        <v>27.2</v>
      </c>
      <c r="AH21" s="4" t="s">
        <v>702</v>
      </c>
      <c r="AI21" s="5" t="s">
        <v>790</v>
      </c>
      <c r="AJ21" s="4">
        <v>4.3899999999999997</v>
      </c>
      <c r="AK21" s="4">
        <v>3</v>
      </c>
      <c r="AL21" s="4" t="s">
        <v>798</v>
      </c>
      <c r="AM21" s="20" t="s">
        <v>824</v>
      </c>
      <c r="AN21" s="7" t="s">
        <v>802</v>
      </c>
      <c r="AP21" s="15">
        <v>0</v>
      </c>
      <c r="AQ21" s="9" t="str">
        <f>MID(Tabulka1[[#This Row],[BPEJ]],1,1)</f>
        <v>5</v>
      </c>
      <c r="AW21" s="9"/>
      <c r="AX21">
        <v>5</v>
      </c>
      <c r="AY21" s="114">
        <v>26</v>
      </c>
      <c r="AZ21" s="114">
        <v>1</v>
      </c>
      <c r="BA21" s="114">
        <v>4</v>
      </c>
      <c r="BB21" s="9">
        <v>5</v>
      </c>
      <c r="BC21" s="9" t="str">
        <f>MID(Tabulka1[[#This Row],[BPEJ]],3,2)</f>
        <v>26</v>
      </c>
      <c r="BD21" s="9" t="str">
        <f>MID(Tabulka1[[#This Row],[BPEJ]],6,1)</f>
        <v>1</v>
      </c>
      <c r="BE21" s="9" t="str">
        <f>MID(Tabulka1[[#This Row],[BPEJ]],7,1)</f>
        <v>4</v>
      </c>
      <c r="BF21" s="2" t="str">
        <f t="shared" si="0"/>
        <v>T</v>
      </c>
      <c r="BG21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21" s="134">
        <v>2.57</v>
      </c>
      <c r="BI21" s="2">
        <f t="shared" si="1"/>
        <v>25.7</v>
      </c>
      <c r="BJ21" s="2">
        <f>Tabulka1[[#This Row],[P2O5_60]]*10</f>
        <v>153</v>
      </c>
      <c r="BK21" s="2">
        <f>Tabulka1[[#This Row],[K2O_30]]*10</f>
        <v>1133</v>
      </c>
      <c r="BL21" s="2">
        <f>Tabulka1[[#This Row],[K2O_60]]*10</f>
        <v>867</v>
      </c>
      <c r="BN21" s="2">
        <f>VLOOKUP(Tabulka1[[#This Row],[ID]],'Zdroj hloubka okresy'!$A$2:$F$171,5,FALSE)</f>
        <v>1.53</v>
      </c>
      <c r="BO21" s="2">
        <f>VLOOKUP(Tabulka1[[#This Row],[ID]],'Zdroj hloubka okresy'!$A$2:$D$171,3,FALSE)</f>
        <v>20</v>
      </c>
      <c r="BP21" s="2">
        <f>VLOOKUP(Tabulka1[[#This Row],[ID]],'Zdroj hloubka okresy'!$A$2:$D$171,4,FALSE)</f>
        <v>40</v>
      </c>
    </row>
    <row r="22" spans="1:68" x14ac:dyDescent="0.35">
      <c r="A22" s="13">
        <v>860</v>
      </c>
      <c r="B22" s="14" t="s">
        <v>557</v>
      </c>
      <c r="C22" s="7">
        <v>5.41</v>
      </c>
      <c r="D22" s="7">
        <v>5.66</v>
      </c>
      <c r="E22" s="7">
        <v>4.5</v>
      </c>
      <c r="F22" s="7">
        <v>4.8</v>
      </c>
      <c r="G22" s="7">
        <v>2.41</v>
      </c>
      <c r="H22" s="7">
        <v>1.77</v>
      </c>
      <c r="I22" s="7">
        <v>1.4</v>
      </c>
      <c r="J22" s="7">
        <v>1.03</v>
      </c>
      <c r="K22" s="7">
        <v>0</v>
      </c>
      <c r="L22" s="7">
        <v>0</v>
      </c>
      <c r="M22" s="7">
        <v>38</v>
      </c>
      <c r="N22" s="139">
        <v>26.299999999999997</v>
      </c>
      <c r="O22" s="139">
        <v>176</v>
      </c>
      <c r="P22" s="139">
        <v>141</v>
      </c>
      <c r="Q22" s="7">
        <v>19</v>
      </c>
      <c r="R22" s="7">
        <v>16.670000000000002</v>
      </c>
      <c r="S22" s="7">
        <v>50</v>
      </c>
      <c r="T22" s="7">
        <v>57.2</v>
      </c>
      <c r="U22" s="4">
        <v>3</v>
      </c>
      <c r="V22" s="4">
        <f>VLOOKUP(Tabulka1[[#This Row],[ID]],'Zdroj hloubka okresy'!$A$2:$K$171,5,FALSE)</f>
        <v>1.5</v>
      </c>
      <c r="W22" s="4">
        <f>VLOOKUP(Tabulka1[[#This Row],[ID]],'Zdroj hloubka okresy'!$A$2:$K$171,6,FALSE)</f>
        <v>1.52</v>
      </c>
      <c r="X22" s="4">
        <v>9.9600000000000009</v>
      </c>
      <c r="Y22" s="4">
        <v>8.98</v>
      </c>
      <c r="Z22" s="4">
        <v>24.94</v>
      </c>
      <c r="AA22" s="4">
        <v>26.05</v>
      </c>
      <c r="AB22" s="4">
        <v>29.2</v>
      </c>
      <c r="AC22" s="4">
        <v>25.87</v>
      </c>
      <c r="AD22" s="4">
        <v>14.8</v>
      </c>
      <c r="AE22" s="4">
        <v>16.96</v>
      </c>
      <c r="AF22" s="4">
        <v>21.1</v>
      </c>
      <c r="AG22" s="4">
        <v>22.14</v>
      </c>
      <c r="AH22" s="4" t="s">
        <v>708</v>
      </c>
      <c r="AI22" s="5" t="s">
        <v>791</v>
      </c>
      <c r="AJ22" s="4">
        <v>3.96</v>
      </c>
      <c r="AK22" s="4">
        <v>4</v>
      </c>
      <c r="AL22" s="4" t="s">
        <v>797</v>
      </c>
      <c r="AM22" s="20" t="s">
        <v>824</v>
      </c>
      <c r="AN22" s="7" t="s">
        <v>804</v>
      </c>
      <c r="AP22" s="15">
        <v>0</v>
      </c>
      <c r="AQ22" s="9" t="str">
        <f>MID(Tabulka1[[#This Row],[BPEJ]],1,1)</f>
        <v>5</v>
      </c>
      <c r="AW22" s="9"/>
      <c r="AX22">
        <v>5</v>
      </c>
      <c r="AY22" s="114">
        <v>27</v>
      </c>
      <c r="AZ22" s="114">
        <v>1</v>
      </c>
      <c r="BA22" s="114">
        <v>4</v>
      </c>
      <c r="BB22" s="9">
        <v>5</v>
      </c>
      <c r="BC22" s="9" t="str">
        <f>MID(Tabulka1[[#This Row],[BPEJ]],3,2)</f>
        <v>27</v>
      </c>
      <c r="BD22" s="9" t="str">
        <f>MID(Tabulka1[[#This Row],[BPEJ]],6,1)</f>
        <v>1</v>
      </c>
      <c r="BE22" s="9" t="str">
        <f>MID(Tabulka1[[#This Row],[BPEJ]],7,1)</f>
        <v>4</v>
      </c>
      <c r="BF22" s="2" t="str">
        <f t="shared" si="0"/>
        <v>T</v>
      </c>
      <c r="BG22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22" s="7">
        <v>3.8</v>
      </c>
      <c r="BI22" s="2">
        <f t="shared" si="1"/>
        <v>38</v>
      </c>
      <c r="BJ22" s="2">
        <f>Tabulka1[[#This Row],[P2O5_60]]*10</f>
        <v>263</v>
      </c>
      <c r="BK22" s="2">
        <f>Tabulka1[[#This Row],[K2O_30]]*10</f>
        <v>1760</v>
      </c>
      <c r="BL22" s="2">
        <f>Tabulka1[[#This Row],[K2O_60]]*10</f>
        <v>1410</v>
      </c>
      <c r="BN22" s="2">
        <f>VLOOKUP(Tabulka1[[#This Row],[ID]],'Zdroj hloubka okresy'!$A$2:$F$171,5,FALSE)</f>
        <v>1.5</v>
      </c>
      <c r="BO22" s="2">
        <f>VLOOKUP(Tabulka1[[#This Row],[ID]],'Zdroj hloubka okresy'!$A$2:$D$171,3,FALSE)</f>
        <v>30</v>
      </c>
      <c r="BP22" s="2">
        <f>VLOOKUP(Tabulka1[[#This Row],[ID]],'Zdroj hloubka okresy'!$A$2:$D$171,4,FALSE)</f>
        <v>20</v>
      </c>
    </row>
    <row r="23" spans="1:68" x14ac:dyDescent="0.35">
      <c r="A23" s="13">
        <v>863</v>
      </c>
      <c r="B23" s="14" t="s">
        <v>120</v>
      </c>
      <c r="C23" s="7">
        <v>5.42</v>
      </c>
      <c r="D23" s="7">
        <v>5.21</v>
      </c>
      <c r="E23" s="7">
        <v>4.5199999999999996</v>
      </c>
      <c r="F23" s="7">
        <v>4.28</v>
      </c>
      <c r="G23" s="7">
        <v>1.48</v>
      </c>
      <c r="H23" s="7">
        <v>0.86</v>
      </c>
      <c r="I23" s="7">
        <v>0.86</v>
      </c>
      <c r="J23" s="7">
        <v>0.5</v>
      </c>
      <c r="K23" s="7">
        <v>0</v>
      </c>
      <c r="L23" s="7">
        <v>0</v>
      </c>
      <c r="M23" s="7">
        <v>27</v>
      </c>
      <c r="N23" s="139">
        <v>24</v>
      </c>
      <c r="O23" s="139">
        <v>104</v>
      </c>
      <c r="P23" s="139">
        <v>80.3</v>
      </c>
      <c r="Q23" s="7">
        <v>17.28</v>
      </c>
      <c r="R23" s="7">
        <v>18.41</v>
      </c>
      <c r="S23" s="7">
        <v>55.2</v>
      </c>
      <c r="T23" s="7">
        <v>64.2</v>
      </c>
      <c r="U23" s="4">
        <v>1</v>
      </c>
      <c r="V23" s="4">
        <f>VLOOKUP(Tabulka1[[#This Row],[ID]],'Zdroj hloubka okresy'!$A$2:$K$171,5,FALSE)</f>
        <v>1.5</v>
      </c>
      <c r="W23" s="4">
        <f>VLOOKUP(Tabulka1[[#This Row],[ID]],'Zdroj hloubka okresy'!$A$2:$K$171,6,FALSE)</f>
        <v>1.49</v>
      </c>
      <c r="X23" s="4">
        <v>9.93</v>
      </c>
      <c r="Y23" s="4">
        <v>10.85</v>
      </c>
      <c r="Z23" s="4">
        <v>26.52</v>
      </c>
      <c r="AA23" s="4">
        <v>26</v>
      </c>
      <c r="AB23" s="4">
        <v>28.55</v>
      </c>
      <c r="AC23" s="4">
        <v>26.56</v>
      </c>
      <c r="AD23" s="4">
        <v>14.92</v>
      </c>
      <c r="AE23" s="4">
        <v>17.34</v>
      </c>
      <c r="AF23" s="4">
        <v>20.079999999999998</v>
      </c>
      <c r="AG23" s="4">
        <v>19.239999999999998</v>
      </c>
      <c r="AH23" s="4" t="s">
        <v>709</v>
      </c>
      <c r="AI23" s="5" t="s">
        <v>791</v>
      </c>
      <c r="AJ23" s="4">
        <v>1.72</v>
      </c>
      <c r="AK23" s="4">
        <v>5</v>
      </c>
      <c r="AL23" s="4" t="s">
        <v>798</v>
      </c>
      <c r="AM23" s="20" t="s">
        <v>796</v>
      </c>
      <c r="AN23" s="7" t="s">
        <v>804</v>
      </c>
      <c r="AP23" s="15">
        <v>0</v>
      </c>
      <c r="AQ23" s="9" t="str">
        <f>MID(Tabulka1[[#This Row],[BPEJ]],1,1)</f>
        <v>5</v>
      </c>
      <c r="AW23" s="9"/>
      <c r="AX23">
        <v>5</v>
      </c>
      <c r="AY23" s="114">
        <v>37</v>
      </c>
      <c r="AZ23" s="114">
        <v>4</v>
      </c>
      <c r="BA23" s="114">
        <v>5</v>
      </c>
      <c r="BB23" s="9">
        <v>5</v>
      </c>
      <c r="BC23" s="9" t="str">
        <f>MID(Tabulka1[[#This Row],[BPEJ]],3,2)</f>
        <v>37</v>
      </c>
      <c r="BD23" s="9" t="str">
        <f>MID(Tabulka1[[#This Row],[BPEJ]],6,1)</f>
        <v>4</v>
      </c>
      <c r="BE23" s="9" t="str">
        <f>MID(Tabulka1[[#This Row],[BPEJ]],7,1)</f>
        <v>5</v>
      </c>
      <c r="BF23" s="2" t="str">
        <f>IF(OR(AX23=2,AX23=3,AX23=4,AX23=5),"T",IF(OR(AX23=0,AX23=1),"VT",IF(OR(AX23=6,AX23=7,AX23=8,AX23=9),"CH"," ")))</f>
        <v>T</v>
      </c>
      <c r="BG23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23" s="134">
        <v>2.7</v>
      </c>
      <c r="BI23" s="2">
        <f t="shared" si="1"/>
        <v>27</v>
      </c>
      <c r="BJ23" s="2">
        <f>Tabulka1[[#This Row],[P2O5_60]]*10</f>
        <v>240</v>
      </c>
      <c r="BK23" s="2">
        <f>Tabulka1[[#This Row],[K2O_30]]*10</f>
        <v>1040</v>
      </c>
      <c r="BL23" s="2">
        <f>Tabulka1[[#This Row],[K2O_60]]*10</f>
        <v>803</v>
      </c>
      <c r="BN23" s="2">
        <f>VLOOKUP(Tabulka1[[#This Row],[ID]],'Zdroj hloubka okresy'!$A$2:$F$171,5,FALSE)</f>
        <v>1.5</v>
      </c>
      <c r="BO23" s="2">
        <f>VLOOKUP(Tabulka1[[#This Row],[ID]],'Zdroj hloubka okresy'!$A$2:$D$171,3,FALSE)</f>
        <v>18</v>
      </c>
      <c r="BP23" s="2">
        <f>VLOOKUP(Tabulka1[[#This Row],[ID]],'Zdroj hloubka okresy'!$A$2:$D$171,4,FALSE)</f>
        <v>22</v>
      </c>
    </row>
    <row r="24" spans="1:68" x14ac:dyDescent="0.35">
      <c r="A24" s="13">
        <v>1018</v>
      </c>
      <c r="B24" s="14" t="s">
        <v>554</v>
      </c>
      <c r="C24" s="7">
        <v>5.55</v>
      </c>
      <c r="D24" s="7">
        <v>5.43</v>
      </c>
      <c r="E24" s="7">
        <v>4.67</v>
      </c>
      <c r="F24" s="7">
        <v>4.53</v>
      </c>
      <c r="G24" s="7">
        <v>1.99</v>
      </c>
      <c r="H24" s="7">
        <v>1.25</v>
      </c>
      <c r="I24" s="7">
        <v>1.1599999999999999</v>
      </c>
      <c r="J24" s="7">
        <v>0.73</v>
      </c>
      <c r="K24" s="7">
        <v>0</v>
      </c>
      <c r="L24" s="7">
        <v>0</v>
      </c>
      <c r="M24" s="7">
        <v>27.3</v>
      </c>
      <c r="N24" s="139">
        <v>21</v>
      </c>
      <c r="O24" s="139">
        <v>176.70000000000002</v>
      </c>
      <c r="P24" s="139">
        <v>116.7</v>
      </c>
      <c r="Q24" s="7">
        <v>20.170000000000002</v>
      </c>
      <c r="R24" s="7">
        <v>21.75</v>
      </c>
      <c r="S24" s="7">
        <v>67.37</v>
      </c>
      <c r="T24" s="7">
        <v>73.930000000000007</v>
      </c>
      <c r="U24" s="4">
        <v>1</v>
      </c>
      <c r="V24" s="4">
        <f>VLOOKUP(Tabulka1[[#This Row],[ID]],'Zdroj hloubka okresy'!$A$2:$K$171,5,FALSE)</f>
        <v>1.47</v>
      </c>
      <c r="W24" s="4">
        <f>VLOOKUP(Tabulka1[[#This Row],[ID]],'Zdroj hloubka okresy'!$A$2:$K$171,6,FALSE)</f>
        <v>1.46</v>
      </c>
      <c r="X24" s="4">
        <v>10.69</v>
      </c>
      <c r="Y24" s="4">
        <v>11.32</v>
      </c>
      <c r="Z24" s="4">
        <v>23.71</v>
      </c>
      <c r="AA24" s="4">
        <v>23.26</v>
      </c>
      <c r="AB24" s="4">
        <v>38.97</v>
      </c>
      <c r="AC24" s="4">
        <v>41.95</v>
      </c>
      <c r="AD24" s="4">
        <v>18.03</v>
      </c>
      <c r="AE24" s="4">
        <v>17.23</v>
      </c>
      <c r="AF24" s="4">
        <v>8.6</v>
      </c>
      <c r="AG24" s="4">
        <v>6.23</v>
      </c>
      <c r="AH24" s="4" t="s">
        <v>710</v>
      </c>
      <c r="AI24" s="5" t="s">
        <v>791</v>
      </c>
      <c r="AJ24" s="4">
        <v>1.39</v>
      </c>
      <c r="AK24" s="4">
        <v>4</v>
      </c>
      <c r="AL24" s="4" t="s">
        <v>797</v>
      </c>
      <c r="AM24" s="20" t="s">
        <v>824</v>
      </c>
      <c r="AN24" s="7" t="s">
        <v>806</v>
      </c>
      <c r="AP24" s="15">
        <v>0</v>
      </c>
      <c r="AQ24" s="9" t="str">
        <f>MID(Tabulka1[[#This Row],[BPEJ]],1,1)</f>
        <v>5</v>
      </c>
      <c r="AW24" s="9"/>
      <c r="AX24">
        <v>5</v>
      </c>
      <c r="AY24" s="114">
        <v>67</v>
      </c>
      <c r="AZ24" s="114">
        <v>0</v>
      </c>
      <c r="BA24" s="114">
        <v>1</v>
      </c>
      <c r="BB24" s="9">
        <v>5</v>
      </c>
      <c r="BC24" s="9" t="str">
        <f>MID(Tabulka1[[#This Row],[BPEJ]],3,2)</f>
        <v>67</v>
      </c>
      <c r="BD24" s="9" t="str">
        <f>MID(Tabulka1[[#This Row],[BPEJ]],6,1)</f>
        <v>0</v>
      </c>
      <c r="BE24" s="9" t="str">
        <f>MID(Tabulka1[[#This Row],[BPEJ]],7,1)</f>
        <v>1</v>
      </c>
      <c r="BF24" s="2" t="str">
        <f t="shared" si="0"/>
        <v>T</v>
      </c>
      <c r="BG24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24" s="7">
        <v>2.73</v>
      </c>
      <c r="BI24" s="2">
        <f t="shared" si="1"/>
        <v>27.3</v>
      </c>
      <c r="BJ24" s="2">
        <f>Tabulka1[[#This Row],[P2O5_60]]*10</f>
        <v>210</v>
      </c>
      <c r="BK24" s="2">
        <f>Tabulka1[[#This Row],[K2O_30]]*10</f>
        <v>1767.0000000000002</v>
      </c>
      <c r="BL24" s="2">
        <f>Tabulka1[[#This Row],[K2O_60]]*10</f>
        <v>1167</v>
      </c>
      <c r="BN24" s="2">
        <f>VLOOKUP(Tabulka1[[#This Row],[ID]],'Zdroj hloubka okresy'!$A$2:$F$171,5,FALSE)</f>
        <v>1.47</v>
      </c>
      <c r="BO24" s="2">
        <f>VLOOKUP(Tabulka1[[#This Row],[ID]],'Zdroj hloubka okresy'!$A$2:$D$171,3,FALSE)</f>
        <v>20</v>
      </c>
      <c r="BP24" s="2">
        <f>VLOOKUP(Tabulka1[[#This Row],[ID]],'Zdroj hloubka okresy'!$A$2:$D$171,4,FALSE)</f>
        <v>30</v>
      </c>
    </row>
    <row r="25" spans="1:68" x14ac:dyDescent="0.35">
      <c r="A25" s="13">
        <v>1021</v>
      </c>
      <c r="B25" s="14" t="s">
        <v>549</v>
      </c>
      <c r="C25" s="7">
        <v>6.82</v>
      </c>
      <c r="D25" s="7">
        <v>6.28</v>
      </c>
      <c r="E25" s="7">
        <v>6.14</v>
      </c>
      <c r="F25" s="7">
        <v>5.52</v>
      </c>
      <c r="G25" s="7">
        <v>1.29</v>
      </c>
      <c r="H25" s="7">
        <v>0.83</v>
      </c>
      <c r="I25" s="7">
        <v>0.75</v>
      </c>
      <c r="J25" s="7">
        <v>0.48</v>
      </c>
      <c r="K25" s="7">
        <v>0</v>
      </c>
      <c r="L25" s="7">
        <v>0</v>
      </c>
      <c r="M25" s="7">
        <v>7.9</v>
      </c>
      <c r="N25" s="139">
        <v>10.5</v>
      </c>
      <c r="O25" s="139">
        <v>110.5</v>
      </c>
      <c r="P25" s="139">
        <v>103.9</v>
      </c>
      <c r="Q25" s="7">
        <v>12.27</v>
      </c>
      <c r="R25" s="7">
        <v>12.3</v>
      </c>
      <c r="S25" s="7">
        <v>77.489999999999995</v>
      </c>
      <c r="T25" s="7">
        <v>79.95</v>
      </c>
      <c r="U25" s="4">
        <v>3</v>
      </c>
      <c r="V25" s="4">
        <f>VLOOKUP(Tabulka1[[#This Row],[ID]],'Zdroj hloubka okresy'!$A$2:$K$171,5,FALSE)</f>
        <v>1.53</v>
      </c>
      <c r="W25" s="4">
        <f>VLOOKUP(Tabulka1[[#This Row],[ID]],'Zdroj hloubka okresy'!$A$2:$K$171,6,FALSE)</f>
        <v>1.4</v>
      </c>
      <c r="X25" s="4">
        <v>16.309999999999999</v>
      </c>
      <c r="Y25" s="4">
        <v>19.87</v>
      </c>
      <c r="Z25" s="4">
        <v>11.13</v>
      </c>
      <c r="AA25" s="4">
        <v>10.27</v>
      </c>
      <c r="AB25" s="4">
        <v>21.33</v>
      </c>
      <c r="AC25" s="4">
        <v>19.52</v>
      </c>
      <c r="AD25" s="4">
        <v>36.96</v>
      </c>
      <c r="AE25" s="4">
        <v>36.82</v>
      </c>
      <c r="AF25" s="4">
        <v>14.28</v>
      </c>
      <c r="AG25" s="4">
        <v>13.52</v>
      </c>
      <c r="AH25" s="4" t="s">
        <v>711</v>
      </c>
      <c r="AI25" s="5" t="s">
        <v>790</v>
      </c>
      <c r="AJ25" s="4">
        <v>3.27</v>
      </c>
      <c r="AK25" s="4">
        <v>4</v>
      </c>
      <c r="AL25" s="4" t="s">
        <v>797</v>
      </c>
      <c r="AM25" s="20" t="s">
        <v>824</v>
      </c>
      <c r="AN25" s="7" t="s">
        <v>802</v>
      </c>
      <c r="AP25" s="15">
        <v>0</v>
      </c>
      <c r="AQ25" s="9" t="str">
        <f>MID(Tabulka1[[#This Row],[BPEJ]],1,1)</f>
        <v>7</v>
      </c>
      <c r="AW25" s="9"/>
      <c r="AX25">
        <v>7</v>
      </c>
      <c r="AY25" s="114">
        <v>26</v>
      </c>
      <c r="AZ25" s="114">
        <v>1</v>
      </c>
      <c r="BA25" s="114">
        <v>4</v>
      </c>
      <c r="BB25" s="9">
        <v>7</v>
      </c>
      <c r="BC25" s="9" t="str">
        <f>MID(Tabulka1[[#This Row],[BPEJ]],3,2)</f>
        <v>26</v>
      </c>
      <c r="BD25" s="9" t="str">
        <f>MID(Tabulka1[[#This Row],[BPEJ]],6,1)</f>
        <v>1</v>
      </c>
      <c r="BE25" s="9" t="str">
        <f>MID(Tabulka1[[#This Row],[BPEJ]],7,1)</f>
        <v>4</v>
      </c>
      <c r="BF25" s="2" t="str">
        <f t="shared" si="0"/>
        <v>CH</v>
      </c>
      <c r="BG25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25" s="134">
        <v>0.79</v>
      </c>
      <c r="BI25" s="2">
        <f t="shared" si="1"/>
        <v>7.9</v>
      </c>
      <c r="BJ25" s="2">
        <f>Tabulka1[[#This Row],[P2O5_60]]*10</f>
        <v>105</v>
      </c>
      <c r="BK25" s="2">
        <f>Tabulka1[[#This Row],[K2O_30]]*10</f>
        <v>1105</v>
      </c>
      <c r="BL25" s="2">
        <f>Tabulka1[[#This Row],[K2O_60]]*10</f>
        <v>1039</v>
      </c>
      <c r="BN25" s="2">
        <f>VLOOKUP(Tabulka1[[#This Row],[ID]],'Zdroj hloubka okresy'!$A$2:$F$171,5,FALSE)</f>
        <v>1.53</v>
      </c>
      <c r="BO25" s="2">
        <f>VLOOKUP(Tabulka1[[#This Row],[ID]],'Zdroj hloubka okresy'!$A$2:$D$171,3,FALSE)</f>
        <v>16</v>
      </c>
      <c r="BP25" s="2">
        <f>VLOOKUP(Tabulka1[[#This Row],[ID]],'Zdroj hloubka okresy'!$A$2:$D$171,4,FALSE)</f>
        <v>24</v>
      </c>
    </row>
    <row r="26" spans="1:68" x14ac:dyDescent="0.35">
      <c r="A26" s="13">
        <v>1024</v>
      </c>
      <c r="B26" s="14" t="s">
        <v>119</v>
      </c>
      <c r="C26" s="7">
        <v>6.5</v>
      </c>
      <c r="D26" s="7">
        <v>6.4</v>
      </c>
      <c r="E26" s="7">
        <v>5.77</v>
      </c>
      <c r="F26" s="7">
        <v>5.65</v>
      </c>
      <c r="G26" s="7">
        <v>1.1499999999999999</v>
      </c>
      <c r="H26" s="7">
        <v>0.72</v>
      </c>
      <c r="I26" s="7">
        <v>0.67</v>
      </c>
      <c r="J26" s="7">
        <v>0.42</v>
      </c>
      <c r="K26" s="7">
        <v>0</v>
      </c>
      <c r="L26" s="7">
        <v>0</v>
      </c>
      <c r="M26" s="7">
        <v>15</v>
      </c>
      <c r="N26" s="139">
        <v>11</v>
      </c>
      <c r="O26" s="139">
        <v>85.3</v>
      </c>
      <c r="P26" s="139">
        <v>82.699999999999989</v>
      </c>
      <c r="Q26" s="7">
        <v>11.37</v>
      </c>
      <c r="R26" s="7">
        <v>11.99</v>
      </c>
      <c r="S26" s="7">
        <v>83.41</v>
      </c>
      <c r="T26" s="7">
        <v>85.99</v>
      </c>
      <c r="U26" s="4">
        <v>3</v>
      </c>
      <c r="V26" s="4">
        <f>VLOOKUP(Tabulka1[[#This Row],[ID]],'Zdroj hloubka okresy'!$A$2:$K$171,5,FALSE)</f>
        <v>1.49</v>
      </c>
      <c r="W26" s="4">
        <f>VLOOKUP(Tabulka1[[#This Row],[ID]],'Zdroj hloubka okresy'!$A$2:$K$171,6,FALSE)</f>
        <v>1.47</v>
      </c>
      <c r="X26" s="4">
        <v>14.37</v>
      </c>
      <c r="Y26" s="4">
        <v>17.420000000000002</v>
      </c>
      <c r="Z26" s="4">
        <v>11.05</v>
      </c>
      <c r="AA26" s="4">
        <v>9.5500000000000007</v>
      </c>
      <c r="AB26" s="4">
        <v>17.86</v>
      </c>
      <c r="AC26" s="4">
        <v>15.15</v>
      </c>
      <c r="AD26" s="4">
        <v>23.98</v>
      </c>
      <c r="AE26" s="4">
        <v>21.4</v>
      </c>
      <c r="AF26" s="4">
        <v>32.74</v>
      </c>
      <c r="AG26" s="4">
        <v>36.47</v>
      </c>
      <c r="AH26" s="4" t="s">
        <v>712</v>
      </c>
      <c r="AI26" s="5" t="s">
        <v>791</v>
      </c>
      <c r="AJ26" s="4">
        <v>3.69</v>
      </c>
      <c r="AK26" s="4">
        <v>5</v>
      </c>
      <c r="AL26" s="4" t="s">
        <v>798</v>
      </c>
      <c r="AM26" s="20" t="s">
        <v>796</v>
      </c>
      <c r="AN26" s="7" t="s">
        <v>802</v>
      </c>
      <c r="AP26" s="15">
        <v>0</v>
      </c>
      <c r="AQ26" s="9" t="str">
        <f>MID(Tabulka1[[#This Row],[BPEJ]],1,1)</f>
        <v>5</v>
      </c>
      <c r="AW26" s="9"/>
      <c r="AX26">
        <v>5</v>
      </c>
      <c r="AY26" s="114">
        <v>29</v>
      </c>
      <c r="AZ26" s="114">
        <v>4</v>
      </c>
      <c r="BA26" s="114">
        <v>4</v>
      </c>
      <c r="BB26" s="9">
        <v>5</v>
      </c>
      <c r="BC26" s="9" t="str">
        <f>MID(Tabulka1[[#This Row],[BPEJ]],3,2)</f>
        <v>29</v>
      </c>
      <c r="BD26" s="9" t="str">
        <f>MID(Tabulka1[[#This Row],[BPEJ]],6,1)</f>
        <v>4</v>
      </c>
      <c r="BE26" s="9" t="str">
        <f>MID(Tabulka1[[#This Row],[BPEJ]],7,1)</f>
        <v>4</v>
      </c>
      <c r="BF26" s="2" t="str">
        <f t="shared" si="0"/>
        <v>T</v>
      </c>
      <c r="BG26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26" s="7">
        <v>1.5</v>
      </c>
      <c r="BI26" s="2">
        <f t="shared" si="1"/>
        <v>15</v>
      </c>
      <c r="BJ26" s="2">
        <f>Tabulka1[[#This Row],[P2O5_60]]*10</f>
        <v>110</v>
      </c>
      <c r="BK26" s="2">
        <f>Tabulka1[[#This Row],[K2O_30]]*10</f>
        <v>853</v>
      </c>
      <c r="BL26" s="2">
        <f>Tabulka1[[#This Row],[K2O_60]]*10</f>
        <v>826.99999999999989</v>
      </c>
      <c r="BN26" s="2">
        <f>VLOOKUP(Tabulka1[[#This Row],[ID]],'Zdroj hloubka okresy'!$A$2:$F$171,5,FALSE)</f>
        <v>1.49</v>
      </c>
      <c r="BO26" s="2">
        <f>VLOOKUP(Tabulka1[[#This Row],[ID]],'Zdroj hloubka okresy'!$A$2:$D$171,3,FALSE)</f>
        <v>16</v>
      </c>
      <c r="BP26" s="2">
        <f>VLOOKUP(Tabulka1[[#This Row],[ID]],'Zdroj hloubka okresy'!$A$2:$D$171,4,FALSE)</f>
        <v>24</v>
      </c>
    </row>
    <row r="27" spans="1:68" x14ac:dyDescent="0.35">
      <c r="A27" s="13">
        <v>1027</v>
      </c>
      <c r="B27" s="14" t="s">
        <v>536</v>
      </c>
      <c r="C27" s="7">
        <v>7.29</v>
      </c>
      <c r="D27" s="7">
        <v>7.38</v>
      </c>
      <c r="E27" s="7">
        <v>6.68</v>
      </c>
      <c r="F27" s="7">
        <v>6.79</v>
      </c>
      <c r="G27" s="7">
        <v>1.22</v>
      </c>
      <c r="H27" s="7">
        <v>0.68</v>
      </c>
      <c r="I27" s="7">
        <v>0.71</v>
      </c>
      <c r="J27" s="7">
        <v>0.4</v>
      </c>
      <c r="K27" s="7">
        <v>0</v>
      </c>
      <c r="L27" s="7">
        <v>0</v>
      </c>
      <c r="M27" s="7">
        <v>260</v>
      </c>
      <c r="N27" s="139">
        <v>187.60000000000002</v>
      </c>
      <c r="O27" s="139">
        <v>111.30000000000001</v>
      </c>
      <c r="P27" s="139">
        <v>77</v>
      </c>
      <c r="Q27" s="7">
        <v>8.5</v>
      </c>
      <c r="R27" s="7">
        <v>5.85</v>
      </c>
      <c r="S27" s="7">
        <v>81.540000000000006</v>
      </c>
      <c r="T27" s="7">
        <v>82.9</v>
      </c>
      <c r="U27" s="4">
        <v>1</v>
      </c>
      <c r="V27" s="4">
        <f>VLOOKUP(Tabulka1[[#This Row],[ID]],'Zdroj hloubka okresy'!$A$2:$K$171,5,FALSE)</f>
        <v>1.61</v>
      </c>
      <c r="W27" s="4">
        <f>VLOOKUP(Tabulka1[[#This Row],[ID]],'Zdroj hloubka okresy'!$A$2:$K$171,6,FALSE)</f>
        <v>1.61</v>
      </c>
      <c r="X27" s="4">
        <v>8.2899999999999991</v>
      </c>
      <c r="Y27" s="4">
        <v>7.64</v>
      </c>
      <c r="Z27" s="4">
        <v>4.58</v>
      </c>
      <c r="AA27" s="4">
        <v>4.51</v>
      </c>
      <c r="AB27" s="4">
        <v>12.76</v>
      </c>
      <c r="AC27" s="4">
        <v>9.9700000000000006</v>
      </c>
      <c r="AD27" s="4">
        <v>35.94</v>
      </c>
      <c r="AE27" s="4">
        <v>26.85</v>
      </c>
      <c r="AF27" s="4">
        <v>38.43</v>
      </c>
      <c r="AG27" s="4">
        <v>51.03</v>
      </c>
      <c r="AH27" s="4" t="s">
        <v>713</v>
      </c>
      <c r="AI27" s="5" t="s">
        <v>791</v>
      </c>
      <c r="AJ27" s="4">
        <v>1.41</v>
      </c>
      <c r="AK27" s="4">
        <v>4</v>
      </c>
      <c r="AL27" s="4" t="s">
        <v>797</v>
      </c>
      <c r="AM27" s="20" t="s">
        <v>796</v>
      </c>
      <c r="AN27" s="7" t="s">
        <v>806</v>
      </c>
      <c r="AP27" s="15">
        <v>0</v>
      </c>
      <c r="AQ27" s="9" t="str">
        <f>MID(Tabulka1[[#This Row],[BPEJ]],1,1)</f>
        <v>4</v>
      </c>
      <c r="AW27" s="9"/>
      <c r="AX27">
        <v>4</v>
      </c>
      <c r="AY27" s="114">
        <v>67</v>
      </c>
      <c r="AZ27" s="114">
        <v>0</v>
      </c>
      <c r="BA27" s="114">
        <v>1</v>
      </c>
      <c r="BB27" s="9">
        <v>4</v>
      </c>
      <c r="BC27" s="9" t="str">
        <f>MID(Tabulka1[[#This Row],[BPEJ]],3,2)</f>
        <v>67</v>
      </c>
      <c r="BD27" s="9" t="str">
        <f>MID(Tabulka1[[#This Row],[BPEJ]],6,1)</f>
        <v>0</v>
      </c>
      <c r="BE27" s="9" t="str">
        <f>MID(Tabulka1[[#This Row],[BPEJ]],7,1)</f>
        <v>1</v>
      </c>
      <c r="BF27" s="2" t="str">
        <f t="shared" si="0"/>
        <v>T</v>
      </c>
      <c r="BG27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27" s="134">
        <v>26</v>
      </c>
      <c r="BI27" s="2">
        <f t="shared" si="1"/>
        <v>260</v>
      </c>
      <c r="BJ27" s="2">
        <f>Tabulka1[[#This Row],[P2O5_60]]*10</f>
        <v>1876.0000000000002</v>
      </c>
      <c r="BK27" s="2">
        <f>Tabulka1[[#This Row],[K2O_30]]*10</f>
        <v>1113</v>
      </c>
      <c r="BL27" s="2">
        <f>Tabulka1[[#This Row],[K2O_60]]*10</f>
        <v>770</v>
      </c>
      <c r="BN27" s="2">
        <f>VLOOKUP(Tabulka1[[#This Row],[ID]],'Zdroj hloubka okresy'!$A$2:$F$171,5,FALSE)</f>
        <v>1.61</v>
      </c>
      <c r="BO27" s="2">
        <f>VLOOKUP(Tabulka1[[#This Row],[ID]],'Zdroj hloubka okresy'!$A$2:$D$171,3,FALSE)</f>
        <v>22</v>
      </c>
      <c r="BP27" s="2">
        <f>VLOOKUP(Tabulka1[[#This Row],[ID]],'Zdroj hloubka okresy'!$A$2:$D$171,4,FALSE)</f>
        <v>26</v>
      </c>
    </row>
    <row r="28" spans="1:68" x14ac:dyDescent="0.35">
      <c r="A28" s="13">
        <v>1030</v>
      </c>
      <c r="B28" s="14" t="s">
        <v>537</v>
      </c>
      <c r="C28" s="7">
        <v>7.42</v>
      </c>
      <c r="D28" s="7">
        <v>7.45</v>
      </c>
      <c r="E28" s="7">
        <v>6.84</v>
      </c>
      <c r="F28" s="7">
        <v>6.87</v>
      </c>
      <c r="G28" s="7">
        <v>1.2</v>
      </c>
      <c r="H28" s="7">
        <v>0.62</v>
      </c>
      <c r="I28" s="7">
        <v>0.69</v>
      </c>
      <c r="J28" s="7">
        <v>0.36</v>
      </c>
      <c r="K28" s="7">
        <v>0</v>
      </c>
      <c r="L28" s="7">
        <v>0</v>
      </c>
      <c r="M28" s="7">
        <v>218.70000000000002</v>
      </c>
      <c r="N28" s="139">
        <v>162.39999999999998</v>
      </c>
      <c r="O28" s="139">
        <v>78.8</v>
      </c>
      <c r="P28" s="139">
        <v>57.9</v>
      </c>
      <c r="Q28" s="7">
        <v>6.93</v>
      </c>
      <c r="R28" s="7">
        <v>4.72</v>
      </c>
      <c r="S28" s="7">
        <v>82.66</v>
      </c>
      <c r="T28" s="7">
        <v>81.33</v>
      </c>
      <c r="U28" s="4">
        <v>4</v>
      </c>
      <c r="V28" s="4">
        <f>VLOOKUP(Tabulka1[[#This Row],[ID]],'Zdroj hloubka okresy'!$A$2:$K$171,5,FALSE)</f>
        <v>1.63</v>
      </c>
      <c r="W28" s="4">
        <f>VLOOKUP(Tabulka1[[#This Row],[ID]],'Zdroj hloubka okresy'!$A$2:$K$171,6,FALSE)</f>
        <v>1.64</v>
      </c>
      <c r="X28" s="4">
        <v>6.59</v>
      </c>
      <c r="Y28" s="4">
        <v>4.87</v>
      </c>
      <c r="Z28" s="4">
        <v>6.4</v>
      </c>
      <c r="AA28" s="4">
        <v>4.5</v>
      </c>
      <c r="AB28" s="4">
        <v>11.31</v>
      </c>
      <c r="AC28" s="4">
        <v>7.73</v>
      </c>
      <c r="AD28" s="4">
        <v>16.93</v>
      </c>
      <c r="AE28" s="4">
        <v>11.22</v>
      </c>
      <c r="AF28" s="4">
        <v>58.77</v>
      </c>
      <c r="AG28" s="4">
        <v>45.02</v>
      </c>
      <c r="AH28" s="4" t="s">
        <v>714</v>
      </c>
      <c r="AI28" s="5" t="s">
        <v>789</v>
      </c>
      <c r="AJ28" s="4">
        <v>11.65</v>
      </c>
      <c r="AK28" s="4">
        <v>4</v>
      </c>
      <c r="AL28" s="4" t="s">
        <v>797</v>
      </c>
      <c r="AM28" s="20" t="s">
        <v>824</v>
      </c>
      <c r="AN28" s="7" t="s">
        <v>803</v>
      </c>
      <c r="AP28" s="15">
        <v>0</v>
      </c>
      <c r="AQ28" s="9" t="str">
        <f>MID(Tabulka1[[#This Row],[BPEJ]],1,1)</f>
        <v>4</v>
      </c>
      <c r="AW28" s="9"/>
      <c r="AX28">
        <v>4</v>
      </c>
      <c r="AY28" s="114">
        <v>14</v>
      </c>
      <c r="AZ28" s="114">
        <v>0</v>
      </c>
      <c r="BA28" s="114">
        <v>0</v>
      </c>
      <c r="BB28" s="9">
        <v>4</v>
      </c>
      <c r="BC28" s="9" t="str">
        <f>MID(Tabulka1[[#This Row],[BPEJ]],3,2)</f>
        <v>14</v>
      </c>
      <c r="BD28" s="9" t="str">
        <f>MID(Tabulka1[[#This Row],[BPEJ]],6,1)</f>
        <v>0</v>
      </c>
      <c r="BE28" s="9" t="str">
        <f>MID(Tabulka1[[#This Row],[BPEJ]],7,1)</f>
        <v>0</v>
      </c>
      <c r="BF28" s="2" t="str">
        <f t="shared" si="0"/>
        <v>T</v>
      </c>
      <c r="BG28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28" s="7">
        <v>21.87</v>
      </c>
      <c r="BI28" s="2">
        <f t="shared" si="1"/>
        <v>218.70000000000002</v>
      </c>
      <c r="BJ28" s="2">
        <f>Tabulka1[[#This Row],[P2O5_60]]*10</f>
        <v>1623.9999999999998</v>
      </c>
      <c r="BK28" s="2">
        <f>Tabulka1[[#This Row],[K2O_30]]*10</f>
        <v>788</v>
      </c>
      <c r="BL28" s="2">
        <f>Tabulka1[[#This Row],[K2O_60]]*10</f>
        <v>579</v>
      </c>
      <c r="BN28" s="2">
        <f>VLOOKUP(Tabulka1[[#This Row],[ID]],'Zdroj hloubka okresy'!$A$2:$F$171,5,FALSE)</f>
        <v>1.63</v>
      </c>
      <c r="BO28" s="2">
        <f>VLOOKUP(Tabulka1[[#This Row],[ID]],'Zdroj hloubka okresy'!$A$2:$D$171,3,FALSE)</f>
        <v>19</v>
      </c>
      <c r="BP28" s="2">
        <f>VLOOKUP(Tabulka1[[#This Row],[ID]],'Zdroj hloubka okresy'!$A$2:$D$171,4,FALSE)</f>
        <v>25</v>
      </c>
    </row>
    <row r="29" spans="1:68" x14ac:dyDescent="0.35">
      <c r="A29" s="13">
        <v>1033</v>
      </c>
      <c r="B29" s="14" t="s">
        <v>129</v>
      </c>
      <c r="C29" s="7">
        <v>5.76</v>
      </c>
      <c r="D29" s="7">
        <v>5.62</v>
      </c>
      <c r="E29" s="7">
        <v>4.92</v>
      </c>
      <c r="F29" s="7">
        <v>4.75</v>
      </c>
      <c r="G29" s="7">
        <v>1.35</v>
      </c>
      <c r="H29" s="7">
        <v>0.98</v>
      </c>
      <c r="I29" s="7">
        <v>0.78</v>
      </c>
      <c r="J29" s="7">
        <v>0.56999999999999995</v>
      </c>
      <c r="K29" s="7">
        <v>0</v>
      </c>
      <c r="L29" s="7">
        <v>0</v>
      </c>
      <c r="M29" s="7">
        <v>1.6</v>
      </c>
      <c r="N29" s="139">
        <v>2.7</v>
      </c>
      <c r="O29" s="139">
        <v>109.80000000000001</v>
      </c>
      <c r="P29" s="139">
        <v>112.5</v>
      </c>
      <c r="Q29" s="7">
        <v>12.23</v>
      </c>
      <c r="R29" s="7">
        <v>12.88</v>
      </c>
      <c r="S29" s="7">
        <v>75.319999999999993</v>
      </c>
      <c r="T29" s="7">
        <v>80.209999999999994</v>
      </c>
      <c r="U29" s="4">
        <v>3</v>
      </c>
      <c r="V29" s="4">
        <f>VLOOKUP(Tabulka1[[#This Row],[ID]],'Zdroj hloubka okresy'!$A$2:$K$171,5,FALSE)</f>
        <v>1.53</v>
      </c>
      <c r="W29" s="4">
        <f>VLOOKUP(Tabulka1[[#This Row],[ID]],'Zdroj hloubka okresy'!$A$2:$K$171,6,FALSE)</f>
        <v>1.52</v>
      </c>
      <c r="X29" s="4">
        <v>10.09</v>
      </c>
      <c r="Y29" s="4">
        <v>9.91</v>
      </c>
      <c r="Z29" s="4">
        <v>14.9</v>
      </c>
      <c r="AA29" s="4">
        <v>15.25</v>
      </c>
      <c r="AB29" s="4">
        <v>25.67</v>
      </c>
      <c r="AC29" s="4">
        <v>27.13</v>
      </c>
      <c r="AD29" s="4">
        <v>13.96</v>
      </c>
      <c r="AE29" s="4">
        <v>13.65</v>
      </c>
      <c r="AF29" s="4">
        <v>35.380000000000003</v>
      </c>
      <c r="AG29" s="4">
        <v>34.06</v>
      </c>
      <c r="AH29" s="4" t="s">
        <v>715</v>
      </c>
      <c r="AI29" s="5" t="s">
        <v>792</v>
      </c>
      <c r="AJ29" s="4">
        <v>6.34</v>
      </c>
      <c r="AK29" s="4">
        <v>5</v>
      </c>
      <c r="AL29" s="4" t="s">
        <v>798</v>
      </c>
      <c r="AM29" s="20" t="s">
        <v>824</v>
      </c>
      <c r="AN29" s="7" t="s">
        <v>803</v>
      </c>
      <c r="AP29" s="15">
        <v>0</v>
      </c>
      <c r="AQ29" s="9" t="str">
        <f>MID(Tabulka1[[#This Row],[BPEJ]],1,1)</f>
        <v>5</v>
      </c>
      <c r="AW29" s="9"/>
      <c r="AX29">
        <v>5</v>
      </c>
      <c r="AY29" s="114">
        <v>50</v>
      </c>
      <c r="AZ29" s="114">
        <v>1</v>
      </c>
      <c r="BA29" s="114">
        <v>1</v>
      </c>
      <c r="BB29" s="9">
        <v>5</v>
      </c>
      <c r="BC29" s="9" t="str">
        <f>MID(Tabulka1[[#This Row],[BPEJ]],3,2)</f>
        <v>50</v>
      </c>
      <c r="BD29" s="9" t="str">
        <f>MID(Tabulka1[[#This Row],[BPEJ]],6,1)</f>
        <v>1</v>
      </c>
      <c r="BE29" s="9" t="str">
        <f>MID(Tabulka1[[#This Row],[BPEJ]],7,1)</f>
        <v>1</v>
      </c>
      <c r="BF29" s="2" t="str">
        <f t="shared" si="0"/>
        <v>T</v>
      </c>
      <c r="BG29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29" s="134">
        <v>0.16</v>
      </c>
      <c r="BI29" s="2">
        <f t="shared" si="1"/>
        <v>1.6</v>
      </c>
      <c r="BJ29" s="2">
        <f>Tabulka1[[#This Row],[P2O5_60]]*10</f>
        <v>27</v>
      </c>
      <c r="BK29" s="2">
        <f>Tabulka1[[#This Row],[K2O_30]]*10</f>
        <v>1098</v>
      </c>
      <c r="BL29" s="2">
        <f>Tabulka1[[#This Row],[K2O_60]]*10</f>
        <v>1125</v>
      </c>
      <c r="BN29" s="2">
        <f>VLOOKUP(Tabulka1[[#This Row],[ID]],'Zdroj hloubka okresy'!$A$2:$F$171,5,FALSE)</f>
        <v>1.53</v>
      </c>
      <c r="BO29" s="2">
        <f>VLOOKUP(Tabulka1[[#This Row],[ID]],'Zdroj hloubka okresy'!$A$2:$D$171,3,FALSE)</f>
        <v>19</v>
      </c>
      <c r="BP29" s="2">
        <f>VLOOKUP(Tabulka1[[#This Row],[ID]],'Zdroj hloubka okresy'!$A$2:$D$171,4,FALSE)</f>
        <v>40</v>
      </c>
    </row>
    <row r="30" spans="1:68" x14ac:dyDescent="0.35">
      <c r="A30" s="13">
        <v>1036</v>
      </c>
      <c r="B30" s="14" t="s">
        <v>123</v>
      </c>
      <c r="C30" s="7">
        <v>6.47</v>
      </c>
      <c r="D30" s="7">
        <v>6.38</v>
      </c>
      <c r="E30" s="7">
        <v>5.73</v>
      </c>
      <c r="F30" s="7">
        <v>5.63</v>
      </c>
      <c r="G30" s="7">
        <v>1.07</v>
      </c>
      <c r="H30" s="7">
        <v>0.79</v>
      </c>
      <c r="I30" s="7">
        <v>0.62</v>
      </c>
      <c r="J30" s="7">
        <v>0.46</v>
      </c>
      <c r="K30" s="7">
        <v>0</v>
      </c>
      <c r="L30" s="7">
        <v>0</v>
      </c>
      <c r="M30" s="7">
        <v>0.89999999999999991</v>
      </c>
      <c r="N30" s="139">
        <v>1.2</v>
      </c>
      <c r="O30" s="139">
        <v>80.7</v>
      </c>
      <c r="P30" s="139">
        <v>75.099999999999994</v>
      </c>
      <c r="Q30" s="7">
        <v>13.5</v>
      </c>
      <c r="R30" s="7">
        <v>13.9</v>
      </c>
      <c r="S30" s="7">
        <v>70.87</v>
      </c>
      <c r="T30" s="7">
        <v>73.52</v>
      </c>
      <c r="U30" s="4">
        <v>1</v>
      </c>
      <c r="V30" s="4">
        <f>VLOOKUP(Tabulka1[[#This Row],[ID]],'Zdroj hloubka okresy'!$A$2:$K$171,5,FALSE)</f>
        <v>1.48</v>
      </c>
      <c r="W30" s="4">
        <f>VLOOKUP(Tabulka1[[#This Row],[ID]],'Zdroj hloubka okresy'!$A$2:$K$171,6,FALSE)</f>
        <v>1.45</v>
      </c>
      <c r="X30" s="4">
        <v>13.22</v>
      </c>
      <c r="Y30" s="4">
        <v>15.22</v>
      </c>
      <c r="Z30" s="4">
        <v>11.93</v>
      </c>
      <c r="AA30" s="4">
        <v>13.18</v>
      </c>
      <c r="AB30" s="4">
        <v>31.76</v>
      </c>
      <c r="AC30" s="4">
        <v>33.61</v>
      </c>
      <c r="AD30" s="4">
        <v>28.31</v>
      </c>
      <c r="AE30" s="4">
        <v>23.41</v>
      </c>
      <c r="AF30" s="4">
        <v>14.79</v>
      </c>
      <c r="AG30" s="4">
        <v>14.57</v>
      </c>
      <c r="AH30" s="4" t="s">
        <v>716</v>
      </c>
      <c r="AI30" s="5" t="s">
        <v>791</v>
      </c>
      <c r="AJ30" s="4">
        <v>1.64</v>
      </c>
      <c r="AK30" s="4">
        <v>3</v>
      </c>
      <c r="AL30" s="4" t="s">
        <v>798</v>
      </c>
      <c r="AM30" s="20" t="s">
        <v>824</v>
      </c>
      <c r="AN30" s="7" t="s">
        <v>804</v>
      </c>
      <c r="AP30" s="15">
        <v>0</v>
      </c>
      <c r="AQ30" s="9" t="str">
        <f>MID(Tabulka1[[#This Row],[BPEJ]],1,1)</f>
        <v>5</v>
      </c>
      <c r="AW30" s="9"/>
      <c r="AX30">
        <v>5</v>
      </c>
      <c r="AY30" s="114">
        <v>37</v>
      </c>
      <c r="AZ30" s="114">
        <v>1</v>
      </c>
      <c r="BA30" s="114">
        <v>6</v>
      </c>
      <c r="BB30" s="9">
        <v>5</v>
      </c>
      <c r="BC30" s="9" t="str">
        <f>MID(Tabulka1[[#This Row],[BPEJ]],3,2)</f>
        <v>37</v>
      </c>
      <c r="BD30" s="9" t="str">
        <f>MID(Tabulka1[[#This Row],[BPEJ]],6,1)</f>
        <v>1</v>
      </c>
      <c r="BE30" s="9" t="str">
        <f>MID(Tabulka1[[#This Row],[BPEJ]],7,1)</f>
        <v>6</v>
      </c>
      <c r="BF30" s="2" t="str">
        <f t="shared" si="0"/>
        <v>T</v>
      </c>
      <c r="BG30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30" s="7">
        <v>0.09</v>
      </c>
      <c r="BI30" s="2">
        <f t="shared" si="1"/>
        <v>0.89999999999999991</v>
      </c>
      <c r="BJ30" s="2">
        <f>Tabulka1[[#This Row],[P2O5_60]]*10</f>
        <v>12</v>
      </c>
      <c r="BK30" s="2">
        <f>Tabulka1[[#This Row],[K2O_30]]*10</f>
        <v>807</v>
      </c>
      <c r="BL30" s="2">
        <f>Tabulka1[[#This Row],[K2O_60]]*10</f>
        <v>751</v>
      </c>
      <c r="BN30" s="2">
        <f>VLOOKUP(Tabulka1[[#This Row],[ID]],'Zdroj hloubka okresy'!$A$2:$F$171,5,FALSE)</f>
        <v>1.48</v>
      </c>
      <c r="BO30" s="2">
        <f>VLOOKUP(Tabulka1[[#This Row],[ID]],'Zdroj hloubka okresy'!$A$2:$D$171,3,FALSE)</f>
        <v>20</v>
      </c>
      <c r="BP30" s="2">
        <f>VLOOKUP(Tabulka1[[#This Row],[ID]],'Zdroj hloubka okresy'!$A$2:$D$171,4,FALSE)</f>
        <v>24</v>
      </c>
    </row>
    <row r="31" spans="1:68" x14ac:dyDescent="0.35">
      <c r="A31" s="13">
        <v>1039</v>
      </c>
      <c r="B31" s="14" t="s">
        <v>553</v>
      </c>
      <c r="C31" s="7">
        <v>6.54</v>
      </c>
      <c r="D31" s="7">
        <v>6.75</v>
      </c>
      <c r="E31" s="7">
        <v>5.82</v>
      </c>
      <c r="F31" s="7">
        <v>6.06</v>
      </c>
      <c r="G31" s="7">
        <v>2.0499999999999998</v>
      </c>
      <c r="H31" s="7">
        <v>1.63</v>
      </c>
      <c r="I31" s="7">
        <v>1.19</v>
      </c>
      <c r="J31" s="7">
        <v>0.94</v>
      </c>
      <c r="K31" s="7">
        <v>0</v>
      </c>
      <c r="L31" s="7">
        <v>0</v>
      </c>
      <c r="M31" s="7">
        <v>120.60000000000001</v>
      </c>
      <c r="N31" s="139">
        <v>140.29999999999998</v>
      </c>
      <c r="O31" s="139">
        <v>102</v>
      </c>
      <c r="P31" s="139">
        <v>75.3</v>
      </c>
      <c r="Q31" s="7">
        <v>19.079999999999998</v>
      </c>
      <c r="R31" s="7">
        <v>17.89</v>
      </c>
      <c r="S31" s="7">
        <v>75.86</v>
      </c>
      <c r="T31" s="7">
        <v>82.67</v>
      </c>
      <c r="U31" s="4">
        <v>1</v>
      </c>
      <c r="V31" s="4">
        <f>VLOOKUP(Tabulka1[[#This Row],[ID]],'Zdroj hloubka okresy'!$A$2:$K$171,5,FALSE)</f>
        <v>1.53</v>
      </c>
      <c r="W31" s="4">
        <f>VLOOKUP(Tabulka1[[#This Row],[ID]],'Zdroj hloubka okresy'!$A$2:$K$171,6,FALSE)</f>
        <v>1.53</v>
      </c>
      <c r="X31" s="4">
        <v>10.4</v>
      </c>
      <c r="Y31" s="4">
        <v>9.7799999999999994</v>
      </c>
      <c r="Z31" s="4">
        <v>16.399999999999999</v>
      </c>
      <c r="AA31" s="4">
        <v>15.68</v>
      </c>
      <c r="AB31" s="4">
        <v>21.28</v>
      </c>
      <c r="AC31" s="4">
        <v>21.87</v>
      </c>
      <c r="AD31" s="4">
        <v>24.92</v>
      </c>
      <c r="AE31" s="4">
        <v>25.01</v>
      </c>
      <c r="AF31" s="4">
        <v>26.99</v>
      </c>
      <c r="AG31" s="4">
        <v>27.66</v>
      </c>
      <c r="AH31" s="4" t="s">
        <v>717</v>
      </c>
      <c r="AI31" s="5" t="s">
        <v>791</v>
      </c>
      <c r="AJ31" s="4">
        <v>1.2</v>
      </c>
      <c r="AK31" s="4">
        <v>4</v>
      </c>
      <c r="AL31" s="4" t="s">
        <v>797</v>
      </c>
      <c r="AM31" s="20" t="s">
        <v>796</v>
      </c>
      <c r="AN31" s="7" t="s">
        <v>804</v>
      </c>
      <c r="AP31" s="15">
        <v>0</v>
      </c>
      <c r="AQ31" s="9" t="str">
        <f>MID(Tabulka1[[#This Row],[BPEJ]],1,1)</f>
        <v>5</v>
      </c>
      <c r="AW31" s="9"/>
      <c r="AX31">
        <v>5</v>
      </c>
      <c r="AY31" s="114">
        <v>39</v>
      </c>
      <c r="AZ31" s="114">
        <v>3</v>
      </c>
      <c r="BA31" s="114">
        <v>9</v>
      </c>
      <c r="BB31" s="9">
        <v>5</v>
      </c>
      <c r="BC31" s="9" t="str">
        <f>MID(Tabulka1[[#This Row],[BPEJ]],3,2)</f>
        <v>39</v>
      </c>
      <c r="BD31" s="9" t="str">
        <f>MID(Tabulka1[[#This Row],[BPEJ]],6,1)</f>
        <v>3</v>
      </c>
      <c r="BE31" s="9" t="str">
        <f>MID(Tabulka1[[#This Row],[BPEJ]],7,1)</f>
        <v>9</v>
      </c>
      <c r="BF31" s="2" t="str">
        <f t="shared" si="0"/>
        <v>T</v>
      </c>
      <c r="BG31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31" s="134">
        <v>12.06</v>
      </c>
      <c r="BI31" s="2">
        <f t="shared" si="1"/>
        <v>120.60000000000001</v>
      </c>
      <c r="BJ31" s="2">
        <f>Tabulka1[[#This Row],[P2O5_60]]*10</f>
        <v>1402.9999999999998</v>
      </c>
      <c r="BK31" s="2">
        <f>Tabulka1[[#This Row],[K2O_30]]*10</f>
        <v>1020</v>
      </c>
      <c r="BL31" s="2">
        <f>Tabulka1[[#This Row],[K2O_60]]*10</f>
        <v>753</v>
      </c>
      <c r="BN31" s="2">
        <f>VLOOKUP(Tabulka1[[#This Row],[ID]],'Zdroj hloubka okresy'!$A$2:$F$171,5,FALSE)</f>
        <v>1.53</v>
      </c>
      <c r="BO31" s="2">
        <f>VLOOKUP(Tabulka1[[#This Row],[ID]],'Zdroj hloubka okresy'!$A$2:$D$171,3,FALSE)</f>
        <v>18</v>
      </c>
      <c r="BP31" s="2">
        <f>VLOOKUP(Tabulka1[[#This Row],[ID]],'Zdroj hloubka okresy'!$A$2:$D$171,4,FALSE)</f>
        <v>25</v>
      </c>
    </row>
    <row r="32" spans="1:68" x14ac:dyDescent="0.35">
      <c r="A32" s="13">
        <v>1042</v>
      </c>
      <c r="B32" s="14" t="s">
        <v>528</v>
      </c>
      <c r="C32" s="7">
        <v>6.01</v>
      </c>
      <c r="D32" s="7">
        <v>6.25</v>
      </c>
      <c r="E32" s="7">
        <v>5.21</v>
      </c>
      <c r="F32" s="7">
        <v>5.48</v>
      </c>
      <c r="G32" s="7">
        <v>1.8</v>
      </c>
      <c r="H32" s="7">
        <v>1.2</v>
      </c>
      <c r="I32" s="7">
        <v>1.05</v>
      </c>
      <c r="J32" s="7">
        <v>0.7</v>
      </c>
      <c r="K32" s="7">
        <v>0</v>
      </c>
      <c r="L32" s="7">
        <v>0</v>
      </c>
      <c r="M32" s="7">
        <v>67.099999999999994</v>
      </c>
      <c r="N32" s="139">
        <v>59.3</v>
      </c>
      <c r="O32" s="139">
        <v>154.70000000000002</v>
      </c>
      <c r="P32" s="139">
        <v>96</v>
      </c>
      <c r="Q32" s="7">
        <v>14.43</v>
      </c>
      <c r="R32" s="7">
        <v>11.4</v>
      </c>
      <c r="S32" s="7">
        <v>64.209999999999994</v>
      </c>
      <c r="T32" s="7">
        <v>71.540000000000006</v>
      </c>
      <c r="U32" s="4">
        <v>3</v>
      </c>
      <c r="V32" s="4">
        <f>VLOOKUP(Tabulka1[[#This Row],[ID]],'Zdroj hloubka okresy'!$A$2:$K$171,5,FALSE)</f>
        <v>1.55</v>
      </c>
      <c r="W32" s="4">
        <f>VLOOKUP(Tabulka1[[#This Row],[ID]],'Zdroj hloubka okresy'!$A$2:$K$171,6,FALSE)</f>
        <v>1.58</v>
      </c>
      <c r="X32" s="4">
        <v>8.11</v>
      </c>
      <c r="Y32" s="4">
        <v>7.39</v>
      </c>
      <c r="Z32" s="4">
        <v>15.36</v>
      </c>
      <c r="AA32" s="4">
        <v>13.28</v>
      </c>
      <c r="AB32" s="4">
        <v>30.99</v>
      </c>
      <c r="AC32" s="4">
        <v>29.82</v>
      </c>
      <c r="AD32" s="4">
        <v>20.21</v>
      </c>
      <c r="AE32" s="4">
        <v>18.829999999999998</v>
      </c>
      <c r="AF32" s="4">
        <v>25.33</v>
      </c>
      <c r="AG32" s="4">
        <v>30.67</v>
      </c>
      <c r="AH32" s="4" t="s">
        <v>718</v>
      </c>
      <c r="AI32" s="5" t="s">
        <v>791</v>
      </c>
      <c r="AJ32" s="4">
        <v>1.2</v>
      </c>
      <c r="AK32" s="4">
        <v>4</v>
      </c>
      <c r="AL32" s="4" t="s">
        <v>797</v>
      </c>
      <c r="AM32" s="20" t="s">
        <v>824</v>
      </c>
      <c r="AN32" s="7" t="s">
        <v>804</v>
      </c>
      <c r="AP32" s="15">
        <v>0</v>
      </c>
      <c r="AQ32" s="9" t="str">
        <f>MID(Tabulka1[[#This Row],[BPEJ]],1,1)</f>
        <v>5</v>
      </c>
      <c r="AW32" s="9"/>
      <c r="AX32">
        <v>5</v>
      </c>
      <c r="AY32" s="114">
        <v>40</v>
      </c>
      <c r="AZ32" s="114">
        <v>6</v>
      </c>
      <c r="BA32" s="114">
        <v>8</v>
      </c>
      <c r="BB32" s="9">
        <v>5</v>
      </c>
      <c r="BC32" s="9" t="str">
        <f>MID(Tabulka1[[#This Row],[BPEJ]],3,2)</f>
        <v>40</v>
      </c>
      <c r="BD32" s="9" t="str">
        <f>MID(Tabulka1[[#This Row],[BPEJ]],6,1)</f>
        <v>6</v>
      </c>
      <c r="BE32" s="9" t="str">
        <f>MID(Tabulka1[[#This Row],[BPEJ]],7,1)</f>
        <v>8</v>
      </c>
      <c r="BF32" s="2" t="str">
        <f t="shared" si="0"/>
        <v>T</v>
      </c>
      <c r="BG32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32" s="7">
        <v>6.71</v>
      </c>
      <c r="BI32" s="2">
        <f t="shared" si="1"/>
        <v>67.099999999999994</v>
      </c>
      <c r="BJ32" s="2">
        <f>Tabulka1[[#This Row],[P2O5_60]]*10</f>
        <v>593</v>
      </c>
      <c r="BK32" s="2">
        <f>Tabulka1[[#This Row],[K2O_30]]*10</f>
        <v>1547.0000000000002</v>
      </c>
      <c r="BL32" s="2">
        <f>Tabulka1[[#This Row],[K2O_60]]*10</f>
        <v>960</v>
      </c>
      <c r="BN32" s="2">
        <f>VLOOKUP(Tabulka1[[#This Row],[ID]],'Zdroj hloubka okresy'!$A$2:$F$171,5,FALSE)</f>
        <v>1.55</v>
      </c>
      <c r="BO32" s="2">
        <f>VLOOKUP(Tabulka1[[#This Row],[ID]],'Zdroj hloubka okresy'!$A$2:$D$171,3,FALSE)</f>
        <v>22</v>
      </c>
      <c r="BP32" s="2">
        <f>VLOOKUP(Tabulka1[[#This Row],[ID]],'Zdroj hloubka okresy'!$A$2:$D$171,4,FALSE)</f>
        <v>18</v>
      </c>
    </row>
    <row r="33" spans="1:68" x14ac:dyDescent="0.35">
      <c r="A33" s="13">
        <v>1045</v>
      </c>
      <c r="B33" s="14" t="s">
        <v>541</v>
      </c>
      <c r="C33" s="7">
        <v>5.9</v>
      </c>
      <c r="D33" s="7">
        <v>5.88</v>
      </c>
      <c r="E33" s="7">
        <v>5.08</v>
      </c>
      <c r="F33" s="7">
        <v>5.0599999999999996</v>
      </c>
      <c r="G33" s="7">
        <v>1.61</v>
      </c>
      <c r="H33" s="7">
        <v>1.03</v>
      </c>
      <c r="I33" s="7">
        <v>0.93</v>
      </c>
      <c r="J33" s="7">
        <v>0.6</v>
      </c>
      <c r="K33" s="7">
        <v>0</v>
      </c>
      <c r="L33" s="7">
        <v>0</v>
      </c>
      <c r="M33" s="7">
        <v>13.700000000000001</v>
      </c>
      <c r="N33" s="139">
        <v>10</v>
      </c>
      <c r="O33" s="139">
        <v>53</v>
      </c>
      <c r="P33" s="139">
        <v>43.2</v>
      </c>
      <c r="Q33" s="7">
        <v>12.03</v>
      </c>
      <c r="R33" s="7">
        <v>12.63</v>
      </c>
      <c r="S33" s="7">
        <v>67.33</v>
      </c>
      <c r="T33" s="7">
        <v>75.86</v>
      </c>
      <c r="U33" s="4">
        <v>2</v>
      </c>
      <c r="V33" s="4">
        <f>VLOOKUP(Tabulka1[[#This Row],[ID]],'Zdroj hloubka okresy'!$A$2:$K$171,5,FALSE)</f>
        <v>1.5</v>
      </c>
      <c r="W33" s="4">
        <f>VLOOKUP(Tabulka1[[#This Row],[ID]],'Zdroj hloubka okresy'!$A$2:$K$171,6,FALSE)</f>
        <v>1.5</v>
      </c>
      <c r="X33" s="4">
        <v>12.16</v>
      </c>
      <c r="Y33" s="4">
        <v>12.38</v>
      </c>
      <c r="Z33" s="4">
        <v>10.19</v>
      </c>
      <c r="AA33" s="4">
        <v>9.41</v>
      </c>
      <c r="AB33" s="4">
        <v>29.64</v>
      </c>
      <c r="AC33" s="4">
        <v>28.55</v>
      </c>
      <c r="AD33" s="4">
        <v>23.09</v>
      </c>
      <c r="AE33" s="4">
        <v>22.1</v>
      </c>
      <c r="AF33" s="4">
        <v>24.91</v>
      </c>
      <c r="AG33" s="4">
        <v>27.55</v>
      </c>
      <c r="AH33" s="4" t="s">
        <v>719</v>
      </c>
      <c r="AI33" s="5" t="s">
        <v>791</v>
      </c>
      <c r="AJ33" s="4">
        <v>2.4300000000000002</v>
      </c>
      <c r="AK33" s="4">
        <v>3</v>
      </c>
      <c r="AL33" s="4" t="s">
        <v>798</v>
      </c>
      <c r="AM33" s="20" t="s">
        <v>796</v>
      </c>
      <c r="AN33" s="7" t="s">
        <v>805</v>
      </c>
      <c r="AP33" s="15">
        <v>0</v>
      </c>
      <c r="AQ33" s="9" t="str">
        <f>MID(Tabulka1[[#This Row],[BPEJ]],1,1)</f>
        <v>5</v>
      </c>
      <c r="AW33" s="9"/>
      <c r="AX33">
        <v>5</v>
      </c>
      <c r="AY33" s="114">
        <v>71</v>
      </c>
      <c r="AZ33" s="114">
        <v>0</v>
      </c>
      <c r="BA33" s="114">
        <v>1</v>
      </c>
      <c r="BB33" s="9">
        <v>5</v>
      </c>
      <c r="BC33" s="9" t="str">
        <f>MID(Tabulka1[[#This Row],[BPEJ]],3,2)</f>
        <v>71</v>
      </c>
      <c r="BD33" s="9" t="str">
        <f>MID(Tabulka1[[#This Row],[BPEJ]],6,1)</f>
        <v>0</v>
      </c>
      <c r="BE33" s="9" t="str">
        <f>MID(Tabulka1[[#This Row],[BPEJ]],7,1)</f>
        <v>1</v>
      </c>
      <c r="BF33" s="2" t="str">
        <f t="shared" si="0"/>
        <v>T</v>
      </c>
      <c r="BG33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33" s="134">
        <v>1.37</v>
      </c>
      <c r="BI33" s="2">
        <f t="shared" si="1"/>
        <v>13.700000000000001</v>
      </c>
      <c r="BJ33" s="2">
        <f>Tabulka1[[#This Row],[P2O5_60]]*10</f>
        <v>100</v>
      </c>
      <c r="BK33" s="2">
        <f>Tabulka1[[#This Row],[K2O_30]]*10</f>
        <v>530</v>
      </c>
      <c r="BL33" s="2">
        <f>Tabulka1[[#This Row],[K2O_60]]*10</f>
        <v>432</v>
      </c>
      <c r="BN33" s="2">
        <f>VLOOKUP(Tabulka1[[#This Row],[ID]],'Zdroj hloubka okresy'!$A$2:$F$171,5,FALSE)</f>
        <v>1.5</v>
      </c>
      <c r="BO33" s="2">
        <f>VLOOKUP(Tabulka1[[#This Row],[ID]],'Zdroj hloubka okresy'!$A$2:$D$171,3,FALSE)</f>
        <v>23</v>
      </c>
      <c r="BP33" s="2">
        <f>VLOOKUP(Tabulka1[[#This Row],[ID]],'Zdroj hloubka okresy'!$A$2:$D$171,4,FALSE)</f>
        <v>27</v>
      </c>
    </row>
    <row r="34" spans="1:68" x14ac:dyDescent="0.35">
      <c r="A34" s="13">
        <v>1048</v>
      </c>
      <c r="B34" s="14" t="s">
        <v>540</v>
      </c>
      <c r="C34" s="7">
        <v>6.79</v>
      </c>
      <c r="D34" s="7">
        <v>6.07</v>
      </c>
      <c r="E34" s="7">
        <v>6.1</v>
      </c>
      <c r="F34" s="7">
        <v>5.27</v>
      </c>
      <c r="G34" s="7">
        <v>3.38</v>
      </c>
      <c r="H34" s="7">
        <v>1.95</v>
      </c>
      <c r="I34" s="7">
        <v>1.96</v>
      </c>
      <c r="J34" s="7">
        <v>1.1299999999999999</v>
      </c>
      <c r="K34" s="7">
        <v>0</v>
      </c>
      <c r="L34" s="7">
        <v>0</v>
      </c>
      <c r="M34" s="7">
        <v>243.29999999999998</v>
      </c>
      <c r="N34" s="139">
        <v>127.30000000000001</v>
      </c>
      <c r="O34" s="139">
        <v>160</v>
      </c>
      <c r="P34" s="139">
        <v>124.7</v>
      </c>
      <c r="Q34" s="7">
        <v>20.170000000000002</v>
      </c>
      <c r="R34" s="7">
        <v>21.5</v>
      </c>
      <c r="S34" s="7">
        <v>75.599999999999994</v>
      </c>
      <c r="T34" s="7">
        <v>74.73</v>
      </c>
      <c r="U34" s="4">
        <v>4</v>
      </c>
      <c r="V34" s="4">
        <f>VLOOKUP(Tabulka1[[#This Row],[ID]],'Zdroj hloubka okresy'!$A$2:$K$171,5,FALSE)</f>
        <v>1.42</v>
      </c>
      <c r="W34" s="4">
        <f>VLOOKUP(Tabulka1[[#This Row],[ID]],'Zdroj hloubka okresy'!$A$2:$K$171,6,FALSE)</f>
        <v>1.38</v>
      </c>
      <c r="X34" s="4">
        <v>15.76</v>
      </c>
      <c r="Y34" s="4">
        <v>21.21</v>
      </c>
      <c r="Z34" s="4">
        <v>23.06</v>
      </c>
      <c r="AA34" s="4">
        <v>22.13</v>
      </c>
      <c r="AB34" s="4">
        <v>29.81</v>
      </c>
      <c r="AC34" s="4">
        <v>29.01</v>
      </c>
      <c r="AD34" s="4">
        <v>11.55</v>
      </c>
      <c r="AE34" s="4">
        <v>10.51</v>
      </c>
      <c r="AF34" s="4">
        <v>19.82</v>
      </c>
      <c r="AG34" s="4">
        <v>17.14</v>
      </c>
      <c r="AH34" s="4" t="s">
        <v>720</v>
      </c>
      <c r="AI34" s="5" t="s">
        <v>792</v>
      </c>
      <c r="AJ34" s="4">
        <v>7.04</v>
      </c>
      <c r="AK34" s="4">
        <v>3</v>
      </c>
      <c r="AL34" s="4" t="s">
        <v>798</v>
      </c>
      <c r="AM34" s="20" t="s">
        <v>824</v>
      </c>
      <c r="AN34" s="7" t="s">
        <v>806</v>
      </c>
      <c r="AP34" s="15">
        <v>0</v>
      </c>
      <c r="AQ34" s="9" t="str">
        <f>MID(Tabulka1[[#This Row],[BPEJ]],1,1)</f>
        <v>5</v>
      </c>
      <c r="AW34" s="9"/>
      <c r="AX34">
        <v>5</v>
      </c>
      <c r="AY34" s="114">
        <v>47</v>
      </c>
      <c r="AZ34" s="114">
        <v>0</v>
      </c>
      <c r="BA34" s="114">
        <v>0</v>
      </c>
      <c r="BB34" s="9">
        <v>5</v>
      </c>
      <c r="BC34" s="9" t="str">
        <f>MID(Tabulka1[[#This Row],[BPEJ]],3,2)</f>
        <v>47</v>
      </c>
      <c r="BD34" s="9" t="str">
        <f>MID(Tabulka1[[#This Row],[BPEJ]],6,1)</f>
        <v>0</v>
      </c>
      <c r="BE34" s="9" t="str">
        <f>MID(Tabulka1[[#This Row],[BPEJ]],7,1)</f>
        <v>0</v>
      </c>
      <c r="BF34" s="2" t="str">
        <f t="shared" si="0"/>
        <v>T</v>
      </c>
      <c r="BG34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34" s="7">
        <v>24.33</v>
      </c>
      <c r="BI34" s="2">
        <f t="shared" si="1"/>
        <v>243.29999999999998</v>
      </c>
      <c r="BJ34" s="2">
        <f>Tabulka1[[#This Row],[P2O5_60]]*10</f>
        <v>1273</v>
      </c>
      <c r="BK34" s="2">
        <f>Tabulka1[[#This Row],[K2O_30]]*10</f>
        <v>1600</v>
      </c>
      <c r="BL34" s="2">
        <f>Tabulka1[[#This Row],[K2O_60]]*10</f>
        <v>1247</v>
      </c>
      <c r="BN34" s="2">
        <f>VLOOKUP(Tabulka1[[#This Row],[ID]],'Zdroj hloubka okresy'!$A$2:$F$171,5,FALSE)</f>
        <v>1.42</v>
      </c>
      <c r="BO34" s="2">
        <f>VLOOKUP(Tabulka1[[#This Row],[ID]],'Zdroj hloubka okresy'!$A$2:$D$171,3,FALSE)</f>
        <v>20</v>
      </c>
      <c r="BP34" s="2">
        <f>VLOOKUP(Tabulka1[[#This Row],[ID]],'Zdroj hloubka okresy'!$A$2:$D$171,4,FALSE)</f>
        <v>20</v>
      </c>
    </row>
    <row r="35" spans="1:68" x14ac:dyDescent="0.35">
      <c r="A35" s="13">
        <v>1051</v>
      </c>
      <c r="B35" s="14" t="s">
        <v>542</v>
      </c>
      <c r="C35" s="7">
        <v>5.91</v>
      </c>
      <c r="D35" s="7">
        <v>5.57</v>
      </c>
      <c r="E35" s="7">
        <v>5.08</v>
      </c>
      <c r="F35" s="7">
        <v>4.6900000000000004</v>
      </c>
      <c r="G35" s="7">
        <v>2.2799999999999998</v>
      </c>
      <c r="H35" s="7">
        <v>1.28</v>
      </c>
      <c r="I35" s="7">
        <v>1.32</v>
      </c>
      <c r="J35" s="7">
        <v>0.74</v>
      </c>
      <c r="K35" s="7">
        <v>0</v>
      </c>
      <c r="L35" s="7">
        <v>0</v>
      </c>
      <c r="M35" s="7">
        <v>102.4</v>
      </c>
      <c r="N35" s="139">
        <v>53.2</v>
      </c>
      <c r="O35" s="139">
        <v>438.40000000000003</v>
      </c>
      <c r="P35" s="139">
        <v>377.2</v>
      </c>
      <c r="Q35" s="7">
        <v>18.7</v>
      </c>
      <c r="R35" s="7">
        <v>15.1</v>
      </c>
      <c r="S35" s="7">
        <v>58.36</v>
      </c>
      <c r="T35" s="7">
        <v>57.43</v>
      </c>
      <c r="U35" s="4">
        <v>2</v>
      </c>
      <c r="V35" s="4">
        <f>VLOOKUP(Tabulka1[[#This Row],[ID]],'Zdroj hloubka okresy'!$A$2:$K$171,5,FALSE)</f>
        <v>1.44</v>
      </c>
      <c r="W35" s="4">
        <f>VLOOKUP(Tabulka1[[#This Row],[ID]],'Zdroj hloubka okresy'!$A$2:$K$171,6,FALSE)</f>
        <v>1.44</v>
      </c>
      <c r="X35" s="4">
        <v>12.7</v>
      </c>
      <c r="Y35" s="4">
        <v>13.28</v>
      </c>
      <c r="Z35" s="4">
        <v>31.14</v>
      </c>
      <c r="AA35" s="4">
        <v>30.44</v>
      </c>
      <c r="AB35" s="4">
        <v>30.36</v>
      </c>
      <c r="AC35" s="4">
        <v>31.53</v>
      </c>
      <c r="AD35" s="4">
        <v>8.3000000000000007</v>
      </c>
      <c r="AE35" s="4">
        <v>8.4499999999999993</v>
      </c>
      <c r="AF35" s="4">
        <v>17.5</v>
      </c>
      <c r="AG35" s="4">
        <v>16.3</v>
      </c>
      <c r="AH35" s="4" t="s">
        <v>721</v>
      </c>
      <c r="AI35" s="5" t="s">
        <v>791</v>
      </c>
      <c r="AJ35" s="4">
        <v>1.53</v>
      </c>
      <c r="AK35" s="4">
        <v>4</v>
      </c>
      <c r="AL35" s="4" t="s">
        <v>797</v>
      </c>
      <c r="AM35" s="20" t="s">
        <v>824</v>
      </c>
      <c r="AN35" s="7" t="s">
        <v>802</v>
      </c>
      <c r="AP35" s="15">
        <v>0</v>
      </c>
      <c r="AQ35" s="9" t="str">
        <f>MID(Tabulka1[[#This Row],[BPEJ]],1,1)</f>
        <v>4</v>
      </c>
      <c r="AW35" s="9"/>
      <c r="AX35">
        <v>4</v>
      </c>
      <c r="AY35" s="114">
        <v>38</v>
      </c>
      <c r="AZ35" s="114">
        <v>1</v>
      </c>
      <c r="BA35" s="114">
        <v>6</v>
      </c>
      <c r="BB35" s="9">
        <v>4</v>
      </c>
      <c r="BC35" s="9" t="str">
        <f>MID(Tabulka1[[#This Row],[BPEJ]],3,2)</f>
        <v>38</v>
      </c>
      <c r="BD35" s="9" t="str">
        <f>MID(Tabulka1[[#This Row],[BPEJ]],6,1)</f>
        <v>1</v>
      </c>
      <c r="BE35" s="9" t="str">
        <f>MID(Tabulka1[[#This Row],[BPEJ]],7,1)</f>
        <v>6</v>
      </c>
      <c r="BF35" s="2" t="str">
        <f t="shared" si="0"/>
        <v>T</v>
      </c>
      <c r="BG35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35" s="134">
        <v>10.24</v>
      </c>
      <c r="BI35" s="2">
        <f t="shared" si="1"/>
        <v>102.4</v>
      </c>
      <c r="BJ35" s="2">
        <f>Tabulka1[[#This Row],[P2O5_60]]*10</f>
        <v>532</v>
      </c>
      <c r="BK35" s="2">
        <f>Tabulka1[[#This Row],[K2O_30]]*10</f>
        <v>4384</v>
      </c>
      <c r="BL35" s="2">
        <f>Tabulka1[[#This Row],[K2O_60]]*10</f>
        <v>3772</v>
      </c>
      <c r="BN35" s="2">
        <f>VLOOKUP(Tabulka1[[#This Row],[ID]],'Zdroj hloubka okresy'!$A$2:$F$171,5,FALSE)</f>
        <v>1.44</v>
      </c>
      <c r="BO35" s="2">
        <f>VLOOKUP(Tabulka1[[#This Row],[ID]],'Zdroj hloubka okresy'!$A$2:$D$171,3,FALSE)</f>
        <v>18</v>
      </c>
      <c r="BP35" s="2">
        <f>VLOOKUP(Tabulka1[[#This Row],[ID]],'Zdroj hloubka okresy'!$A$2:$D$171,4,FALSE)</f>
        <v>42</v>
      </c>
    </row>
    <row r="36" spans="1:68" x14ac:dyDescent="0.35">
      <c r="A36" s="13">
        <v>1054</v>
      </c>
      <c r="B36" s="14" t="s">
        <v>118</v>
      </c>
      <c r="C36" s="7">
        <v>5.72</v>
      </c>
      <c r="D36" s="7">
        <v>5.46</v>
      </c>
      <c r="E36" s="7">
        <v>4.87</v>
      </c>
      <c r="F36" s="7">
        <v>4.57</v>
      </c>
      <c r="G36" s="7">
        <v>1.42</v>
      </c>
      <c r="H36" s="7">
        <v>0.86</v>
      </c>
      <c r="I36" s="7">
        <v>0.82</v>
      </c>
      <c r="J36" s="7">
        <v>0.5</v>
      </c>
      <c r="K36" s="7">
        <v>0</v>
      </c>
      <c r="L36" s="7">
        <v>0</v>
      </c>
      <c r="M36" s="7">
        <v>14.7</v>
      </c>
      <c r="N36" s="139">
        <v>9.3000000000000007</v>
      </c>
      <c r="O36" s="139">
        <v>116.7</v>
      </c>
      <c r="P36" s="139">
        <v>92.5</v>
      </c>
      <c r="Q36" s="7">
        <v>9.4</v>
      </c>
      <c r="R36" s="7">
        <v>10.28</v>
      </c>
      <c r="S36" s="7">
        <v>53.93</v>
      </c>
      <c r="T36" s="7">
        <v>61.47</v>
      </c>
      <c r="U36" s="4">
        <v>2</v>
      </c>
      <c r="V36" s="4">
        <f>VLOOKUP(Tabulka1[[#This Row],[ID]],'Zdroj hloubka okresy'!$A$2:$K$171,5,FALSE)</f>
        <v>1.51</v>
      </c>
      <c r="W36" s="4">
        <f>VLOOKUP(Tabulka1[[#This Row],[ID]],'Zdroj hloubka okresy'!$A$2:$K$171,6,FALSE)</f>
        <v>1.48</v>
      </c>
      <c r="X36" s="4">
        <v>12.74</v>
      </c>
      <c r="Y36" s="4">
        <v>15.76</v>
      </c>
      <c r="Z36" s="4">
        <v>10.66</v>
      </c>
      <c r="AA36" s="4">
        <v>8.86</v>
      </c>
      <c r="AB36" s="4">
        <v>17.989999999999998</v>
      </c>
      <c r="AC36" s="4">
        <v>14.98</v>
      </c>
      <c r="AD36" s="4">
        <v>23.27</v>
      </c>
      <c r="AE36" s="4">
        <v>22.93</v>
      </c>
      <c r="AF36" s="4">
        <v>35.33</v>
      </c>
      <c r="AG36" s="4">
        <v>37.47</v>
      </c>
      <c r="AH36" s="4" t="s">
        <v>704</v>
      </c>
      <c r="AI36" s="5" t="s">
        <v>791</v>
      </c>
      <c r="AJ36" s="4">
        <v>3.9</v>
      </c>
      <c r="AK36" s="4">
        <v>4</v>
      </c>
      <c r="AL36" s="4" t="s">
        <v>797</v>
      </c>
      <c r="AM36" s="20" t="s">
        <v>796</v>
      </c>
      <c r="AN36" s="7" t="s">
        <v>804</v>
      </c>
      <c r="AP36" s="15">
        <v>0</v>
      </c>
      <c r="AQ36" s="9" t="str">
        <f>MID(Tabulka1[[#This Row],[BPEJ]],1,1)</f>
        <v>5</v>
      </c>
      <c r="AW36" s="9"/>
      <c r="AX36">
        <v>5</v>
      </c>
      <c r="AY36" s="114">
        <v>32</v>
      </c>
      <c r="AZ36" s="114">
        <v>1</v>
      </c>
      <c r="BA36" s="114">
        <v>4</v>
      </c>
      <c r="BB36" s="9">
        <v>5</v>
      </c>
      <c r="BC36" s="9" t="str">
        <f>MID(Tabulka1[[#This Row],[BPEJ]],3,2)</f>
        <v>32</v>
      </c>
      <c r="BD36" s="9" t="str">
        <f>MID(Tabulka1[[#This Row],[BPEJ]],6,1)</f>
        <v>1</v>
      </c>
      <c r="BE36" s="9" t="str">
        <f>MID(Tabulka1[[#This Row],[BPEJ]],7,1)</f>
        <v>4</v>
      </c>
      <c r="BF36" s="2" t="str">
        <f t="shared" si="0"/>
        <v>T</v>
      </c>
      <c r="BG36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36" s="7">
        <v>1.47</v>
      </c>
      <c r="BI36" s="2">
        <f t="shared" si="1"/>
        <v>14.7</v>
      </c>
      <c r="BJ36" s="2">
        <f>Tabulka1[[#This Row],[P2O5_60]]*10</f>
        <v>93</v>
      </c>
      <c r="BK36" s="2">
        <f>Tabulka1[[#This Row],[K2O_30]]*10</f>
        <v>1167</v>
      </c>
      <c r="BL36" s="2">
        <f>Tabulka1[[#This Row],[K2O_60]]*10</f>
        <v>925</v>
      </c>
      <c r="BN36" s="2">
        <f>VLOOKUP(Tabulka1[[#This Row],[ID]],'Zdroj hloubka okresy'!$A$2:$F$171,5,FALSE)</f>
        <v>1.51</v>
      </c>
      <c r="BO36" s="2">
        <f>VLOOKUP(Tabulka1[[#This Row],[ID]],'Zdroj hloubka okresy'!$A$2:$D$171,3,FALSE)</f>
        <v>20</v>
      </c>
      <c r="BP36" s="2">
        <f>VLOOKUP(Tabulka1[[#This Row],[ID]],'Zdroj hloubka okresy'!$A$2:$D$171,4,FALSE)</f>
        <v>15</v>
      </c>
    </row>
    <row r="37" spans="1:68" x14ac:dyDescent="0.35">
      <c r="A37" s="13">
        <v>1057</v>
      </c>
      <c r="B37" s="14" t="s">
        <v>535</v>
      </c>
      <c r="C37" s="7">
        <v>6.41</v>
      </c>
      <c r="D37" s="7">
        <v>6.28</v>
      </c>
      <c r="E37" s="7">
        <v>5.66</v>
      </c>
      <c r="F37" s="7">
        <v>5.51</v>
      </c>
      <c r="G37" s="7">
        <v>1.3</v>
      </c>
      <c r="H37" s="7">
        <v>0.9</v>
      </c>
      <c r="I37" s="7">
        <v>0.75</v>
      </c>
      <c r="J37" s="7">
        <v>0.52</v>
      </c>
      <c r="K37" s="7">
        <v>0</v>
      </c>
      <c r="L37" s="7">
        <v>0</v>
      </c>
      <c r="M37" s="7">
        <v>4.3</v>
      </c>
      <c r="N37" s="139">
        <v>3.5999999999999996</v>
      </c>
      <c r="O37" s="139">
        <v>83.6</v>
      </c>
      <c r="P37" s="139">
        <v>71.100000000000009</v>
      </c>
      <c r="Q37" s="7">
        <v>20.2</v>
      </c>
      <c r="R37" s="7">
        <v>22.58</v>
      </c>
      <c r="S37" s="7">
        <v>75.78</v>
      </c>
      <c r="T37" s="7">
        <v>82.55</v>
      </c>
      <c r="U37" s="4">
        <v>2</v>
      </c>
      <c r="V37" s="4">
        <f>VLOOKUP(Tabulka1[[#This Row],[ID]],'Zdroj hloubka okresy'!$A$2:$K$171,5,FALSE)</f>
        <v>1.36</v>
      </c>
      <c r="W37" s="4">
        <f>VLOOKUP(Tabulka1[[#This Row],[ID]],'Zdroj hloubka okresy'!$A$2:$K$171,6,FALSE)</f>
        <v>1.35</v>
      </c>
      <c r="X37" s="4">
        <v>27.56</v>
      </c>
      <c r="Y37" s="4">
        <v>28</v>
      </c>
      <c r="Z37" s="4">
        <v>10.210000000000001</v>
      </c>
      <c r="AA37" s="4">
        <v>9.6199999999999992</v>
      </c>
      <c r="AB37" s="4">
        <v>28.01</v>
      </c>
      <c r="AC37" s="4">
        <v>25.16</v>
      </c>
      <c r="AD37" s="4">
        <v>18.420000000000002</v>
      </c>
      <c r="AE37" s="4">
        <v>19.12</v>
      </c>
      <c r="AF37" s="4">
        <v>15.8</v>
      </c>
      <c r="AG37" s="4">
        <v>18.100000000000001</v>
      </c>
      <c r="AH37" s="4" t="s">
        <v>722</v>
      </c>
      <c r="AI37" s="5" t="s">
        <v>792</v>
      </c>
      <c r="AJ37" s="4">
        <v>6.61</v>
      </c>
      <c r="AK37" s="4">
        <v>3</v>
      </c>
      <c r="AL37" s="4" t="s">
        <v>798</v>
      </c>
      <c r="AM37" s="20" t="s">
        <v>824</v>
      </c>
      <c r="AN37" s="7" t="s">
        <v>804</v>
      </c>
      <c r="AP37" s="15">
        <v>0</v>
      </c>
      <c r="AQ37" s="9" t="str">
        <f>MID(Tabulka1[[#This Row],[BPEJ]],1,1)</f>
        <v>5</v>
      </c>
      <c r="AW37" s="9"/>
      <c r="AX37">
        <v>5</v>
      </c>
      <c r="AY37" s="114">
        <v>32</v>
      </c>
      <c r="AZ37" s="114">
        <v>0</v>
      </c>
      <c r="BA37" s="114">
        <v>1</v>
      </c>
      <c r="BB37" s="9">
        <v>5</v>
      </c>
      <c r="BC37" s="9" t="str">
        <f>MID(Tabulka1[[#This Row],[BPEJ]],3,2)</f>
        <v>32</v>
      </c>
      <c r="BD37" s="9" t="str">
        <f>MID(Tabulka1[[#This Row],[BPEJ]],6,1)</f>
        <v>0</v>
      </c>
      <c r="BE37" s="9" t="str">
        <f>MID(Tabulka1[[#This Row],[BPEJ]],7,1)</f>
        <v>1</v>
      </c>
      <c r="BF37" s="2" t="str">
        <f>IF(OR(AX37=2,AX37=3,AX37=4,AX37=5),"T",IF(OR(AX37=0,AX37=1),"VT",IF(OR(AX37=6,AX37=7,AX37=8,AX37=9),"CH"," ")))</f>
        <v>T</v>
      </c>
      <c r="BG37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37" s="134">
        <v>0.43</v>
      </c>
      <c r="BI37" s="2">
        <f t="shared" si="1"/>
        <v>4.3</v>
      </c>
      <c r="BJ37" s="2">
        <f>Tabulka1[[#This Row],[P2O5_60]]*10</f>
        <v>36</v>
      </c>
      <c r="BK37" s="2">
        <f>Tabulka1[[#This Row],[K2O_30]]*10</f>
        <v>836</v>
      </c>
      <c r="BL37" s="2">
        <f>Tabulka1[[#This Row],[K2O_60]]*10</f>
        <v>711.00000000000011</v>
      </c>
      <c r="BN37" s="2">
        <f>VLOOKUP(Tabulka1[[#This Row],[ID]],'Zdroj hloubka okresy'!$A$2:$F$171,5,FALSE)</f>
        <v>1.36</v>
      </c>
      <c r="BO37" s="2">
        <f>VLOOKUP(Tabulka1[[#This Row],[ID]],'Zdroj hloubka okresy'!$A$2:$D$171,3,FALSE)</f>
        <v>20</v>
      </c>
      <c r="BP37" s="2">
        <f>VLOOKUP(Tabulka1[[#This Row],[ID]],'Zdroj hloubka okresy'!$A$2:$D$171,4,FALSE)</f>
        <v>8</v>
      </c>
    </row>
    <row r="38" spans="1:68" x14ac:dyDescent="0.35">
      <c r="A38" s="13">
        <v>1060</v>
      </c>
      <c r="B38" s="14" t="s">
        <v>525</v>
      </c>
      <c r="C38" s="7">
        <v>5.52</v>
      </c>
      <c r="D38" s="7">
        <v>5.54</v>
      </c>
      <c r="E38" s="7">
        <v>4.63</v>
      </c>
      <c r="F38" s="7">
        <v>4.66</v>
      </c>
      <c r="G38" s="7">
        <v>1.55</v>
      </c>
      <c r="H38" s="7">
        <v>1.2</v>
      </c>
      <c r="I38" s="7">
        <v>0.9</v>
      </c>
      <c r="J38" s="7">
        <v>0.7</v>
      </c>
      <c r="K38" s="7">
        <v>0</v>
      </c>
      <c r="L38" s="7">
        <v>0</v>
      </c>
      <c r="M38" s="7">
        <v>0.6</v>
      </c>
      <c r="N38" s="139">
        <v>0.70000000000000007</v>
      </c>
      <c r="O38" s="139">
        <v>136.6</v>
      </c>
      <c r="P38" s="139">
        <v>112.10000000000001</v>
      </c>
      <c r="Q38" s="7">
        <v>24.2</v>
      </c>
      <c r="R38" s="7">
        <v>22.92</v>
      </c>
      <c r="S38" s="7">
        <v>79.489999999999995</v>
      </c>
      <c r="T38" s="7">
        <v>79.349999999999994</v>
      </c>
      <c r="U38" s="4">
        <v>2</v>
      </c>
      <c r="V38" s="4">
        <f>VLOOKUP(Tabulka1[[#This Row],[ID]],'Zdroj hloubka okresy'!$A$2:$K$171,5,FALSE)</f>
        <v>1.36</v>
      </c>
      <c r="W38" s="4">
        <f>VLOOKUP(Tabulka1[[#This Row],[ID]],'Zdroj hloubka okresy'!$A$2:$K$171,6,FALSE)</f>
        <v>1.33</v>
      </c>
      <c r="X38" s="4">
        <v>26.04</v>
      </c>
      <c r="Y38" s="4">
        <v>26.94</v>
      </c>
      <c r="Z38" s="4">
        <v>16.39</v>
      </c>
      <c r="AA38" s="4">
        <v>16.03</v>
      </c>
      <c r="AB38" s="4">
        <v>30.93</v>
      </c>
      <c r="AC38" s="4">
        <v>31.12</v>
      </c>
      <c r="AD38" s="4">
        <v>17.11</v>
      </c>
      <c r="AE38" s="4">
        <v>16.64</v>
      </c>
      <c r="AF38" s="4">
        <v>9.5299999999999994</v>
      </c>
      <c r="AG38" s="4">
        <v>9.2799999999999994</v>
      </c>
      <c r="AH38" s="4" t="s">
        <v>723</v>
      </c>
      <c r="AI38" s="5" t="s">
        <v>790</v>
      </c>
      <c r="AJ38" s="4">
        <v>4.74</v>
      </c>
      <c r="AK38" s="4">
        <v>4</v>
      </c>
      <c r="AL38" s="4" t="s">
        <v>797</v>
      </c>
      <c r="AM38" s="20" t="s">
        <v>796</v>
      </c>
      <c r="AN38" s="7" t="s">
        <v>804</v>
      </c>
      <c r="AP38" s="15">
        <v>0</v>
      </c>
      <c r="AQ38" s="9" t="str">
        <f>MID(Tabulka1[[#This Row],[BPEJ]],1,1)</f>
        <v>4</v>
      </c>
      <c r="AW38" s="9"/>
      <c r="AX38">
        <v>4</v>
      </c>
      <c r="AY38" s="114">
        <v>32</v>
      </c>
      <c r="AZ38" s="114">
        <v>1</v>
      </c>
      <c r="BA38" s="114">
        <v>1</v>
      </c>
      <c r="BB38" s="9">
        <v>4</v>
      </c>
      <c r="BC38" s="9" t="str">
        <f>MID(Tabulka1[[#This Row],[BPEJ]],3,2)</f>
        <v>32</v>
      </c>
      <c r="BD38" s="9" t="str">
        <f>MID(Tabulka1[[#This Row],[BPEJ]],6,1)</f>
        <v>1</v>
      </c>
      <c r="BE38" s="9" t="str">
        <f>MID(Tabulka1[[#This Row],[BPEJ]],7,1)</f>
        <v>1</v>
      </c>
      <c r="BF38" s="2" t="str">
        <f t="shared" si="0"/>
        <v>T</v>
      </c>
      <c r="BG38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38" s="7">
        <v>0.06</v>
      </c>
      <c r="BI38" s="2">
        <f t="shared" si="1"/>
        <v>0.6</v>
      </c>
      <c r="BJ38" s="2">
        <f>Tabulka1[[#This Row],[P2O5_60]]*10</f>
        <v>7.0000000000000009</v>
      </c>
      <c r="BK38" s="2">
        <f>Tabulka1[[#This Row],[K2O_30]]*10</f>
        <v>1366</v>
      </c>
      <c r="BL38" s="2">
        <f>Tabulka1[[#This Row],[K2O_60]]*10</f>
        <v>1121</v>
      </c>
      <c r="BN38" s="2">
        <f>VLOOKUP(Tabulka1[[#This Row],[ID]],'Zdroj hloubka okresy'!$A$2:$F$171,5,FALSE)</f>
        <v>1.36</v>
      </c>
      <c r="BO38" s="2">
        <f>VLOOKUP(Tabulka1[[#This Row],[ID]],'Zdroj hloubka okresy'!$A$2:$D$171,3,FALSE)</f>
        <v>14</v>
      </c>
      <c r="BP38" s="2">
        <f>VLOOKUP(Tabulka1[[#This Row],[ID]],'Zdroj hloubka okresy'!$A$2:$D$171,4,FALSE)</f>
        <v>18</v>
      </c>
    </row>
    <row r="39" spans="1:68" x14ac:dyDescent="0.35">
      <c r="A39" s="13">
        <v>1063</v>
      </c>
      <c r="B39" s="14" t="s">
        <v>524</v>
      </c>
      <c r="C39" s="7">
        <v>6.04</v>
      </c>
      <c r="D39" s="7">
        <v>5.94</v>
      </c>
      <c r="E39" s="7">
        <v>5.23</v>
      </c>
      <c r="F39" s="7">
        <v>5.12</v>
      </c>
      <c r="G39" s="7">
        <v>1.06</v>
      </c>
      <c r="H39" s="7">
        <v>0.68</v>
      </c>
      <c r="I39" s="7">
        <v>0.61</v>
      </c>
      <c r="J39" s="7">
        <v>0.39</v>
      </c>
      <c r="K39" s="7">
        <v>0</v>
      </c>
      <c r="L39" s="7">
        <v>0</v>
      </c>
      <c r="M39" s="7">
        <v>34.700000000000003</v>
      </c>
      <c r="N39" s="139">
        <v>22.599999999999998</v>
      </c>
      <c r="O39" s="139">
        <v>113.3</v>
      </c>
      <c r="P39" s="139">
        <v>84.2</v>
      </c>
      <c r="Q39" s="7">
        <v>14.17</v>
      </c>
      <c r="R39" s="7">
        <v>15.91</v>
      </c>
      <c r="S39" s="7">
        <v>78.53</v>
      </c>
      <c r="T39" s="7">
        <v>80.989999999999995</v>
      </c>
      <c r="U39" s="4">
        <v>2</v>
      </c>
      <c r="V39" s="4">
        <f>VLOOKUP(Tabulka1[[#This Row],[ID]],'Zdroj hloubka okresy'!$A$2:$K$171,5,FALSE)</f>
        <v>1.46</v>
      </c>
      <c r="W39" s="4">
        <f>VLOOKUP(Tabulka1[[#This Row],[ID]],'Zdroj hloubka okresy'!$A$2:$K$171,6,FALSE)</f>
        <v>1.43</v>
      </c>
      <c r="X39" s="4">
        <v>16.02</v>
      </c>
      <c r="Y39" s="4">
        <v>19.329999999999998</v>
      </c>
      <c r="Z39" s="4">
        <v>11.91</v>
      </c>
      <c r="AA39" s="4">
        <v>11.43</v>
      </c>
      <c r="AB39" s="4">
        <v>22.88</v>
      </c>
      <c r="AC39" s="4">
        <v>21.76</v>
      </c>
      <c r="AD39" s="4">
        <v>18.920000000000002</v>
      </c>
      <c r="AE39" s="4">
        <v>18.84</v>
      </c>
      <c r="AF39" s="4">
        <v>30.27</v>
      </c>
      <c r="AG39" s="4">
        <v>28.64</v>
      </c>
      <c r="AH39" s="4" t="s">
        <v>724</v>
      </c>
      <c r="AI39" s="5" t="s">
        <v>791</v>
      </c>
      <c r="AJ39" s="4">
        <v>3.14</v>
      </c>
      <c r="AK39" s="4">
        <v>4</v>
      </c>
      <c r="AL39" s="4" t="s">
        <v>797</v>
      </c>
      <c r="AM39" s="20" t="s">
        <v>824</v>
      </c>
      <c r="AN39" s="7" t="s">
        <v>803</v>
      </c>
      <c r="AP39" s="15">
        <v>0</v>
      </c>
      <c r="AQ39" s="9" t="str">
        <f>MID(Tabulka1[[#This Row],[BPEJ]],1,1)</f>
        <v>5</v>
      </c>
      <c r="AW39" s="9"/>
      <c r="AX39">
        <v>5</v>
      </c>
      <c r="AY39" s="114">
        <v>48</v>
      </c>
      <c r="AZ39" s="114">
        <v>1</v>
      </c>
      <c r="BA39" s="114">
        <v>4</v>
      </c>
      <c r="BB39" s="9">
        <v>5</v>
      </c>
      <c r="BC39" s="9" t="str">
        <f>MID(Tabulka1[[#This Row],[BPEJ]],3,2)</f>
        <v>48</v>
      </c>
      <c r="BD39" s="9" t="str">
        <f>MID(Tabulka1[[#This Row],[BPEJ]],6,1)</f>
        <v>1</v>
      </c>
      <c r="BE39" s="9" t="str">
        <f>MID(Tabulka1[[#This Row],[BPEJ]],7,1)</f>
        <v>4</v>
      </c>
      <c r="BF39" s="2" t="str">
        <f t="shared" si="0"/>
        <v>T</v>
      </c>
      <c r="BG39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39" s="134">
        <v>3.47</v>
      </c>
      <c r="BI39" s="2">
        <f t="shared" si="1"/>
        <v>34.700000000000003</v>
      </c>
      <c r="BJ39" s="2">
        <f>Tabulka1[[#This Row],[P2O5_60]]*10</f>
        <v>225.99999999999997</v>
      </c>
      <c r="BK39" s="2">
        <f>Tabulka1[[#This Row],[K2O_30]]*10</f>
        <v>1133</v>
      </c>
      <c r="BL39" s="2">
        <f>Tabulka1[[#This Row],[K2O_60]]*10</f>
        <v>842</v>
      </c>
      <c r="BN39" s="2">
        <f>VLOOKUP(Tabulka1[[#This Row],[ID]],'Zdroj hloubka okresy'!$A$2:$F$171,5,FALSE)</f>
        <v>1.46</v>
      </c>
      <c r="BO39" s="2">
        <f>VLOOKUP(Tabulka1[[#This Row],[ID]],'Zdroj hloubka okresy'!$A$2:$D$171,3,FALSE)</f>
        <v>20</v>
      </c>
      <c r="BP39" s="2">
        <f>VLOOKUP(Tabulka1[[#This Row],[ID]],'Zdroj hloubka okresy'!$A$2:$D$171,4,FALSE)</f>
        <v>25</v>
      </c>
    </row>
    <row r="40" spans="1:68" x14ac:dyDescent="0.35">
      <c r="A40" s="13">
        <v>1066</v>
      </c>
      <c r="B40" s="14" t="s">
        <v>534</v>
      </c>
      <c r="C40" s="7">
        <v>5.46</v>
      </c>
      <c r="D40" s="7">
        <v>5.62</v>
      </c>
      <c r="E40" s="7">
        <v>4.57</v>
      </c>
      <c r="F40" s="7">
        <v>4.75</v>
      </c>
      <c r="G40" s="7">
        <v>1.31</v>
      </c>
      <c r="H40" s="7">
        <v>0.86</v>
      </c>
      <c r="I40" s="7">
        <v>0.76</v>
      </c>
      <c r="J40" s="7">
        <v>0.5</v>
      </c>
      <c r="K40" s="7">
        <v>0</v>
      </c>
      <c r="L40" s="7">
        <v>0</v>
      </c>
      <c r="M40" s="7">
        <v>0.89999999999999991</v>
      </c>
      <c r="N40" s="139">
        <v>0.70000000000000007</v>
      </c>
      <c r="O40" s="139">
        <v>53.3</v>
      </c>
      <c r="P40" s="139">
        <v>42.1</v>
      </c>
      <c r="Q40" s="7">
        <v>9</v>
      </c>
      <c r="R40" s="7">
        <v>8.5299999999999994</v>
      </c>
      <c r="S40" s="7">
        <v>48.1</v>
      </c>
      <c r="T40" s="7">
        <v>59.8</v>
      </c>
      <c r="U40" s="4">
        <v>2</v>
      </c>
      <c r="V40" s="4">
        <f>VLOOKUP(Tabulka1[[#This Row],[ID]],'Zdroj hloubka okresy'!$A$2:$K$171,5,FALSE)</f>
        <v>1.67</v>
      </c>
      <c r="W40" s="4">
        <f>VLOOKUP(Tabulka1[[#This Row],[ID]],'Zdroj hloubka okresy'!$A$2:$K$171,6,FALSE)</f>
        <v>1.67</v>
      </c>
      <c r="X40" s="4">
        <v>5.43</v>
      </c>
      <c r="Y40" s="4">
        <v>5.39</v>
      </c>
      <c r="Z40" s="4">
        <v>9.1199999999999992</v>
      </c>
      <c r="AA40" s="4">
        <v>8.61</v>
      </c>
      <c r="AB40" s="4">
        <v>14.16</v>
      </c>
      <c r="AC40" s="4">
        <v>13.62</v>
      </c>
      <c r="AD40" s="4">
        <v>19.22</v>
      </c>
      <c r="AE40" s="4">
        <v>18.739999999999998</v>
      </c>
      <c r="AF40" s="4">
        <v>52.07</v>
      </c>
      <c r="AG40" s="4">
        <v>53.65</v>
      </c>
      <c r="AH40" s="4" t="s">
        <v>725</v>
      </c>
      <c r="AI40" s="5" t="s">
        <v>790</v>
      </c>
      <c r="AJ40" s="4">
        <v>5.44</v>
      </c>
      <c r="AK40" s="4">
        <v>4</v>
      </c>
      <c r="AL40" s="4" t="s">
        <v>797</v>
      </c>
      <c r="AM40" s="20" t="s">
        <v>824</v>
      </c>
      <c r="AN40" s="7" t="s">
        <v>803</v>
      </c>
      <c r="AP40" s="15">
        <v>0</v>
      </c>
      <c r="AQ40" s="9" t="str">
        <f>MID(Tabulka1[[#This Row],[BPEJ]],1,1)</f>
        <v>5</v>
      </c>
      <c r="AW40" s="9"/>
      <c r="AX40">
        <v>5</v>
      </c>
      <c r="AY40" s="114">
        <v>48</v>
      </c>
      <c r="AZ40" s="114">
        <v>1</v>
      </c>
      <c r="BA40" s="114">
        <v>1</v>
      </c>
      <c r="BB40" s="9">
        <v>5</v>
      </c>
      <c r="BC40" s="9" t="str">
        <f>MID(Tabulka1[[#This Row],[BPEJ]],3,2)</f>
        <v>48</v>
      </c>
      <c r="BD40" s="9" t="str">
        <f>MID(Tabulka1[[#This Row],[BPEJ]],6,1)</f>
        <v>1</v>
      </c>
      <c r="BE40" s="9" t="str">
        <f>MID(Tabulka1[[#This Row],[BPEJ]],7,1)</f>
        <v>1</v>
      </c>
      <c r="BF40" s="2" t="str">
        <f t="shared" si="0"/>
        <v>T</v>
      </c>
      <c r="BG40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40" s="7">
        <v>0.09</v>
      </c>
      <c r="BI40" s="2">
        <f t="shared" si="1"/>
        <v>0.89999999999999991</v>
      </c>
      <c r="BJ40" s="2">
        <f>Tabulka1[[#This Row],[P2O5_60]]*10</f>
        <v>7.0000000000000009</v>
      </c>
      <c r="BK40" s="2">
        <f>Tabulka1[[#This Row],[K2O_30]]*10</f>
        <v>533</v>
      </c>
      <c r="BL40" s="2">
        <f>Tabulka1[[#This Row],[K2O_60]]*10</f>
        <v>421</v>
      </c>
      <c r="BN40" s="2">
        <f>VLOOKUP(Tabulka1[[#This Row],[ID]],'Zdroj hloubka okresy'!$A$2:$F$171,5,FALSE)</f>
        <v>1.67</v>
      </c>
      <c r="BO40" s="2">
        <f>VLOOKUP(Tabulka1[[#This Row],[ID]],'Zdroj hloubka okresy'!$A$2:$D$171,3,FALSE)</f>
        <v>20</v>
      </c>
      <c r="BP40" s="2">
        <f>VLOOKUP(Tabulka1[[#This Row],[ID]],'Zdroj hloubka okresy'!$A$2:$D$171,4,FALSE)</f>
        <v>24</v>
      </c>
    </row>
    <row r="41" spans="1:68" x14ac:dyDescent="0.35">
      <c r="A41" s="13">
        <v>1069</v>
      </c>
      <c r="B41" s="14" t="s">
        <v>128</v>
      </c>
      <c r="C41" s="7">
        <v>7.07</v>
      </c>
      <c r="D41" s="7">
        <v>7.1</v>
      </c>
      <c r="E41" s="7">
        <v>6.43</v>
      </c>
      <c r="F41" s="7">
        <v>6.47</v>
      </c>
      <c r="G41" s="7">
        <v>2.83</v>
      </c>
      <c r="H41" s="7">
        <v>1.87</v>
      </c>
      <c r="I41" s="7">
        <v>1.64</v>
      </c>
      <c r="J41" s="7">
        <v>1.0900000000000001</v>
      </c>
      <c r="K41" s="7">
        <v>0</v>
      </c>
      <c r="L41" s="7">
        <v>0</v>
      </c>
      <c r="M41" s="7">
        <v>8.1000000000000014</v>
      </c>
      <c r="N41" s="139">
        <v>4.0999999999999996</v>
      </c>
      <c r="O41" s="139">
        <v>74.3</v>
      </c>
      <c r="P41" s="139">
        <v>78.7</v>
      </c>
      <c r="Q41" s="7">
        <v>23.17</v>
      </c>
      <c r="R41" s="7">
        <v>19.829999999999998</v>
      </c>
      <c r="S41" s="7">
        <v>80.069999999999993</v>
      </c>
      <c r="T41" s="7">
        <v>80.930000000000007</v>
      </c>
      <c r="U41" s="4">
        <v>3</v>
      </c>
      <c r="V41" s="4">
        <f>VLOOKUP(Tabulka1[[#This Row],[ID]],'Zdroj hloubka okresy'!$A$2:$K$171,5,FALSE)</f>
        <v>1.52</v>
      </c>
      <c r="W41" s="4">
        <f>VLOOKUP(Tabulka1[[#This Row],[ID]],'Zdroj hloubka okresy'!$A$2:$K$171,6,FALSE)</f>
        <v>1.51</v>
      </c>
      <c r="X41" s="4">
        <v>10.57</v>
      </c>
      <c r="Y41" s="4">
        <v>10.61</v>
      </c>
      <c r="Z41" s="4">
        <v>15.46</v>
      </c>
      <c r="AA41" s="4">
        <v>14.06</v>
      </c>
      <c r="AB41" s="4">
        <v>17.77</v>
      </c>
      <c r="AC41" s="4">
        <v>15.43</v>
      </c>
      <c r="AD41" s="4">
        <v>16.78</v>
      </c>
      <c r="AE41" s="4">
        <v>15.77</v>
      </c>
      <c r="AF41" s="4">
        <v>39.42</v>
      </c>
      <c r="AG41" s="4">
        <v>44.13</v>
      </c>
      <c r="AH41" s="4" t="s">
        <v>726</v>
      </c>
      <c r="AI41" s="5" t="s">
        <v>792</v>
      </c>
      <c r="AJ41" s="4">
        <v>7.12</v>
      </c>
      <c r="AK41" s="4">
        <v>4</v>
      </c>
      <c r="AL41" s="4" t="s">
        <v>797</v>
      </c>
      <c r="AM41" s="20" t="s">
        <v>824</v>
      </c>
      <c r="AN41" s="7" t="s">
        <v>803</v>
      </c>
      <c r="AP41" s="15">
        <v>0</v>
      </c>
      <c r="AQ41" s="9" t="str">
        <f>MID(Tabulka1[[#This Row],[BPEJ]],1,1)</f>
        <v>5</v>
      </c>
      <c r="AW41" s="9"/>
      <c r="AX41">
        <v>5</v>
      </c>
      <c r="AY41" s="114">
        <v>50</v>
      </c>
      <c r="AZ41" s="114">
        <v>0</v>
      </c>
      <c r="BA41" s="114">
        <v>1</v>
      </c>
      <c r="BB41" s="9">
        <v>5</v>
      </c>
      <c r="BC41" s="9" t="str">
        <f>MID(Tabulka1[[#This Row],[BPEJ]],3,2)</f>
        <v>50</v>
      </c>
      <c r="BD41" s="9" t="str">
        <f>MID(Tabulka1[[#This Row],[BPEJ]],6,1)</f>
        <v>0</v>
      </c>
      <c r="BE41" s="9" t="str">
        <f>MID(Tabulka1[[#This Row],[BPEJ]],7,1)</f>
        <v>1</v>
      </c>
      <c r="BF41" s="2" t="str">
        <f t="shared" si="0"/>
        <v>T</v>
      </c>
      <c r="BG41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41" s="134">
        <v>0.81</v>
      </c>
      <c r="BI41" s="2">
        <f t="shared" si="1"/>
        <v>8.1000000000000014</v>
      </c>
      <c r="BJ41" s="2">
        <f>Tabulka1[[#This Row],[P2O5_60]]*10</f>
        <v>41</v>
      </c>
      <c r="BK41" s="2">
        <f>Tabulka1[[#This Row],[K2O_30]]*10</f>
        <v>743</v>
      </c>
      <c r="BL41" s="2">
        <f>Tabulka1[[#This Row],[K2O_60]]*10</f>
        <v>787</v>
      </c>
      <c r="BN41" s="2">
        <f>VLOOKUP(Tabulka1[[#This Row],[ID]],'Zdroj hloubka okresy'!$A$2:$F$171,5,FALSE)</f>
        <v>1.52</v>
      </c>
      <c r="BO41" s="2">
        <f>VLOOKUP(Tabulka1[[#This Row],[ID]],'Zdroj hloubka okresy'!$A$2:$D$171,3,FALSE)</f>
        <v>20</v>
      </c>
      <c r="BP41" s="2">
        <f>VLOOKUP(Tabulka1[[#This Row],[ID]],'Zdroj hloubka okresy'!$A$2:$D$171,4,FALSE)</f>
        <v>40</v>
      </c>
    </row>
    <row r="42" spans="1:68" x14ac:dyDescent="0.35">
      <c r="A42" s="13">
        <v>1072</v>
      </c>
      <c r="B42" s="14" t="s">
        <v>543</v>
      </c>
      <c r="C42" s="7">
        <v>5.92</v>
      </c>
      <c r="D42" s="7">
        <v>5.92</v>
      </c>
      <c r="E42" s="7">
        <v>5.0999999999999996</v>
      </c>
      <c r="F42" s="7">
        <v>5.0999999999999996</v>
      </c>
      <c r="G42" s="7">
        <v>3.12</v>
      </c>
      <c r="H42" s="7">
        <v>2.4700000000000002</v>
      </c>
      <c r="I42" s="7">
        <v>1.81</v>
      </c>
      <c r="J42" s="7">
        <v>1.43</v>
      </c>
      <c r="K42" s="7">
        <v>0</v>
      </c>
      <c r="L42" s="7">
        <v>0</v>
      </c>
      <c r="M42" s="7">
        <v>0.5</v>
      </c>
      <c r="N42" s="139">
        <v>0.5</v>
      </c>
      <c r="O42" s="139">
        <v>41</v>
      </c>
      <c r="P42" s="139">
        <v>39</v>
      </c>
      <c r="Q42" s="7">
        <v>20.170000000000002</v>
      </c>
      <c r="R42" s="7">
        <v>17.829999999999998</v>
      </c>
      <c r="S42" s="7">
        <v>69.2</v>
      </c>
      <c r="T42" s="7">
        <v>71.7</v>
      </c>
      <c r="U42" s="4">
        <v>3</v>
      </c>
      <c r="V42" s="4">
        <f>VLOOKUP(Tabulka1[[#This Row],[ID]],'Zdroj hloubka okresy'!$A$2:$K$171,5,FALSE)</f>
        <v>1.54</v>
      </c>
      <c r="W42" s="4">
        <f>VLOOKUP(Tabulka1[[#This Row],[ID]],'Zdroj hloubka okresy'!$A$2:$K$171,6,FALSE)</f>
        <v>1.53</v>
      </c>
      <c r="X42" s="4">
        <v>9.08</v>
      </c>
      <c r="Y42" s="4">
        <v>9.81</v>
      </c>
      <c r="Z42" s="4">
        <v>17.82</v>
      </c>
      <c r="AA42" s="4">
        <v>16.79</v>
      </c>
      <c r="AB42" s="4">
        <v>26.47</v>
      </c>
      <c r="AC42" s="4">
        <v>23.43</v>
      </c>
      <c r="AD42" s="4">
        <v>22.77</v>
      </c>
      <c r="AE42" s="4">
        <v>22.73</v>
      </c>
      <c r="AF42" s="4">
        <v>23.87</v>
      </c>
      <c r="AG42" s="4">
        <v>27.23</v>
      </c>
      <c r="AH42" s="4" t="s">
        <v>700</v>
      </c>
      <c r="AI42" s="5" t="s">
        <v>789</v>
      </c>
      <c r="AJ42" s="4">
        <v>9</v>
      </c>
      <c r="AK42" s="4">
        <v>3</v>
      </c>
      <c r="AL42" s="4" t="s">
        <v>798</v>
      </c>
      <c r="AM42" s="20" t="s">
        <v>824</v>
      </c>
      <c r="AN42" s="7" t="s">
        <v>802</v>
      </c>
      <c r="AP42" s="15">
        <v>0</v>
      </c>
      <c r="AQ42" s="9" t="str">
        <f>MID(Tabulka1[[#This Row],[BPEJ]],1,1)</f>
        <v>5</v>
      </c>
      <c r="AW42" s="9"/>
      <c r="AX42">
        <v>5</v>
      </c>
      <c r="AY42" s="114">
        <v>29</v>
      </c>
      <c r="AZ42" s="114">
        <v>0</v>
      </c>
      <c r="BA42" s="114">
        <v>1</v>
      </c>
      <c r="BB42" s="9">
        <v>5</v>
      </c>
      <c r="BC42" s="9" t="str">
        <f>MID(Tabulka1[[#This Row],[BPEJ]],3,2)</f>
        <v>29</v>
      </c>
      <c r="BD42" s="9" t="str">
        <f>MID(Tabulka1[[#This Row],[BPEJ]],6,1)</f>
        <v>0</v>
      </c>
      <c r="BE42" s="9" t="str">
        <f>MID(Tabulka1[[#This Row],[BPEJ]],7,1)</f>
        <v>1</v>
      </c>
      <c r="BF42" s="2" t="str">
        <f t="shared" si="0"/>
        <v>T</v>
      </c>
      <c r="BG42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42" s="7">
        <v>0.05</v>
      </c>
      <c r="BI42" s="2">
        <f t="shared" si="1"/>
        <v>0.5</v>
      </c>
      <c r="BJ42" s="2">
        <f>Tabulka1[[#This Row],[P2O5_60]]*10</f>
        <v>5</v>
      </c>
      <c r="BK42" s="2">
        <f>Tabulka1[[#This Row],[K2O_30]]*10</f>
        <v>410</v>
      </c>
      <c r="BL42" s="2">
        <f>Tabulka1[[#This Row],[K2O_60]]*10</f>
        <v>390</v>
      </c>
      <c r="BN42" s="2">
        <f>VLOOKUP(Tabulka1[[#This Row],[ID]],'Zdroj hloubka okresy'!$A$2:$F$171,5,FALSE)</f>
        <v>1.54</v>
      </c>
      <c r="BO42" s="2">
        <f>VLOOKUP(Tabulka1[[#This Row],[ID]],'Zdroj hloubka okresy'!$A$2:$D$171,3,FALSE)</f>
        <v>20</v>
      </c>
      <c r="BP42" s="2">
        <f>VLOOKUP(Tabulka1[[#This Row],[ID]],'Zdroj hloubka okresy'!$A$2:$D$171,4,FALSE)</f>
        <v>40</v>
      </c>
    </row>
    <row r="43" spans="1:68" x14ac:dyDescent="0.35">
      <c r="A43" s="13">
        <v>1075</v>
      </c>
      <c r="B43" s="14" t="s">
        <v>561</v>
      </c>
      <c r="C43" s="7">
        <v>7.04</v>
      </c>
      <c r="D43" s="7">
        <v>6.41</v>
      </c>
      <c r="E43" s="7">
        <v>6.4</v>
      </c>
      <c r="F43" s="7">
        <v>5.67</v>
      </c>
      <c r="G43" s="7">
        <v>1.19</v>
      </c>
      <c r="H43" s="7">
        <v>0.73</v>
      </c>
      <c r="I43" s="7">
        <v>0.69</v>
      </c>
      <c r="J43" s="7">
        <v>0.42</v>
      </c>
      <c r="K43" s="7">
        <v>0</v>
      </c>
      <c r="L43" s="7">
        <v>0</v>
      </c>
      <c r="M43" s="7">
        <v>36</v>
      </c>
      <c r="N43" s="139">
        <v>19.2</v>
      </c>
      <c r="O43" s="139">
        <v>101.30000000000001</v>
      </c>
      <c r="P43" s="139">
        <v>78.7</v>
      </c>
      <c r="Q43" s="7">
        <v>9.89</v>
      </c>
      <c r="R43" s="7">
        <v>13.25</v>
      </c>
      <c r="S43" s="7">
        <v>90.39</v>
      </c>
      <c r="T43" s="7">
        <v>85.64</v>
      </c>
      <c r="U43" s="4">
        <v>4</v>
      </c>
      <c r="V43" s="4">
        <f>VLOOKUP(Tabulka1[[#This Row],[ID]],'Zdroj hloubka okresy'!$A$2:$K$171,5,FALSE)</f>
        <v>1.47</v>
      </c>
      <c r="W43" s="4">
        <f>VLOOKUP(Tabulka1[[#This Row],[ID]],'Zdroj hloubka okresy'!$A$2:$K$171,6,FALSE)</f>
        <v>1.41</v>
      </c>
      <c r="X43" s="4">
        <v>14.65</v>
      </c>
      <c r="Y43" s="4">
        <v>21.72</v>
      </c>
      <c r="Z43" s="4">
        <v>13.46</v>
      </c>
      <c r="AA43" s="4">
        <v>11.74</v>
      </c>
      <c r="AB43" s="4">
        <v>19.329999999999998</v>
      </c>
      <c r="AC43" s="4">
        <v>16.07</v>
      </c>
      <c r="AD43" s="4">
        <v>27.14</v>
      </c>
      <c r="AE43" s="4">
        <v>25.42</v>
      </c>
      <c r="AF43" s="4">
        <v>25.42</v>
      </c>
      <c r="AG43" s="4">
        <v>25.04</v>
      </c>
      <c r="AH43" s="4" t="s">
        <v>720</v>
      </c>
      <c r="AI43" s="5" t="s">
        <v>792</v>
      </c>
      <c r="AJ43" s="4">
        <v>7.04</v>
      </c>
      <c r="AK43" s="4">
        <v>4</v>
      </c>
      <c r="AL43" s="4" t="s">
        <v>797</v>
      </c>
      <c r="AM43" s="20" t="s">
        <v>824</v>
      </c>
      <c r="AN43" s="7" t="s">
        <v>806</v>
      </c>
      <c r="AP43" s="15">
        <v>0</v>
      </c>
      <c r="AQ43" s="9" t="str">
        <f>MID(Tabulka1[[#This Row],[BPEJ]],1,1)</f>
        <v>5</v>
      </c>
      <c r="AW43" s="9"/>
      <c r="AX43">
        <v>5</v>
      </c>
      <c r="AY43" s="114">
        <v>47</v>
      </c>
      <c r="AZ43" s="114">
        <v>0</v>
      </c>
      <c r="BA43" s="114">
        <v>0</v>
      </c>
      <c r="BB43" s="9">
        <v>5</v>
      </c>
      <c r="BC43" s="9" t="str">
        <f>MID(Tabulka1[[#This Row],[BPEJ]],3,2)</f>
        <v>47</v>
      </c>
      <c r="BD43" s="9" t="str">
        <f>MID(Tabulka1[[#This Row],[BPEJ]],6,1)</f>
        <v>0</v>
      </c>
      <c r="BE43" s="9" t="str">
        <f>MID(Tabulka1[[#This Row],[BPEJ]],7,1)</f>
        <v>0</v>
      </c>
      <c r="BF43" s="2" t="str">
        <f t="shared" si="0"/>
        <v>T</v>
      </c>
      <c r="BG43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43" s="134">
        <v>3.6</v>
      </c>
      <c r="BI43" s="2">
        <f t="shared" si="1"/>
        <v>36</v>
      </c>
      <c r="BJ43" s="2">
        <f>Tabulka1[[#This Row],[P2O5_60]]*10</f>
        <v>192</v>
      </c>
      <c r="BK43" s="2">
        <f>Tabulka1[[#This Row],[K2O_30]]*10</f>
        <v>1013.0000000000001</v>
      </c>
      <c r="BL43" s="2">
        <f>Tabulka1[[#This Row],[K2O_60]]*10</f>
        <v>787</v>
      </c>
      <c r="BN43" s="2">
        <f>VLOOKUP(Tabulka1[[#This Row],[ID]],'Zdroj hloubka okresy'!$A$2:$F$171,5,FALSE)</f>
        <v>1.47</v>
      </c>
      <c r="BO43" s="2">
        <f>VLOOKUP(Tabulka1[[#This Row],[ID]],'Zdroj hloubka okresy'!$A$2:$D$171,3,FALSE)</f>
        <v>22</v>
      </c>
      <c r="BP43" s="2">
        <f>VLOOKUP(Tabulka1[[#This Row],[ID]],'Zdroj hloubka okresy'!$A$2:$D$171,4,FALSE)</f>
        <v>20</v>
      </c>
    </row>
    <row r="44" spans="1:68" x14ac:dyDescent="0.35">
      <c r="A44" s="13">
        <v>1078</v>
      </c>
      <c r="B44" s="14" t="s">
        <v>127</v>
      </c>
      <c r="C44" s="7">
        <v>6.46</v>
      </c>
      <c r="D44" s="7">
        <v>6.55</v>
      </c>
      <c r="E44" s="7">
        <v>5.73</v>
      </c>
      <c r="F44" s="7">
        <v>5.83</v>
      </c>
      <c r="G44" s="7">
        <v>3.37</v>
      </c>
      <c r="H44" s="7">
        <v>2.34</v>
      </c>
      <c r="I44" s="7">
        <v>1.95</v>
      </c>
      <c r="J44" s="7">
        <v>1.36</v>
      </c>
      <c r="K44" s="7">
        <v>0</v>
      </c>
      <c r="L44" s="7">
        <v>0</v>
      </c>
      <c r="M44" s="7">
        <v>0.89999999999999991</v>
      </c>
      <c r="N44" s="139">
        <v>0.6</v>
      </c>
      <c r="O44" s="139">
        <v>140.1</v>
      </c>
      <c r="P44" s="139">
        <v>88.4</v>
      </c>
      <c r="Q44" s="7">
        <v>28.7</v>
      </c>
      <c r="R44" s="7">
        <v>25.68</v>
      </c>
      <c r="S44" s="7">
        <v>85.03</v>
      </c>
      <c r="T44" s="7">
        <v>86.67</v>
      </c>
      <c r="U44" s="4">
        <v>2</v>
      </c>
      <c r="V44" s="4">
        <f>VLOOKUP(Tabulka1[[#This Row],[ID]],'Zdroj hloubka okresy'!$A$2:$K$171,5,FALSE)</f>
        <v>1.53</v>
      </c>
      <c r="W44" s="4">
        <f>VLOOKUP(Tabulka1[[#This Row],[ID]],'Zdroj hloubka okresy'!$A$2:$K$171,6,FALSE)</f>
        <v>1.48</v>
      </c>
      <c r="X44" s="4">
        <v>9.6300000000000008</v>
      </c>
      <c r="Y44" s="4">
        <v>13.42</v>
      </c>
      <c r="Z44" s="4">
        <v>14.32</v>
      </c>
      <c r="AA44" s="4">
        <v>13.92</v>
      </c>
      <c r="AB44" s="4">
        <v>27.17</v>
      </c>
      <c r="AC44" s="4">
        <v>29.36</v>
      </c>
      <c r="AD44" s="4">
        <v>23.34</v>
      </c>
      <c r="AE44" s="4">
        <v>19.57</v>
      </c>
      <c r="AF44" s="4">
        <v>25.54</v>
      </c>
      <c r="AG44" s="4">
        <v>23.73</v>
      </c>
      <c r="AH44" s="4" t="s">
        <v>727</v>
      </c>
      <c r="AI44" s="5" t="s">
        <v>790</v>
      </c>
      <c r="AJ44" s="4">
        <v>4.47</v>
      </c>
      <c r="AK44" s="4">
        <v>4</v>
      </c>
      <c r="AL44" s="4" t="s">
        <v>797</v>
      </c>
      <c r="AM44" s="20" t="s">
        <v>824</v>
      </c>
      <c r="AN44" s="7" t="s">
        <v>804</v>
      </c>
      <c r="AP44" s="15">
        <v>0</v>
      </c>
      <c r="AQ44" s="9" t="str">
        <f>MID(Tabulka1[[#This Row],[BPEJ]],1,1)</f>
        <v>5</v>
      </c>
      <c r="AW44" s="9"/>
      <c r="AX44">
        <v>5</v>
      </c>
      <c r="AY44" s="114">
        <v>32</v>
      </c>
      <c r="AZ44" s="114">
        <v>0</v>
      </c>
      <c r="BA44" s="114">
        <v>4</v>
      </c>
      <c r="BB44" s="9">
        <v>5</v>
      </c>
      <c r="BC44" s="9" t="str">
        <f>MID(Tabulka1[[#This Row],[BPEJ]],3,2)</f>
        <v>32</v>
      </c>
      <c r="BD44" s="9" t="str">
        <f>MID(Tabulka1[[#This Row],[BPEJ]],6,1)</f>
        <v>0</v>
      </c>
      <c r="BE44" s="9" t="str">
        <f>MID(Tabulka1[[#This Row],[BPEJ]],7,1)</f>
        <v>4</v>
      </c>
      <c r="BF44" s="2" t="str">
        <f t="shared" si="0"/>
        <v>T</v>
      </c>
      <c r="BG44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44" s="7">
        <v>0.09</v>
      </c>
      <c r="BI44" s="2">
        <f t="shared" si="1"/>
        <v>0.89999999999999991</v>
      </c>
      <c r="BJ44" s="2">
        <f>Tabulka1[[#This Row],[P2O5_60]]*10</f>
        <v>6</v>
      </c>
      <c r="BK44" s="2">
        <f>Tabulka1[[#This Row],[K2O_30]]*10</f>
        <v>1401</v>
      </c>
      <c r="BL44" s="2">
        <f>Tabulka1[[#This Row],[K2O_60]]*10</f>
        <v>884</v>
      </c>
      <c r="BN44" s="2">
        <f>VLOOKUP(Tabulka1[[#This Row],[ID]],'Zdroj hloubka okresy'!$A$2:$F$171,5,FALSE)</f>
        <v>1.53</v>
      </c>
      <c r="BO44" s="2">
        <f>VLOOKUP(Tabulka1[[#This Row],[ID]],'Zdroj hloubka okresy'!$A$2:$D$171,3,FALSE)</f>
        <v>26</v>
      </c>
      <c r="BP44" s="2">
        <f>VLOOKUP(Tabulka1[[#This Row],[ID]],'Zdroj hloubka okresy'!$A$2:$D$171,4,FALSE)</f>
        <v>24</v>
      </c>
    </row>
    <row r="45" spans="1:68" x14ac:dyDescent="0.35">
      <c r="A45" s="13">
        <v>1081</v>
      </c>
      <c r="B45" s="14" t="s">
        <v>564</v>
      </c>
      <c r="C45" s="7">
        <v>6.14</v>
      </c>
      <c r="D45" s="7">
        <v>6.2</v>
      </c>
      <c r="E45" s="7">
        <v>5.35</v>
      </c>
      <c r="F45" s="7">
        <v>5.43</v>
      </c>
      <c r="G45" s="7">
        <v>4.32</v>
      </c>
      <c r="H45" s="7">
        <v>2.96</v>
      </c>
      <c r="I45" s="7">
        <v>2.5</v>
      </c>
      <c r="J45" s="7">
        <v>1.72</v>
      </c>
      <c r="K45" s="7">
        <v>0</v>
      </c>
      <c r="L45" s="7">
        <v>0</v>
      </c>
      <c r="M45" s="7">
        <v>10</v>
      </c>
      <c r="N45" s="139">
        <v>8</v>
      </c>
      <c r="O45" s="139">
        <v>78</v>
      </c>
      <c r="P45" s="139">
        <v>69.7</v>
      </c>
      <c r="Q45" s="7">
        <v>27.3</v>
      </c>
      <c r="R45" s="7">
        <v>22.32</v>
      </c>
      <c r="S45" s="7">
        <v>67.64</v>
      </c>
      <c r="T45" s="7">
        <v>74.09</v>
      </c>
      <c r="U45" s="4">
        <v>2</v>
      </c>
      <c r="V45" s="4">
        <f>VLOOKUP(Tabulka1[[#This Row],[ID]],'Zdroj hloubka okresy'!$A$2:$K$171,5,FALSE)</f>
        <v>1.44</v>
      </c>
      <c r="W45" s="4">
        <f>VLOOKUP(Tabulka1[[#This Row],[ID]],'Zdroj hloubka okresy'!$A$2:$K$171,6,FALSE)</f>
        <v>1.41</v>
      </c>
      <c r="X45" s="4">
        <v>14.14</v>
      </c>
      <c r="Y45" s="4">
        <v>15.94</v>
      </c>
      <c r="Z45" s="4">
        <v>27.82</v>
      </c>
      <c r="AA45" s="4">
        <v>28.52</v>
      </c>
      <c r="AB45" s="4">
        <v>30.04</v>
      </c>
      <c r="AC45" s="4">
        <v>28.05</v>
      </c>
      <c r="AD45" s="4">
        <v>15.68</v>
      </c>
      <c r="AE45" s="4">
        <v>15.37</v>
      </c>
      <c r="AF45" s="4">
        <v>12.32</v>
      </c>
      <c r="AG45" s="4">
        <v>12.11</v>
      </c>
      <c r="AH45" s="4" t="s">
        <v>725</v>
      </c>
      <c r="AI45" s="5" t="s">
        <v>790</v>
      </c>
      <c r="AJ45" s="4">
        <v>5.44</v>
      </c>
      <c r="AK45" s="4">
        <v>4</v>
      </c>
      <c r="AL45" s="4" t="s">
        <v>797</v>
      </c>
      <c r="AM45" s="20" t="s">
        <v>824</v>
      </c>
      <c r="AN45" s="7" t="s">
        <v>803</v>
      </c>
      <c r="AP45" s="15">
        <v>0</v>
      </c>
      <c r="AQ45" s="9" t="str">
        <f>MID(Tabulka1[[#This Row],[BPEJ]],1,1)</f>
        <v>5</v>
      </c>
      <c r="AW45" s="9"/>
      <c r="AX45">
        <v>5</v>
      </c>
      <c r="AY45" s="114">
        <v>48</v>
      </c>
      <c r="AZ45" s="114">
        <v>1</v>
      </c>
      <c r="BA45" s="114">
        <v>1</v>
      </c>
      <c r="BB45" s="9">
        <v>5</v>
      </c>
      <c r="BC45" s="9" t="str">
        <f>MID(Tabulka1[[#This Row],[BPEJ]],3,2)</f>
        <v>48</v>
      </c>
      <c r="BD45" s="9" t="str">
        <f>MID(Tabulka1[[#This Row],[BPEJ]],6,1)</f>
        <v>1</v>
      </c>
      <c r="BE45" s="9" t="str">
        <f>MID(Tabulka1[[#This Row],[BPEJ]],7,1)</f>
        <v>1</v>
      </c>
      <c r="BF45" s="2" t="str">
        <f t="shared" si="0"/>
        <v>T</v>
      </c>
      <c r="BG45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45" s="134">
        <v>1</v>
      </c>
      <c r="BI45" s="2">
        <f t="shared" si="1"/>
        <v>10</v>
      </c>
      <c r="BJ45" s="2">
        <f>Tabulka1[[#This Row],[P2O5_60]]*10</f>
        <v>80</v>
      </c>
      <c r="BK45" s="2">
        <f>Tabulka1[[#This Row],[K2O_30]]*10</f>
        <v>780</v>
      </c>
      <c r="BL45" s="2">
        <f>Tabulka1[[#This Row],[K2O_60]]*10</f>
        <v>697</v>
      </c>
      <c r="BN45" s="2">
        <f>VLOOKUP(Tabulka1[[#This Row],[ID]],'Zdroj hloubka okresy'!$A$2:$F$171,5,FALSE)</f>
        <v>1.44</v>
      </c>
      <c r="BO45" s="2">
        <f>VLOOKUP(Tabulka1[[#This Row],[ID]],'Zdroj hloubka okresy'!$A$2:$D$171,3,FALSE)</f>
        <v>21</v>
      </c>
      <c r="BP45" s="2">
        <f>VLOOKUP(Tabulka1[[#This Row],[ID]],'Zdroj hloubka okresy'!$A$2:$D$171,4,FALSE)</f>
        <v>19</v>
      </c>
    </row>
    <row r="46" spans="1:68" x14ac:dyDescent="0.35">
      <c r="A46" s="13">
        <v>1084</v>
      </c>
      <c r="B46" s="14" t="s">
        <v>122</v>
      </c>
      <c r="C46" s="7">
        <v>7.94</v>
      </c>
      <c r="D46" s="7">
        <v>8.06</v>
      </c>
      <c r="E46" s="7">
        <v>7.44</v>
      </c>
      <c r="F46" s="7">
        <v>7.58</v>
      </c>
      <c r="G46" s="7"/>
      <c r="H46" s="7"/>
      <c r="I46" s="7"/>
      <c r="J46" s="7"/>
      <c r="K46" s="7"/>
      <c r="L46" s="7"/>
      <c r="M46" s="7">
        <v>18</v>
      </c>
      <c r="N46" s="139">
        <v>16.5</v>
      </c>
      <c r="O46" s="139">
        <v>167</v>
      </c>
      <c r="P46" s="139">
        <v>145.29999999999998</v>
      </c>
      <c r="Q46" s="7">
        <v>33.9</v>
      </c>
      <c r="R46" s="7">
        <v>32.53</v>
      </c>
      <c r="S46" s="7"/>
      <c r="T46" s="7"/>
      <c r="U46" s="4">
        <v>2</v>
      </c>
      <c r="V46" s="4">
        <f>VLOOKUP(Tabulka1[[#This Row],[ID]],'Zdroj hloubka okresy'!$A$2:$K$171,5,FALSE)</f>
        <v>1.36</v>
      </c>
      <c r="W46" s="4">
        <f>VLOOKUP(Tabulka1[[#This Row],[ID]],'Zdroj hloubka okresy'!$A$2:$K$171,6,FALSE)</f>
        <v>1.36</v>
      </c>
      <c r="X46" s="4">
        <v>25.18</v>
      </c>
      <c r="Y46" s="4">
        <v>24.51</v>
      </c>
      <c r="Z46" s="4">
        <v>18.39</v>
      </c>
      <c r="AA46" s="4">
        <v>16.47</v>
      </c>
      <c r="AB46" s="4">
        <v>24.57</v>
      </c>
      <c r="AC46" s="4">
        <v>24.17</v>
      </c>
      <c r="AD46" s="4">
        <v>13.96</v>
      </c>
      <c r="AE46" s="4">
        <v>15.51</v>
      </c>
      <c r="AF46" s="4">
        <v>17.91</v>
      </c>
      <c r="AG46" s="4">
        <v>19.34</v>
      </c>
      <c r="AH46" s="4" t="s">
        <v>704</v>
      </c>
      <c r="AI46" s="5" t="s">
        <v>791</v>
      </c>
      <c r="AJ46" s="4">
        <v>3.9</v>
      </c>
      <c r="AK46" s="4">
        <v>5</v>
      </c>
      <c r="AL46" s="4" t="s">
        <v>798</v>
      </c>
      <c r="AM46" s="20" t="s">
        <v>824</v>
      </c>
      <c r="AN46" s="7" t="s">
        <v>804</v>
      </c>
      <c r="AP46" s="15">
        <v>0</v>
      </c>
      <c r="AQ46" s="9" t="str">
        <f>MID(Tabulka1[[#This Row],[BPEJ]],1,1)</f>
        <v>5</v>
      </c>
      <c r="AW46" s="9"/>
      <c r="AX46">
        <v>5</v>
      </c>
      <c r="AY46" s="114">
        <v>32</v>
      </c>
      <c r="AZ46" s="114">
        <v>1</v>
      </c>
      <c r="BA46" s="114">
        <v>4</v>
      </c>
      <c r="BB46" s="9">
        <v>5</v>
      </c>
      <c r="BC46" s="9" t="str">
        <f>MID(Tabulka1[[#This Row],[BPEJ]],3,2)</f>
        <v>32</v>
      </c>
      <c r="BD46" s="9" t="str">
        <f>MID(Tabulka1[[#This Row],[BPEJ]],6,1)</f>
        <v>1</v>
      </c>
      <c r="BE46" s="9" t="str">
        <f>MID(Tabulka1[[#This Row],[BPEJ]],7,1)</f>
        <v>4</v>
      </c>
      <c r="BF46" s="2" t="str">
        <f t="shared" si="0"/>
        <v>T</v>
      </c>
      <c r="BG46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46" s="7">
        <v>1.8</v>
      </c>
      <c r="BI46" s="2">
        <f t="shared" si="1"/>
        <v>18</v>
      </c>
      <c r="BJ46" s="2">
        <f>Tabulka1[[#This Row],[P2O5_60]]*10</f>
        <v>165</v>
      </c>
      <c r="BK46" s="2">
        <f>Tabulka1[[#This Row],[K2O_30]]*10</f>
        <v>1670</v>
      </c>
      <c r="BL46" s="2">
        <f>Tabulka1[[#This Row],[K2O_60]]*10</f>
        <v>1452.9999999999998</v>
      </c>
      <c r="BN46" s="2">
        <f>VLOOKUP(Tabulka1[[#This Row],[ID]],'Zdroj hloubka okresy'!$A$2:$F$171,5,FALSE)</f>
        <v>1.36</v>
      </c>
      <c r="BO46" s="2">
        <f>VLOOKUP(Tabulka1[[#This Row],[ID]],'Zdroj hloubka okresy'!$A$2:$D$171,3,FALSE)</f>
        <v>18</v>
      </c>
      <c r="BP46" s="2">
        <f>VLOOKUP(Tabulka1[[#This Row],[ID]],'Zdroj hloubka okresy'!$A$2:$D$171,4,FALSE)</f>
        <v>21</v>
      </c>
    </row>
    <row r="47" spans="1:68" x14ac:dyDescent="0.35">
      <c r="A47" s="13">
        <v>1087</v>
      </c>
      <c r="B47" s="14" t="s">
        <v>555</v>
      </c>
      <c r="C47" s="7">
        <v>7.63</v>
      </c>
      <c r="D47" s="7">
        <v>7.34</v>
      </c>
      <c r="E47" s="7">
        <v>7.08</v>
      </c>
      <c r="F47" s="7">
        <v>6.74</v>
      </c>
      <c r="G47" s="7">
        <v>3.48</v>
      </c>
      <c r="H47" s="7">
        <v>2.4900000000000002</v>
      </c>
      <c r="I47" s="7">
        <v>2.02</v>
      </c>
      <c r="J47" s="7">
        <v>1.44</v>
      </c>
      <c r="K47" s="7">
        <v>0</v>
      </c>
      <c r="L47" s="7">
        <v>0</v>
      </c>
      <c r="M47" s="7">
        <v>53</v>
      </c>
      <c r="N47" s="139">
        <v>33.199999999999996</v>
      </c>
      <c r="O47" s="139">
        <v>121.19999999999999</v>
      </c>
      <c r="P47" s="139">
        <v>89.399999999999991</v>
      </c>
      <c r="Q47" s="7">
        <v>26.7</v>
      </c>
      <c r="R47" s="7">
        <v>25.18</v>
      </c>
      <c r="S47" s="7">
        <v>84.4</v>
      </c>
      <c r="T47" s="7">
        <v>84</v>
      </c>
      <c r="U47" s="4">
        <v>3</v>
      </c>
      <c r="V47" s="4">
        <f>VLOOKUP(Tabulka1[[#This Row],[ID]],'Zdroj hloubka okresy'!$A$2:$K$171,5,FALSE)</f>
        <v>1.54</v>
      </c>
      <c r="W47" s="4">
        <f>VLOOKUP(Tabulka1[[#This Row],[ID]],'Zdroj hloubka okresy'!$A$2:$K$171,6,FALSE)</f>
        <v>1.52</v>
      </c>
      <c r="X47" s="4">
        <v>8.0500000000000007</v>
      </c>
      <c r="Y47" s="4">
        <v>9.4700000000000006</v>
      </c>
      <c r="Z47" s="4">
        <v>18.87</v>
      </c>
      <c r="AA47" s="4">
        <v>21.6</v>
      </c>
      <c r="AB47" s="4">
        <v>31.59</v>
      </c>
      <c r="AC47" s="4">
        <v>32.71</v>
      </c>
      <c r="AD47" s="4">
        <v>30.59</v>
      </c>
      <c r="AE47" s="4">
        <v>27.57</v>
      </c>
      <c r="AF47" s="4">
        <v>10.9</v>
      </c>
      <c r="AG47" s="4">
        <v>8.65</v>
      </c>
      <c r="AH47" s="4" t="s">
        <v>703</v>
      </c>
      <c r="AI47" s="5" t="s">
        <v>789</v>
      </c>
      <c r="AJ47" s="4">
        <v>7.79</v>
      </c>
      <c r="AK47" s="4">
        <v>4</v>
      </c>
      <c r="AL47" s="4" t="s">
        <v>797</v>
      </c>
      <c r="AM47" s="20" t="s">
        <v>796</v>
      </c>
      <c r="AN47" s="7" t="s">
        <v>802</v>
      </c>
      <c r="AP47" s="15">
        <v>0</v>
      </c>
      <c r="AQ47" s="9" t="str">
        <f>MID(Tabulka1[[#This Row],[BPEJ]],1,1)</f>
        <v>5</v>
      </c>
      <c r="AW47" s="9"/>
      <c r="AX47">
        <v>5</v>
      </c>
      <c r="AY47" s="114">
        <v>29</v>
      </c>
      <c r="AZ47" s="114">
        <v>1</v>
      </c>
      <c r="BA47" s="114">
        <v>1</v>
      </c>
      <c r="BB47" s="9">
        <v>5</v>
      </c>
      <c r="BC47" s="9" t="str">
        <f>MID(Tabulka1[[#This Row],[BPEJ]],3,2)</f>
        <v>29</v>
      </c>
      <c r="BD47" s="9" t="str">
        <f>MID(Tabulka1[[#This Row],[BPEJ]],6,1)</f>
        <v>1</v>
      </c>
      <c r="BE47" s="9" t="str">
        <f>MID(Tabulka1[[#This Row],[BPEJ]],7,1)</f>
        <v>1</v>
      </c>
      <c r="BF47" s="2" t="str">
        <f t="shared" si="0"/>
        <v>T</v>
      </c>
      <c r="BG47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47" s="134">
        <v>5.3</v>
      </c>
      <c r="BI47" s="2">
        <f t="shared" si="1"/>
        <v>53</v>
      </c>
      <c r="BJ47" s="2">
        <f>Tabulka1[[#This Row],[P2O5_60]]*10</f>
        <v>331.99999999999994</v>
      </c>
      <c r="BK47" s="2">
        <f>Tabulka1[[#This Row],[K2O_30]]*10</f>
        <v>1212</v>
      </c>
      <c r="BL47" s="2">
        <f>Tabulka1[[#This Row],[K2O_60]]*10</f>
        <v>893.99999999999989</v>
      </c>
      <c r="BN47" s="2">
        <f>VLOOKUP(Tabulka1[[#This Row],[ID]],'Zdroj hloubka okresy'!$A$2:$F$171,5,FALSE)</f>
        <v>1.54</v>
      </c>
      <c r="BO47" s="2">
        <f>VLOOKUP(Tabulka1[[#This Row],[ID]],'Zdroj hloubka okresy'!$A$2:$D$171,3,FALSE)</f>
        <v>18</v>
      </c>
      <c r="BP47" s="2">
        <f>VLOOKUP(Tabulka1[[#This Row],[ID]],'Zdroj hloubka okresy'!$A$2:$D$171,4,FALSE)</f>
        <v>32</v>
      </c>
    </row>
    <row r="48" spans="1:68" x14ac:dyDescent="0.35">
      <c r="A48" s="13">
        <v>1090</v>
      </c>
      <c r="B48" s="14" t="s">
        <v>126</v>
      </c>
      <c r="C48" s="7">
        <v>5.2</v>
      </c>
      <c r="D48" s="7">
        <v>5.13</v>
      </c>
      <c r="E48" s="7">
        <v>4.26</v>
      </c>
      <c r="F48" s="7">
        <v>4.18</v>
      </c>
      <c r="G48" s="7">
        <v>2.48</v>
      </c>
      <c r="H48" s="7">
        <v>1.91</v>
      </c>
      <c r="I48" s="7">
        <v>1.44</v>
      </c>
      <c r="J48" s="7">
        <v>1.1100000000000001</v>
      </c>
      <c r="K48" s="7">
        <v>0</v>
      </c>
      <c r="L48" s="7">
        <v>0</v>
      </c>
      <c r="M48" s="7">
        <v>14.7</v>
      </c>
      <c r="N48" s="139">
        <v>9.3000000000000007</v>
      </c>
      <c r="O48" s="139">
        <v>46.6</v>
      </c>
      <c r="P48" s="139">
        <v>40.099999999999994</v>
      </c>
      <c r="Q48" s="7">
        <v>27.03</v>
      </c>
      <c r="R48" s="7">
        <v>27.02</v>
      </c>
      <c r="S48" s="7">
        <v>53.63</v>
      </c>
      <c r="T48" s="7">
        <v>55.04</v>
      </c>
      <c r="U48" s="4">
        <v>3</v>
      </c>
      <c r="V48" s="4">
        <f>VLOOKUP(Tabulka1[[#This Row],[ID]],'Zdroj hloubka okresy'!$A$2:$K$171,5,FALSE)</f>
        <v>1.48</v>
      </c>
      <c r="W48" s="4">
        <f>VLOOKUP(Tabulka1[[#This Row],[ID]],'Zdroj hloubka okresy'!$A$2:$K$171,6,FALSE)</f>
        <v>1.46</v>
      </c>
      <c r="X48" s="4">
        <v>9.17</v>
      </c>
      <c r="Y48" s="4">
        <v>10.029999999999999</v>
      </c>
      <c r="Z48" s="4">
        <v>24.79</v>
      </c>
      <c r="AA48" s="4">
        <v>26.77</v>
      </c>
      <c r="AB48" s="4">
        <v>49.65</v>
      </c>
      <c r="AC48" s="4">
        <v>49.24</v>
      </c>
      <c r="AD48" s="4">
        <v>13.9</v>
      </c>
      <c r="AE48" s="4">
        <v>11.78</v>
      </c>
      <c r="AF48" s="4">
        <v>2.48</v>
      </c>
      <c r="AG48" s="4">
        <v>2.19</v>
      </c>
      <c r="AH48" s="4" t="s">
        <v>700</v>
      </c>
      <c r="AI48" s="5" t="s">
        <v>789</v>
      </c>
      <c r="AJ48" s="4">
        <v>9</v>
      </c>
      <c r="AK48" s="4">
        <v>4</v>
      </c>
      <c r="AL48" s="4" t="s">
        <v>797</v>
      </c>
      <c r="AM48" s="20" t="s">
        <v>796</v>
      </c>
      <c r="AN48" s="7" t="s">
        <v>802</v>
      </c>
      <c r="AP48" s="15">
        <v>0</v>
      </c>
      <c r="AQ48" s="9" t="str">
        <f>MID(Tabulka1[[#This Row],[BPEJ]],1,1)</f>
        <v>5</v>
      </c>
      <c r="AW48" s="9"/>
      <c r="AX48">
        <v>5</v>
      </c>
      <c r="AY48" s="114">
        <v>29</v>
      </c>
      <c r="AZ48" s="114">
        <v>0</v>
      </c>
      <c r="BA48" s="114">
        <v>1</v>
      </c>
      <c r="BB48" s="9">
        <v>5</v>
      </c>
      <c r="BC48" s="9" t="str">
        <f>MID(Tabulka1[[#This Row],[BPEJ]],3,2)</f>
        <v>29</v>
      </c>
      <c r="BD48" s="9" t="str">
        <f>MID(Tabulka1[[#This Row],[BPEJ]],6,1)</f>
        <v>0</v>
      </c>
      <c r="BE48" s="9" t="str">
        <f>MID(Tabulka1[[#This Row],[BPEJ]],7,1)</f>
        <v>1</v>
      </c>
      <c r="BF48" s="2" t="str">
        <f t="shared" si="0"/>
        <v>T</v>
      </c>
      <c r="BG48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48" s="7">
        <v>1.47</v>
      </c>
      <c r="BI48" s="2">
        <f t="shared" si="1"/>
        <v>14.7</v>
      </c>
      <c r="BJ48" s="2">
        <f>Tabulka1[[#This Row],[P2O5_60]]*10</f>
        <v>93</v>
      </c>
      <c r="BK48" s="2">
        <f>Tabulka1[[#This Row],[K2O_30]]*10</f>
        <v>466</v>
      </c>
      <c r="BL48" s="2">
        <f>Tabulka1[[#This Row],[K2O_60]]*10</f>
        <v>400.99999999999994</v>
      </c>
      <c r="BN48" s="2">
        <f>VLOOKUP(Tabulka1[[#This Row],[ID]],'Zdroj hloubka okresy'!$A$2:$F$171,5,FALSE)</f>
        <v>1.48</v>
      </c>
      <c r="BO48" s="2">
        <f>VLOOKUP(Tabulka1[[#This Row],[ID]],'Zdroj hloubka okresy'!$A$2:$D$171,3,FALSE)</f>
        <v>16</v>
      </c>
      <c r="BP48" s="2">
        <f>VLOOKUP(Tabulka1[[#This Row],[ID]],'Zdroj hloubka okresy'!$A$2:$D$171,4,FALSE)</f>
        <v>29</v>
      </c>
    </row>
    <row r="49" spans="1:68" x14ac:dyDescent="0.35">
      <c r="A49" s="13">
        <v>1093</v>
      </c>
      <c r="B49" s="14" t="s">
        <v>531</v>
      </c>
      <c r="C49" s="7">
        <v>5.46</v>
      </c>
      <c r="D49" s="7">
        <v>5.36</v>
      </c>
      <c r="E49" s="7">
        <v>4.5599999999999996</v>
      </c>
      <c r="F49" s="7">
        <v>4.45</v>
      </c>
      <c r="G49" s="7">
        <v>3.06</v>
      </c>
      <c r="H49" s="7">
        <v>1.93</v>
      </c>
      <c r="I49" s="7">
        <v>1.78</v>
      </c>
      <c r="J49" s="7">
        <v>1.1200000000000001</v>
      </c>
      <c r="K49" s="7">
        <v>0</v>
      </c>
      <c r="L49" s="7">
        <v>0</v>
      </c>
      <c r="M49" s="7">
        <v>1.6</v>
      </c>
      <c r="N49" s="139">
        <v>0.89999999999999991</v>
      </c>
      <c r="O49" s="139">
        <v>42.800000000000004</v>
      </c>
      <c r="P49" s="139">
        <v>36.1</v>
      </c>
      <c r="Q49" s="7">
        <v>24</v>
      </c>
      <c r="R49" s="7">
        <v>20.67</v>
      </c>
      <c r="S49" s="7">
        <v>60.72</v>
      </c>
      <c r="T49" s="7">
        <v>60.46</v>
      </c>
      <c r="U49" s="4">
        <v>3</v>
      </c>
      <c r="V49" s="4">
        <f>VLOOKUP(Tabulka1[[#This Row],[ID]],'Zdroj hloubka okresy'!$A$2:$K$171,5,FALSE)</f>
        <v>1.49</v>
      </c>
      <c r="W49" s="4">
        <f>VLOOKUP(Tabulka1[[#This Row],[ID]],'Zdroj hloubka okresy'!$A$2:$K$171,6,FALSE)</f>
        <v>1.45</v>
      </c>
      <c r="X49" s="4">
        <v>10.93</v>
      </c>
      <c r="Y49" s="4">
        <v>14.21</v>
      </c>
      <c r="Z49" s="4">
        <v>21.39</v>
      </c>
      <c r="AA49" s="4">
        <v>18.260000000000002</v>
      </c>
      <c r="AB49" s="4">
        <v>33</v>
      </c>
      <c r="AC49" s="4">
        <v>30.1</v>
      </c>
      <c r="AD49" s="4">
        <v>26.06</v>
      </c>
      <c r="AE49" s="4">
        <v>28.3</v>
      </c>
      <c r="AF49" s="4">
        <v>8.6199999999999992</v>
      </c>
      <c r="AG49" s="4">
        <v>9.1300000000000008</v>
      </c>
      <c r="AH49" s="4" t="s">
        <v>728</v>
      </c>
      <c r="AI49" s="5" t="s">
        <v>790</v>
      </c>
      <c r="AJ49" s="4">
        <v>4.8499999999999996</v>
      </c>
      <c r="AK49" s="4">
        <v>4</v>
      </c>
      <c r="AL49" s="4" t="s">
        <v>797</v>
      </c>
      <c r="AM49" s="20" t="s">
        <v>796</v>
      </c>
      <c r="AN49" s="7" t="s">
        <v>804</v>
      </c>
      <c r="AP49" s="15">
        <v>0</v>
      </c>
      <c r="AQ49" s="9" t="str">
        <f>MID(Tabulka1[[#This Row],[BPEJ]],1,1)</f>
        <v>4</v>
      </c>
      <c r="AW49" s="9"/>
      <c r="AX49">
        <v>4</v>
      </c>
      <c r="AY49" s="114">
        <v>27</v>
      </c>
      <c r="AZ49" s="114">
        <v>1</v>
      </c>
      <c r="BA49" s="114">
        <v>1</v>
      </c>
      <c r="BB49" s="9">
        <v>4</v>
      </c>
      <c r="BC49" s="9" t="str">
        <f>MID(Tabulka1[[#This Row],[BPEJ]],3,2)</f>
        <v>27</v>
      </c>
      <c r="BD49" s="9" t="str">
        <f>MID(Tabulka1[[#This Row],[BPEJ]],6,1)</f>
        <v>1</v>
      </c>
      <c r="BE49" s="9" t="str">
        <f>MID(Tabulka1[[#This Row],[BPEJ]],7,1)</f>
        <v>1</v>
      </c>
      <c r="BF49" s="2" t="str">
        <f t="shared" si="0"/>
        <v>T</v>
      </c>
      <c r="BG49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49" s="134">
        <v>0.16</v>
      </c>
      <c r="BI49" s="2">
        <f t="shared" si="1"/>
        <v>1.6</v>
      </c>
      <c r="BJ49" s="2">
        <f>Tabulka1[[#This Row],[P2O5_60]]*10</f>
        <v>9</v>
      </c>
      <c r="BK49" s="2">
        <f>Tabulka1[[#This Row],[K2O_30]]*10</f>
        <v>428.00000000000006</v>
      </c>
      <c r="BL49" s="2">
        <f>Tabulka1[[#This Row],[K2O_60]]*10</f>
        <v>361</v>
      </c>
      <c r="BN49" s="2">
        <f>VLOOKUP(Tabulka1[[#This Row],[ID]],'Zdroj hloubka okresy'!$A$2:$F$171,5,FALSE)</f>
        <v>1.49</v>
      </c>
      <c r="BO49" s="2">
        <f>VLOOKUP(Tabulka1[[#This Row],[ID]],'Zdroj hloubka okresy'!$A$2:$D$171,3,FALSE)</f>
        <v>24</v>
      </c>
      <c r="BP49" s="2">
        <f>VLOOKUP(Tabulka1[[#This Row],[ID]],'Zdroj hloubka okresy'!$A$2:$D$171,4,FALSE)</f>
        <v>26</v>
      </c>
    </row>
    <row r="50" spans="1:68" x14ac:dyDescent="0.35">
      <c r="A50" s="13">
        <v>1096</v>
      </c>
      <c r="B50" s="14" t="s">
        <v>116</v>
      </c>
      <c r="C50" s="7">
        <v>6.11</v>
      </c>
      <c r="D50" s="7">
        <v>6.41</v>
      </c>
      <c r="E50" s="7">
        <v>5.32</v>
      </c>
      <c r="F50" s="7">
        <v>5.66</v>
      </c>
      <c r="G50" s="7">
        <v>3.01</v>
      </c>
      <c r="H50" s="7">
        <v>2.21</v>
      </c>
      <c r="I50" s="7">
        <v>1.75</v>
      </c>
      <c r="J50" s="7">
        <v>1.28</v>
      </c>
      <c r="K50" s="7">
        <v>0</v>
      </c>
      <c r="L50" s="7">
        <v>0</v>
      </c>
      <c r="M50" s="7">
        <v>15</v>
      </c>
      <c r="N50" s="139">
        <v>18.3</v>
      </c>
      <c r="O50" s="139">
        <v>54</v>
      </c>
      <c r="P50" s="139">
        <v>57.800000000000004</v>
      </c>
      <c r="Q50" s="7">
        <v>25.72</v>
      </c>
      <c r="R50" s="7">
        <v>25.78</v>
      </c>
      <c r="S50" s="7">
        <v>65.56</v>
      </c>
      <c r="T50" s="7">
        <v>71.09</v>
      </c>
      <c r="U50" s="4">
        <v>3</v>
      </c>
      <c r="V50" s="4">
        <f>VLOOKUP(Tabulka1[[#This Row],[ID]],'Zdroj hloubka okresy'!$A$2:$K$171,5,FALSE)</f>
        <v>1.38</v>
      </c>
      <c r="W50" s="4">
        <f>VLOOKUP(Tabulka1[[#This Row],[ID]],'Zdroj hloubka okresy'!$A$2:$K$171,6,FALSE)</f>
        <v>1.33</v>
      </c>
      <c r="X50" s="4">
        <v>22.24</v>
      </c>
      <c r="Y50" s="4">
        <v>27.44</v>
      </c>
      <c r="Z50" s="4">
        <v>24.42</v>
      </c>
      <c r="AA50" s="4">
        <v>24.56</v>
      </c>
      <c r="AB50" s="4">
        <v>22.2</v>
      </c>
      <c r="AC50" s="4">
        <v>23</v>
      </c>
      <c r="AD50" s="4">
        <v>21.04</v>
      </c>
      <c r="AE50" s="4">
        <v>19.100000000000001</v>
      </c>
      <c r="AF50" s="4">
        <v>10.1</v>
      </c>
      <c r="AG50" s="4">
        <v>5.9</v>
      </c>
      <c r="AH50" s="4" t="s">
        <v>703</v>
      </c>
      <c r="AI50" s="5" t="s">
        <v>789</v>
      </c>
      <c r="AJ50" s="4">
        <v>7.79</v>
      </c>
      <c r="AK50" s="4">
        <v>5</v>
      </c>
      <c r="AL50" s="4" t="s">
        <v>798</v>
      </c>
      <c r="AM50" s="20" t="s">
        <v>824</v>
      </c>
      <c r="AN50" s="7" t="s">
        <v>802</v>
      </c>
      <c r="AP50" s="15">
        <v>0</v>
      </c>
      <c r="AQ50" s="9" t="str">
        <f>MID(Tabulka1[[#This Row],[BPEJ]],1,1)</f>
        <v>5</v>
      </c>
      <c r="AW50" s="9"/>
      <c r="AX50">
        <v>5</v>
      </c>
      <c r="AY50" s="114">
        <v>29</v>
      </c>
      <c r="AZ50" s="114">
        <v>1</v>
      </c>
      <c r="BA50" s="114">
        <v>1</v>
      </c>
      <c r="BB50" s="9">
        <v>5</v>
      </c>
      <c r="BC50" s="9" t="str">
        <f>MID(Tabulka1[[#This Row],[BPEJ]],3,2)</f>
        <v>29</v>
      </c>
      <c r="BD50" s="9" t="str">
        <f>MID(Tabulka1[[#This Row],[BPEJ]],6,1)</f>
        <v>1</v>
      </c>
      <c r="BE50" s="9" t="str">
        <f>MID(Tabulka1[[#This Row],[BPEJ]],7,1)</f>
        <v>1</v>
      </c>
      <c r="BF50" s="2" t="str">
        <f t="shared" si="0"/>
        <v>T</v>
      </c>
      <c r="BG50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T</v>
      </c>
      <c r="BH50" s="7">
        <v>1.5</v>
      </c>
      <c r="BI50" s="2">
        <f t="shared" si="1"/>
        <v>15</v>
      </c>
      <c r="BJ50" s="2">
        <f>Tabulka1[[#This Row],[P2O5_60]]*10</f>
        <v>183</v>
      </c>
      <c r="BK50" s="2">
        <f>Tabulka1[[#This Row],[K2O_30]]*10</f>
        <v>540</v>
      </c>
      <c r="BL50" s="2">
        <f>Tabulka1[[#This Row],[K2O_60]]*10</f>
        <v>578</v>
      </c>
      <c r="BN50" s="2">
        <f>VLOOKUP(Tabulka1[[#This Row],[ID]],'Zdroj hloubka okresy'!$A$2:$F$171,5,FALSE)</f>
        <v>1.38</v>
      </c>
      <c r="BO50" s="2">
        <f>VLOOKUP(Tabulka1[[#This Row],[ID]],'Zdroj hloubka okresy'!$A$2:$D$171,3,FALSE)</f>
        <v>18</v>
      </c>
      <c r="BP50" s="2">
        <f>VLOOKUP(Tabulka1[[#This Row],[ID]],'Zdroj hloubka okresy'!$A$2:$D$171,4,FALSE)</f>
        <v>37</v>
      </c>
    </row>
    <row r="51" spans="1:68" x14ac:dyDescent="0.35">
      <c r="A51" s="13">
        <v>1099</v>
      </c>
      <c r="B51" s="14" t="s">
        <v>556</v>
      </c>
      <c r="C51" s="7">
        <v>6.01</v>
      </c>
      <c r="D51" s="7">
        <v>5.92</v>
      </c>
      <c r="E51" s="7">
        <v>5.2</v>
      </c>
      <c r="F51" s="7">
        <v>5.0999999999999996</v>
      </c>
      <c r="G51" s="7">
        <v>3.18</v>
      </c>
      <c r="H51" s="7">
        <v>2.58</v>
      </c>
      <c r="I51" s="7">
        <v>1.85</v>
      </c>
      <c r="J51" s="7">
        <v>1.49</v>
      </c>
      <c r="K51" s="7">
        <v>0</v>
      </c>
      <c r="L51" s="7">
        <v>0</v>
      </c>
      <c r="M51" s="7">
        <v>18</v>
      </c>
      <c r="N51" s="139">
        <v>18</v>
      </c>
      <c r="O51" s="139">
        <v>105</v>
      </c>
      <c r="P51" s="139">
        <v>115</v>
      </c>
      <c r="Q51" s="7">
        <v>27.67</v>
      </c>
      <c r="R51" s="7">
        <v>26.33</v>
      </c>
      <c r="S51" s="7">
        <v>66.13</v>
      </c>
      <c r="T51" s="7">
        <v>65.069999999999993</v>
      </c>
      <c r="U51" s="4">
        <v>2</v>
      </c>
      <c r="V51" s="4">
        <f>VLOOKUP(Tabulka1[[#This Row],[ID]],'Zdroj hloubka okresy'!$A$2:$K$171,5,FALSE)</f>
        <v>1.49</v>
      </c>
      <c r="W51" s="4">
        <f>VLOOKUP(Tabulka1[[#This Row],[ID]],'Zdroj hloubka okresy'!$A$2:$K$171,6,FALSE)</f>
        <v>1.45</v>
      </c>
      <c r="X51" s="4">
        <v>10.34</v>
      </c>
      <c r="Y51" s="4">
        <v>11.99</v>
      </c>
      <c r="Z51" s="4">
        <v>17.920000000000002</v>
      </c>
      <c r="AA51" s="4">
        <v>20.74</v>
      </c>
      <c r="AB51" s="4">
        <v>43.53</v>
      </c>
      <c r="AC51" s="4">
        <v>45.07</v>
      </c>
      <c r="AD51" s="4">
        <v>15.97</v>
      </c>
      <c r="AE51" s="4">
        <v>13.73</v>
      </c>
      <c r="AF51" s="4">
        <v>12.23</v>
      </c>
      <c r="AG51" s="4">
        <v>8.4700000000000006</v>
      </c>
      <c r="AH51" s="4" t="s">
        <v>704</v>
      </c>
      <c r="AI51" s="5" t="s">
        <v>791</v>
      </c>
      <c r="AJ51" s="4">
        <v>3.9</v>
      </c>
      <c r="AK51" s="4">
        <v>4</v>
      </c>
      <c r="AL51" s="4" t="s">
        <v>797</v>
      </c>
      <c r="AM51" s="20" t="s">
        <v>796</v>
      </c>
      <c r="AN51" s="7" t="s">
        <v>804</v>
      </c>
      <c r="AP51" s="15">
        <v>0</v>
      </c>
      <c r="AQ51" s="9" t="str">
        <f>MID(Tabulka1[[#This Row],[BPEJ]],1,1)</f>
        <v>5</v>
      </c>
      <c r="AW51" s="9"/>
      <c r="AX51">
        <v>5</v>
      </c>
      <c r="AY51" s="114">
        <v>32</v>
      </c>
      <c r="AZ51" s="114">
        <v>1</v>
      </c>
      <c r="BA51" s="114">
        <v>4</v>
      </c>
      <c r="BB51" s="9">
        <v>5</v>
      </c>
      <c r="BC51" s="9" t="str">
        <f>MID(Tabulka1[[#This Row],[BPEJ]],3,2)</f>
        <v>32</v>
      </c>
      <c r="BD51" s="9" t="str">
        <f>MID(Tabulka1[[#This Row],[BPEJ]],6,1)</f>
        <v>1</v>
      </c>
      <c r="BE51" s="9" t="str">
        <f>MID(Tabulka1[[#This Row],[BPEJ]],7,1)</f>
        <v>4</v>
      </c>
      <c r="BF51" s="2" t="str">
        <f>IF(OR(AX51=2,AX51=3,AX51=4,AX51=5),"T",IF(OR(AX51=0,AX51=1),"VT",IF(OR(AX51=6,AX51=7,AX51=8,AX51=9),"CH"," ")))</f>
        <v>T</v>
      </c>
      <c r="BG51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51" s="134">
        <v>1.8</v>
      </c>
      <c r="BI51" s="2">
        <f t="shared" si="1"/>
        <v>18</v>
      </c>
      <c r="BJ51" s="2">
        <f>Tabulka1[[#This Row],[P2O5_60]]*10</f>
        <v>180</v>
      </c>
      <c r="BK51" s="2">
        <f>Tabulka1[[#This Row],[K2O_30]]*10</f>
        <v>1050</v>
      </c>
      <c r="BL51" s="2">
        <f>Tabulka1[[#This Row],[K2O_60]]*10</f>
        <v>1150</v>
      </c>
      <c r="BN51" s="2">
        <f>VLOOKUP(Tabulka1[[#This Row],[ID]],'Zdroj hloubka okresy'!$A$2:$F$171,5,FALSE)</f>
        <v>1.49</v>
      </c>
      <c r="BO51" s="2">
        <f>VLOOKUP(Tabulka1[[#This Row],[ID]],'Zdroj hloubka okresy'!$A$2:$D$171,3,FALSE)</f>
        <v>20</v>
      </c>
      <c r="BP51" s="2">
        <f>VLOOKUP(Tabulka1[[#This Row],[ID]],'Zdroj hloubka okresy'!$A$2:$D$171,4,FALSE)</f>
        <v>40</v>
      </c>
    </row>
    <row r="52" spans="1:68" x14ac:dyDescent="0.35">
      <c r="A52" s="13">
        <v>1102</v>
      </c>
      <c r="B52" s="14" t="s">
        <v>112</v>
      </c>
      <c r="C52" s="7">
        <v>5.39</v>
      </c>
      <c r="D52" s="7">
        <v>5.22</v>
      </c>
      <c r="E52" s="7">
        <v>4.49</v>
      </c>
      <c r="F52" s="7">
        <v>4.28</v>
      </c>
      <c r="G52" s="7">
        <v>6.34</v>
      </c>
      <c r="H52" s="7">
        <v>5.5</v>
      </c>
      <c r="I52" s="7">
        <v>3.68</v>
      </c>
      <c r="J52" s="7">
        <v>3.19</v>
      </c>
      <c r="K52" s="7">
        <v>0</v>
      </c>
      <c r="L52" s="7">
        <v>0</v>
      </c>
      <c r="M52" s="7">
        <v>2.4</v>
      </c>
      <c r="N52" s="139">
        <v>1.7000000000000002</v>
      </c>
      <c r="O52" s="139">
        <v>29.3</v>
      </c>
      <c r="P52" s="139">
        <v>28.3</v>
      </c>
      <c r="Q52" s="7">
        <v>31.24</v>
      </c>
      <c r="R52" s="7">
        <v>27.94</v>
      </c>
      <c r="S52" s="7">
        <v>41.65</v>
      </c>
      <c r="T52" s="7">
        <v>45.11</v>
      </c>
      <c r="U52" s="4">
        <v>3</v>
      </c>
      <c r="V52" s="4">
        <f>VLOOKUP(Tabulka1[[#This Row],[ID]],'Zdroj hloubka okresy'!$A$2:$K$171,5,FALSE)</f>
        <v>1.62</v>
      </c>
      <c r="W52" s="4">
        <f>VLOOKUP(Tabulka1[[#This Row],[ID]],'Zdroj hloubka okresy'!$A$2:$K$171,6,FALSE)</f>
        <v>1.56</v>
      </c>
      <c r="X52" s="4">
        <v>6.85</v>
      </c>
      <c r="Y52" s="4">
        <v>9.6</v>
      </c>
      <c r="Z52" s="4">
        <v>12.52</v>
      </c>
      <c r="AA52" s="4">
        <v>11.47</v>
      </c>
      <c r="AB52" s="4">
        <v>26.61</v>
      </c>
      <c r="AC52" s="4">
        <v>23.99</v>
      </c>
      <c r="AD52" s="4">
        <v>38.79</v>
      </c>
      <c r="AE52" s="4">
        <v>41.52</v>
      </c>
      <c r="AF52" s="4">
        <v>15.23</v>
      </c>
      <c r="AG52" s="4">
        <v>13.42</v>
      </c>
      <c r="AH52" s="4" t="s">
        <v>703</v>
      </c>
      <c r="AI52" s="5" t="s">
        <v>789</v>
      </c>
      <c r="AJ52" s="4">
        <v>7.79</v>
      </c>
      <c r="AK52" s="4">
        <v>4</v>
      </c>
      <c r="AL52" s="4" t="s">
        <v>797</v>
      </c>
      <c r="AM52" s="20" t="s">
        <v>796</v>
      </c>
      <c r="AN52" s="7" t="s">
        <v>802</v>
      </c>
      <c r="AP52" s="15">
        <v>0</v>
      </c>
      <c r="AQ52" s="9" t="str">
        <f>MID(Tabulka1[[#This Row],[BPEJ]],1,1)</f>
        <v>5</v>
      </c>
      <c r="AW52" s="9"/>
      <c r="AX52">
        <v>5</v>
      </c>
      <c r="AY52" s="114">
        <v>29</v>
      </c>
      <c r="AZ52" s="114">
        <v>1</v>
      </c>
      <c r="BA52" s="114">
        <v>1</v>
      </c>
      <c r="BB52" s="9">
        <v>5</v>
      </c>
      <c r="BC52" s="9" t="str">
        <f>MID(Tabulka1[[#This Row],[BPEJ]],3,2)</f>
        <v>29</v>
      </c>
      <c r="BD52" s="9" t="str">
        <f>MID(Tabulka1[[#This Row],[BPEJ]],6,1)</f>
        <v>1</v>
      </c>
      <c r="BE52" s="9" t="str">
        <f>MID(Tabulka1[[#This Row],[BPEJ]],7,1)</f>
        <v>1</v>
      </c>
      <c r="BF52" s="2" t="str">
        <f t="shared" si="0"/>
        <v>T</v>
      </c>
      <c r="BG52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52" s="7">
        <v>0.24</v>
      </c>
      <c r="BI52" s="2">
        <f t="shared" si="1"/>
        <v>2.4</v>
      </c>
      <c r="BJ52" s="2">
        <f>Tabulka1[[#This Row],[P2O5_60]]*10</f>
        <v>17</v>
      </c>
      <c r="BK52" s="2">
        <f>Tabulka1[[#This Row],[K2O_30]]*10</f>
        <v>293</v>
      </c>
      <c r="BL52" s="2">
        <f>Tabulka1[[#This Row],[K2O_60]]*10</f>
        <v>283</v>
      </c>
      <c r="BN52" s="2">
        <f>VLOOKUP(Tabulka1[[#This Row],[ID]],'Zdroj hloubka okresy'!$A$2:$F$171,5,FALSE)</f>
        <v>1.62</v>
      </c>
      <c r="BO52" s="2">
        <f>VLOOKUP(Tabulka1[[#This Row],[ID]],'Zdroj hloubka okresy'!$A$2:$D$171,3,FALSE)</f>
        <v>14</v>
      </c>
      <c r="BP52" s="2">
        <f>VLOOKUP(Tabulka1[[#This Row],[ID]],'Zdroj hloubka okresy'!$A$2:$D$171,4,FALSE)</f>
        <v>24</v>
      </c>
    </row>
    <row r="53" spans="1:68" x14ac:dyDescent="0.35">
      <c r="A53" s="13">
        <v>2560</v>
      </c>
      <c r="B53" s="14" t="s">
        <v>586</v>
      </c>
      <c r="C53" s="7">
        <v>7.37</v>
      </c>
      <c r="D53" s="7">
        <v>7.03</v>
      </c>
      <c r="E53" s="7">
        <v>6.92</v>
      </c>
      <c r="F53" s="7">
        <v>6.49</v>
      </c>
      <c r="G53" s="7">
        <v>1.77</v>
      </c>
      <c r="H53" s="7">
        <v>1.1399999999999999</v>
      </c>
      <c r="I53" s="7">
        <v>1.02</v>
      </c>
      <c r="J53" s="7">
        <v>0.66</v>
      </c>
      <c r="K53" s="7">
        <v>0.32</v>
      </c>
      <c r="L53" s="7">
        <v>0.32</v>
      </c>
      <c r="M53" s="7">
        <v>68.600000000000009</v>
      </c>
      <c r="N53" s="139">
        <v>37.599999999999994</v>
      </c>
      <c r="O53" s="139">
        <v>105.5</v>
      </c>
      <c r="P53" s="139">
        <v>77</v>
      </c>
      <c r="Q53" s="7">
        <v>7.79</v>
      </c>
      <c r="R53" s="7">
        <v>7.89</v>
      </c>
      <c r="S53" s="7">
        <v>82.03</v>
      </c>
      <c r="T53" s="7">
        <v>81.150000000000006</v>
      </c>
      <c r="U53" s="4">
        <v>2</v>
      </c>
      <c r="V53" s="4">
        <f>VLOOKUP(Tabulka1[[#This Row],[ID]],'Zdroj hloubka okresy'!$A$2:$K$171,5,FALSE)</f>
        <v>1.55</v>
      </c>
      <c r="W53" s="4">
        <f>VLOOKUP(Tabulka1[[#This Row],[ID]],'Zdroj hloubka okresy'!$A$2:$K$171,6,FALSE)</f>
        <v>1.49</v>
      </c>
      <c r="X53" s="4">
        <v>9.3699999999999992</v>
      </c>
      <c r="Y53" s="4">
        <v>14.11</v>
      </c>
      <c r="Z53" s="4">
        <v>6.01</v>
      </c>
      <c r="AA53" s="4">
        <v>3.48</v>
      </c>
      <c r="AB53" s="4">
        <v>31.2</v>
      </c>
      <c r="AC53" s="4">
        <v>25.39</v>
      </c>
      <c r="AD53" s="4">
        <v>31.91</v>
      </c>
      <c r="AE53" s="4">
        <v>33</v>
      </c>
      <c r="AF53" s="4">
        <v>21.51</v>
      </c>
      <c r="AG53" s="4">
        <v>24.15</v>
      </c>
      <c r="AH53" s="4" t="s">
        <v>736</v>
      </c>
      <c r="AI53" s="5" t="s">
        <v>790</v>
      </c>
      <c r="AJ53" s="4">
        <v>6.89</v>
      </c>
      <c r="AK53" s="4">
        <v>5</v>
      </c>
      <c r="AL53" s="4" t="s">
        <v>798</v>
      </c>
      <c r="AM53" s="20" t="s">
        <v>824</v>
      </c>
      <c r="AN53" s="16" t="s">
        <v>804</v>
      </c>
      <c r="AO53" s="326"/>
      <c r="AP53" s="15">
        <v>0</v>
      </c>
      <c r="AQ53" s="9" t="str">
        <f>MID(Tabulka1[[#This Row],[BPEJ]],1,1)</f>
        <v>5</v>
      </c>
      <c r="AW53" s="9"/>
      <c r="AX53">
        <v>5</v>
      </c>
      <c r="AY53" s="114">
        <v>17</v>
      </c>
      <c r="AZ53" s="114">
        <v>0</v>
      </c>
      <c r="BA53" s="114">
        <v>0</v>
      </c>
      <c r="BB53" s="9">
        <v>5</v>
      </c>
      <c r="BC53" s="9" t="str">
        <f>MID(Tabulka1[[#This Row],[BPEJ]],3,2)</f>
        <v>17</v>
      </c>
      <c r="BD53" s="9" t="str">
        <f>MID(Tabulka1[[#This Row],[BPEJ]],6,1)</f>
        <v>0</v>
      </c>
      <c r="BE53" s="9" t="str">
        <f>MID(Tabulka1[[#This Row],[BPEJ]],7,1)</f>
        <v>0</v>
      </c>
      <c r="BF53" s="2" t="str">
        <f t="shared" ref="BF53:BF65" si="2">IF(OR(AX53=2,AX53=3,AX53=4,AX53=5),"T",IF(OR(AX53=0,AX53=1),"VT",IF(OR(AX53=6,AX53=7,AX53=8,AX53=9),"CH"," ")))</f>
        <v>T</v>
      </c>
      <c r="BG53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53" s="7">
        <v>6.86</v>
      </c>
      <c r="BI53" s="2">
        <f t="shared" ref="BI53:BI65" si="3">BH53*10</f>
        <v>68.600000000000009</v>
      </c>
      <c r="BJ53" s="2">
        <f>Tabulka1[[#This Row],[P2O5_60]]*10</f>
        <v>375.99999999999994</v>
      </c>
      <c r="BK53" s="2">
        <f>Tabulka1[[#This Row],[K2O_30]]*10</f>
        <v>1055</v>
      </c>
      <c r="BL53" s="2">
        <f>Tabulka1[[#This Row],[K2O_60]]*10</f>
        <v>770</v>
      </c>
      <c r="BN53" s="2">
        <f>VLOOKUP(Tabulka1[[#This Row],[ID]],'Zdroj hloubka okresy'!$A$2:$F$171,5,FALSE)</f>
        <v>1.55</v>
      </c>
      <c r="BO53" s="2">
        <f>VLOOKUP(Tabulka1[[#This Row],[ID]],'Zdroj hloubka okresy'!$A$2:$D$171,3,FALSE)</f>
        <v>23</v>
      </c>
      <c r="BP53" s="2">
        <f>VLOOKUP(Tabulka1[[#This Row],[ID]],'Zdroj hloubka okresy'!$A$2:$D$171,4,FALSE)</f>
        <v>12</v>
      </c>
    </row>
    <row r="54" spans="1:68" x14ac:dyDescent="0.35">
      <c r="A54" s="13">
        <v>2566</v>
      </c>
      <c r="B54" s="14" t="s">
        <v>624</v>
      </c>
      <c r="C54" s="7">
        <v>6.6</v>
      </c>
      <c r="D54" s="7">
        <v>6.9</v>
      </c>
      <c r="E54" s="7">
        <v>6.3</v>
      </c>
      <c r="F54" s="7">
        <v>6.38</v>
      </c>
      <c r="G54" s="7">
        <v>1.93</v>
      </c>
      <c r="H54" s="7">
        <v>1.47</v>
      </c>
      <c r="I54" s="7">
        <v>1.1200000000000001</v>
      </c>
      <c r="J54" s="7">
        <v>0.85</v>
      </c>
      <c r="K54" s="7"/>
      <c r="L54" s="7"/>
      <c r="M54" s="7">
        <v>54</v>
      </c>
      <c r="N54" s="139">
        <v>36.5</v>
      </c>
      <c r="O54" s="139">
        <v>86</v>
      </c>
      <c r="P54" s="139">
        <v>76.7</v>
      </c>
      <c r="Q54" s="7">
        <v>13</v>
      </c>
      <c r="R54" s="7">
        <v>14.55</v>
      </c>
      <c r="S54" s="7">
        <v>81</v>
      </c>
      <c r="T54" s="7">
        <v>83.4</v>
      </c>
      <c r="U54" s="4">
        <v>4</v>
      </c>
      <c r="V54" s="4">
        <f>VLOOKUP(Tabulka1[[#This Row],[ID]],'Zdroj hloubka okresy'!$A$2:$K$171,5,FALSE)</f>
        <v>1.41</v>
      </c>
      <c r="W54" s="4">
        <f>VLOOKUP(Tabulka1[[#This Row],[ID]],'Zdroj hloubka okresy'!$A$2:$K$171,6,FALSE)</f>
        <v>1.31</v>
      </c>
      <c r="X54" s="4">
        <v>13.64</v>
      </c>
      <c r="Y54" s="4">
        <v>20.41</v>
      </c>
      <c r="Z54" s="4">
        <v>14.56</v>
      </c>
      <c r="AA54" s="4">
        <v>12.97</v>
      </c>
      <c r="AB54" s="4">
        <v>58</v>
      </c>
      <c r="AC54" s="4">
        <v>56.97</v>
      </c>
      <c r="AD54" s="4">
        <v>12.4</v>
      </c>
      <c r="AE54" s="4">
        <v>8.59</v>
      </c>
      <c r="AF54" s="4">
        <v>1.4</v>
      </c>
      <c r="AG54" s="4">
        <v>1.07</v>
      </c>
      <c r="AH54" s="4" t="s">
        <v>737</v>
      </c>
      <c r="AI54" s="5" t="s">
        <v>793</v>
      </c>
      <c r="AJ54" s="4">
        <v>18.079999999999998</v>
      </c>
      <c r="AK54" s="4">
        <v>5</v>
      </c>
      <c r="AL54" s="4" t="s">
        <v>798</v>
      </c>
      <c r="AM54" s="20" t="s">
        <v>824</v>
      </c>
      <c r="AN54" s="16" t="s">
        <v>803</v>
      </c>
      <c r="AO54" s="326"/>
      <c r="AP54" s="15">
        <v>0</v>
      </c>
      <c r="AQ54" s="9" t="str">
        <f>MID(Tabulka1[[#This Row],[BPEJ]],1,1)</f>
        <v>3</v>
      </c>
      <c r="AW54" s="9"/>
      <c r="AX54">
        <v>3</v>
      </c>
      <c r="AY54" s="114">
        <v>9</v>
      </c>
      <c r="AZ54" s="114">
        <v>0</v>
      </c>
      <c r="BA54" s="114">
        <v>0</v>
      </c>
      <c r="BB54" s="9">
        <v>3</v>
      </c>
      <c r="BC54" s="9" t="str">
        <f>MID(Tabulka1[[#This Row],[BPEJ]],3,2)</f>
        <v>09</v>
      </c>
      <c r="BD54" s="9" t="str">
        <f>MID(Tabulka1[[#This Row],[BPEJ]],6,1)</f>
        <v>0</v>
      </c>
      <c r="BE54" s="9" t="str">
        <f>MID(Tabulka1[[#This Row],[BPEJ]],7,1)</f>
        <v>0</v>
      </c>
      <c r="BF54" s="2" t="str">
        <f t="shared" si="2"/>
        <v>T</v>
      </c>
      <c r="BG54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54" s="134">
        <v>5.4</v>
      </c>
      <c r="BI54" s="2">
        <f t="shared" si="3"/>
        <v>54</v>
      </c>
      <c r="BJ54" s="2">
        <f>Tabulka1[[#This Row],[P2O5_60]]*10</f>
        <v>365</v>
      </c>
      <c r="BK54" s="2">
        <f>Tabulka1[[#This Row],[K2O_30]]*10</f>
        <v>860</v>
      </c>
      <c r="BL54" s="2">
        <f>Tabulka1[[#This Row],[K2O_60]]*10</f>
        <v>767</v>
      </c>
      <c r="BN54" s="2">
        <f>VLOOKUP(Tabulka1[[#This Row],[ID]],'Zdroj hloubka okresy'!$A$2:$F$171,5,FALSE)</f>
        <v>1.41</v>
      </c>
      <c r="BO54" s="2">
        <f>VLOOKUP(Tabulka1[[#This Row],[ID]],'Zdroj hloubka okresy'!$A$2:$D$171,3,FALSE)</f>
        <v>33</v>
      </c>
      <c r="BP54" s="2">
        <f>VLOOKUP(Tabulka1[[#This Row],[ID]],'Zdroj hloubka okresy'!$A$2:$D$171,4,FALSE)</f>
        <v>18</v>
      </c>
    </row>
    <row r="55" spans="1:68" x14ac:dyDescent="0.35">
      <c r="A55" s="13">
        <v>2569</v>
      </c>
      <c r="B55" s="14" t="s">
        <v>638</v>
      </c>
      <c r="C55" s="7">
        <v>7.52</v>
      </c>
      <c r="D55" s="7">
        <v>7.39</v>
      </c>
      <c r="E55" s="7">
        <v>7.12</v>
      </c>
      <c r="F55" s="7">
        <v>7.07</v>
      </c>
      <c r="G55" s="7">
        <v>3.11</v>
      </c>
      <c r="H55" s="7">
        <v>1.88</v>
      </c>
      <c r="I55" s="7">
        <v>1.8</v>
      </c>
      <c r="J55" s="7">
        <v>1.0900000000000001</v>
      </c>
      <c r="K55" s="7">
        <v>0.42</v>
      </c>
      <c r="L55" s="7">
        <v>0.25</v>
      </c>
      <c r="M55" s="7">
        <v>68</v>
      </c>
      <c r="N55" s="139">
        <v>35.699999999999996</v>
      </c>
      <c r="O55" s="139">
        <v>76.399999999999991</v>
      </c>
      <c r="P55" s="139">
        <v>42.800000000000004</v>
      </c>
      <c r="Q55" s="7">
        <v>16.28</v>
      </c>
      <c r="R55" s="7">
        <v>11</v>
      </c>
      <c r="S55" s="7">
        <v>95.8</v>
      </c>
      <c r="T55" s="7">
        <v>88.33</v>
      </c>
      <c r="U55" s="4">
        <v>3</v>
      </c>
      <c r="V55" s="4">
        <f>VLOOKUP(Tabulka1[[#This Row],[ID]],'Zdroj hloubka okresy'!$A$2:$K$171,5,FALSE)</f>
        <v>1.55</v>
      </c>
      <c r="W55" s="4">
        <f>VLOOKUP(Tabulka1[[#This Row],[ID]],'Zdroj hloubka okresy'!$A$2:$K$171,6,FALSE)</f>
        <v>1.58</v>
      </c>
      <c r="X55" s="4">
        <v>12.38</v>
      </c>
      <c r="Y55" s="4">
        <v>10.72</v>
      </c>
      <c r="Z55" s="4">
        <v>1.73</v>
      </c>
      <c r="AA55" s="4">
        <v>0.87</v>
      </c>
      <c r="AB55" s="4">
        <v>9.6199999999999992</v>
      </c>
      <c r="AC55" s="4">
        <v>6.47</v>
      </c>
      <c r="AD55" s="4">
        <v>32.28</v>
      </c>
      <c r="AE55" s="4">
        <v>32.85</v>
      </c>
      <c r="AF55" s="4">
        <v>44.02</v>
      </c>
      <c r="AG55" s="4">
        <v>49.71</v>
      </c>
      <c r="AH55" s="4" t="s">
        <v>738</v>
      </c>
      <c r="AI55" s="5" t="s">
        <v>790</v>
      </c>
      <c r="AJ55" s="4">
        <v>9.91</v>
      </c>
      <c r="AK55" s="4">
        <v>3</v>
      </c>
      <c r="AL55" s="4" t="s">
        <v>798</v>
      </c>
      <c r="AM55" s="20" t="s">
        <v>824</v>
      </c>
      <c r="AN55" s="16" t="s">
        <v>804</v>
      </c>
      <c r="AO55" s="326"/>
      <c r="AP55" s="15">
        <v>0</v>
      </c>
      <c r="AQ55" s="9" t="str">
        <f>MID(Tabulka1[[#This Row],[BPEJ]],1,1)</f>
        <v>3</v>
      </c>
      <c r="AW55" s="9"/>
      <c r="AX55">
        <v>3</v>
      </c>
      <c r="AY55" s="114">
        <v>55</v>
      </c>
      <c r="AZ55" s="114">
        <v>0</v>
      </c>
      <c r="BA55" s="114">
        <v>0</v>
      </c>
      <c r="BB55" s="9">
        <v>3</v>
      </c>
      <c r="BC55" s="9" t="str">
        <f>MID(Tabulka1[[#This Row],[BPEJ]],3,2)</f>
        <v>55</v>
      </c>
      <c r="BD55" s="9" t="str">
        <f>MID(Tabulka1[[#This Row],[BPEJ]],6,1)</f>
        <v>0</v>
      </c>
      <c r="BE55" s="9" t="str">
        <f>MID(Tabulka1[[#This Row],[BPEJ]],7,1)</f>
        <v>0</v>
      </c>
      <c r="BF55" s="2" t="str">
        <f t="shared" si="2"/>
        <v>T</v>
      </c>
      <c r="BG55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55" s="7">
        <v>6.8</v>
      </c>
      <c r="BI55" s="2">
        <f t="shared" si="3"/>
        <v>68</v>
      </c>
      <c r="BJ55" s="2">
        <f>Tabulka1[[#This Row],[P2O5_60]]*10</f>
        <v>356.99999999999994</v>
      </c>
      <c r="BK55" s="2">
        <f>Tabulka1[[#This Row],[K2O_30]]*10</f>
        <v>763.99999999999989</v>
      </c>
      <c r="BL55" s="2">
        <f>Tabulka1[[#This Row],[K2O_60]]*10</f>
        <v>428.00000000000006</v>
      </c>
      <c r="BN55" s="2">
        <f>VLOOKUP(Tabulka1[[#This Row],[ID]],'Zdroj hloubka okresy'!$A$2:$F$171,5,FALSE)</f>
        <v>1.55</v>
      </c>
      <c r="BO55" s="2">
        <f>VLOOKUP(Tabulka1[[#This Row],[ID]],'Zdroj hloubka okresy'!$A$2:$D$171,3,FALSE)</f>
        <v>24</v>
      </c>
      <c r="BP55" s="2">
        <f>VLOOKUP(Tabulka1[[#This Row],[ID]],'Zdroj hloubka okresy'!$A$2:$D$171,4,FALSE)</f>
        <v>20</v>
      </c>
    </row>
    <row r="56" spans="1:68" x14ac:dyDescent="0.35">
      <c r="A56" s="13">
        <v>2572</v>
      </c>
      <c r="B56" s="14" t="s">
        <v>661</v>
      </c>
      <c r="C56" s="7">
        <v>7.6</v>
      </c>
      <c r="D56" s="7">
        <v>7.6</v>
      </c>
      <c r="E56" s="7">
        <v>7.02</v>
      </c>
      <c r="F56" s="7">
        <v>6.91</v>
      </c>
      <c r="G56" s="7">
        <v>1.43</v>
      </c>
      <c r="H56" s="7">
        <v>1.01</v>
      </c>
      <c r="I56" s="7">
        <v>0.83</v>
      </c>
      <c r="J56" s="7">
        <v>0.59</v>
      </c>
      <c r="K56" s="7">
        <v>0.35</v>
      </c>
      <c r="L56" s="7">
        <v>0.35</v>
      </c>
      <c r="M56" s="7">
        <v>10.3</v>
      </c>
      <c r="N56" s="139">
        <v>10.600000000000001</v>
      </c>
      <c r="O56" s="139">
        <v>57.199999999999996</v>
      </c>
      <c r="P56" s="139">
        <v>39.6</v>
      </c>
      <c r="Q56" s="7">
        <v>16.41</v>
      </c>
      <c r="R56" s="7">
        <v>15.06</v>
      </c>
      <c r="S56" s="7">
        <v>94.87</v>
      </c>
      <c r="T56" s="7">
        <v>91.93</v>
      </c>
      <c r="U56" s="4">
        <v>4</v>
      </c>
      <c r="V56" s="4">
        <f>VLOOKUP(Tabulka1[[#This Row],[ID]],'Zdroj hloubka okresy'!$A$2:$K$171,5,FALSE)</f>
        <v>1.48</v>
      </c>
      <c r="W56" s="4">
        <f>VLOOKUP(Tabulka1[[#This Row],[ID]],'Zdroj hloubka okresy'!$A$2:$K$171,6,FALSE)</f>
        <v>1.48</v>
      </c>
      <c r="X56" s="4">
        <v>10.96</v>
      </c>
      <c r="Y56" s="4">
        <v>10.61</v>
      </c>
      <c r="Z56" s="4">
        <v>16.18</v>
      </c>
      <c r="AA56" s="4">
        <v>14.54</v>
      </c>
      <c r="AB56" s="4">
        <v>38.39</v>
      </c>
      <c r="AC56" s="4">
        <v>37.69</v>
      </c>
      <c r="AD56" s="4">
        <v>26.92</v>
      </c>
      <c r="AE56" s="4">
        <v>27.64</v>
      </c>
      <c r="AF56" s="4">
        <v>8.1300000000000008</v>
      </c>
      <c r="AG56" s="4">
        <v>10.91</v>
      </c>
      <c r="AH56" s="4" t="s">
        <v>739</v>
      </c>
      <c r="AI56" s="5" t="s">
        <v>793</v>
      </c>
      <c r="AJ56" s="4">
        <v>15.77</v>
      </c>
      <c r="AK56" s="4">
        <v>3</v>
      </c>
      <c r="AL56" s="4" t="s">
        <v>798</v>
      </c>
      <c r="AM56" s="20" t="s">
        <v>824</v>
      </c>
      <c r="AN56" s="16" t="s">
        <v>802</v>
      </c>
      <c r="AO56" s="326"/>
      <c r="AP56" s="15">
        <v>100</v>
      </c>
      <c r="AQ56" s="9" t="str">
        <f>MID(Tabulka1[[#This Row],[BPEJ]],1,1)</f>
        <v>3</v>
      </c>
      <c r="AW56" s="9"/>
      <c r="AX56">
        <v>3</v>
      </c>
      <c r="AY56" s="114">
        <v>56</v>
      </c>
      <c r="AZ56" s="114">
        <v>0</v>
      </c>
      <c r="BA56" s="114">
        <v>0</v>
      </c>
      <c r="BB56" s="9">
        <v>3</v>
      </c>
      <c r="BC56" s="9" t="str">
        <f>MID(Tabulka1[[#This Row],[BPEJ]],3,2)</f>
        <v>56</v>
      </c>
      <c r="BD56" s="9" t="str">
        <f>MID(Tabulka1[[#This Row],[BPEJ]],6,1)</f>
        <v>0</v>
      </c>
      <c r="BE56" s="9" t="str">
        <f>MID(Tabulka1[[#This Row],[BPEJ]],7,1)</f>
        <v>0</v>
      </c>
      <c r="BF56" s="2" t="str">
        <f t="shared" si="2"/>
        <v>T</v>
      </c>
      <c r="BG56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56" s="134">
        <v>1.03</v>
      </c>
      <c r="BI56" s="2">
        <f t="shared" si="3"/>
        <v>10.3</v>
      </c>
      <c r="BJ56" s="2">
        <f>Tabulka1[[#This Row],[P2O5_60]]*10</f>
        <v>106.00000000000001</v>
      </c>
      <c r="BK56" s="2">
        <f>Tabulka1[[#This Row],[K2O_30]]*10</f>
        <v>572</v>
      </c>
      <c r="BL56" s="2">
        <f>Tabulka1[[#This Row],[K2O_60]]*10</f>
        <v>396</v>
      </c>
      <c r="BN56" s="2">
        <f>VLOOKUP(Tabulka1[[#This Row],[ID]],'Zdroj hloubka okresy'!$A$2:$F$171,5,FALSE)</f>
        <v>1.48</v>
      </c>
      <c r="BO56" s="2">
        <f>VLOOKUP(Tabulka1[[#This Row],[ID]],'Zdroj hloubka okresy'!$A$2:$D$171,3,FALSE)</f>
        <v>22</v>
      </c>
      <c r="BP56" s="2">
        <f>VLOOKUP(Tabulka1[[#This Row],[ID]],'Zdroj hloubka okresy'!$A$2:$D$171,4,FALSE)</f>
        <v>76</v>
      </c>
    </row>
    <row r="57" spans="1:68" x14ac:dyDescent="0.35">
      <c r="A57" s="13">
        <v>2575</v>
      </c>
      <c r="B57" s="14" t="s">
        <v>604</v>
      </c>
      <c r="C57" s="7">
        <v>7.6</v>
      </c>
      <c r="D57" s="7">
        <v>7.75</v>
      </c>
      <c r="E57" s="7">
        <v>7</v>
      </c>
      <c r="F57" s="7">
        <v>7.05</v>
      </c>
      <c r="G57" s="7">
        <v>3.88</v>
      </c>
      <c r="H57" s="7">
        <v>3.26</v>
      </c>
      <c r="I57" s="7">
        <v>2.25</v>
      </c>
      <c r="J57" s="7">
        <v>1.89</v>
      </c>
      <c r="K57" s="7">
        <v>0.72</v>
      </c>
      <c r="L57" s="7">
        <v>0.36</v>
      </c>
      <c r="M57" s="7">
        <v>68</v>
      </c>
      <c r="N57" s="139">
        <v>36</v>
      </c>
      <c r="O57" s="139">
        <v>259</v>
      </c>
      <c r="P57" s="139">
        <v>191.5</v>
      </c>
      <c r="Q57" s="7">
        <v>36.5</v>
      </c>
      <c r="R57" s="7">
        <v>36.9</v>
      </c>
      <c r="S57" s="7">
        <v>100</v>
      </c>
      <c r="T57" s="7">
        <v>100</v>
      </c>
      <c r="U57" s="4">
        <v>4</v>
      </c>
      <c r="V57" s="4">
        <f>VLOOKUP(Tabulka1[[#This Row],[ID]],'Zdroj hloubka okresy'!$A$2:$K$171,5,FALSE)</f>
        <v>1.23</v>
      </c>
      <c r="W57" s="4">
        <f>VLOOKUP(Tabulka1[[#This Row],[ID]],'Zdroj hloubka okresy'!$A$2:$K$171,6,FALSE)</f>
        <v>1.22</v>
      </c>
      <c r="X57" s="4">
        <v>50.57</v>
      </c>
      <c r="Y57" s="4">
        <v>52.75</v>
      </c>
      <c r="Z57" s="4">
        <v>8.93</v>
      </c>
      <c r="AA57" s="4">
        <v>8.1999999999999993</v>
      </c>
      <c r="AB57" s="4">
        <v>20.6</v>
      </c>
      <c r="AC57" s="4">
        <v>19.8</v>
      </c>
      <c r="AD57" s="4">
        <v>2.7</v>
      </c>
      <c r="AE57" s="4">
        <v>1.75</v>
      </c>
      <c r="AF57" s="4">
        <v>17.2</v>
      </c>
      <c r="AG57" s="4">
        <v>17.5</v>
      </c>
      <c r="AH57" s="4" t="s">
        <v>735</v>
      </c>
      <c r="AI57" s="5" t="s">
        <v>789</v>
      </c>
      <c r="AJ57" s="4">
        <v>15.51</v>
      </c>
      <c r="AK57" s="4">
        <v>3</v>
      </c>
      <c r="AL57" s="4" t="s">
        <v>798</v>
      </c>
      <c r="AM57" s="20" t="s">
        <v>824</v>
      </c>
      <c r="AN57" s="16" t="s">
        <v>806</v>
      </c>
      <c r="AO57" s="326"/>
      <c r="AP57" s="15">
        <v>0</v>
      </c>
      <c r="AQ57" s="9" t="str">
        <f>MID(Tabulka1[[#This Row],[BPEJ]],1,1)</f>
        <v>3</v>
      </c>
      <c r="AW57" s="9"/>
      <c r="AX57">
        <v>3</v>
      </c>
      <c r="AY57" s="114">
        <v>61</v>
      </c>
      <c r="AZ57" s="114">
        <v>0</v>
      </c>
      <c r="BA57" s="114">
        <v>0</v>
      </c>
      <c r="BB57" s="9">
        <v>3</v>
      </c>
      <c r="BC57" s="9" t="str">
        <f>MID(Tabulka1[[#This Row],[BPEJ]],3,2)</f>
        <v>61</v>
      </c>
      <c r="BD57" s="9" t="str">
        <f>MID(Tabulka1[[#This Row],[BPEJ]],6,1)</f>
        <v>0</v>
      </c>
      <c r="BE57" s="9" t="str">
        <f>MID(Tabulka1[[#This Row],[BPEJ]],7,1)</f>
        <v>0</v>
      </c>
      <c r="BF57" s="2" t="str">
        <f t="shared" si="2"/>
        <v>T</v>
      </c>
      <c r="BG57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T</v>
      </c>
      <c r="BH57" s="7">
        <v>6.8</v>
      </c>
      <c r="BI57" s="2">
        <f t="shared" si="3"/>
        <v>68</v>
      </c>
      <c r="BJ57" s="2">
        <f>Tabulka1[[#This Row],[P2O5_60]]*10</f>
        <v>360</v>
      </c>
      <c r="BK57" s="2">
        <f>Tabulka1[[#This Row],[K2O_30]]*10</f>
        <v>2590</v>
      </c>
      <c r="BL57" s="2">
        <f>Tabulka1[[#This Row],[K2O_60]]*10</f>
        <v>1915</v>
      </c>
      <c r="BN57" s="2">
        <f>VLOOKUP(Tabulka1[[#This Row],[ID]],'Zdroj hloubka okresy'!$A$2:$F$171,5,FALSE)</f>
        <v>1.23</v>
      </c>
      <c r="BO57" s="2">
        <f>VLOOKUP(Tabulka1[[#This Row],[ID]],'Zdroj hloubka okresy'!$A$2:$D$171,3,FALSE)</f>
        <v>30</v>
      </c>
      <c r="BP57" s="2">
        <f>VLOOKUP(Tabulka1[[#This Row],[ID]],'Zdroj hloubka okresy'!$A$2:$D$171,4,FALSE)</f>
        <v>34</v>
      </c>
    </row>
    <row r="58" spans="1:68" x14ac:dyDescent="0.35">
      <c r="A58" s="13">
        <v>2578</v>
      </c>
      <c r="B58" s="14" t="s">
        <v>639</v>
      </c>
      <c r="C58" s="7">
        <v>7.8</v>
      </c>
      <c r="D58" s="7">
        <v>7.89</v>
      </c>
      <c r="E58" s="7">
        <v>7.14</v>
      </c>
      <c r="F58" s="7">
        <v>6.99</v>
      </c>
      <c r="G58" s="7">
        <v>1.5</v>
      </c>
      <c r="H58" s="7">
        <v>0.99</v>
      </c>
      <c r="I58" s="7">
        <v>0.87</v>
      </c>
      <c r="J58" s="7">
        <v>0.56999999999999995</v>
      </c>
      <c r="K58" s="7">
        <v>0</v>
      </c>
      <c r="L58" s="7">
        <v>0</v>
      </c>
      <c r="M58" s="7">
        <v>36.800000000000004</v>
      </c>
      <c r="N58" s="139">
        <v>18.799999999999997</v>
      </c>
      <c r="O58" s="139">
        <v>124.5</v>
      </c>
      <c r="P58" s="139">
        <v>111.8</v>
      </c>
      <c r="Q58" s="7">
        <v>10.94</v>
      </c>
      <c r="R58" s="7">
        <v>16.309999999999999</v>
      </c>
      <c r="S58" s="7">
        <v>98.53</v>
      </c>
      <c r="T58" s="7">
        <v>96.67</v>
      </c>
      <c r="U58" s="4">
        <v>3</v>
      </c>
      <c r="V58" s="4">
        <f>VLOOKUP(Tabulka1[[#This Row],[ID]],'Zdroj hloubka okresy'!$A$2:$K$171,5,FALSE)</f>
        <v>1.49</v>
      </c>
      <c r="W58" s="4">
        <f>VLOOKUP(Tabulka1[[#This Row],[ID]],'Zdroj hloubka okresy'!$A$2:$K$171,6,FALSE)</f>
        <v>1.4</v>
      </c>
      <c r="X58" s="4">
        <v>16.63</v>
      </c>
      <c r="Y58" s="4">
        <v>30.94</v>
      </c>
      <c r="Z58" s="4">
        <v>6.03</v>
      </c>
      <c r="AA58" s="4">
        <v>3.87</v>
      </c>
      <c r="AB58" s="4">
        <v>24.48</v>
      </c>
      <c r="AC58" s="4">
        <v>19.72</v>
      </c>
      <c r="AD58" s="4">
        <v>30.3</v>
      </c>
      <c r="AE58" s="4">
        <v>27.35</v>
      </c>
      <c r="AF58" s="4">
        <v>22.56</v>
      </c>
      <c r="AG58" s="4">
        <v>18.11</v>
      </c>
      <c r="AH58" s="4" t="s">
        <v>740</v>
      </c>
      <c r="AI58" s="5" t="s">
        <v>792</v>
      </c>
      <c r="AJ58" s="4">
        <v>8.02</v>
      </c>
      <c r="AK58" s="4">
        <v>4</v>
      </c>
      <c r="AL58" s="4" t="s">
        <v>797</v>
      </c>
      <c r="AM58" s="20" t="s">
        <v>824</v>
      </c>
      <c r="AN58" s="16" t="s">
        <v>802</v>
      </c>
      <c r="AO58" s="326"/>
      <c r="AP58" s="15">
        <v>0</v>
      </c>
      <c r="AQ58" s="9" t="str">
        <f>MID(Tabulka1[[#This Row],[BPEJ]],1,1)</f>
        <v>3</v>
      </c>
      <c r="AW58" s="9"/>
      <c r="AX58">
        <v>3</v>
      </c>
      <c r="AY58" s="114">
        <v>52</v>
      </c>
      <c r="AZ58" s="114">
        <v>0</v>
      </c>
      <c r="BA58" s="114">
        <v>1</v>
      </c>
      <c r="BB58" s="9">
        <v>3</v>
      </c>
      <c r="BC58" s="9" t="str">
        <f>MID(Tabulka1[[#This Row],[BPEJ]],3,2)</f>
        <v>52</v>
      </c>
      <c r="BD58" s="9" t="str">
        <f>MID(Tabulka1[[#This Row],[BPEJ]],6,1)</f>
        <v>0</v>
      </c>
      <c r="BE58" s="9" t="str">
        <f>MID(Tabulka1[[#This Row],[BPEJ]],7,1)</f>
        <v>1</v>
      </c>
      <c r="BF58" s="2" t="str">
        <f t="shared" si="2"/>
        <v>T</v>
      </c>
      <c r="BG58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58" s="134">
        <v>3.68</v>
      </c>
      <c r="BI58" s="2">
        <f t="shared" si="3"/>
        <v>36.800000000000004</v>
      </c>
      <c r="BJ58" s="2">
        <f>Tabulka1[[#This Row],[P2O5_60]]*10</f>
        <v>187.99999999999997</v>
      </c>
      <c r="BK58" s="2">
        <f>Tabulka1[[#This Row],[K2O_30]]*10</f>
        <v>1245</v>
      </c>
      <c r="BL58" s="2">
        <f>Tabulka1[[#This Row],[K2O_60]]*10</f>
        <v>1118</v>
      </c>
      <c r="BN58" s="2">
        <f>VLOOKUP(Tabulka1[[#This Row],[ID]],'Zdroj hloubka okresy'!$A$2:$F$171,5,FALSE)</f>
        <v>1.49</v>
      </c>
      <c r="BO58" s="2">
        <f>VLOOKUP(Tabulka1[[#This Row],[ID]],'Zdroj hloubka okresy'!$A$2:$D$171,3,FALSE)</f>
        <v>22</v>
      </c>
      <c r="BP58" s="2">
        <f>VLOOKUP(Tabulka1[[#This Row],[ID]],'Zdroj hloubka okresy'!$A$2:$D$171,4,FALSE)</f>
        <v>12</v>
      </c>
    </row>
    <row r="59" spans="1:68" x14ac:dyDescent="0.35">
      <c r="A59" s="13">
        <v>2581</v>
      </c>
      <c r="B59" s="14" t="s">
        <v>640</v>
      </c>
      <c r="C59" s="7">
        <v>6.38</v>
      </c>
      <c r="D59" s="7">
        <v>6.59</v>
      </c>
      <c r="E59" s="7">
        <v>5.98</v>
      </c>
      <c r="F59" s="7">
        <v>6.18</v>
      </c>
      <c r="G59" s="7">
        <v>1.02</v>
      </c>
      <c r="H59" s="7">
        <v>0.59</v>
      </c>
      <c r="I59" s="7">
        <v>0.59</v>
      </c>
      <c r="J59" s="7">
        <v>0.34</v>
      </c>
      <c r="K59" s="7"/>
      <c r="L59" s="7"/>
      <c r="M59" s="7">
        <v>12.7</v>
      </c>
      <c r="N59" s="139">
        <v>9.3000000000000007</v>
      </c>
      <c r="O59" s="139">
        <v>152.69999999999999</v>
      </c>
      <c r="P59" s="139">
        <v>83.5</v>
      </c>
      <c r="Q59" s="7">
        <v>7.8</v>
      </c>
      <c r="R59" s="7">
        <v>5.32</v>
      </c>
      <c r="S59" s="7">
        <v>69.17</v>
      </c>
      <c r="T59" s="7">
        <v>67.72</v>
      </c>
      <c r="U59" s="4">
        <v>2</v>
      </c>
      <c r="V59" s="4">
        <f>VLOOKUP(Tabulka1[[#This Row],[ID]],'Zdroj hloubka okresy'!$A$2:$K$171,5,FALSE)</f>
        <v>1.53</v>
      </c>
      <c r="W59" s="4">
        <f>VLOOKUP(Tabulka1[[#This Row],[ID]],'Zdroj hloubka okresy'!$A$2:$K$171,6,FALSE)</f>
        <v>1.63</v>
      </c>
      <c r="X59" s="4">
        <v>11.7</v>
      </c>
      <c r="Y59" s="4">
        <v>10.16</v>
      </c>
      <c r="Z59" s="4">
        <v>2.34</v>
      </c>
      <c r="AA59" s="4">
        <v>1.17</v>
      </c>
      <c r="AB59" s="4">
        <v>12.77</v>
      </c>
      <c r="AC59" s="4">
        <v>9.33</v>
      </c>
      <c r="AD59" s="4">
        <v>27.15</v>
      </c>
      <c r="AE59" s="4">
        <v>27.05</v>
      </c>
      <c r="AF59" s="4">
        <v>46.13</v>
      </c>
      <c r="AG59" s="4">
        <v>52.63</v>
      </c>
      <c r="AH59" s="4" t="s">
        <v>741</v>
      </c>
      <c r="AI59" s="5" t="s">
        <v>790</v>
      </c>
      <c r="AJ59" s="4">
        <v>7.42</v>
      </c>
      <c r="AK59" s="4">
        <v>3</v>
      </c>
      <c r="AL59" s="4" t="s">
        <v>798</v>
      </c>
      <c r="AM59" s="20" t="s">
        <v>824</v>
      </c>
      <c r="AN59" s="16" t="s">
        <v>804</v>
      </c>
      <c r="AO59" s="326"/>
      <c r="AP59" s="15">
        <v>0</v>
      </c>
      <c r="AQ59" s="9" t="str">
        <f>MID(Tabulka1[[#This Row],[BPEJ]],1,1)</f>
        <v>3</v>
      </c>
      <c r="AW59" s="9"/>
      <c r="AX59">
        <v>3</v>
      </c>
      <c r="AY59" s="114">
        <v>31</v>
      </c>
      <c r="AZ59" s="114">
        <v>0</v>
      </c>
      <c r="BA59" s="114">
        <v>1</v>
      </c>
      <c r="BB59" s="9">
        <v>3</v>
      </c>
      <c r="BC59" s="9" t="str">
        <f>MID(Tabulka1[[#This Row],[BPEJ]],3,2)</f>
        <v>31</v>
      </c>
      <c r="BD59" s="9" t="str">
        <f>MID(Tabulka1[[#This Row],[BPEJ]],6,1)</f>
        <v>0</v>
      </c>
      <c r="BE59" s="9" t="str">
        <f>MID(Tabulka1[[#This Row],[BPEJ]],7,1)</f>
        <v>1</v>
      </c>
      <c r="BF59" s="2" t="str">
        <f t="shared" si="2"/>
        <v>T</v>
      </c>
      <c r="BG59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59" s="7">
        <v>1.27</v>
      </c>
      <c r="BI59" s="2">
        <f t="shared" si="3"/>
        <v>12.7</v>
      </c>
      <c r="BJ59" s="2">
        <f>Tabulka1[[#This Row],[P2O5_60]]*10</f>
        <v>93</v>
      </c>
      <c r="BK59" s="2">
        <f>Tabulka1[[#This Row],[K2O_30]]*10</f>
        <v>1527</v>
      </c>
      <c r="BL59" s="2">
        <f>Tabulka1[[#This Row],[K2O_60]]*10</f>
        <v>835</v>
      </c>
      <c r="BN59" s="2">
        <f>VLOOKUP(Tabulka1[[#This Row],[ID]],'Zdroj hloubka okresy'!$A$2:$F$171,5,FALSE)</f>
        <v>1.53</v>
      </c>
      <c r="BO59" s="2">
        <f>VLOOKUP(Tabulka1[[#This Row],[ID]],'Zdroj hloubka okresy'!$A$2:$D$171,3,FALSE)</f>
        <v>25</v>
      </c>
      <c r="BP59" s="2">
        <f>VLOOKUP(Tabulka1[[#This Row],[ID]],'Zdroj hloubka okresy'!$A$2:$D$171,4,FALSE)</f>
        <v>33</v>
      </c>
    </row>
    <row r="60" spans="1:68" x14ac:dyDescent="0.35">
      <c r="A60" s="13">
        <v>2584</v>
      </c>
      <c r="B60" s="14" t="s">
        <v>625</v>
      </c>
      <c r="C60" s="7">
        <v>7.3</v>
      </c>
      <c r="D60" s="7">
        <v>7.65</v>
      </c>
      <c r="E60" s="7">
        <v>6.7</v>
      </c>
      <c r="F60" s="7">
        <v>6.84</v>
      </c>
      <c r="G60" s="7">
        <v>1.17</v>
      </c>
      <c r="H60" s="7">
        <v>0.69</v>
      </c>
      <c r="I60" s="7">
        <v>0.68</v>
      </c>
      <c r="J60" s="7">
        <v>0.4</v>
      </c>
      <c r="K60" s="7"/>
      <c r="L60" s="7">
        <v>0.09</v>
      </c>
      <c r="M60" s="7">
        <v>148</v>
      </c>
      <c r="N60" s="139">
        <v>173.9</v>
      </c>
      <c r="O60" s="139">
        <v>0</v>
      </c>
      <c r="P60" s="139">
        <v>6</v>
      </c>
      <c r="Q60" s="7">
        <v>14.1</v>
      </c>
      <c r="R60" s="7">
        <v>15.17</v>
      </c>
      <c r="S60" s="7">
        <v>93</v>
      </c>
      <c r="T60" s="7">
        <v>85.32</v>
      </c>
      <c r="U60" s="4">
        <v>4</v>
      </c>
      <c r="V60" s="4">
        <f>VLOOKUP(Tabulka1[[#This Row],[ID]],'Zdroj hloubka okresy'!$A$2:$K$171,5,FALSE)</f>
        <v>1.39</v>
      </c>
      <c r="W60" s="4">
        <f>VLOOKUP(Tabulka1[[#This Row],[ID]],'Zdroj hloubka okresy'!$A$2:$K$171,6,FALSE)</f>
        <v>1.32</v>
      </c>
      <c r="X60" s="4">
        <v>18.36</v>
      </c>
      <c r="Y60" s="4">
        <v>27.86</v>
      </c>
      <c r="Z60" s="4">
        <v>9.24</v>
      </c>
      <c r="AA60" s="4">
        <v>6.39</v>
      </c>
      <c r="AB60" s="4">
        <v>50.4</v>
      </c>
      <c r="AC60" s="4">
        <v>47.18</v>
      </c>
      <c r="AD60" s="4">
        <v>19.2</v>
      </c>
      <c r="AE60" s="4">
        <v>16.899999999999999</v>
      </c>
      <c r="AF60" s="4">
        <v>2.8</v>
      </c>
      <c r="AG60" s="4">
        <v>1.66</v>
      </c>
      <c r="AH60" s="4" t="s">
        <v>730</v>
      </c>
      <c r="AI60" s="5" t="s">
        <v>793</v>
      </c>
      <c r="AJ60" s="4">
        <v>19.02</v>
      </c>
      <c r="AK60" s="4">
        <v>4</v>
      </c>
      <c r="AL60" s="4" t="s">
        <v>797</v>
      </c>
      <c r="AM60" s="20" t="s">
        <v>824</v>
      </c>
      <c r="AN60" s="16" t="s">
        <v>802</v>
      </c>
      <c r="AO60" s="326"/>
      <c r="AP60" s="15">
        <v>0</v>
      </c>
      <c r="AQ60" s="9" t="str">
        <f>MID(Tabulka1[[#This Row],[BPEJ]],1,1)</f>
        <v>3</v>
      </c>
      <c r="AW60" s="9"/>
      <c r="AX60">
        <v>3</v>
      </c>
      <c r="AY60" s="114">
        <v>2</v>
      </c>
      <c r="AZ60" s="114">
        <v>0</v>
      </c>
      <c r="BA60" s="114">
        <v>0</v>
      </c>
      <c r="BB60" s="9">
        <v>3</v>
      </c>
      <c r="BC60" s="9" t="str">
        <f>MID(Tabulka1[[#This Row],[BPEJ]],3,2)</f>
        <v>02</v>
      </c>
      <c r="BD60" s="9" t="str">
        <f>MID(Tabulka1[[#This Row],[BPEJ]],6,1)</f>
        <v>0</v>
      </c>
      <c r="BE60" s="9" t="str">
        <f>MID(Tabulka1[[#This Row],[BPEJ]],7,1)</f>
        <v>0</v>
      </c>
      <c r="BF60" s="2" t="str">
        <f t="shared" si="2"/>
        <v>T</v>
      </c>
      <c r="BG60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60" s="134">
        <v>14.8</v>
      </c>
      <c r="BI60" s="2">
        <f t="shared" si="3"/>
        <v>148</v>
      </c>
      <c r="BJ60" s="2">
        <f>Tabulka1[[#This Row],[P2O5_60]]*10</f>
        <v>1739</v>
      </c>
      <c r="BK60" s="2">
        <f>Tabulka1[[#This Row],[K2O_30]]*10</f>
        <v>0</v>
      </c>
      <c r="BL60" s="2">
        <f>Tabulka1[[#This Row],[K2O_60]]*10</f>
        <v>60</v>
      </c>
      <c r="BN60" s="2">
        <f>VLOOKUP(Tabulka1[[#This Row],[ID]],'Zdroj hloubka okresy'!$A$2:$F$171,5,FALSE)</f>
        <v>1.39</v>
      </c>
      <c r="BO60" s="2">
        <f>VLOOKUP(Tabulka1[[#This Row],[ID]],'Zdroj hloubka okresy'!$A$2:$D$171,3,FALSE)</f>
        <v>31</v>
      </c>
      <c r="BP60" s="2">
        <f>VLOOKUP(Tabulka1[[#This Row],[ID]],'Zdroj hloubka okresy'!$A$2:$D$171,4,FALSE)</f>
        <v>23</v>
      </c>
    </row>
    <row r="61" spans="1:68" x14ac:dyDescent="0.35">
      <c r="A61" s="13">
        <v>2587</v>
      </c>
      <c r="B61" s="14" t="s">
        <v>584</v>
      </c>
      <c r="C61" s="7">
        <v>7.58</v>
      </c>
      <c r="D61" s="7">
        <v>7.51</v>
      </c>
      <c r="E61" s="7">
        <v>6.96</v>
      </c>
      <c r="F61" s="7">
        <v>6.8</v>
      </c>
      <c r="G61" s="7">
        <v>1.1499999999999999</v>
      </c>
      <c r="H61" s="7">
        <v>0.76</v>
      </c>
      <c r="I61" s="7">
        <v>0.66</v>
      </c>
      <c r="J61" s="7">
        <v>0.44</v>
      </c>
      <c r="K61" s="7">
        <v>0.36</v>
      </c>
      <c r="L61" s="7">
        <v>0.36</v>
      </c>
      <c r="M61" s="7">
        <v>126.6</v>
      </c>
      <c r="N61" s="139">
        <v>82</v>
      </c>
      <c r="O61" s="139">
        <v>122.6</v>
      </c>
      <c r="P61" s="139">
        <v>90.600000000000009</v>
      </c>
      <c r="Q61" s="7">
        <v>10.38</v>
      </c>
      <c r="R61" s="7">
        <v>9.81</v>
      </c>
      <c r="S61" s="7">
        <v>86.2</v>
      </c>
      <c r="T61" s="7">
        <v>84.43</v>
      </c>
      <c r="U61" s="4">
        <v>4</v>
      </c>
      <c r="V61" s="4">
        <f>VLOOKUP(Tabulka1[[#This Row],[ID]],'Zdroj hloubka okresy'!$A$2:$K$171,5,FALSE)</f>
        <v>1.43</v>
      </c>
      <c r="W61" s="4">
        <f>VLOOKUP(Tabulka1[[#This Row],[ID]],'Zdroj hloubka okresy'!$A$2:$K$171,6,FALSE)</f>
        <v>1.42</v>
      </c>
      <c r="X61" s="4">
        <v>12.7</v>
      </c>
      <c r="Y61" s="4">
        <v>15.39</v>
      </c>
      <c r="Z61" s="4">
        <v>13.74</v>
      </c>
      <c r="AA61" s="4">
        <v>12.28</v>
      </c>
      <c r="AB61" s="4">
        <v>54.24</v>
      </c>
      <c r="AC61" s="4">
        <v>52.44</v>
      </c>
      <c r="AD61" s="4">
        <v>17.98</v>
      </c>
      <c r="AE61" s="4">
        <v>18.79</v>
      </c>
      <c r="AF61" s="4">
        <v>1.34</v>
      </c>
      <c r="AG61" s="4">
        <v>1.1000000000000001</v>
      </c>
      <c r="AH61" s="4" t="s">
        <v>742</v>
      </c>
      <c r="AI61" s="5" t="s">
        <v>793</v>
      </c>
      <c r="AJ61" s="4">
        <v>17.920000000000002</v>
      </c>
      <c r="AK61" s="4">
        <v>5</v>
      </c>
      <c r="AL61" s="4" t="s">
        <v>798</v>
      </c>
      <c r="AM61" s="20" t="s">
        <v>824</v>
      </c>
      <c r="AN61" s="16" t="s">
        <v>803</v>
      </c>
      <c r="AO61" s="326"/>
      <c r="AP61" s="15">
        <v>0</v>
      </c>
      <c r="AQ61" s="9" t="str">
        <f>MID(Tabulka1[[#This Row],[BPEJ]],1,1)</f>
        <v>3</v>
      </c>
      <c r="AW61" s="9"/>
      <c r="AX61">
        <v>3</v>
      </c>
      <c r="AY61" s="114">
        <v>10</v>
      </c>
      <c r="AZ61" s="114">
        <v>0</v>
      </c>
      <c r="BA61" s="114">
        <v>0</v>
      </c>
      <c r="BB61" s="9">
        <v>3</v>
      </c>
      <c r="BC61" s="9" t="str">
        <f>MID(Tabulka1[[#This Row],[BPEJ]],3,2)</f>
        <v>10</v>
      </c>
      <c r="BD61" s="9" t="str">
        <f>MID(Tabulka1[[#This Row],[BPEJ]],6,1)</f>
        <v>0</v>
      </c>
      <c r="BE61" s="9" t="str">
        <f>MID(Tabulka1[[#This Row],[BPEJ]],7,1)</f>
        <v>0</v>
      </c>
      <c r="BF61" s="2" t="str">
        <f t="shared" si="2"/>
        <v>T</v>
      </c>
      <c r="BG61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61" s="7">
        <v>12.66</v>
      </c>
      <c r="BI61" s="2">
        <f t="shared" si="3"/>
        <v>126.6</v>
      </c>
      <c r="BJ61" s="2">
        <f>Tabulka1[[#This Row],[P2O5_60]]*10</f>
        <v>820</v>
      </c>
      <c r="BK61" s="2">
        <f>Tabulka1[[#This Row],[K2O_30]]*10</f>
        <v>1226</v>
      </c>
      <c r="BL61" s="2">
        <f>Tabulka1[[#This Row],[K2O_60]]*10</f>
        <v>906.00000000000011</v>
      </c>
      <c r="BN61" s="2">
        <f>VLOOKUP(Tabulka1[[#This Row],[ID]],'Zdroj hloubka okresy'!$A$2:$F$171,5,FALSE)</f>
        <v>1.43</v>
      </c>
      <c r="BO61" s="2">
        <f>VLOOKUP(Tabulka1[[#This Row],[ID]],'Zdroj hloubka okresy'!$A$2:$D$171,3,FALSE)</f>
        <v>24</v>
      </c>
      <c r="BP61" s="2">
        <f>VLOOKUP(Tabulka1[[#This Row],[ID]],'Zdroj hloubka okresy'!$A$2:$D$171,4,FALSE)</f>
        <v>26</v>
      </c>
    </row>
    <row r="62" spans="1:68" x14ac:dyDescent="0.35">
      <c r="A62" s="13">
        <v>2590</v>
      </c>
      <c r="B62" s="14" t="s">
        <v>627</v>
      </c>
      <c r="C62" s="7">
        <v>8.3000000000000007</v>
      </c>
      <c r="D62" s="7">
        <v>8.2100000000000009</v>
      </c>
      <c r="E62" s="7">
        <v>7.6</v>
      </c>
      <c r="F62" s="7">
        <v>7.38</v>
      </c>
      <c r="G62" s="7">
        <v>1.33</v>
      </c>
      <c r="H62" s="7">
        <v>0.88</v>
      </c>
      <c r="I62" s="7">
        <v>0.77</v>
      </c>
      <c r="J62" s="7">
        <v>0.51</v>
      </c>
      <c r="K62" s="7">
        <v>3.45</v>
      </c>
      <c r="L62" s="7">
        <v>1.92</v>
      </c>
      <c r="M62" s="7">
        <v>162</v>
      </c>
      <c r="N62" s="139">
        <v>89</v>
      </c>
      <c r="O62" s="139">
        <v>74</v>
      </c>
      <c r="P62" s="139">
        <v>78.400000000000006</v>
      </c>
      <c r="Q62" s="7">
        <v>12.9</v>
      </c>
      <c r="R62" s="7">
        <v>15.15</v>
      </c>
      <c r="S62" s="7">
        <v>100</v>
      </c>
      <c r="T62" s="7">
        <v>100</v>
      </c>
      <c r="U62" s="4">
        <v>4</v>
      </c>
      <c r="V62" s="4">
        <f>VLOOKUP(Tabulka1[[#This Row],[ID]],'Zdroj hloubka okresy'!$A$2:$K$171,5,FALSE)</f>
        <v>1.39</v>
      </c>
      <c r="W62" s="4">
        <f>VLOOKUP(Tabulka1[[#This Row],[ID]],'Zdroj hloubka okresy'!$A$2:$K$171,6,FALSE)</f>
        <v>1.28</v>
      </c>
      <c r="X62" s="4">
        <v>18.13</v>
      </c>
      <c r="Y62" s="4">
        <v>26.87</v>
      </c>
      <c r="Z62" s="4">
        <v>10.87</v>
      </c>
      <c r="AA62" s="4">
        <v>8.35</v>
      </c>
      <c r="AB62" s="4">
        <v>49</v>
      </c>
      <c r="AC62" s="4">
        <v>47.03</v>
      </c>
      <c r="AD62" s="4">
        <v>20.2</v>
      </c>
      <c r="AE62" s="4">
        <v>16.670000000000002</v>
      </c>
      <c r="AF62" s="4">
        <v>1.8</v>
      </c>
      <c r="AG62" s="4">
        <v>1.08</v>
      </c>
      <c r="AH62" s="4" t="s">
        <v>742</v>
      </c>
      <c r="AI62" s="5" t="s">
        <v>793</v>
      </c>
      <c r="AJ62" s="4">
        <v>17.920000000000002</v>
      </c>
      <c r="AK62" s="4">
        <v>3</v>
      </c>
      <c r="AL62" s="4" t="s">
        <v>798</v>
      </c>
      <c r="AM62" s="20" t="s">
        <v>824</v>
      </c>
      <c r="AN62" s="16" t="s">
        <v>803</v>
      </c>
      <c r="AO62" s="326"/>
      <c r="AP62" s="15">
        <v>0</v>
      </c>
      <c r="AQ62" s="9" t="str">
        <f>MID(Tabulka1[[#This Row],[BPEJ]],1,1)</f>
        <v>3</v>
      </c>
      <c r="AW62" s="9"/>
      <c r="AX62">
        <v>3</v>
      </c>
      <c r="AY62" s="114">
        <v>10</v>
      </c>
      <c r="AZ62" s="114">
        <v>0</v>
      </c>
      <c r="BA62" s="114">
        <v>0</v>
      </c>
      <c r="BB62" s="9">
        <v>3</v>
      </c>
      <c r="BC62" s="9" t="str">
        <f>MID(Tabulka1[[#This Row],[BPEJ]],3,2)</f>
        <v>10</v>
      </c>
      <c r="BD62" s="9" t="str">
        <f>MID(Tabulka1[[#This Row],[BPEJ]],6,1)</f>
        <v>0</v>
      </c>
      <c r="BE62" s="9" t="str">
        <f>MID(Tabulka1[[#This Row],[BPEJ]],7,1)</f>
        <v>0</v>
      </c>
      <c r="BF62" s="2" t="str">
        <f t="shared" si="2"/>
        <v>T</v>
      </c>
      <c r="BG62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62" s="134">
        <v>16.2</v>
      </c>
      <c r="BI62" s="2">
        <f t="shared" si="3"/>
        <v>162</v>
      </c>
      <c r="BJ62" s="2">
        <f>Tabulka1[[#This Row],[P2O5_60]]*10</f>
        <v>890</v>
      </c>
      <c r="BK62" s="2">
        <f>Tabulka1[[#This Row],[K2O_30]]*10</f>
        <v>740</v>
      </c>
      <c r="BL62" s="2">
        <f>Tabulka1[[#This Row],[K2O_60]]*10</f>
        <v>784</v>
      </c>
      <c r="BN62" s="2">
        <f>VLOOKUP(Tabulka1[[#This Row],[ID]],'Zdroj hloubka okresy'!$A$2:$F$171,5,FALSE)</f>
        <v>1.39</v>
      </c>
      <c r="BO62" s="2">
        <f>VLOOKUP(Tabulka1[[#This Row],[ID]],'Zdroj hloubka okresy'!$A$2:$D$171,3,FALSE)</f>
        <v>32</v>
      </c>
      <c r="BP62" s="2">
        <f>VLOOKUP(Tabulka1[[#This Row],[ID]],'Zdroj hloubka okresy'!$A$2:$D$171,4,FALSE)</f>
        <v>17</v>
      </c>
    </row>
    <row r="63" spans="1:68" x14ac:dyDescent="0.35">
      <c r="A63" s="13">
        <v>2593</v>
      </c>
      <c r="B63" s="14" t="s">
        <v>626</v>
      </c>
      <c r="C63" s="7">
        <v>7.89</v>
      </c>
      <c r="D63" s="7">
        <v>7.85</v>
      </c>
      <c r="E63" s="7">
        <v>7.05</v>
      </c>
      <c r="F63" s="7">
        <v>7.02</v>
      </c>
      <c r="G63" s="7">
        <v>1.99</v>
      </c>
      <c r="H63" s="7">
        <v>1.63</v>
      </c>
      <c r="I63" s="7">
        <v>1.1499999999999999</v>
      </c>
      <c r="J63" s="7">
        <v>0.94</v>
      </c>
      <c r="K63" s="7">
        <v>0</v>
      </c>
      <c r="L63" s="7">
        <v>0</v>
      </c>
      <c r="M63" s="7">
        <v>21.9</v>
      </c>
      <c r="N63" s="139">
        <v>13.899999999999999</v>
      </c>
      <c r="O63" s="139">
        <v>48.5</v>
      </c>
      <c r="P63" s="139">
        <v>41.8</v>
      </c>
      <c r="Q63" s="7">
        <v>20.02</v>
      </c>
      <c r="R63" s="7">
        <v>19.46</v>
      </c>
      <c r="S63" s="7">
        <v>93.47</v>
      </c>
      <c r="T63" s="7">
        <v>93.23</v>
      </c>
      <c r="U63" s="4">
        <v>3</v>
      </c>
      <c r="V63" s="4">
        <f>VLOOKUP(Tabulka1[[#This Row],[ID]],'Zdroj hloubka okresy'!$A$2:$K$171,5,FALSE)</f>
        <v>1.44</v>
      </c>
      <c r="W63" s="4">
        <f>VLOOKUP(Tabulka1[[#This Row],[ID]],'Zdroj hloubka okresy'!$A$2:$K$171,6,FALSE)</f>
        <v>1.41</v>
      </c>
      <c r="X63" s="4">
        <v>14.16</v>
      </c>
      <c r="Y63" s="4">
        <v>14.73</v>
      </c>
      <c r="Z63" s="4">
        <v>19.25</v>
      </c>
      <c r="AA63" s="4">
        <v>20.29</v>
      </c>
      <c r="AB63" s="4">
        <v>49.64</v>
      </c>
      <c r="AC63" s="4">
        <v>52.16</v>
      </c>
      <c r="AD63" s="4">
        <v>15.68</v>
      </c>
      <c r="AE63" s="4">
        <v>11.73</v>
      </c>
      <c r="AF63" s="4">
        <v>1.28</v>
      </c>
      <c r="AG63" s="4">
        <v>1.0900000000000001</v>
      </c>
      <c r="AH63" s="4" t="s">
        <v>731</v>
      </c>
      <c r="AI63" s="5" t="s">
        <v>790</v>
      </c>
      <c r="AJ63" s="4">
        <v>9.15</v>
      </c>
      <c r="AK63" s="4">
        <v>3</v>
      </c>
      <c r="AL63" s="4" t="s">
        <v>798</v>
      </c>
      <c r="AM63" s="20" t="s">
        <v>796</v>
      </c>
      <c r="AN63" s="16" t="s">
        <v>804</v>
      </c>
      <c r="AO63" s="326"/>
      <c r="AP63" s="15">
        <v>0</v>
      </c>
      <c r="AQ63" s="9" t="str">
        <f>MID(Tabulka1[[#This Row],[BPEJ]],1,1)</f>
        <v>2</v>
      </c>
      <c r="AW63" s="9"/>
      <c r="AX63">
        <v>2</v>
      </c>
      <c r="AY63" s="114">
        <v>55</v>
      </c>
      <c r="AZ63" s="114">
        <v>0</v>
      </c>
      <c r="BA63" s="114">
        <v>0</v>
      </c>
      <c r="BB63" s="9">
        <v>2</v>
      </c>
      <c r="BC63" s="9" t="str">
        <f>MID(Tabulka1[[#This Row],[BPEJ]],3,2)</f>
        <v>55</v>
      </c>
      <c r="BD63" s="9" t="str">
        <f>MID(Tabulka1[[#This Row],[BPEJ]],6,1)</f>
        <v>0</v>
      </c>
      <c r="BE63" s="9" t="str">
        <f>MID(Tabulka1[[#This Row],[BPEJ]],7,1)</f>
        <v>0</v>
      </c>
      <c r="BF63" s="2" t="str">
        <f t="shared" si="2"/>
        <v>T</v>
      </c>
      <c r="BG63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63" s="7">
        <v>2.19</v>
      </c>
      <c r="BI63" s="2">
        <f t="shared" si="3"/>
        <v>21.9</v>
      </c>
      <c r="BJ63" s="2">
        <f>Tabulka1[[#This Row],[P2O5_60]]*10</f>
        <v>139</v>
      </c>
      <c r="BK63" s="2">
        <f>Tabulka1[[#This Row],[K2O_30]]*10</f>
        <v>485</v>
      </c>
      <c r="BL63" s="2">
        <f>Tabulka1[[#This Row],[K2O_60]]*10</f>
        <v>418</v>
      </c>
      <c r="BN63" s="2">
        <f>VLOOKUP(Tabulka1[[#This Row],[ID]],'Zdroj hloubka okresy'!$A$2:$F$171,5,FALSE)</f>
        <v>1.44</v>
      </c>
      <c r="BO63" s="2">
        <f>VLOOKUP(Tabulka1[[#This Row],[ID]],'Zdroj hloubka okresy'!$A$2:$D$171,3,FALSE)</f>
        <v>14</v>
      </c>
      <c r="BP63" s="2">
        <f>VLOOKUP(Tabulka1[[#This Row],[ID]],'Zdroj hloubka okresy'!$A$2:$D$171,4,FALSE)</f>
        <v>46</v>
      </c>
    </row>
    <row r="64" spans="1:68" x14ac:dyDescent="0.35">
      <c r="A64" s="13">
        <v>2599</v>
      </c>
      <c r="B64" s="14" t="s">
        <v>628</v>
      </c>
      <c r="C64" s="7">
        <v>8.1199999999999992</v>
      </c>
      <c r="D64" s="7">
        <v>8.2799999999999994</v>
      </c>
      <c r="E64" s="7">
        <v>7.21</v>
      </c>
      <c r="F64" s="7">
        <v>7.34</v>
      </c>
      <c r="G64" s="7">
        <v>1.63</v>
      </c>
      <c r="H64" s="7">
        <v>1</v>
      </c>
      <c r="I64" s="7">
        <v>0.95</v>
      </c>
      <c r="J64" s="7">
        <v>0.57999999999999996</v>
      </c>
      <c r="K64" s="7">
        <v>12.62</v>
      </c>
      <c r="L64" s="7">
        <v>23.68</v>
      </c>
      <c r="M64" s="7">
        <v>74.800000000000011</v>
      </c>
      <c r="N64" s="139">
        <v>45.099999999999994</v>
      </c>
      <c r="O64" s="139">
        <v>115.5</v>
      </c>
      <c r="P64" s="139">
        <v>75.3</v>
      </c>
      <c r="Q64" s="7">
        <v>18.45</v>
      </c>
      <c r="R64" s="7">
        <v>14.63</v>
      </c>
      <c r="S64" s="7">
        <v>100</v>
      </c>
      <c r="T64" s="7">
        <v>100</v>
      </c>
      <c r="U64" s="4">
        <v>3</v>
      </c>
      <c r="V64" s="4">
        <f>VLOOKUP(Tabulka1[[#This Row],[ID]],'Zdroj hloubka okresy'!$A$2:$K$171,5,FALSE)</f>
        <v>1.55</v>
      </c>
      <c r="W64" s="4">
        <f>VLOOKUP(Tabulka1[[#This Row],[ID]],'Zdroj hloubka okresy'!$A$2:$K$171,6,FALSE)</f>
        <v>1.38</v>
      </c>
      <c r="X64" s="4">
        <v>29.08</v>
      </c>
      <c r="Y64" s="4">
        <v>25.1</v>
      </c>
      <c r="Z64" s="4">
        <v>6.77</v>
      </c>
      <c r="AA64" s="4">
        <v>8.98</v>
      </c>
      <c r="AB64" s="4">
        <v>26.05</v>
      </c>
      <c r="AC64" s="4">
        <v>23.88</v>
      </c>
      <c r="AD64" s="4">
        <v>30.94</v>
      </c>
      <c r="AE64" s="4">
        <v>32.35</v>
      </c>
      <c r="AF64" s="4">
        <v>7.17</v>
      </c>
      <c r="AG64" s="4">
        <v>9.69</v>
      </c>
      <c r="AH64" s="4" t="s">
        <v>731</v>
      </c>
      <c r="AI64" s="5" t="s">
        <v>790</v>
      </c>
      <c r="AJ64" s="4">
        <v>9.15</v>
      </c>
      <c r="AK64" s="4">
        <v>3</v>
      </c>
      <c r="AL64" s="4" t="s">
        <v>798</v>
      </c>
      <c r="AM64" s="20" t="s">
        <v>796</v>
      </c>
      <c r="AN64" s="16" t="s">
        <v>804</v>
      </c>
      <c r="AO64" s="326"/>
      <c r="AP64" s="15">
        <v>0</v>
      </c>
      <c r="AQ64" s="9" t="str">
        <f>MID(Tabulka1[[#This Row],[BPEJ]],1,1)</f>
        <v>2</v>
      </c>
      <c r="AW64" s="9"/>
      <c r="AX64">
        <v>2</v>
      </c>
      <c r="AY64" s="114">
        <v>55</v>
      </c>
      <c r="AZ64" s="114">
        <v>0</v>
      </c>
      <c r="BA64" s="114">
        <v>0</v>
      </c>
      <c r="BB64" s="9">
        <v>2</v>
      </c>
      <c r="BC64" s="9" t="str">
        <f>MID(Tabulka1[[#This Row],[BPEJ]],3,2)</f>
        <v>55</v>
      </c>
      <c r="BD64" s="9" t="str">
        <f>MID(Tabulka1[[#This Row],[BPEJ]],6,1)</f>
        <v>0</v>
      </c>
      <c r="BE64" s="9" t="str">
        <f>MID(Tabulka1[[#This Row],[BPEJ]],7,1)</f>
        <v>0</v>
      </c>
      <c r="BF64" s="2" t="str">
        <f t="shared" si="2"/>
        <v>T</v>
      </c>
      <c r="BG64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64" s="134">
        <v>7.48</v>
      </c>
      <c r="BI64" s="2">
        <f t="shared" si="3"/>
        <v>74.800000000000011</v>
      </c>
      <c r="BJ64" s="2">
        <f>Tabulka1[[#This Row],[P2O5_60]]*10</f>
        <v>450.99999999999994</v>
      </c>
      <c r="BK64" s="2">
        <f>Tabulka1[[#This Row],[K2O_30]]*10</f>
        <v>1155</v>
      </c>
      <c r="BL64" s="2">
        <f>Tabulka1[[#This Row],[K2O_60]]*10</f>
        <v>753</v>
      </c>
      <c r="BN64" s="2">
        <f>VLOOKUP(Tabulka1[[#This Row],[ID]],'Zdroj hloubka okresy'!$A$2:$F$171,5,FALSE)</f>
        <v>1.55</v>
      </c>
      <c r="BO64" s="2">
        <f>VLOOKUP(Tabulka1[[#This Row],[ID]],'Zdroj hloubka okresy'!$A$2:$D$171,3,FALSE)</f>
        <v>28</v>
      </c>
      <c r="BP64" s="2">
        <f>VLOOKUP(Tabulka1[[#This Row],[ID]],'Zdroj hloubka okresy'!$A$2:$D$171,4,FALSE)</f>
        <v>26</v>
      </c>
    </row>
    <row r="65" spans="1:68" x14ac:dyDescent="0.35">
      <c r="A65" s="13">
        <v>2602</v>
      </c>
      <c r="B65" s="14" t="s">
        <v>614</v>
      </c>
      <c r="C65" s="7">
        <v>8.0299999999999994</v>
      </c>
      <c r="D65" s="7">
        <v>8.0399999999999991</v>
      </c>
      <c r="E65" s="7">
        <v>7.07</v>
      </c>
      <c r="F65" s="7">
        <v>6.9</v>
      </c>
      <c r="G65" s="7">
        <v>1.26</v>
      </c>
      <c r="H65" s="7">
        <v>0.81</v>
      </c>
      <c r="I65" s="7">
        <v>0.73</v>
      </c>
      <c r="J65" s="7">
        <v>0.47</v>
      </c>
      <c r="K65" s="7">
        <v>0.47</v>
      </c>
      <c r="L65" s="7">
        <v>0.47</v>
      </c>
      <c r="M65" s="7">
        <v>51.5</v>
      </c>
      <c r="N65" s="139">
        <v>29.5</v>
      </c>
      <c r="O65" s="139">
        <v>68.7</v>
      </c>
      <c r="P65" s="139">
        <v>72.300000000000011</v>
      </c>
      <c r="Q65" s="7">
        <v>13.97</v>
      </c>
      <c r="R65" s="7">
        <v>15.52</v>
      </c>
      <c r="S65" s="7">
        <v>94.73</v>
      </c>
      <c r="T65" s="7">
        <v>94.57</v>
      </c>
      <c r="U65" s="4">
        <v>1</v>
      </c>
      <c r="V65" s="4">
        <f>VLOOKUP(Tabulka1[[#This Row],[ID]],'Zdroj hloubka okresy'!$A$2:$K$171,5,FALSE)</f>
        <v>1.38</v>
      </c>
      <c r="W65" s="4">
        <f>VLOOKUP(Tabulka1[[#This Row],[ID]],'Zdroj hloubka okresy'!$A$2:$K$171,6,FALSE)</f>
        <v>1.34</v>
      </c>
      <c r="X65" s="4">
        <v>22.4</v>
      </c>
      <c r="Y65" s="4">
        <v>27.6</v>
      </c>
      <c r="Z65" s="4">
        <v>6.01</v>
      </c>
      <c r="AA65" s="4">
        <v>4.09</v>
      </c>
      <c r="AB65" s="4">
        <v>40.47</v>
      </c>
      <c r="AC65" s="4">
        <v>36.880000000000003</v>
      </c>
      <c r="AD65" s="4">
        <v>26.24</v>
      </c>
      <c r="AE65" s="4">
        <v>25.7</v>
      </c>
      <c r="AF65" s="4">
        <v>4.8899999999999997</v>
      </c>
      <c r="AG65" s="4">
        <v>5.72</v>
      </c>
      <c r="AH65" s="4" t="s">
        <v>743</v>
      </c>
      <c r="AI65" s="5" t="s">
        <v>791</v>
      </c>
      <c r="AJ65" s="4">
        <v>2.4</v>
      </c>
      <c r="AK65" s="4">
        <v>3</v>
      </c>
      <c r="AL65" s="4" t="s">
        <v>798</v>
      </c>
      <c r="AM65" s="20" t="s">
        <v>824</v>
      </c>
      <c r="AN65" s="16" t="s">
        <v>804</v>
      </c>
      <c r="AO65" s="326"/>
      <c r="AP65" s="15">
        <v>0</v>
      </c>
      <c r="AQ65" s="9" t="str">
        <f>MID(Tabulka1[[#This Row],[BPEJ]],1,1)</f>
        <v>3</v>
      </c>
      <c r="AW65" s="9"/>
      <c r="AX65">
        <v>3</v>
      </c>
      <c r="AY65" s="114">
        <v>37</v>
      </c>
      <c r="AZ65" s="114">
        <v>1</v>
      </c>
      <c r="BA65" s="114">
        <v>5</v>
      </c>
      <c r="BB65" s="9">
        <v>3</v>
      </c>
      <c r="BC65" s="9" t="str">
        <f>MID(Tabulka1[[#This Row],[BPEJ]],3,2)</f>
        <v>37</v>
      </c>
      <c r="BD65" s="9" t="str">
        <f>MID(Tabulka1[[#This Row],[BPEJ]],6,1)</f>
        <v>1</v>
      </c>
      <c r="BE65" s="9" t="str">
        <f>MID(Tabulka1[[#This Row],[BPEJ]],7,1)</f>
        <v>5</v>
      </c>
      <c r="BF65" s="2" t="str">
        <f t="shared" si="2"/>
        <v>T</v>
      </c>
      <c r="BG65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65" s="7">
        <v>5.15</v>
      </c>
      <c r="BI65" s="2">
        <f t="shared" si="3"/>
        <v>51.5</v>
      </c>
      <c r="BJ65" s="2">
        <f>Tabulka1[[#This Row],[P2O5_60]]*10</f>
        <v>295</v>
      </c>
      <c r="BK65" s="2">
        <f>Tabulka1[[#This Row],[K2O_30]]*10</f>
        <v>687</v>
      </c>
      <c r="BL65" s="2">
        <f>Tabulka1[[#This Row],[K2O_60]]*10</f>
        <v>723.00000000000011</v>
      </c>
      <c r="BN65" s="2">
        <f>VLOOKUP(Tabulka1[[#This Row],[ID]],'Zdroj hloubka okresy'!$A$2:$F$171,5,FALSE)</f>
        <v>1.38</v>
      </c>
      <c r="BO65" s="2">
        <f>VLOOKUP(Tabulka1[[#This Row],[ID]],'Zdroj hloubka okresy'!$A$2:$D$171,3,FALSE)</f>
        <v>22</v>
      </c>
      <c r="BP65" s="2">
        <f>VLOOKUP(Tabulka1[[#This Row],[ID]],'Zdroj hloubka okresy'!$A$2:$D$171,4,FALSE)</f>
        <v>26</v>
      </c>
    </row>
    <row r="66" spans="1:68" x14ac:dyDescent="0.35">
      <c r="A66" s="13">
        <v>4016</v>
      </c>
      <c r="B66" s="14" t="s">
        <v>313</v>
      </c>
      <c r="C66" s="7">
        <v>6.6</v>
      </c>
      <c r="D66" s="7">
        <v>6.88</v>
      </c>
      <c r="E66" s="7">
        <v>6.5</v>
      </c>
      <c r="F66" s="7">
        <v>6.68</v>
      </c>
      <c r="G66" s="7">
        <v>2.36</v>
      </c>
      <c r="H66" s="7">
        <v>2.13</v>
      </c>
      <c r="I66" s="7">
        <v>1.37</v>
      </c>
      <c r="J66" s="7">
        <v>1.24</v>
      </c>
      <c r="K66" s="7"/>
      <c r="L66" s="7"/>
      <c r="M66" s="7">
        <v>187</v>
      </c>
      <c r="N66" s="139">
        <v>113.5</v>
      </c>
      <c r="O66" s="139">
        <v>248</v>
      </c>
      <c r="P66" s="139">
        <v>166.5</v>
      </c>
      <c r="Q66" s="7">
        <v>17.399999999999999</v>
      </c>
      <c r="R66" s="7">
        <v>17.7</v>
      </c>
      <c r="S66" s="7">
        <v>96</v>
      </c>
      <c r="T66" s="7">
        <v>97</v>
      </c>
      <c r="U66" s="4">
        <v>4</v>
      </c>
      <c r="V66" s="4">
        <f>VLOOKUP(Tabulka1[[#This Row],[ID]],'Zdroj hloubka okresy'!$A$2:$K$171,5,FALSE)</f>
        <v>1.35</v>
      </c>
      <c r="W66" s="4">
        <f>VLOOKUP(Tabulka1[[#This Row],[ID]],'Zdroj hloubka okresy'!$A$2:$K$171,6,FALSE)</f>
        <v>1.33</v>
      </c>
      <c r="X66" s="4">
        <v>21.58</v>
      </c>
      <c r="Y66" s="4">
        <v>24.63</v>
      </c>
      <c r="Z66" s="4">
        <v>11.12</v>
      </c>
      <c r="AA66" s="4">
        <v>10.220000000000001</v>
      </c>
      <c r="AB66" s="4">
        <v>50.5</v>
      </c>
      <c r="AC66" s="4">
        <v>50.45</v>
      </c>
      <c r="AD66" s="4">
        <v>15.5</v>
      </c>
      <c r="AE66" s="4">
        <v>13.8</v>
      </c>
      <c r="AF66" s="4">
        <v>1.3</v>
      </c>
      <c r="AG66" s="4">
        <v>0.9</v>
      </c>
      <c r="AH66" s="4" t="s">
        <v>730</v>
      </c>
      <c r="AI66" s="5" t="s">
        <v>793</v>
      </c>
      <c r="AJ66" s="4">
        <v>19.02</v>
      </c>
      <c r="AK66" s="4">
        <v>4</v>
      </c>
      <c r="AL66" s="4" t="s">
        <v>797</v>
      </c>
      <c r="AM66" s="20" t="s">
        <v>824</v>
      </c>
      <c r="AN66" s="16" t="s">
        <v>802</v>
      </c>
      <c r="AO66" s="326"/>
      <c r="AP66" s="15">
        <v>0</v>
      </c>
      <c r="AQ66" s="9" t="str">
        <f>MID(Tabulka1[[#This Row],[BPEJ]],1,1)</f>
        <v>3</v>
      </c>
      <c r="AW66" s="9"/>
      <c r="AX66">
        <v>3</v>
      </c>
      <c r="AY66" s="114">
        <v>2</v>
      </c>
      <c r="AZ66" s="114">
        <v>0</v>
      </c>
      <c r="BA66" s="114">
        <v>0</v>
      </c>
      <c r="BB66" s="9">
        <v>3</v>
      </c>
      <c r="BC66" s="9" t="str">
        <f>MID(Tabulka1[[#This Row],[BPEJ]],3,2)</f>
        <v>02</v>
      </c>
      <c r="BD66" s="9" t="str">
        <f>MID(Tabulka1[[#This Row],[BPEJ]],6,1)</f>
        <v>0</v>
      </c>
      <c r="BE66" s="9" t="str">
        <f>MID(Tabulka1[[#This Row],[BPEJ]],7,1)</f>
        <v>0</v>
      </c>
      <c r="BF66" s="2" t="str">
        <f t="shared" ref="BF66:BF69" si="4">IF(OR(AX66=2,AX66=3,AX66=4,AX66=5),"T",IF(OR(AX66=0,AX66=1),"VT",IF(OR(AX66=6,AX66=7,AX66=8,AX66=9),"CH"," ")))</f>
        <v>T</v>
      </c>
      <c r="BG66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66" s="7">
        <v>18.7</v>
      </c>
      <c r="BI66" s="2">
        <f t="shared" ref="BI66:BI69" si="5">BH66*10</f>
        <v>187</v>
      </c>
      <c r="BJ66" s="2">
        <f>Tabulka1[[#This Row],[P2O5_60]]*10</f>
        <v>1135</v>
      </c>
      <c r="BK66" s="2">
        <f>Tabulka1[[#This Row],[K2O_30]]*10</f>
        <v>2480</v>
      </c>
      <c r="BL66" s="2">
        <f>Tabulka1[[#This Row],[K2O_60]]*10</f>
        <v>1665</v>
      </c>
      <c r="BN66" s="2">
        <f>VLOOKUP(Tabulka1[[#This Row],[ID]],'Zdroj hloubka okresy'!$A$2:$F$171,5,FALSE)</f>
        <v>1.35</v>
      </c>
      <c r="BO66" s="2">
        <f>VLOOKUP(Tabulka1[[#This Row],[ID]],'Zdroj hloubka okresy'!$A$2:$D$171,3,FALSE)</f>
        <v>30</v>
      </c>
      <c r="BP66" s="2">
        <f>VLOOKUP(Tabulka1[[#This Row],[ID]],'Zdroj hloubka okresy'!$A$2:$D$171,4,FALSE)</f>
        <v>30</v>
      </c>
    </row>
    <row r="67" spans="1:68" x14ac:dyDescent="0.35">
      <c r="A67" s="13">
        <v>4019</v>
      </c>
      <c r="B67" s="14" t="s">
        <v>61</v>
      </c>
      <c r="C67" s="7">
        <v>6.13</v>
      </c>
      <c r="D67" s="7">
        <v>6.02</v>
      </c>
      <c r="E67" s="7">
        <v>5.88</v>
      </c>
      <c r="F67" s="7">
        <v>5.9</v>
      </c>
      <c r="G67" s="7">
        <v>3.26</v>
      </c>
      <c r="H67" s="7">
        <v>2.5</v>
      </c>
      <c r="I67" s="7">
        <v>1.89</v>
      </c>
      <c r="J67" s="7">
        <v>1.45</v>
      </c>
      <c r="K67" s="7"/>
      <c r="L67" s="7"/>
      <c r="M67" s="7">
        <v>19.7</v>
      </c>
      <c r="N67" s="139">
        <v>11</v>
      </c>
      <c r="O67" s="139">
        <v>63.3</v>
      </c>
      <c r="P67" s="139">
        <v>53.8</v>
      </c>
      <c r="Q67" s="7">
        <v>29.1</v>
      </c>
      <c r="R67" s="7">
        <v>27.38</v>
      </c>
      <c r="S67" s="7">
        <v>74.33</v>
      </c>
      <c r="T67" s="7">
        <v>70</v>
      </c>
      <c r="U67" s="4">
        <v>2</v>
      </c>
      <c r="V67" s="4">
        <f>VLOOKUP(Tabulka1[[#This Row],[ID]],'Zdroj hloubka okresy'!$A$2:$K$171,5,FALSE)</f>
        <v>1.32</v>
      </c>
      <c r="W67" s="4">
        <f>VLOOKUP(Tabulka1[[#This Row],[ID]],'Zdroj hloubka okresy'!$A$2:$K$171,6,FALSE)</f>
        <v>1.31</v>
      </c>
      <c r="X67" s="4">
        <v>27.35</v>
      </c>
      <c r="Y67" s="4">
        <v>29.66</v>
      </c>
      <c r="Z67" s="4">
        <v>28.02</v>
      </c>
      <c r="AA67" s="4">
        <v>23.42</v>
      </c>
      <c r="AB67" s="4">
        <v>24.52</v>
      </c>
      <c r="AC67" s="4">
        <v>25.98</v>
      </c>
      <c r="AD67" s="4">
        <v>14.68</v>
      </c>
      <c r="AE67" s="4">
        <v>16.48</v>
      </c>
      <c r="AF67" s="4">
        <v>5.43</v>
      </c>
      <c r="AG67" s="4">
        <v>4.46</v>
      </c>
      <c r="AH67" s="4" t="s">
        <v>751</v>
      </c>
      <c r="AI67" s="5" t="s">
        <v>789</v>
      </c>
      <c r="AJ67" s="4">
        <v>13.29</v>
      </c>
      <c r="AK67" s="4">
        <v>2</v>
      </c>
      <c r="AL67" s="4" t="s">
        <v>799</v>
      </c>
      <c r="AM67" s="20" t="s">
        <v>824</v>
      </c>
      <c r="AN67" s="16" t="s">
        <v>803</v>
      </c>
      <c r="AO67" s="326"/>
      <c r="AP67" s="15">
        <v>0</v>
      </c>
      <c r="AQ67" s="9" t="str">
        <f>MID(Tabulka1[[#This Row],[BPEJ]],1,1)</f>
        <v>3</v>
      </c>
      <c r="AW67" s="9"/>
      <c r="AX67">
        <v>3</v>
      </c>
      <c r="AY67" s="114">
        <v>58</v>
      </c>
      <c r="AZ67" s="114">
        <v>0</v>
      </c>
      <c r="BA67" s="114">
        <v>0</v>
      </c>
      <c r="BB67" s="9">
        <v>3</v>
      </c>
      <c r="BC67" s="9" t="str">
        <f>MID(Tabulka1[[#This Row],[BPEJ]],3,2)</f>
        <v>58</v>
      </c>
      <c r="BD67" s="9" t="str">
        <f>MID(Tabulka1[[#This Row],[BPEJ]],6,1)</f>
        <v>0</v>
      </c>
      <c r="BE67" s="9" t="str">
        <f>MID(Tabulka1[[#This Row],[BPEJ]],7,1)</f>
        <v>0</v>
      </c>
      <c r="BF67" s="2" t="str">
        <f t="shared" si="4"/>
        <v>T</v>
      </c>
      <c r="BG67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T</v>
      </c>
      <c r="BH67" s="134">
        <v>1.97</v>
      </c>
      <c r="BI67" s="2">
        <f t="shared" si="5"/>
        <v>19.7</v>
      </c>
      <c r="BJ67" s="2">
        <f>Tabulka1[[#This Row],[P2O5_60]]*10</f>
        <v>110</v>
      </c>
      <c r="BK67" s="2">
        <f>Tabulka1[[#This Row],[K2O_30]]*10</f>
        <v>633</v>
      </c>
      <c r="BL67" s="2">
        <f>Tabulka1[[#This Row],[K2O_60]]*10</f>
        <v>538</v>
      </c>
      <c r="BN67" s="2">
        <f>VLOOKUP(Tabulka1[[#This Row],[ID]],'Zdroj hloubka okresy'!$A$2:$F$171,5,FALSE)</f>
        <v>1.32</v>
      </c>
      <c r="BO67" s="2">
        <f>VLOOKUP(Tabulka1[[#This Row],[ID]],'Zdroj hloubka okresy'!$A$2:$D$171,3,FALSE)</f>
        <v>25</v>
      </c>
      <c r="BP67" s="2">
        <f>VLOOKUP(Tabulka1[[#This Row],[ID]],'Zdroj hloubka okresy'!$A$2:$D$171,4,FALSE)</f>
        <v>25</v>
      </c>
    </row>
    <row r="68" spans="1:68" x14ac:dyDescent="0.35">
      <c r="A68" s="13">
        <v>4022</v>
      </c>
      <c r="B68" s="14" t="s">
        <v>300</v>
      </c>
      <c r="C68" s="7">
        <v>6.77</v>
      </c>
      <c r="D68" s="7">
        <v>6.83</v>
      </c>
      <c r="E68" s="7">
        <v>6.66</v>
      </c>
      <c r="F68" s="7">
        <v>6.69</v>
      </c>
      <c r="G68" s="7">
        <v>2.12</v>
      </c>
      <c r="H68" s="7">
        <v>1.83</v>
      </c>
      <c r="I68" s="7">
        <v>1.23</v>
      </c>
      <c r="J68" s="7">
        <v>1.06</v>
      </c>
      <c r="K68" s="7"/>
      <c r="L68" s="7"/>
      <c r="M68" s="7">
        <v>167.5</v>
      </c>
      <c r="N68" s="139">
        <v>120</v>
      </c>
      <c r="O68" s="139">
        <v>112.69999999999999</v>
      </c>
      <c r="P68" s="139">
        <v>97.6</v>
      </c>
      <c r="Q68" s="7">
        <v>16.96</v>
      </c>
      <c r="R68" s="7">
        <v>18.170000000000002</v>
      </c>
      <c r="S68" s="7">
        <v>91</v>
      </c>
      <c r="T68" s="7">
        <v>92.25</v>
      </c>
      <c r="U68" s="4">
        <v>4</v>
      </c>
      <c r="V68" s="4">
        <f>VLOOKUP(Tabulka1[[#This Row],[ID]],'Zdroj hloubka okresy'!$A$2:$K$171,5,FALSE)</f>
        <v>1.33</v>
      </c>
      <c r="W68" s="4">
        <f>VLOOKUP(Tabulka1[[#This Row],[ID]],'Zdroj hloubka okresy'!$A$2:$K$171,6,FALSE)</f>
        <v>1.32</v>
      </c>
      <c r="X68" s="4">
        <v>24.3</v>
      </c>
      <c r="Y68" s="4">
        <v>28.43</v>
      </c>
      <c r="Z68" s="4">
        <v>14.05</v>
      </c>
      <c r="AA68" s="4">
        <v>14.18</v>
      </c>
      <c r="AB68" s="4">
        <v>49.6</v>
      </c>
      <c r="AC68" s="4">
        <v>45.66</v>
      </c>
      <c r="AD68" s="4">
        <v>8.27</v>
      </c>
      <c r="AE68" s="4">
        <v>9.1999999999999993</v>
      </c>
      <c r="AF68" s="4">
        <v>3.78</v>
      </c>
      <c r="AG68" s="4">
        <v>2.52</v>
      </c>
      <c r="AH68" s="4" t="s">
        <v>737</v>
      </c>
      <c r="AI68" s="5" t="s">
        <v>793</v>
      </c>
      <c r="AJ68" s="4">
        <v>18.079999999999998</v>
      </c>
      <c r="AK68" s="4">
        <v>4</v>
      </c>
      <c r="AL68" s="4" t="s">
        <v>797</v>
      </c>
      <c r="AM68" s="20" t="s">
        <v>824</v>
      </c>
      <c r="AN68" s="16" t="s">
        <v>803</v>
      </c>
      <c r="AO68" s="326"/>
      <c r="AP68" s="15">
        <v>0</v>
      </c>
      <c r="AQ68" s="9" t="str">
        <f>MID(Tabulka1[[#This Row],[BPEJ]],1,1)</f>
        <v>3</v>
      </c>
      <c r="AW68" s="9"/>
      <c r="AX68">
        <v>3</v>
      </c>
      <c r="AY68" s="114">
        <v>9</v>
      </c>
      <c r="AZ68" s="114">
        <v>0</v>
      </c>
      <c r="BA68" s="114">
        <v>0</v>
      </c>
      <c r="BB68" s="9">
        <v>3</v>
      </c>
      <c r="BC68" s="9" t="str">
        <f>MID(Tabulka1[[#This Row],[BPEJ]],3,2)</f>
        <v>09</v>
      </c>
      <c r="BD68" s="9" t="str">
        <f>MID(Tabulka1[[#This Row],[BPEJ]],6,1)</f>
        <v>0</v>
      </c>
      <c r="BE68" s="9" t="str">
        <f>MID(Tabulka1[[#This Row],[BPEJ]],7,1)</f>
        <v>0</v>
      </c>
      <c r="BF68" s="2" t="str">
        <f t="shared" si="4"/>
        <v>T</v>
      </c>
      <c r="BG68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68" s="7">
        <v>16.75</v>
      </c>
      <c r="BI68" s="2">
        <f t="shared" si="5"/>
        <v>167.5</v>
      </c>
      <c r="BJ68" s="2">
        <f>Tabulka1[[#This Row],[P2O5_60]]*10</f>
        <v>1200</v>
      </c>
      <c r="BK68" s="2">
        <f>Tabulka1[[#This Row],[K2O_30]]*10</f>
        <v>1127</v>
      </c>
      <c r="BL68" s="2">
        <f>Tabulka1[[#This Row],[K2O_60]]*10</f>
        <v>976</v>
      </c>
      <c r="BN68" s="2">
        <f>VLOOKUP(Tabulka1[[#This Row],[ID]],'Zdroj hloubka okresy'!$A$2:$F$171,5,FALSE)</f>
        <v>1.33</v>
      </c>
      <c r="BO68" s="2">
        <f>VLOOKUP(Tabulka1[[#This Row],[ID]],'Zdroj hloubka okresy'!$A$2:$D$171,3,FALSE)</f>
        <v>27</v>
      </c>
      <c r="BP68" s="2">
        <f>VLOOKUP(Tabulka1[[#This Row],[ID]],'Zdroj hloubka okresy'!$A$2:$D$171,4,FALSE)</f>
        <v>18</v>
      </c>
    </row>
    <row r="69" spans="1:68" x14ac:dyDescent="0.35">
      <c r="A69" s="13">
        <v>4025</v>
      </c>
      <c r="B69" s="14" t="s">
        <v>301</v>
      </c>
      <c r="C69" s="7">
        <v>6.88</v>
      </c>
      <c r="D69" s="7">
        <v>6.95</v>
      </c>
      <c r="E69" s="7">
        <v>6.73</v>
      </c>
      <c r="F69" s="7">
        <v>6.72</v>
      </c>
      <c r="G69" s="7">
        <v>1.64</v>
      </c>
      <c r="H69" s="7">
        <v>1.1000000000000001</v>
      </c>
      <c r="I69" s="7">
        <v>0.96</v>
      </c>
      <c r="J69" s="7">
        <v>0.64</v>
      </c>
      <c r="K69" s="7"/>
      <c r="L69" s="7"/>
      <c r="M69" s="7">
        <v>257.7</v>
      </c>
      <c r="N69" s="139">
        <v>136.5</v>
      </c>
      <c r="O69" s="139">
        <v>124.3</v>
      </c>
      <c r="P69" s="139">
        <v>98.800000000000011</v>
      </c>
      <c r="Q69" s="7">
        <v>18</v>
      </c>
      <c r="R69" s="7">
        <v>19.38</v>
      </c>
      <c r="S69" s="7">
        <v>91.33</v>
      </c>
      <c r="T69" s="7">
        <v>93.17</v>
      </c>
      <c r="U69" s="4">
        <v>4</v>
      </c>
      <c r="V69" s="4">
        <f>VLOOKUP(Tabulka1[[#This Row],[ID]],'Zdroj hloubka okresy'!$A$2:$K$171,5,FALSE)</f>
        <v>1.37</v>
      </c>
      <c r="W69" s="4">
        <f>VLOOKUP(Tabulka1[[#This Row],[ID]],'Zdroj hloubka okresy'!$A$2:$K$171,6,FALSE)</f>
        <v>1.26</v>
      </c>
      <c r="X69" s="4">
        <v>26.49</v>
      </c>
      <c r="Y69" s="4">
        <v>33.22</v>
      </c>
      <c r="Z69" s="4">
        <v>8.6300000000000008</v>
      </c>
      <c r="AA69" s="4">
        <v>8.3699999999999992</v>
      </c>
      <c r="AB69" s="4">
        <v>36.619999999999997</v>
      </c>
      <c r="AC69" s="4">
        <v>32.200000000000003</v>
      </c>
      <c r="AD69" s="4">
        <v>20.63</v>
      </c>
      <c r="AE69" s="4">
        <v>17.54</v>
      </c>
      <c r="AF69" s="4">
        <v>7.63</v>
      </c>
      <c r="AG69" s="4">
        <v>8.67</v>
      </c>
      <c r="AH69" s="4" t="s">
        <v>752</v>
      </c>
      <c r="AI69" s="5" t="s">
        <v>789</v>
      </c>
      <c r="AJ69" s="4">
        <v>15.9</v>
      </c>
      <c r="AK69" s="4">
        <v>4</v>
      </c>
      <c r="AL69" s="4" t="s">
        <v>797</v>
      </c>
      <c r="AM69" s="20" t="s">
        <v>824</v>
      </c>
      <c r="AN69" s="16" t="s">
        <v>803</v>
      </c>
      <c r="AO69" s="326"/>
      <c r="AP69" s="15">
        <v>100</v>
      </c>
      <c r="AQ69" s="9" t="str">
        <f>MID(Tabulka1[[#This Row],[BPEJ]],1,1)</f>
        <v>3</v>
      </c>
      <c r="AW69" s="9"/>
      <c r="AX69">
        <v>3</v>
      </c>
      <c r="AY69" s="114">
        <v>12</v>
      </c>
      <c r="AZ69" s="114">
        <v>0</v>
      </c>
      <c r="BA69" s="114">
        <v>0</v>
      </c>
      <c r="BB69" s="9">
        <v>3</v>
      </c>
      <c r="BC69" s="9" t="str">
        <f>MID(Tabulka1[[#This Row],[BPEJ]],3,2)</f>
        <v>12</v>
      </c>
      <c r="BD69" s="9" t="str">
        <f>MID(Tabulka1[[#This Row],[BPEJ]],6,1)</f>
        <v>0</v>
      </c>
      <c r="BE69" s="9" t="str">
        <f>MID(Tabulka1[[#This Row],[BPEJ]],7,1)</f>
        <v>0</v>
      </c>
      <c r="BF69" s="2" t="str">
        <f t="shared" si="4"/>
        <v>T</v>
      </c>
      <c r="BG69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69" s="134">
        <v>25.77</v>
      </c>
      <c r="BI69" s="2">
        <f t="shared" si="5"/>
        <v>257.7</v>
      </c>
      <c r="BJ69" s="2">
        <f>Tabulka1[[#This Row],[P2O5_60]]*10</f>
        <v>1365</v>
      </c>
      <c r="BK69" s="2">
        <f>Tabulka1[[#This Row],[K2O_30]]*10</f>
        <v>1243</v>
      </c>
      <c r="BL69" s="2">
        <f>Tabulka1[[#This Row],[K2O_60]]*10</f>
        <v>988.00000000000011</v>
      </c>
      <c r="BN69" s="2">
        <f>VLOOKUP(Tabulka1[[#This Row],[ID]],'Zdroj hloubka okresy'!$A$2:$F$171,5,FALSE)</f>
        <v>1.37</v>
      </c>
      <c r="BO69" s="2">
        <f>VLOOKUP(Tabulka1[[#This Row],[ID]],'Zdroj hloubka okresy'!$A$2:$D$171,3,FALSE)</f>
        <v>25</v>
      </c>
      <c r="BP69" s="2">
        <f>VLOOKUP(Tabulka1[[#This Row],[ID]],'Zdroj hloubka okresy'!$A$2:$D$171,4,FALSE)</f>
        <v>25</v>
      </c>
    </row>
    <row r="70" spans="1:68" x14ac:dyDescent="0.35">
      <c r="A70" s="13">
        <v>4031</v>
      </c>
      <c r="B70" s="14" t="s">
        <v>79</v>
      </c>
      <c r="C70" s="7">
        <v>5.52</v>
      </c>
      <c r="D70" s="7">
        <v>5.53</v>
      </c>
      <c r="E70" s="7">
        <v>5.33</v>
      </c>
      <c r="F70" s="7">
        <v>5.37</v>
      </c>
      <c r="G70" s="7">
        <v>2.15</v>
      </c>
      <c r="H70" s="7">
        <v>1.7</v>
      </c>
      <c r="I70" s="7">
        <v>1.25</v>
      </c>
      <c r="J70" s="7">
        <v>0.99</v>
      </c>
      <c r="K70" s="7"/>
      <c r="L70" s="7"/>
      <c r="M70" s="7">
        <v>17</v>
      </c>
      <c r="N70" s="139">
        <v>17</v>
      </c>
      <c r="O70" s="139">
        <v>103</v>
      </c>
      <c r="P70" s="139">
        <v>103</v>
      </c>
      <c r="Q70" s="7">
        <v>12.77</v>
      </c>
      <c r="R70" s="7">
        <v>12.18</v>
      </c>
      <c r="S70" s="7">
        <v>52.67</v>
      </c>
      <c r="T70" s="7">
        <v>52.33</v>
      </c>
      <c r="U70" s="4">
        <v>3</v>
      </c>
      <c r="V70" s="4">
        <f>VLOOKUP(Tabulka1[[#This Row],[ID]],'Zdroj hloubka okresy'!$A$2:$K$171,5,FALSE)</f>
        <v>1.39</v>
      </c>
      <c r="W70" s="4">
        <f>VLOOKUP(Tabulka1[[#This Row],[ID]],'Zdroj hloubka okresy'!$A$2:$K$171,6,FALSE)</f>
        <v>1.38</v>
      </c>
      <c r="X70" s="4">
        <v>18.7</v>
      </c>
      <c r="Y70" s="4">
        <v>20.2</v>
      </c>
      <c r="Z70" s="4">
        <v>18.73</v>
      </c>
      <c r="AA70" s="4">
        <v>17.27</v>
      </c>
      <c r="AB70" s="4">
        <v>37.43</v>
      </c>
      <c r="AC70" s="4">
        <v>37.67</v>
      </c>
      <c r="AD70" s="4">
        <v>9.33</v>
      </c>
      <c r="AE70" s="4">
        <v>8.9700000000000006</v>
      </c>
      <c r="AF70" s="4">
        <v>15.8</v>
      </c>
      <c r="AG70" s="4">
        <v>15.9</v>
      </c>
      <c r="AH70" s="4" t="s">
        <v>753</v>
      </c>
      <c r="AI70" s="5" t="s">
        <v>790</v>
      </c>
      <c r="AJ70" s="4">
        <v>2.52</v>
      </c>
      <c r="AK70" s="4">
        <v>7</v>
      </c>
      <c r="AL70" s="4" t="s">
        <v>801</v>
      </c>
      <c r="AM70" s="20" t="s">
        <v>824</v>
      </c>
      <c r="AN70" s="16" t="s">
        <v>803</v>
      </c>
      <c r="AO70" s="326"/>
      <c r="AP70" s="15">
        <v>0</v>
      </c>
      <c r="AQ70" s="9" t="str">
        <f>MID(Tabulka1[[#This Row],[BPEJ]],1,1)</f>
        <v>7</v>
      </c>
      <c r="AW70" s="9"/>
      <c r="AX70">
        <v>7</v>
      </c>
      <c r="AY70" s="114">
        <v>50</v>
      </c>
      <c r="AZ70" s="114">
        <v>0</v>
      </c>
      <c r="BA70" s="114">
        <v>4</v>
      </c>
      <c r="BB70" s="9">
        <v>7</v>
      </c>
      <c r="BC70" s="9" t="str">
        <f>MID(Tabulka1[[#This Row],[BPEJ]],3,2)</f>
        <v>50</v>
      </c>
      <c r="BD70" s="9" t="str">
        <f>MID(Tabulka1[[#This Row],[BPEJ]],6,1)</f>
        <v>0</v>
      </c>
      <c r="BE70" s="9" t="str">
        <f>MID(Tabulka1[[#This Row],[BPEJ]],7,1)</f>
        <v>4</v>
      </c>
      <c r="BF70" s="2" t="str">
        <f t="shared" ref="BF70:BF99" si="6">IF(OR(AX70=2,AX70=3,AX70=4,AX70=5),"T",IF(OR(AX70=0,AX70=1),"VT",IF(OR(AX70=6,AX70=7,AX70=8,AX70=9),"CH"," ")))</f>
        <v>CH</v>
      </c>
      <c r="BG70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70" s="134">
        <v>1.7</v>
      </c>
      <c r="BI70" s="2">
        <f t="shared" ref="BI70:BI99" si="7">BH70*10</f>
        <v>17</v>
      </c>
      <c r="BJ70" s="2">
        <f>Tabulka1[[#This Row],[P2O5_60]]*10</f>
        <v>170</v>
      </c>
      <c r="BK70" s="2">
        <f>Tabulka1[[#This Row],[K2O_30]]*10</f>
        <v>1030</v>
      </c>
      <c r="BL70" s="2">
        <f>Tabulka1[[#This Row],[K2O_60]]*10</f>
        <v>1030</v>
      </c>
      <c r="BN70" s="2">
        <f>VLOOKUP(Tabulka1[[#This Row],[ID]],'Zdroj hloubka okresy'!$A$2:$F$171,5,FALSE)</f>
        <v>1.39</v>
      </c>
      <c r="BO70" s="2">
        <f>VLOOKUP(Tabulka1[[#This Row],[ID]],'Zdroj hloubka okresy'!$A$2:$D$171,3,FALSE)</f>
        <v>20</v>
      </c>
      <c r="BP70" s="2">
        <f>VLOOKUP(Tabulka1[[#This Row],[ID]],'Zdroj hloubka okresy'!$A$2:$D$171,4,FALSE)</f>
        <v>40</v>
      </c>
    </row>
    <row r="71" spans="1:68" x14ac:dyDescent="0.35">
      <c r="A71" s="13">
        <v>4034</v>
      </c>
      <c r="B71" s="14" t="s">
        <v>98</v>
      </c>
      <c r="C71" s="7">
        <v>7.6</v>
      </c>
      <c r="D71" s="7">
        <v>7.59</v>
      </c>
      <c r="E71" s="7">
        <v>7.2</v>
      </c>
      <c r="F71" s="7">
        <v>7.27</v>
      </c>
      <c r="G71" s="7">
        <v>2.46</v>
      </c>
      <c r="H71" s="7">
        <v>1.87</v>
      </c>
      <c r="I71" s="7">
        <v>1.43</v>
      </c>
      <c r="J71" s="7">
        <v>1.08</v>
      </c>
      <c r="K71" s="7">
        <v>4.2</v>
      </c>
      <c r="L71" s="7">
        <v>3.28</v>
      </c>
      <c r="M71" s="7">
        <v>287</v>
      </c>
      <c r="N71" s="139">
        <v>218.79999999999998</v>
      </c>
      <c r="O71" s="139">
        <v>64</v>
      </c>
      <c r="P71" s="139">
        <v>51.2</v>
      </c>
      <c r="Q71" s="7">
        <v>18.8</v>
      </c>
      <c r="R71" s="7">
        <v>17.37</v>
      </c>
      <c r="S71" s="7">
        <v>100</v>
      </c>
      <c r="T71" s="7">
        <v>100</v>
      </c>
      <c r="U71" s="4">
        <v>4</v>
      </c>
      <c r="V71" s="4">
        <f>VLOOKUP(Tabulka1[[#This Row],[ID]],'Zdroj hloubka okresy'!$A$2:$K$171,5,FALSE)</f>
        <v>1.39</v>
      </c>
      <c r="W71" s="4">
        <f>VLOOKUP(Tabulka1[[#This Row],[ID]],'Zdroj hloubka okresy'!$A$2:$K$171,6,FALSE)</f>
        <v>1.4</v>
      </c>
      <c r="X71" s="4">
        <v>19.23</v>
      </c>
      <c r="Y71" s="4">
        <v>18.53</v>
      </c>
      <c r="Z71" s="4">
        <v>10.11</v>
      </c>
      <c r="AA71" s="4">
        <v>9.69</v>
      </c>
      <c r="AB71" s="4">
        <v>42.62</v>
      </c>
      <c r="AC71" s="4">
        <v>42.15</v>
      </c>
      <c r="AD71" s="4">
        <v>23.38</v>
      </c>
      <c r="AE71" s="4">
        <v>23.53</v>
      </c>
      <c r="AF71" s="4">
        <v>4.66</v>
      </c>
      <c r="AG71" s="4">
        <v>6.1</v>
      </c>
      <c r="AH71" s="4" t="s">
        <v>739</v>
      </c>
      <c r="AI71" s="5" t="s">
        <v>793</v>
      </c>
      <c r="AJ71" s="4">
        <v>15.77</v>
      </c>
      <c r="AK71" s="4">
        <v>3</v>
      </c>
      <c r="AL71" s="4" t="s">
        <v>798</v>
      </c>
      <c r="AM71" s="20" t="s">
        <v>824</v>
      </c>
      <c r="AN71" s="16" t="s">
        <v>802</v>
      </c>
      <c r="AO71" s="326"/>
      <c r="AP71" s="15">
        <v>0</v>
      </c>
      <c r="AQ71" s="9" t="str">
        <f>MID(Tabulka1[[#This Row],[BPEJ]],1,1)</f>
        <v>3</v>
      </c>
      <c r="AW71" s="9"/>
      <c r="AX71">
        <v>3</v>
      </c>
      <c r="AY71" s="114">
        <v>56</v>
      </c>
      <c r="AZ71" s="114">
        <v>0</v>
      </c>
      <c r="BA71" s="114">
        <v>0</v>
      </c>
      <c r="BB71" s="9">
        <v>3</v>
      </c>
      <c r="BC71" s="9" t="str">
        <f>MID(Tabulka1[[#This Row],[BPEJ]],3,2)</f>
        <v>56</v>
      </c>
      <c r="BD71" s="9" t="str">
        <f>MID(Tabulka1[[#This Row],[BPEJ]],6,1)</f>
        <v>0</v>
      </c>
      <c r="BE71" s="9" t="str">
        <f>MID(Tabulka1[[#This Row],[BPEJ]],7,1)</f>
        <v>0</v>
      </c>
      <c r="BF71" s="2" t="str">
        <f t="shared" si="6"/>
        <v>T</v>
      </c>
      <c r="BG71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71" s="7">
        <v>28.7</v>
      </c>
      <c r="BI71" s="2">
        <f t="shared" si="7"/>
        <v>287</v>
      </c>
      <c r="BJ71" s="2">
        <f>Tabulka1[[#This Row],[P2O5_60]]*10</f>
        <v>2188</v>
      </c>
      <c r="BK71" s="2">
        <f>Tabulka1[[#This Row],[K2O_30]]*10</f>
        <v>640</v>
      </c>
      <c r="BL71" s="2">
        <f>Tabulka1[[#This Row],[K2O_60]]*10</f>
        <v>512</v>
      </c>
      <c r="BN71" s="2">
        <f>VLOOKUP(Tabulka1[[#This Row],[ID]],'Zdroj hloubka okresy'!$A$2:$F$171,5,FALSE)</f>
        <v>1.39</v>
      </c>
      <c r="BO71" s="2">
        <f>VLOOKUP(Tabulka1[[#This Row],[ID]],'Zdroj hloubka okresy'!$A$2:$D$171,3,FALSE)</f>
        <v>30</v>
      </c>
      <c r="BP71" s="2">
        <f>VLOOKUP(Tabulka1[[#This Row],[ID]],'Zdroj hloubka okresy'!$A$2:$D$171,4,FALSE)</f>
        <v>20</v>
      </c>
    </row>
    <row r="72" spans="1:68" x14ac:dyDescent="0.35">
      <c r="A72" s="13">
        <v>4037</v>
      </c>
      <c r="B72" s="14" t="s">
        <v>92</v>
      </c>
      <c r="C72" s="7">
        <v>7.55</v>
      </c>
      <c r="D72" s="7">
        <v>7.44</v>
      </c>
      <c r="E72" s="7">
        <v>7.3</v>
      </c>
      <c r="F72" s="7">
        <v>7.21</v>
      </c>
      <c r="G72" s="7">
        <v>1.78</v>
      </c>
      <c r="H72" s="7">
        <v>1.0900000000000001</v>
      </c>
      <c r="I72" s="7">
        <v>1.03</v>
      </c>
      <c r="J72" s="7">
        <v>0.63</v>
      </c>
      <c r="K72" s="7">
        <v>0.9</v>
      </c>
      <c r="L72" s="7">
        <v>0.45</v>
      </c>
      <c r="M72" s="7">
        <v>90</v>
      </c>
      <c r="N72" s="139">
        <v>70.7</v>
      </c>
      <c r="O72" s="139">
        <v>126</v>
      </c>
      <c r="P72" s="139">
        <v>106.1</v>
      </c>
      <c r="Q72" s="7">
        <v>15.3</v>
      </c>
      <c r="R72" s="7">
        <v>16.11</v>
      </c>
      <c r="S72" s="7">
        <v>100</v>
      </c>
      <c r="T72" s="7">
        <v>99.15</v>
      </c>
      <c r="U72" s="4">
        <v>1</v>
      </c>
      <c r="V72" s="4">
        <f>VLOOKUP(Tabulka1[[#This Row],[ID]],'Zdroj hloubka okresy'!$A$2:$K$171,5,FALSE)</f>
        <v>1.34</v>
      </c>
      <c r="W72" s="4">
        <f>VLOOKUP(Tabulka1[[#This Row],[ID]],'Zdroj hloubka okresy'!$A$2:$K$171,6,FALSE)</f>
        <v>1.31</v>
      </c>
      <c r="X72" s="4">
        <v>25.03</v>
      </c>
      <c r="Y72" s="4">
        <v>29.59</v>
      </c>
      <c r="Z72" s="4">
        <v>7.47</v>
      </c>
      <c r="AA72" s="4">
        <v>7.87</v>
      </c>
      <c r="AB72" s="4">
        <v>44.4</v>
      </c>
      <c r="AC72" s="4">
        <v>44.42</v>
      </c>
      <c r="AD72" s="4">
        <v>16.100000000000001</v>
      </c>
      <c r="AE72" s="4">
        <v>13.63</v>
      </c>
      <c r="AF72" s="4">
        <v>7</v>
      </c>
      <c r="AG72" s="4">
        <v>4.5</v>
      </c>
      <c r="AH72" s="4" t="s">
        <v>754</v>
      </c>
      <c r="AI72" s="5" t="s">
        <v>790</v>
      </c>
      <c r="AJ72" s="4">
        <v>6.11</v>
      </c>
      <c r="AK72" s="4">
        <v>4</v>
      </c>
      <c r="AL72" s="4" t="s">
        <v>797</v>
      </c>
      <c r="AM72" s="20" t="s">
        <v>824</v>
      </c>
      <c r="AN72" s="16" t="s">
        <v>803</v>
      </c>
      <c r="AO72" s="326"/>
      <c r="AP72" s="15">
        <v>0</v>
      </c>
      <c r="AQ72" s="9" t="str">
        <f>MID(Tabulka1[[#This Row],[BPEJ]],1,1)</f>
        <v>5</v>
      </c>
      <c r="AW72" s="9"/>
      <c r="AX72">
        <v>5</v>
      </c>
      <c r="AY72" s="114">
        <v>18</v>
      </c>
      <c r="AZ72" s="114">
        <v>5</v>
      </c>
      <c r="BA72" s="114">
        <v>1</v>
      </c>
      <c r="BB72" s="9">
        <v>5</v>
      </c>
      <c r="BC72" s="9" t="str">
        <f>MID(Tabulka1[[#This Row],[BPEJ]],3,2)</f>
        <v>18</v>
      </c>
      <c r="BD72" s="9" t="str">
        <f>MID(Tabulka1[[#This Row],[BPEJ]],6,1)</f>
        <v>5</v>
      </c>
      <c r="BE72" s="9" t="str">
        <f>MID(Tabulka1[[#This Row],[BPEJ]],7,1)</f>
        <v>1</v>
      </c>
      <c r="BF72" s="2" t="str">
        <f t="shared" si="6"/>
        <v>T</v>
      </c>
      <c r="BG72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72" s="134">
        <v>9</v>
      </c>
      <c r="BI72" s="2">
        <f t="shared" si="7"/>
        <v>90</v>
      </c>
      <c r="BJ72" s="2">
        <f>Tabulka1[[#This Row],[P2O5_60]]*10</f>
        <v>707</v>
      </c>
      <c r="BK72" s="2">
        <f>Tabulka1[[#This Row],[K2O_30]]*10</f>
        <v>1260</v>
      </c>
      <c r="BL72" s="2">
        <f>Tabulka1[[#This Row],[K2O_60]]*10</f>
        <v>1061</v>
      </c>
      <c r="BN72" s="2">
        <f>VLOOKUP(Tabulka1[[#This Row],[ID]],'Zdroj hloubka okresy'!$A$2:$F$171,5,FALSE)</f>
        <v>1.34</v>
      </c>
      <c r="BO72" s="2">
        <f>VLOOKUP(Tabulka1[[#This Row],[ID]],'Zdroj hloubka okresy'!$A$2:$D$171,3,FALSE)</f>
        <v>30</v>
      </c>
      <c r="BP72" s="2">
        <f>VLOOKUP(Tabulka1[[#This Row],[ID]],'Zdroj hloubka okresy'!$A$2:$D$171,4,FALSE)</f>
        <v>17</v>
      </c>
    </row>
    <row r="73" spans="1:68" x14ac:dyDescent="0.35">
      <c r="A73" s="13">
        <v>4040</v>
      </c>
      <c r="B73" s="14" t="s">
        <v>295</v>
      </c>
      <c r="C73" s="7">
        <v>5.9</v>
      </c>
      <c r="D73" s="7">
        <v>5.2</v>
      </c>
      <c r="E73" s="7">
        <v>5.55</v>
      </c>
      <c r="F73" s="7">
        <v>4.7300000000000004</v>
      </c>
      <c r="G73" s="7">
        <v>1.95</v>
      </c>
      <c r="H73" s="7">
        <v>1.1299999999999999</v>
      </c>
      <c r="I73" s="7">
        <v>1.1299999999999999</v>
      </c>
      <c r="J73" s="7">
        <v>0.66</v>
      </c>
      <c r="K73" s="7"/>
      <c r="L73" s="7"/>
      <c r="M73" s="7">
        <v>19.7</v>
      </c>
      <c r="N73" s="139">
        <v>10.3</v>
      </c>
      <c r="O73" s="139">
        <v>123</v>
      </c>
      <c r="P73" s="139">
        <v>77.099999999999994</v>
      </c>
      <c r="Q73" s="7">
        <v>9.8000000000000007</v>
      </c>
      <c r="R73" s="7">
        <v>8.91</v>
      </c>
      <c r="S73" s="7">
        <v>50</v>
      </c>
      <c r="T73" s="7">
        <v>34.200000000000003</v>
      </c>
      <c r="U73" s="4">
        <v>3</v>
      </c>
      <c r="V73" s="4">
        <f>VLOOKUP(Tabulka1[[#This Row],[ID]],'Zdroj hloubka okresy'!$A$2:$K$171,5,FALSE)</f>
        <v>1.5</v>
      </c>
      <c r="W73" s="4">
        <f>VLOOKUP(Tabulka1[[#This Row],[ID]],'Zdroj hloubka okresy'!$A$2:$K$171,6,FALSE)</f>
        <v>1.5</v>
      </c>
      <c r="X73" s="4">
        <v>12.34</v>
      </c>
      <c r="Y73" s="4">
        <v>13.43</v>
      </c>
      <c r="Z73" s="4">
        <v>12.1</v>
      </c>
      <c r="AA73" s="4">
        <v>9.7100000000000009</v>
      </c>
      <c r="AB73" s="4">
        <v>26.83</v>
      </c>
      <c r="AC73" s="4">
        <v>19.86</v>
      </c>
      <c r="AD73" s="4">
        <v>14.2</v>
      </c>
      <c r="AE73" s="4">
        <v>15.9</v>
      </c>
      <c r="AF73" s="4">
        <v>34.53</v>
      </c>
      <c r="AG73" s="4">
        <v>41.11</v>
      </c>
      <c r="AH73" s="4" t="s">
        <v>700</v>
      </c>
      <c r="AI73" s="5" t="s">
        <v>789</v>
      </c>
      <c r="AJ73" s="4">
        <v>9</v>
      </c>
      <c r="AK73" s="4">
        <v>6</v>
      </c>
      <c r="AL73" s="4" t="s">
        <v>800</v>
      </c>
      <c r="AM73" s="20" t="s">
        <v>824</v>
      </c>
      <c r="AN73" s="16" t="s">
        <v>802</v>
      </c>
      <c r="AO73" s="326"/>
      <c r="AP73" s="15">
        <v>0</v>
      </c>
      <c r="AQ73" s="9" t="str">
        <f>MID(Tabulka1[[#This Row],[BPEJ]],1,1)</f>
        <v>5</v>
      </c>
      <c r="AW73" s="9"/>
      <c r="AX73">
        <v>5</v>
      </c>
      <c r="AY73" s="114">
        <v>29</v>
      </c>
      <c r="AZ73" s="114">
        <v>0</v>
      </c>
      <c r="BA73" s="114">
        <v>1</v>
      </c>
      <c r="BB73" s="9">
        <v>5</v>
      </c>
      <c r="BC73" s="9" t="str">
        <f>MID(Tabulka1[[#This Row],[BPEJ]],3,2)</f>
        <v>29</v>
      </c>
      <c r="BD73" s="9" t="str">
        <f>MID(Tabulka1[[#This Row],[BPEJ]],6,1)</f>
        <v>0</v>
      </c>
      <c r="BE73" s="9" t="str">
        <f>MID(Tabulka1[[#This Row],[BPEJ]],7,1)</f>
        <v>1</v>
      </c>
      <c r="BF73" s="2" t="str">
        <f t="shared" si="6"/>
        <v>T</v>
      </c>
      <c r="BG73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73" s="7">
        <v>1.97</v>
      </c>
      <c r="BI73" s="2">
        <f t="shared" si="7"/>
        <v>19.7</v>
      </c>
      <c r="BJ73" s="2">
        <f>Tabulka1[[#This Row],[P2O5_60]]*10</f>
        <v>103</v>
      </c>
      <c r="BK73" s="2">
        <f>Tabulka1[[#This Row],[K2O_30]]*10</f>
        <v>1230</v>
      </c>
      <c r="BL73" s="2">
        <f>Tabulka1[[#This Row],[K2O_60]]*10</f>
        <v>771</v>
      </c>
      <c r="BN73" s="2">
        <f>VLOOKUP(Tabulka1[[#This Row],[ID]],'Zdroj hloubka okresy'!$A$2:$F$171,5,FALSE)</f>
        <v>1.5</v>
      </c>
      <c r="BO73" s="2">
        <f>VLOOKUP(Tabulka1[[#This Row],[ID]],'Zdroj hloubka okresy'!$A$2:$D$171,3,FALSE)</f>
        <v>20</v>
      </c>
      <c r="BP73" s="2">
        <f>VLOOKUP(Tabulka1[[#This Row],[ID]],'Zdroj hloubka okresy'!$A$2:$D$171,4,FALSE)</f>
        <v>22</v>
      </c>
    </row>
    <row r="74" spans="1:68" x14ac:dyDescent="0.35">
      <c r="A74" s="13">
        <v>4043</v>
      </c>
      <c r="B74" s="14" t="s">
        <v>62</v>
      </c>
      <c r="C74" s="7">
        <v>5.28</v>
      </c>
      <c r="D74" s="7">
        <v>5.15</v>
      </c>
      <c r="E74" s="7">
        <v>5.12</v>
      </c>
      <c r="F74" s="7">
        <v>4.8600000000000003</v>
      </c>
      <c r="G74" s="7">
        <v>2.4900000000000002</v>
      </c>
      <c r="H74" s="7">
        <v>1.58</v>
      </c>
      <c r="I74" s="7">
        <v>1.44</v>
      </c>
      <c r="J74" s="7">
        <v>0.91</v>
      </c>
      <c r="K74" s="7"/>
      <c r="L74" s="7"/>
      <c r="M74" s="7">
        <v>17.2</v>
      </c>
      <c r="N74" s="139">
        <v>10.1</v>
      </c>
      <c r="O74" s="139">
        <v>145.69999999999999</v>
      </c>
      <c r="P74" s="139">
        <v>94.3</v>
      </c>
      <c r="Q74" s="7">
        <v>21.33</v>
      </c>
      <c r="R74" s="7">
        <v>34.28</v>
      </c>
      <c r="S74" s="7">
        <v>40.67</v>
      </c>
      <c r="T74" s="7">
        <v>33.83</v>
      </c>
      <c r="U74" s="4">
        <v>2</v>
      </c>
      <c r="V74" s="4">
        <f>VLOOKUP(Tabulka1[[#This Row],[ID]],'Zdroj hloubka okresy'!$A$2:$K$171,5,FALSE)</f>
        <v>1.47</v>
      </c>
      <c r="W74" s="4">
        <f>VLOOKUP(Tabulka1[[#This Row],[ID]],'Zdroj hloubka okresy'!$A$2:$K$171,6,FALSE)</f>
        <v>1.47</v>
      </c>
      <c r="X74" s="4">
        <v>13.03</v>
      </c>
      <c r="Y74" s="4">
        <v>14.41</v>
      </c>
      <c r="Z74" s="4">
        <v>12.76</v>
      </c>
      <c r="AA74" s="4">
        <v>12.32</v>
      </c>
      <c r="AB74" s="4">
        <v>31.67</v>
      </c>
      <c r="AC74" s="4">
        <v>30.57</v>
      </c>
      <c r="AD74" s="4">
        <v>12.4</v>
      </c>
      <c r="AE74" s="4">
        <v>12.28</v>
      </c>
      <c r="AF74" s="4">
        <v>30.15</v>
      </c>
      <c r="AG74" s="4">
        <v>30.43</v>
      </c>
      <c r="AH74" s="4"/>
      <c r="AI74" s="5"/>
      <c r="AJ74" s="4"/>
      <c r="AK74" s="4">
        <v>7</v>
      </c>
      <c r="AL74" s="4" t="s">
        <v>801</v>
      </c>
      <c r="AM74" s="20" t="s">
        <v>796</v>
      </c>
      <c r="AN74" s="16" t="s">
        <v>804</v>
      </c>
      <c r="AO74" s="326"/>
      <c r="AP74" s="15">
        <v>0</v>
      </c>
      <c r="AQ74" s="9" t="str">
        <f>MID(Tabulka1[[#This Row],[BPEJ]],1,1)</f>
        <v/>
      </c>
      <c r="AW74" s="9"/>
      <c r="AX74" t="s">
        <v>889</v>
      </c>
      <c r="AY74" t="s">
        <v>889</v>
      </c>
      <c r="AZ74" t="s">
        <v>889</v>
      </c>
      <c r="BA74" t="s">
        <v>889</v>
      </c>
      <c r="BB74" s="9" t="s">
        <v>889</v>
      </c>
      <c r="BC74" s="9" t="str">
        <f>MID(Tabulka1[[#This Row],[BPEJ]],3,2)</f>
        <v/>
      </c>
      <c r="BD74" s="9" t="str">
        <f>MID(Tabulka1[[#This Row],[BPEJ]],6,1)</f>
        <v/>
      </c>
      <c r="BE74" s="9" t="str">
        <f>MID(Tabulka1[[#This Row],[BPEJ]],7,1)</f>
        <v/>
      </c>
      <c r="BF74" s="2" t="str">
        <f t="shared" si="6"/>
        <v xml:space="preserve"> </v>
      </c>
      <c r="BG74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74" s="134">
        <v>1.72</v>
      </c>
      <c r="BI74" s="2">
        <f t="shared" si="7"/>
        <v>17.2</v>
      </c>
      <c r="BJ74" s="2">
        <f>Tabulka1[[#This Row],[P2O5_60]]*10</f>
        <v>101</v>
      </c>
      <c r="BK74" s="2">
        <f>Tabulka1[[#This Row],[K2O_30]]*10</f>
        <v>1457</v>
      </c>
      <c r="BL74" s="2">
        <f>Tabulka1[[#This Row],[K2O_60]]*10</f>
        <v>943</v>
      </c>
      <c r="BN74" s="2">
        <f>VLOOKUP(Tabulka1[[#This Row],[ID]],'Zdroj hloubka okresy'!$A$2:$F$171,5,FALSE)</f>
        <v>1.47</v>
      </c>
      <c r="BO74" s="2">
        <f>VLOOKUP(Tabulka1[[#This Row],[ID]],'Zdroj hloubka okresy'!$A$2:$D$171,3,FALSE)</f>
        <v>25</v>
      </c>
      <c r="BP74" s="2">
        <f>VLOOKUP(Tabulka1[[#This Row],[ID]],'Zdroj hloubka okresy'!$A$2:$D$171,4,FALSE)</f>
        <v>25</v>
      </c>
    </row>
    <row r="75" spans="1:68" x14ac:dyDescent="0.35">
      <c r="A75" s="13">
        <v>4046</v>
      </c>
      <c r="B75" s="14" t="s">
        <v>107</v>
      </c>
      <c r="C75" s="7">
        <v>5.73</v>
      </c>
      <c r="D75" s="7">
        <v>6.06</v>
      </c>
      <c r="E75" s="7">
        <v>5.27</v>
      </c>
      <c r="F75" s="7">
        <v>5.26</v>
      </c>
      <c r="G75" s="7">
        <v>3.15</v>
      </c>
      <c r="H75" s="7">
        <v>1.97</v>
      </c>
      <c r="I75" s="7">
        <v>1.83</v>
      </c>
      <c r="J75" s="7">
        <v>1.1399999999999999</v>
      </c>
      <c r="K75" s="7"/>
      <c r="L75" s="7"/>
      <c r="M75" s="7">
        <v>3.9000000000000004</v>
      </c>
      <c r="N75" s="139">
        <v>2.5</v>
      </c>
      <c r="O75" s="139">
        <v>49.6</v>
      </c>
      <c r="P75" s="139">
        <v>36.5</v>
      </c>
      <c r="Q75" s="7">
        <v>18.059999999999999</v>
      </c>
      <c r="R75" s="7">
        <v>13.92</v>
      </c>
      <c r="S75" s="7">
        <v>41.2</v>
      </c>
      <c r="T75" s="7">
        <v>43.93</v>
      </c>
      <c r="U75" s="4">
        <v>1</v>
      </c>
      <c r="V75" s="4">
        <f>VLOOKUP(Tabulka1[[#This Row],[ID]],'Zdroj hloubka okresy'!$A$2:$K$171,5,FALSE)</f>
        <v>1.49</v>
      </c>
      <c r="W75" s="4">
        <f>VLOOKUP(Tabulka1[[#This Row],[ID]],'Zdroj hloubka okresy'!$A$2:$K$171,6,FALSE)</f>
        <v>1.48</v>
      </c>
      <c r="X75" s="4">
        <v>11.12</v>
      </c>
      <c r="Y75" s="4">
        <v>12.32</v>
      </c>
      <c r="Z75" s="4">
        <v>15.97</v>
      </c>
      <c r="AA75" s="4">
        <v>13.98</v>
      </c>
      <c r="AB75" s="4">
        <v>33.53</v>
      </c>
      <c r="AC75" s="4">
        <v>33.61</v>
      </c>
      <c r="AD75" s="4">
        <v>29.37</v>
      </c>
      <c r="AE75" s="4">
        <v>26.69</v>
      </c>
      <c r="AF75" s="4">
        <v>10.01</v>
      </c>
      <c r="AG75" s="4">
        <v>13.4</v>
      </c>
      <c r="AH75" s="4" t="s">
        <v>755</v>
      </c>
      <c r="AI75" s="5" t="s">
        <v>791</v>
      </c>
      <c r="AJ75" s="4">
        <v>1.33</v>
      </c>
      <c r="AK75" s="4">
        <v>6</v>
      </c>
      <c r="AL75" s="4" t="s">
        <v>800</v>
      </c>
      <c r="AM75" s="20" t="s">
        <v>796</v>
      </c>
      <c r="AN75" s="16" t="s">
        <v>806</v>
      </c>
      <c r="AO75" s="326"/>
      <c r="AP75" s="15">
        <v>0</v>
      </c>
      <c r="AQ75" s="9" t="str">
        <f>MID(Tabulka1[[#This Row],[BPEJ]],1,1)</f>
        <v>7</v>
      </c>
      <c r="AW75" s="9"/>
      <c r="AX75">
        <v>7</v>
      </c>
      <c r="AY75" s="114">
        <v>68</v>
      </c>
      <c r="AZ75" s="114">
        <v>1</v>
      </c>
      <c r="BA75" s="114">
        <v>1</v>
      </c>
      <c r="BB75" s="9">
        <v>7</v>
      </c>
      <c r="BC75" s="9" t="str">
        <f>MID(Tabulka1[[#This Row],[BPEJ]],3,2)</f>
        <v>68</v>
      </c>
      <c r="BD75" s="9" t="str">
        <f>MID(Tabulka1[[#This Row],[BPEJ]],6,1)</f>
        <v>1</v>
      </c>
      <c r="BE75" s="9" t="str">
        <f>MID(Tabulka1[[#This Row],[BPEJ]],7,1)</f>
        <v>1</v>
      </c>
      <c r="BF75" s="2" t="str">
        <f t="shared" si="6"/>
        <v>CH</v>
      </c>
      <c r="BG75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75" s="7">
        <v>0.39</v>
      </c>
      <c r="BI75" s="2">
        <f t="shared" si="7"/>
        <v>3.9000000000000004</v>
      </c>
      <c r="BJ75" s="2">
        <f>Tabulka1[[#This Row],[P2O5_60]]*10</f>
        <v>25</v>
      </c>
      <c r="BK75" s="2">
        <f>Tabulka1[[#This Row],[K2O_30]]*10</f>
        <v>496</v>
      </c>
      <c r="BL75" s="2">
        <f>Tabulka1[[#This Row],[K2O_60]]*10</f>
        <v>365</v>
      </c>
      <c r="BN75" s="2">
        <f>VLOOKUP(Tabulka1[[#This Row],[ID]],'Zdroj hloubka okresy'!$A$2:$F$171,5,FALSE)</f>
        <v>1.49</v>
      </c>
      <c r="BO75" s="2">
        <f>VLOOKUP(Tabulka1[[#This Row],[ID]],'Zdroj hloubka okresy'!$A$2:$D$171,3,FALSE)</f>
        <v>22</v>
      </c>
      <c r="BP75" s="2">
        <f>VLOOKUP(Tabulka1[[#This Row],[ID]],'Zdroj hloubka okresy'!$A$2:$D$171,4,FALSE)</f>
        <v>15</v>
      </c>
    </row>
    <row r="76" spans="1:68" x14ac:dyDescent="0.35">
      <c r="A76" s="13">
        <v>4049</v>
      </c>
      <c r="B76" s="14" t="s">
        <v>75</v>
      </c>
      <c r="C76" s="7">
        <v>7.85</v>
      </c>
      <c r="D76" s="7">
        <v>8.08</v>
      </c>
      <c r="E76" s="7">
        <v>7.77</v>
      </c>
      <c r="F76" s="7">
        <v>7.89</v>
      </c>
      <c r="G76" s="7">
        <v>3.97</v>
      </c>
      <c r="H76" s="7">
        <v>2.34</v>
      </c>
      <c r="I76" s="7">
        <v>2.2999999999999998</v>
      </c>
      <c r="J76" s="7">
        <v>1.35</v>
      </c>
      <c r="K76" s="7">
        <v>15.73</v>
      </c>
      <c r="L76" s="7">
        <v>18.3</v>
      </c>
      <c r="M76" s="7">
        <v>62.300000000000004</v>
      </c>
      <c r="N76" s="139">
        <v>84.5</v>
      </c>
      <c r="O76" s="139">
        <v>80.3</v>
      </c>
      <c r="P76" s="139">
        <v>48.3</v>
      </c>
      <c r="Q76" s="7">
        <v>9.4700000000000006</v>
      </c>
      <c r="R76" s="7">
        <v>5.69</v>
      </c>
      <c r="S76" s="7">
        <v>100</v>
      </c>
      <c r="T76" s="7">
        <v>100</v>
      </c>
      <c r="U76" s="4">
        <v>3</v>
      </c>
      <c r="V76" s="4">
        <f>VLOOKUP(Tabulka1[[#This Row],[ID]],'Zdroj hloubka okresy'!$A$2:$K$171,5,FALSE)</f>
        <v>1.6</v>
      </c>
      <c r="W76" s="4">
        <f>VLOOKUP(Tabulka1[[#This Row],[ID]],'Zdroj hloubka okresy'!$A$2:$K$171,6,FALSE)</f>
        <v>1.65</v>
      </c>
      <c r="X76" s="4">
        <v>8.69</v>
      </c>
      <c r="Y76" s="4">
        <v>7.21</v>
      </c>
      <c r="Z76" s="4">
        <v>2.67</v>
      </c>
      <c r="AA76" s="4">
        <v>1.7</v>
      </c>
      <c r="AB76" s="4">
        <v>9.5</v>
      </c>
      <c r="AC76" s="4">
        <v>7.08</v>
      </c>
      <c r="AD76" s="4">
        <v>31.97</v>
      </c>
      <c r="AE76" s="4">
        <v>24.5</v>
      </c>
      <c r="AF76" s="4">
        <v>47.17</v>
      </c>
      <c r="AG76" s="4">
        <v>59.51</v>
      </c>
      <c r="AH76" s="4" t="s">
        <v>703</v>
      </c>
      <c r="AI76" s="5" t="s">
        <v>789</v>
      </c>
      <c r="AJ76" s="4">
        <v>7.79</v>
      </c>
      <c r="AK76" s="4">
        <v>5</v>
      </c>
      <c r="AL76" s="4" t="s">
        <v>798</v>
      </c>
      <c r="AM76" s="20" t="s">
        <v>824</v>
      </c>
      <c r="AN76" s="16" t="s">
        <v>802</v>
      </c>
      <c r="AO76" s="326"/>
      <c r="AP76" s="15">
        <v>0</v>
      </c>
      <c r="AQ76" s="9" t="str">
        <f>MID(Tabulka1[[#This Row],[BPEJ]],1,1)</f>
        <v>5</v>
      </c>
      <c r="AW76" s="9"/>
      <c r="AX76">
        <v>5</v>
      </c>
      <c r="AY76" s="114">
        <v>29</v>
      </c>
      <c r="AZ76" s="114">
        <v>1</v>
      </c>
      <c r="BA76" s="114">
        <v>1</v>
      </c>
      <c r="BB76" s="9">
        <v>5</v>
      </c>
      <c r="BC76" s="9" t="str">
        <f>MID(Tabulka1[[#This Row],[BPEJ]],3,2)</f>
        <v>29</v>
      </c>
      <c r="BD76" s="9" t="str">
        <f>MID(Tabulka1[[#This Row],[BPEJ]],6,1)</f>
        <v>1</v>
      </c>
      <c r="BE76" s="9" t="str">
        <f>MID(Tabulka1[[#This Row],[BPEJ]],7,1)</f>
        <v>1</v>
      </c>
      <c r="BF76" s="2" t="str">
        <f t="shared" si="6"/>
        <v>T</v>
      </c>
      <c r="BG76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76" s="134">
        <v>6.23</v>
      </c>
      <c r="BI76" s="2">
        <f t="shared" si="7"/>
        <v>62.300000000000004</v>
      </c>
      <c r="BJ76" s="2">
        <f>Tabulka1[[#This Row],[P2O5_60]]*10</f>
        <v>845</v>
      </c>
      <c r="BK76" s="2">
        <f>Tabulka1[[#This Row],[K2O_30]]*10</f>
        <v>803</v>
      </c>
      <c r="BL76" s="2">
        <f>Tabulka1[[#This Row],[K2O_60]]*10</f>
        <v>483</v>
      </c>
      <c r="BN76" s="2">
        <f>VLOOKUP(Tabulka1[[#This Row],[ID]],'Zdroj hloubka okresy'!$A$2:$F$171,5,FALSE)</f>
        <v>1.6</v>
      </c>
      <c r="BO76" s="2">
        <f>VLOOKUP(Tabulka1[[#This Row],[ID]],'Zdroj hloubka okresy'!$A$2:$D$171,3,FALSE)</f>
        <v>20</v>
      </c>
      <c r="BP76" s="2">
        <f>VLOOKUP(Tabulka1[[#This Row],[ID]],'Zdroj hloubka okresy'!$A$2:$D$171,4,FALSE)</f>
        <v>17</v>
      </c>
    </row>
    <row r="77" spans="1:68" x14ac:dyDescent="0.35">
      <c r="A77" s="13">
        <v>4052</v>
      </c>
      <c r="B77" s="14" t="s">
        <v>105</v>
      </c>
      <c r="C77" s="7">
        <v>5.73</v>
      </c>
      <c r="D77" s="7">
        <v>5.6</v>
      </c>
      <c r="E77" s="7">
        <v>5.24</v>
      </c>
      <c r="F77" s="7">
        <v>4.88</v>
      </c>
      <c r="G77" s="7">
        <v>2.69</v>
      </c>
      <c r="H77" s="7">
        <v>1.52</v>
      </c>
      <c r="I77" s="7">
        <v>1.56</v>
      </c>
      <c r="J77" s="7">
        <v>0.88</v>
      </c>
      <c r="K77" s="7"/>
      <c r="L77" s="7"/>
      <c r="M77" s="7">
        <v>2.8000000000000003</v>
      </c>
      <c r="N77" s="139">
        <v>1.9</v>
      </c>
      <c r="O77" s="139">
        <v>36.9</v>
      </c>
      <c r="P77" s="139">
        <v>34</v>
      </c>
      <c r="Q77" s="7">
        <v>10.06</v>
      </c>
      <c r="R77" s="7">
        <v>9.86</v>
      </c>
      <c r="S77" s="7">
        <v>15.8</v>
      </c>
      <c r="T77" s="7">
        <v>23.15</v>
      </c>
      <c r="U77" s="4">
        <v>3</v>
      </c>
      <c r="V77" s="4">
        <f>VLOOKUP(Tabulka1[[#This Row],[ID]],'Zdroj hloubka okresy'!$A$2:$K$171,5,FALSE)</f>
        <v>1.45</v>
      </c>
      <c r="W77" s="4">
        <f>VLOOKUP(Tabulka1[[#This Row],[ID]],'Zdroj hloubka okresy'!$A$2:$K$171,6,FALSE)</f>
        <v>1.41</v>
      </c>
      <c r="X77" s="4">
        <v>15.02</v>
      </c>
      <c r="Y77" s="4">
        <v>18.63</v>
      </c>
      <c r="Z77" s="4">
        <v>9.82</v>
      </c>
      <c r="AA77" s="4">
        <v>9.07</v>
      </c>
      <c r="AB77" s="4">
        <v>36.159999999999997</v>
      </c>
      <c r="AC77" s="4">
        <v>31.94</v>
      </c>
      <c r="AD77" s="4">
        <v>17.75</v>
      </c>
      <c r="AE77" s="4">
        <v>18</v>
      </c>
      <c r="AF77" s="4">
        <v>21.25</v>
      </c>
      <c r="AG77" s="4">
        <v>22.35</v>
      </c>
      <c r="AH77" s="4" t="s">
        <v>748</v>
      </c>
      <c r="AI77" s="5" t="s">
        <v>793</v>
      </c>
      <c r="AJ77" s="4">
        <v>7.04</v>
      </c>
      <c r="AK77" s="4">
        <v>6</v>
      </c>
      <c r="AL77" s="4" t="s">
        <v>800</v>
      </c>
      <c r="AM77" s="20" t="s">
        <v>824</v>
      </c>
      <c r="AN77" s="16" t="s">
        <v>802</v>
      </c>
      <c r="AO77" s="326"/>
      <c r="AP77" s="15">
        <v>0</v>
      </c>
      <c r="AQ77" s="9" t="str">
        <f>MID(Tabulka1[[#This Row],[BPEJ]],1,1)</f>
        <v>7</v>
      </c>
      <c r="AW77" s="9"/>
      <c r="AX77">
        <v>7</v>
      </c>
      <c r="AY77" s="114">
        <v>29</v>
      </c>
      <c r="AZ77" s="114">
        <v>1</v>
      </c>
      <c r="BA77" s="114">
        <v>1</v>
      </c>
      <c r="BB77" s="9">
        <v>7</v>
      </c>
      <c r="BC77" s="9" t="str">
        <f>MID(Tabulka1[[#This Row],[BPEJ]],3,2)</f>
        <v>29</v>
      </c>
      <c r="BD77" s="9" t="str">
        <f>MID(Tabulka1[[#This Row],[BPEJ]],6,1)</f>
        <v>1</v>
      </c>
      <c r="BE77" s="9" t="str">
        <f>MID(Tabulka1[[#This Row],[BPEJ]],7,1)</f>
        <v>1</v>
      </c>
      <c r="BF77" s="2" t="str">
        <f t="shared" si="6"/>
        <v>CH</v>
      </c>
      <c r="BG77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77" s="7">
        <v>0.28000000000000003</v>
      </c>
      <c r="BI77" s="2">
        <f t="shared" si="7"/>
        <v>2.8000000000000003</v>
      </c>
      <c r="BJ77" s="2">
        <f>Tabulka1[[#This Row],[P2O5_60]]*10</f>
        <v>19</v>
      </c>
      <c r="BK77" s="2">
        <f>Tabulka1[[#This Row],[K2O_30]]*10</f>
        <v>369</v>
      </c>
      <c r="BL77" s="2">
        <f>Tabulka1[[#This Row],[K2O_60]]*10</f>
        <v>340</v>
      </c>
      <c r="BN77" s="2">
        <f>VLOOKUP(Tabulka1[[#This Row],[ID]],'Zdroj hloubka okresy'!$A$2:$F$171,5,FALSE)</f>
        <v>1.45</v>
      </c>
      <c r="BO77" s="2">
        <f>VLOOKUP(Tabulka1[[#This Row],[ID]],'Zdroj hloubka okresy'!$A$2:$D$171,3,FALSE)</f>
        <v>27</v>
      </c>
      <c r="BP77" s="2">
        <f>VLOOKUP(Tabulka1[[#This Row],[ID]],'Zdroj hloubka okresy'!$A$2:$D$171,4,FALSE)</f>
        <v>18</v>
      </c>
    </row>
    <row r="78" spans="1:68" x14ac:dyDescent="0.35">
      <c r="A78" s="13">
        <v>4055</v>
      </c>
      <c r="B78" s="14" t="s">
        <v>99</v>
      </c>
      <c r="C78" s="7">
        <v>5.64</v>
      </c>
      <c r="D78" s="7">
        <v>5.45</v>
      </c>
      <c r="E78" s="7">
        <v>5.28</v>
      </c>
      <c r="F78" s="7">
        <v>4.91</v>
      </c>
      <c r="G78" s="7">
        <v>1.29</v>
      </c>
      <c r="H78" s="7">
        <v>0.85</v>
      </c>
      <c r="I78" s="7">
        <v>0.75</v>
      </c>
      <c r="J78" s="7">
        <v>0.49</v>
      </c>
      <c r="K78" s="7"/>
      <c r="L78" s="7"/>
      <c r="M78" s="7">
        <v>16</v>
      </c>
      <c r="N78" s="139">
        <v>8.5</v>
      </c>
      <c r="O78" s="139">
        <v>91.7</v>
      </c>
      <c r="P78" s="139">
        <v>73.8</v>
      </c>
      <c r="Q78" s="7">
        <v>9.9700000000000006</v>
      </c>
      <c r="R78" s="7">
        <v>9.7799999999999994</v>
      </c>
      <c r="S78" s="7">
        <v>46.17</v>
      </c>
      <c r="T78" s="7">
        <v>41.58</v>
      </c>
      <c r="U78" s="4">
        <v>3</v>
      </c>
      <c r="V78" s="4">
        <f>VLOOKUP(Tabulka1[[#This Row],[ID]],'Zdroj hloubka okresy'!$A$2:$K$171,5,FALSE)</f>
        <v>1.41</v>
      </c>
      <c r="W78" s="4">
        <f>VLOOKUP(Tabulka1[[#This Row],[ID]],'Zdroj hloubka okresy'!$A$2:$K$171,6,FALSE)</f>
        <v>1.39</v>
      </c>
      <c r="X78" s="4">
        <v>15.91</v>
      </c>
      <c r="Y78" s="4">
        <v>17.84</v>
      </c>
      <c r="Z78" s="4">
        <v>15.19</v>
      </c>
      <c r="AA78" s="4">
        <v>13.27</v>
      </c>
      <c r="AB78" s="4">
        <v>50.6</v>
      </c>
      <c r="AC78" s="4">
        <v>45.59</v>
      </c>
      <c r="AD78" s="4">
        <v>9.0500000000000007</v>
      </c>
      <c r="AE78" s="4">
        <v>10.19</v>
      </c>
      <c r="AF78" s="4">
        <v>9.25</v>
      </c>
      <c r="AG78" s="4">
        <v>13.11</v>
      </c>
      <c r="AH78" s="4" t="s">
        <v>700</v>
      </c>
      <c r="AI78" s="5" t="s">
        <v>789</v>
      </c>
      <c r="AJ78" s="4">
        <v>9</v>
      </c>
      <c r="AK78" s="4">
        <v>6</v>
      </c>
      <c r="AL78" s="4" t="s">
        <v>800</v>
      </c>
      <c r="AM78" s="20" t="s">
        <v>824</v>
      </c>
      <c r="AN78" s="16" t="s">
        <v>802</v>
      </c>
      <c r="AO78" s="326"/>
      <c r="AP78" s="15">
        <v>0</v>
      </c>
      <c r="AQ78" s="9" t="str">
        <f>MID(Tabulka1[[#This Row],[BPEJ]],1,1)</f>
        <v>5</v>
      </c>
      <c r="AW78" s="9"/>
      <c r="AX78">
        <v>5</v>
      </c>
      <c r="AY78" s="114">
        <v>29</v>
      </c>
      <c r="AZ78" s="114">
        <v>0</v>
      </c>
      <c r="BA78" s="114">
        <v>1</v>
      </c>
      <c r="BB78" s="9">
        <v>5</v>
      </c>
      <c r="BC78" s="9" t="str">
        <f>MID(Tabulka1[[#This Row],[BPEJ]],3,2)</f>
        <v>29</v>
      </c>
      <c r="BD78" s="9" t="str">
        <f>MID(Tabulka1[[#This Row],[BPEJ]],6,1)</f>
        <v>0</v>
      </c>
      <c r="BE78" s="9" t="str">
        <f>MID(Tabulka1[[#This Row],[BPEJ]],7,1)</f>
        <v>1</v>
      </c>
      <c r="BF78" s="2" t="str">
        <f t="shared" si="6"/>
        <v>T</v>
      </c>
      <c r="BG78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78" s="134">
        <v>1.6</v>
      </c>
      <c r="BI78" s="2">
        <f t="shared" si="7"/>
        <v>16</v>
      </c>
      <c r="BJ78" s="2">
        <f>Tabulka1[[#This Row],[P2O5_60]]*10</f>
        <v>85</v>
      </c>
      <c r="BK78" s="2">
        <f>Tabulka1[[#This Row],[K2O_30]]*10</f>
        <v>917</v>
      </c>
      <c r="BL78" s="2">
        <f>Tabulka1[[#This Row],[K2O_60]]*10</f>
        <v>738</v>
      </c>
      <c r="BN78" s="2">
        <f>VLOOKUP(Tabulka1[[#This Row],[ID]],'Zdroj hloubka okresy'!$A$2:$F$171,5,FALSE)</f>
        <v>1.41</v>
      </c>
      <c r="BO78" s="2">
        <f>VLOOKUP(Tabulka1[[#This Row],[ID]],'Zdroj hloubka okresy'!$A$2:$D$171,3,FALSE)</f>
        <v>25</v>
      </c>
      <c r="BP78" s="2">
        <f>VLOOKUP(Tabulka1[[#This Row],[ID]],'Zdroj hloubka okresy'!$A$2:$D$171,4,FALSE)</f>
        <v>25</v>
      </c>
    </row>
    <row r="79" spans="1:68" x14ac:dyDescent="0.35">
      <c r="A79" s="13">
        <v>4058</v>
      </c>
      <c r="B79" s="14" t="s">
        <v>26</v>
      </c>
      <c r="C79" s="7">
        <v>4.4000000000000004</v>
      </c>
      <c r="D79" s="7">
        <v>4.43</v>
      </c>
      <c r="E79" s="7">
        <v>4</v>
      </c>
      <c r="F79" s="7">
        <v>3.93</v>
      </c>
      <c r="G79" s="7">
        <v>0.74</v>
      </c>
      <c r="H79" s="7">
        <v>0.52</v>
      </c>
      <c r="I79" s="7">
        <v>0.43</v>
      </c>
      <c r="J79" s="7">
        <v>0.3</v>
      </c>
      <c r="K79" s="7"/>
      <c r="L79" s="7"/>
      <c r="M79" s="7">
        <v>3</v>
      </c>
      <c r="N79" s="139">
        <v>3.5</v>
      </c>
      <c r="O79" s="139">
        <v>36</v>
      </c>
      <c r="P79" s="139">
        <v>38.299999999999997</v>
      </c>
      <c r="Q79" s="7">
        <v>7</v>
      </c>
      <c r="R79" s="7">
        <v>6.5</v>
      </c>
      <c r="S79" s="7"/>
      <c r="T79" s="7"/>
      <c r="U79" s="4">
        <v>3</v>
      </c>
      <c r="V79" s="4">
        <f>VLOOKUP(Tabulka1[[#This Row],[ID]],'Zdroj hloubka okresy'!$A$2:$K$171,5,FALSE)</f>
        <v>1.5</v>
      </c>
      <c r="W79" s="4">
        <f>VLOOKUP(Tabulka1[[#This Row],[ID]],'Zdroj hloubka okresy'!$A$2:$K$171,6,FALSE)</f>
        <v>1.53</v>
      </c>
      <c r="X79" s="4">
        <v>14.1</v>
      </c>
      <c r="Y79" s="4">
        <v>11.94</v>
      </c>
      <c r="Z79" s="4">
        <v>6.6</v>
      </c>
      <c r="AA79" s="4">
        <v>5.46</v>
      </c>
      <c r="AB79" s="4">
        <v>20.5</v>
      </c>
      <c r="AC79" s="4">
        <v>18.25</v>
      </c>
      <c r="AD79" s="4">
        <v>13.8</v>
      </c>
      <c r="AE79" s="4">
        <v>16.38</v>
      </c>
      <c r="AF79" s="4">
        <v>45</v>
      </c>
      <c r="AG79" s="4">
        <v>47.96</v>
      </c>
      <c r="AH79" s="4" t="s">
        <v>756</v>
      </c>
      <c r="AI79" s="5" t="s">
        <v>792</v>
      </c>
      <c r="AJ79" s="4">
        <v>4.22</v>
      </c>
      <c r="AK79" s="4">
        <v>7</v>
      </c>
      <c r="AL79" s="4" t="s">
        <v>801</v>
      </c>
      <c r="AM79" s="20" t="s">
        <v>796</v>
      </c>
      <c r="AN79" s="16" t="s">
        <v>802</v>
      </c>
      <c r="AO79" s="326"/>
      <c r="AP79" s="15">
        <v>0</v>
      </c>
      <c r="AQ79" s="9" t="str">
        <f>MID(Tabulka1[[#This Row],[BPEJ]],1,1)</f>
        <v>7</v>
      </c>
      <c r="AW79" s="9"/>
      <c r="AX79">
        <v>7</v>
      </c>
      <c r="AY79" s="114">
        <v>29</v>
      </c>
      <c r="AZ79" s="114">
        <v>1</v>
      </c>
      <c r="BA79" s="114">
        <v>4</v>
      </c>
      <c r="BB79" s="9">
        <v>7</v>
      </c>
      <c r="BC79" s="9" t="str">
        <f>MID(Tabulka1[[#This Row],[BPEJ]],3,2)</f>
        <v>29</v>
      </c>
      <c r="BD79" s="9" t="str">
        <f>MID(Tabulka1[[#This Row],[BPEJ]],6,1)</f>
        <v>1</v>
      </c>
      <c r="BE79" s="9" t="str">
        <f>MID(Tabulka1[[#This Row],[BPEJ]],7,1)</f>
        <v>4</v>
      </c>
      <c r="BF79" s="2" t="str">
        <f t="shared" si="6"/>
        <v>CH</v>
      </c>
      <c r="BG79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79" s="7">
        <v>0.3</v>
      </c>
      <c r="BI79" s="2">
        <f t="shared" si="7"/>
        <v>3</v>
      </c>
      <c r="BJ79" s="2">
        <f>Tabulka1[[#This Row],[P2O5_60]]*10</f>
        <v>35</v>
      </c>
      <c r="BK79" s="2">
        <f>Tabulka1[[#This Row],[K2O_30]]*10</f>
        <v>360</v>
      </c>
      <c r="BL79" s="2">
        <f>Tabulka1[[#This Row],[K2O_60]]*10</f>
        <v>383</v>
      </c>
      <c r="BN79" s="2">
        <f>VLOOKUP(Tabulka1[[#This Row],[ID]],'Zdroj hloubka okresy'!$A$2:$F$171,5,FALSE)</f>
        <v>1.5</v>
      </c>
      <c r="BO79" s="2">
        <f>VLOOKUP(Tabulka1[[#This Row],[ID]],'Zdroj hloubka okresy'!$A$2:$D$171,3,FALSE)</f>
        <v>10</v>
      </c>
      <c r="BP79" s="2">
        <f>VLOOKUP(Tabulka1[[#This Row],[ID]],'Zdroj hloubka okresy'!$A$2:$D$171,4,FALSE)</f>
        <v>25</v>
      </c>
    </row>
    <row r="80" spans="1:68" x14ac:dyDescent="0.35">
      <c r="A80" s="13">
        <v>4064</v>
      </c>
      <c r="B80" s="14" t="s">
        <v>104</v>
      </c>
      <c r="C80" s="7">
        <v>6.44</v>
      </c>
      <c r="D80" s="7">
        <v>6.05</v>
      </c>
      <c r="E80" s="7">
        <v>6.34</v>
      </c>
      <c r="F80" s="7">
        <v>5.77</v>
      </c>
      <c r="G80" s="7">
        <v>1.72</v>
      </c>
      <c r="H80" s="7">
        <v>1.05</v>
      </c>
      <c r="I80" s="7">
        <v>0.99</v>
      </c>
      <c r="J80" s="7">
        <v>0.61</v>
      </c>
      <c r="K80" s="7"/>
      <c r="L80" s="7"/>
      <c r="M80" s="7">
        <v>23</v>
      </c>
      <c r="N80" s="139">
        <v>12.7</v>
      </c>
      <c r="O80" s="139">
        <v>258.5</v>
      </c>
      <c r="P80" s="139">
        <v>162.39999999999998</v>
      </c>
      <c r="Q80" s="7">
        <v>13.29</v>
      </c>
      <c r="R80" s="7">
        <v>12.41</v>
      </c>
      <c r="S80" s="7">
        <v>70.73</v>
      </c>
      <c r="T80" s="7">
        <v>66.7</v>
      </c>
      <c r="U80" s="4">
        <v>4</v>
      </c>
      <c r="V80" s="4">
        <f>VLOOKUP(Tabulka1[[#This Row],[ID]],'Zdroj hloubka okresy'!$A$2:$K$171,5,FALSE)</f>
        <v>1.37</v>
      </c>
      <c r="W80" s="4">
        <f>VLOOKUP(Tabulka1[[#This Row],[ID]],'Zdroj hloubka okresy'!$A$2:$K$171,6,FALSE)</f>
        <v>1.34</v>
      </c>
      <c r="X80" s="4">
        <v>23.79</v>
      </c>
      <c r="Y80" s="4">
        <v>27.28</v>
      </c>
      <c r="Z80" s="4">
        <v>11.47</v>
      </c>
      <c r="AA80" s="4">
        <v>9.83</v>
      </c>
      <c r="AB80" s="4">
        <v>33.270000000000003</v>
      </c>
      <c r="AC80" s="4">
        <v>27.22</v>
      </c>
      <c r="AD80" s="4">
        <v>9.7100000000000009</v>
      </c>
      <c r="AE80" s="4">
        <v>10.14</v>
      </c>
      <c r="AF80" s="4">
        <v>21.77</v>
      </c>
      <c r="AG80" s="4">
        <v>25.53</v>
      </c>
      <c r="AH80" s="4" t="s">
        <v>757</v>
      </c>
      <c r="AI80" s="5" t="s">
        <v>789</v>
      </c>
      <c r="AJ80" s="4">
        <v>6.81</v>
      </c>
      <c r="AK80" s="4">
        <v>6</v>
      </c>
      <c r="AL80" s="4" t="s">
        <v>800</v>
      </c>
      <c r="AM80" s="20" t="s">
        <v>824</v>
      </c>
      <c r="AN80" s="16" t="s">
        <v>803</v>
      </c>
      <c r="AO80" s="326"/>
      <c r="AP80" s="15">
        <v>0</v>
      </c>
      <c r="AQ80" s="9" t="str">
        <f>MID(Tabulka1[[#This Row],[BPEJ]],1,1)</f>
        <v>7</v>
      </c>
      <c r="AW80" s="9"/>
      <c r="AX80">
        <v>7</v>
      </c>
      <c r="AY80" s="114">
        <v>46</v>
      </c>
      <c r="AZ80" s="114">
        <v>0</v>
      </c>
      <c r="BA80" s="114">
        <v>0</v>
      </c>
      <c r="BB80" s="9">
        <v>7</v>
      </c>
      <c r="BC80" s="9" t="str">
        <f>MID(Tabulka1[[#This Row],[BPEJ]],3,2)</f>
        <v>46</v>
      </c>
      <c r="BD80" s="9" t="str">
        <f>MID(Tabulka1[[#This Row],[BPEJ]],6,1)</f>
        <v>0</v>
      </c>
      <c r="BE80" s="9" t="str">
        <f>MID(Tabulka1[[#This Row],[BPEJ]],7,1)</f>
        <v>0</v>
      </c>
      <c r="BF80" s="2" t="str">
        <f t="shared" si="6"/>
        <v>CH</v>
      </c>
      <c r="BG80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80" s="7">
        <v>2.2999999999999998</v>
      </c>
      <c r="BI80" s="2">
        <f t="shared" si="7"/>
        <v>23</v>
      </c>
      <c r="BJ80" s="2">
        <f>Tabulka1[[#This Row],[P2O5_60]]*10</f>
        <v>127</v>
      </c>
      <c r="BK80" s="2">
        <f>Tabulka1[[#This Row],[K2O_30]]*10</f>
        <v>2585</v>
      </c>
      <c r="BL80" s="2">
        <f>Tabulka1[[#This Row],[K2O_60]]*10</f>
        <v>1623.9999999999998</v>
      </c>
      <c r="BN80" s="2">
        <f>VLOOKUP(Tabulka1[[#This Row],[ID]],'Zdroj hloubka okresy'!$A$2:$F$171,5,FALSE)</f>
        <v>1.37</v>
      </c>
      <c r="BO80" s="2">
        <f>VLOOKUP(Tabulka1[[#This Row],[ID]],'Zdroj hloubka okresy'!$A$2:$D$171,3,FALSE)</f>
        <v>22</v>
      </c>
      <c r="BP80" s="2">
        <f>VLOOKUP(Tabulka1[[#This Row],[ID]],'Zdroj hloubka okresy'!$A$2:$D$171,4,FALSE)</f>
        <v>18</v>
      </c>
    </row>
    <row r="81" spans="1:68" x14ac:dyDescent="0.35">
      <c r="A81" s="13">
        <v>4067</v>
      </c>
      <c r="B81" s="14" t="s">
        <v>95</v>
      </c>
      <c r="C81" s="7">
        <v>5.93</v>
      </c>
      <c r="D81" s="7">
        <v>5.74</v>
      </c>
      <c r="E81" s="7">
        <v>5.18</v>
      </c>
      <c r="F81" s="7">
        <v>5.16</v>
      </c>
      <c r="G81" s="7">
        <v>1.77</v>
      </c>
      <c r="H81" s="7">
        <v>1.0900000000000001</v>
      </c>
      <c r="I81" s="7">
        <v>1.03</v>
      </c>
      <c r="J81" s="7">
        <v>0.63</v>
      </c>
      <c r="K81" s="7"/>
      <c r="L81" s="7"/>
      <c r="M81" s="7">
        <v>4.3</v>
      </c>
      <c r="N81" s="139">
        <v>2.7</v>
      </c>
      <c r="O81" s="139">
        <v>60</v>
      </c>
      <c r="P81" s="139">
        <v>47.800000000000004</v>
      </c>
      <c r="Q81" s="7">
        <v>13.7</v>
      </c>
      <c r="R81" s="7">
        <v>12.5</v>
      </c>
      <c r="S81" s="7">
        <v>52.67</v>
      </c>
      <c r="T81" s="7">
        <v>50.58</v>
      </c>
      <c r="U81" s="4">
        <v>3</v>
      </c>
      <c r="V81" s="4">
        <f>VLOOKUP(Tabulka1[[#This Row],[ID]],'Zdroj hloubka okresy'!$A$2:$K$171,5,FALSE)</f>
        <v>1.4</v>
      </c>
      <c r="W81" s="4">
        <f>VLOOKUP(Tabulka1[[#This Row],[ID]],'Zdroj hloubka okresy'!$A$2:$K$171,6,FALSE)</f>
        <v>1.34</v>
      </c>
      <c r="X81" s="4">
        <v>17.04</v>
      </c>
      <c r="Y81" s="4">
        <v>23.53</v>
      </c>
      <c r="Z81" s="4">
        <v>19.62</v>
      </c>
      <c r="AA81" s="4">
        <v>17.27</v>
      </c>
      <c r="AB81" s="4">
        <v>40.380000000000003</v>
      </c>
      <c r="AC81" s="4">
        <v>38.82</v>
      </c>
      <c r="AD81" s="4">
        <v>9.64</v>
      </c>
      <c r="AE81" s="4">
        <v>8</v>
      </c>
      <c r="AF81" s="4">
        <v>13.32</v>
      </c>
      <c r="AG81" s="4">
        <v>12.37</v>
      </c>
      <c r="AH81" s="4" t="s">
        <v>700</v>
      </c>
      <c r="AI81" s="5" t="s">
        <v>789</v>
      </c>
      <c r="AJ81" s="4">
        <v>9</v>
      </c>
      <c r="AK81" s="4">
        <v>7</v>
      </c>
      <c r="AL81" s="4" t="s">
        <v>801</v>
      </c>
      <c r="AM81" s="20" t="s">
        <v>824</v>
      </c>
      <c r="AN81" s="16" t="s">
        <v>802</v>
      </c>
      <c r="AO81" s="326"/>
      <c r="AP81" s="15">
        <v>0</v>
      </c>
      <c r="AQ81" s="9" t="str">
        <f>MID(Tabulka1[[#This Row],[BPEJ]],1,1)</f>
        <v>5</v>
      </c>
      <c r="AW81" s="9"/>
      <c r="AX81">
        <v>5</v>
      </c>
      <c r="AY81" s="114">
        <v>29</v>
      </c>
      <c r="AZ81" s="114">
        <v>0</v>
      </c>
      <c r="BA81" s="114">
        <v>1</v>
      </c>
      <c r="BB81" s="9">
        <v>5</v>
      </c>
      <c r="BC81" s="9" t="str">
        <f>MID(Tabulka1[[#This Row],[BPEJ]],3,2)</f>
        <v>29</v>
      </c>
      <c r="BD81" s="9" t="str">
        <f>MID(Tabulka1[[#This Row],[BPEJ]],6,1)</f>
        <v>0</v>
      </c>
      <c r="BE81" s="9" t="str">
        <f>MID(Tabulka1[[#This Row],[BPEJ]],7,1)</f>
        <v>1</v>
      </c>
      <c r="BF81" s="2" t="str">
        <f t="shared" si="6"/>
        <v>T</v>
      </c>
      <c r="BG81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81" s="134">
        <v>0.43</v>
      </c>
      <c r="BI81" s="2">
        <f t="shared" si="7"/>
        <v>4.3</v>
      </c>
      <c r="BJ81" s="2">
        <f>Tabulka1[[#This Row],[P2O5_60]]*10</f>
        <v>27</v>
      </c>
      <c r="BK81" s="2">
        <f>Tabulka1[[#This Row],[K2O_30]]*10</f>
        <v>600</v>
      </c>
      <c r="BL81" s="2">
        <f>Tabulka1[[#This Row],[K2O_60]]*10</f>
        <v>478.00000000000006</v>
      </c>
      <c r="BN81" s="2">
        <f>VLOOKUP(Tabulka1[[#This Row],[ID]],'Zdroj hloubka okresy'!$A$2:$F$171,5,FALSE)</f>
        <v>1.4</v>
      </c>
      <c r="BO81" s="2">
        <f>VLOOKUP(Tabulka1[[#This Row],[ID]],'Zdroj hloubka okresy'!$A$2:$D$171,3,FALSE)</f>
        <v>25</v>
      </c>
      <c r="BP81" s="2">
        <f>VLOOKUP(Tabulka1[[#This Row],[ID]],'Zdroj hloubka okresy'!$A$2:$D$171,4,FALSE)</f>
        <v>20</v>
      </c>
    </row>
    <row r="82" spans="1:68" x14ac:dyDescent="0.35">
      <c r="A82" s="13">
        <v>4322</v>
      </c>
      <c r="B82" s="14" t="s">
        <v>551</v>
      </c>
      <c r="C82" s="7">
        <v>4.6500000000000004</v>
      </c>
      <c r="D82" s="7">
        <v>4.83</v>
      </c>
      <c r="E82" s="7">
        <v>4.09</v>
      </c>
      <c r="F82" s="7">
        <v>4.2</v>
      </c>
      <c r="G82" s="7">
        <v>2.4900000000000002</v>
      </c>
      <c r="H82" s="7">
        <v>1.88</v>
      </c>
      <c r="I82" s="7">
        <v>1.44</v>
      </c>
      <c r="J82" s="7">
        <v>1.0900000000000001</v>
      </c>
      <c r="K82" s="7"/>
      <c r="L82" s="7"/>
      <c r="M82" s="7">
        <v>29.6</v>
      </c>
      <c r="N82" s="139">
        <v>23.3</v>
      </c>
      <c r="O82" s="139">
        <v>288</v>
      </c>
      <c r="P82" s="139">
        <v>211</v>
      </c>
      <c r="Q82" s="7">
        <v>14.62</v>
      </c>
      <c r="R82" s="7">
        <v>12.31</v>
      </c>
      <c r="S82" s="7">
        <v>30</v>
      </c>
      <c r="T82" s="7">
        <v>30</v>
      </c>
      <c r="U82" s="4">
        <v>3</v>
      </c>
      <c r="V82" s="4">
        <f>VLOOKUP(Tabulka1[[#This Row],[ID]],'Zdroj hloubka okresy'!$A$2:$K$171,5,FALSE)</f>
        <v>1.49</v>
      </c>
      <c r="W82" s="4">
        <f>VLOOKUP(Tabulka1[[#This Row],[ID]],'Zdroj hloubka okresy'!$A$2:$K$171,6,FALSE)</f>
        <v>1.52</v>
      </c>
      <c r="X82" s="4">
        <v>11.24</v>
      </c>
      <c r="Y82" s="4">
        <v>8.17</v>
      </c>
      <c r="Z82" s="4">
        <v>21.11</v>
      </c>
      <c r="AA82" s="4">
        <v>16.010000000000002</v>
      </c>
      <c r="AB82" s="4">
        <v>28.08</v>
      </c>
      <c r="AC82" s="4">
        <v>22.04</v>
      </c>
      <c r="AD82" s="4">
        <v>19.16</v>
      </c>
      <c r="AE82" s="4">
        <v>13.01</v>
      </c>
      <c r="AF82" s="4">
        <v>20.41</v>
      </c>
      <c r="AG82" s="4">
        <v>15.78</v>
      </c>
      <c r="AH82" s="4" t="s">
        <v>702</v>
      </c>
      <c r="AI82" s="5" t="s">
        <v>790</v>
      </c>
      <c r="AJ82" s="4">
        <v>4.3899999999999997</v>
      </c>
      <c r="AK82" s="4">
        <v>4</v>
      </c>
      <c r="AL82" s="4" t="s">
        <v>797</v>
      </c>
      <c r="AM82" s="20" t="s">
        <v>824</v>
      </c>
      <c r="AN82" s="16" t="s">
        <v>802</v>
      </c>
      <c r="AO82" s="326"/>
      <c r="AP82" s="15">
        <v>0</v>
      </c>
      <c r="AQ82" s="9" t="str">
        <f>MID(Tabulka1[[#This Row],[BPEJ]],1,1)</f>
        <v>5</v>
      </c>
      <c r="AW82" s="9"/>
      <c r="AX82">
        <v>5</v>
      </c>
      <c r="AY82" s="114">
        <v>26</v>
      </c>
      <c r="AZ82" s="114">
        <v>1</v>
      </c>
      <c r="BA82" s="114">
        <v>4</v>
      </c>
      <c r="BB82" s="9">
        <v>5</v>
      </c>
      <c r="BC82" s="9" t="str">
        <f>MID(Tabulka1[[#This Row],[BPEJ]],3,2)</f>
        <v>26</v>
      </c>
      <c r="BD82" s="9" t="str">
        <f>MID(Tabulka1[[#This Row],[BPEJ]],6,1)</f>
        <v>1</v>
      </c>
      <c r="BE82" s="9" t="str">
        <f>MID(Tabulka1[[#This Row],[BPEJ]],7,1)</f>
        <v>4</v>
      </c>
      <c r="BF82" s="2" t="str">
        <f t="shared" si="6"/>
        <v>T</v>
      </c>
      <c r="BG82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82" s="134">
        <v>2.96</v>
      </c>
      <c r="BI82" s="2">
        <f t="shared" si="7"/>
        <v>29.6</v>
      </c>
      <c r="BJ82" s="2">
        <f>Tabulka1[[#This Row],[P2O5_60]]*10</f>
        <v>233</v>
      </c>
      <c r="BK82" s="2">
        <f>Tabulka1[[#This Row],[K2O_30]]*10</f>
        <v>2880</v>
      </c>
      <c r="BL82" s="2">
        <f>Tabulka1[[#This Row],[K2O_60]]*10</f>
        <v>2110</v>
      </c>
      <c r="BN82" s="2">
        <f>VLOOKUP(Tabulka1[[#This Row],[ID]],'Zdroj hloubka okresy'!$A$2:$F$171,5,FALSE)</f>
        <v>1.49</v>
      </c>
      <c r="BO82" s="2">
        <f>VLOOKUP(Tabulka1[[#This Row],[ID]],'Zdroj hloubka okresy'!$A$2:$D$171,3,FALSE)</f>
        <v>21</v>
      </c>
      <c r="BP82" s="2">
        <f>VLOOKUP(Tabulka1[[#This Row],[ID]],'Zdroj hloubka okresy'!$A$2:$D$171,4,FALSE)</f>
        <v>24</v>
      </c>
    </row>
    <row r="83" spans="1:68" x14ac:dyDescent="0.35">
      <c r="A83" s="13">
        <v>4325</v>
      </c>
      <c r="B83" s="14" t="s">
        <v>530</v>
      </c>
      <c r="C83" s="7">
        <v>4.9400000000000004</v>
      </c>
      <c r="D83" s="7">
        <v>5.25</v>
      </c>
      <c r="E83" s="7">
        <v>4.67</v>
      </c>
      <c r="F83" s="7">
        <v>4.71</v>
      </c>
      <c r="G83" s="7">
        <v>1.85</v>
      </c>
      <c r="H83" s="7">
        <v>1.17</v>
      </c>
      <c r="I83" s="7">
        <v>1.07</v>
      </c>
      <c r="J83" s="7">
        <v>0.68</v>
      </c>
      <c r="K83" s="7"/>
      <c r="L83" s="7"/>
      <c r="M83" s="7">
        <v>14.2</v>
      </c>
      <c r="N83" s="139">
        <v>15.8</v>
      </c>
      <c r="O83" s="139">
        <v>120.60000000000001</v>
      </c>
      <c r="P83" s="139">
        <v>78.2</v>
      </c>
      <c r="Q83" s="7">
        <v>9.4499999999999993</v>
      </c>
      <c r="R83" s="7">
        <v>8.15</v>
      </c>
      <c r="S83" s="7">
        <v>29.2</v>
      </c>
      <c r="T83" s="7">
        <v>46.1</v>
      </c>
      <c r="U83" s="4">
        <v>2</v>
      </c>
      <c r="V83" s="4">
        <f>VLOOKUP(Tabulka1[[#This Row],[ID]],'Zdroj hloubka okresy'!$A$2:$K$171,5,FALSE)</f>
        <v>1.58</v>
      </c>
      <c r="W83" s="4">
        <f>VLOOKUP(Tabulka1[[#This Row],[ID]],'Zdroj hloubka okresy'!$A$2:$K$171,6,FALSE)</f>
        <v>1.61</v>
      </c>
      <c r="X83" s="4">
        <v>8.18</v>
      </c>
      <c r="Y83" s="4">
        <v>7.52</v>
      </c>
      <c r="Z83" s="4">
        <v>7.57</v>
      </c>
      <c r="AA83" s="4">
        <v>6.01</v>
      </c>
      <c r="AB83" s="4">
        <v>15.9</v>
      </c>
      <c r="AC83" s="4">
        <v>12.95</v>
      </c>
      <c r="AD83" s="4">
        <v>19.8</v>
      </c>
      <c r="AE83" s="4">
        <v>19.48</v>
      </c>
      <c r="AF83" s="4">
        <v>48.55</v>
      </c>
      <c r="AG83" s="4">
        <v>54.05</v>
      </c>
      <c r="AH83" s="4" t="s">
        <v>722</v>
      </c>
      <c r="AI83" s="5" t="s">
        <v>792</v>
      </c>
      <c r="AJ83" s="4">
        <v>6.61</v>
      </c>
      <c r="AK83" s="4">
        <v>3</v>
      </c>
      <c r="AL83" s="4" t="s">
        <v>798</v>
      </c>
      <c r="AM83" s="20" t="s">
        <v>824</v>
      </c>
      <c r="AN83" s="16" t="s">
        <v>804</v>
      </c>
      <c r="AO83" s="326"/>
      <c r="AP83" s="15">
        <v>0</v>
      </c>
      <c r="AQ83" s="9" t="str">
        <f>MID(Tabulka1[[#This Row],[BPEJ]],1,1)</f>
        <v>5</v>
      </c>
      <c r="AW83" s="9"/>
      <c r="AX83">
        <v>5</v>
      </c>
      <c r="AY83" s="114">
        <v>32</v>
      </c>
      <c r="AZ83" s="114">
        <v>0</v>
      </c>
      <c r="BA83" s="114">
        <v>1</v>
      </c>
      <c r="BB83" s="9">
        <v>5</v>
      </c>
      <c r="BC83" s="9" t="str">
        <f>MID(Tabulka1[[#This Row],[BPEJ]],3,2)</f>
        <v>32</v>
      </c>
      <c r="BD83" s="9" t="str">
        <f>MID(Tabulka1[[#This Row],[BPEJ]],6,1)</f>
        <v>0</v>
      </c>
      <c r="BE83" s="9" t="str">
        <f>MID(Tabulka1[[#This Row],[BPEJ]],7,1)</f>
        <v>1</v>
      </c>
      <c r="BF83" s="2" t="str">
        <f t="shared" si="6"/>
        <v>T</v>
      </c>
      <c r="BG83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83" s="7">
        <v>1.42</v>
      </c>
      <c r="BI83" s="2">
        <f t="shared" si="7"/>
        <v>14.2</v>
      </c>
      <c r="BJ83" s="2">
        <f>Tabulka1[[#This Row],[P2O5_60]]*10</f>
        <v>158</v>
      </c>
      <c r="BK83" s="2">
        <f>Tabulka1[[#This Row],[K2O_30]]*10</f>
        <v>1206</v>
      </c>
      <c r="BL83" s="2">
        <f>Tabulka1[[#This Row],[K2O_60]]*10</f>
        <v>782</v>
      </c>
      <c r="BN83" s="2">
        <f>VLOOKUP(Tabulka1[[#This Row],[ID]],'Zdroj hloubka okresy'!$A$2:$F$171,5,FALSE)</f>
        <v>1.58</v>
      </c>
      <c r="BO83" s="2">
        <f>VLOOKUP(Tabulka1[[#This Row],[ID]],'Zdroj hloubka okresy'!$A$2:$D$171,3,FALSE)</f>
        <v>23</v>
      </c>
      <c r="BP83" s="2">
        <f>VLOOKUP(Tabulka1[[#This Row],[ID]],'Zdroj hloubka okresy'!$A$2:$D$171,4,FALSE)</f>
        <v>13</v>
      </c>
    </row>
    <row r="84" spans="1:68" x14ac:dyDescent="0.35">
      <c r="A84" s="13">
        <v>4328</v>
      </c>
      <c r="B84" s="14" t="s">
        <v>533</v>
      </c>
      <c r="C84" s="7">
        <v>6.33</v>
      </c>
      <c r="D84" s="7">
        <v>6.59</v>
      </c>
      <c r="E84" s="7">
        <v>5.5</v>
      </c>
      <c r="F84" s="7">
        <v>5.66</v>
      </c>
      <c r="G84" s="7">
        <v>1.6</v>
      </c>
      <c r="H84" s="7">
        <v>0.98</v>
      </c>
      <c r="I84" s="7">
        <v>0.93</v>
      </c>
      <c r="J84" s="7">
        <v>0.56999999999999995</v>
      </c>
      <c r="K84" s="7"/>
      <c r="L84" s="7"/>
      <c r="M84" s="7">
        <v>8</v>
      </c>
      <c r="N84" s="139">
        <v>6.1</v>
      </c>
      <c r="O84" s="139">
        <v>90.3</v>
      </c>
      <c r="P84" s="139">
        <v>62</v>
      </c>
      <c r="Q84" s="7">
        <v>21.37</v>
      </c>
      <c r="R84" s="7">
        <v>20.13</v>
      </c>
      <c r="S84" s="7">
        <v>80.33</v>
      </c>
      <c r="T84" s="7">
        <v>83.17</v>
      </c>
      <c r="U84" s="4">
        <v>4</v>
      </c>
      <c r="V84" s="4">
        <f>VLOOKUP(Tabulka1[[#This Row],[ID]],'Zdroj hloubka okresy'!$A$2:$K$171,5,FALSE)</f>
        <v>1.42</v>
      </c>
      <c r="W84" s="4">
        <f>VLOOKUP(Tabulka1[[#This Row],[ID]],'Zdroj hloubka okresy'!$A$2:$K$171,6,FALSE)</f>
        <v>1.47</v>
      </c>
      <c r="X84" s="4">
        <v>20.94</v>
      </c>
      <c r="Y84" s="4">
        <v>17.420000000000002</v>
      </c>
      <c r="Z84" s="4">
        <v>3.86</v>
      </c>
      <c r="AA84" s="4">
        <v>2.48</v>
      </c>
      <c r="AB84" s="4">
        <v>22.63</v>
      </c>
      <c r="AC84" s="4">
        <v>21.97</v>
      </c>
      <c r="AD84" s="4">
        <v>35.549999999999997</v>
      </c>
      <c r="AE84" s="4">
        <v>40.5</v>
      </c>
      <c r="AF84" s="4">
        <v>17.02</v>
      </c>
      <c r="AG84" s="4">
        <v>17.64</v>
      </c>
      <c r="AH84" s="4" t="s">
        <v>760</v>
      </c>
      <c r="AI84" s="5" t="s">
        <v>789</v>
      </c>
      <c r="AJ84" s="4">
        <v>10.24</v>
      </c>
      <c r="AK84" s="4">
        <v>3</v>
      </c>
      <c r="AL84" s="4" t="s">
        <v>798</v>
      </c>
      <c r="AM84" s="20" t="s">
        <v>824</v>
      </c>
      <c r="AN84" s="16" t="s">
        <v>803</v>
      </c>
      <c r="AO84" s="326"/>
      <c r="AP84" s="15">
        <v>0</v>
      </c>
      <c r="AQ84" s="9" t="str">
        <f>MID(Tabulka1[[#This Row],[BPEJ]],1,1)</f>
        <v>5</v>
      </c>
      <c r="AW84" s="9"/>
      <c r="AX84">
        <v>5</v>
      </c>
      <c r="AY84" s="114">
        <v>15</v>
      </c>
      <c r="AZ84" s="114">
        <v>1</v>
      </c>
      <c r="BA84" s="114">
        <v>0</v>
      </c>
      <c r="BB84" s="9">
        <v>5</v>
      </c>
      <c r="BC84" s="9" t="str">
        <f>MID(Tabulka1[[#This Row],[BPEJ]],3,2)</f>
        <v>15</v>
      </c>
      <c r="BD84" s="9" t="str">
        <f>MID(Tabulka1[[#This Row],[BPEJ]],6,1)</f>
        <v>1</v>
      </c>
      <c r="BE84" s="9" t="str">
        <f>MID(Tabulka1[[#This Row],[BPEJ]],7,1)</f>
        <v>0</v>
      </c>
      <c r="BF84" s="2" t="str">
        <f t="shared" si="6"/>
        <v>T</v>
      </c>
      <c r="BG84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84" s="134">
        <v>0.8</v>
      </c>
      <c r="BI84" s="2">
        <f t="shared" si="7"/>
        <v>8</v>
      </c>
      <c r="BJ84" s="2">
        <f>Tabulka1[[#This Row],[P2O5_60]]*10</f>
        <v>61</v>
      </c>
      <c r="BK84" s="2">
        <f>Tabulka1[[#This Row],[K2O_30]]*10</f>
        <v>903</v>
      </c>
      <c r="BL84" s="2">
        <f>Tabulka1[[#This Row],[K2O_60]]*10</f>
        <v>620</v>
      </c>
      <c r="BN84" s="2">
        <f>VLOOKUP(Tabulka1[[#This Row],[ID]],'Zdroj hloubka okresy'!$A$2:$F$171,5,FALSE)</f>
        <v>1.42</v>
      </c>
      <c r="BO84" s="2">
        <f>VLOOKUP(Tabulka1[[#This Row],[ID]],'Zdroj hloubka okresy'!$A$2:$D$171,3,FALSE)</f>
        <v>20</v>
      </c>
      <c r="BP84" s="2">
        <f>VLOOKUP(Tabulka1[[#This Row],[ID]],'Zdroj hloubka okresy'!$A$2:$D$171,4,FALSE)</f>
        <v>22</v>
      </c>
    </row>
    <row r="85" spans="1:68" x14ac:dyDescent="0.35">
      <c r="A85" s="13">
        <v>4331</v>
      </c>
      <c r="B85" s="14" t="s">
        <v>563</v>
      </c>
      <c r="C85" s="7">
        <v>5.61</v>
      </c>
      <c r="D85" s="7">
        <v>5.95</v>
      </c>
      <c r="E85" s="7">
        <v>5.12</v>
      </c>
      <c r="F85" s="7">
        <v>5.25</v>
      </c>
      <c r="G85" s="7">
        <v>1.66</v>
      </c>
      <c r="H85" s="7">
        <v>1.42</v>
      </c>
      <c r="I85" s="7">
        <v>0.96</v>
      </c>
      <c r="J85" s="7">
        <v>0.82</v>
      </c>
      <c r="K85" s="7"/>
      <c r="L85" s="7"/>
      <c r="M85" s="7">
        <v>34</v>
      </c>
      <c r="N85" s="139">
        <v>147.30000000000001</v>
      </c>
      <c r="O85" s="139">
        <v>126.19999999999999</v>
      </c>
      <c r="P85" s="139">
        <v>103.9</v>
      </c>
      <c r="Q85" s="7">
        <v>14.57</v>
      </c>
      <c r="R85" s="7">
        <v>14.94</v>
      </c>
      <c r="S85" s="7">
        <v>63.47</v>
      </c>
      <c r="T85" s="7">
        <v>67.53</v>
      </c>
      <c r="U85" s="4">
        <v>3</v>
      </c>
      <c r="V85" s="4">
        <f>VLOOKUP(Tabulka1[[#This Row],[ID]],'Zdroj hloubka okresy'!$A$2:$K$171,5,FALSE)</f>
        <v>1.48</v>
      </c>
      <c r="W85" s="4">
        <f>VLOOKUP(Tabulka1[[#This Row],[ID]],'Zdroj hloubka okresy'!$A$2:$K$171,6,FALSE)</f>
        <v>1.47</v>
      </c>
      <c r="X85" s="4">
        <v>14.59</v>
      </c>
      <c r="Y85" s="4">
        <v>15.4</v>
      </c>
      <c r="Z85" s="4">
        <v>9.27</v>
      </c>
      <c r="AA85" s="4">
        <v>9.7200000000000006</v>
      </c>
      <c r="AB85" s="4">
        <v>22.15</v>
      </c>
      <c r="AC85" s="4">
        <v>23.07</v>
      </c>
      <c r="AD85" s="4">
        <v>27.92</v>
      </c>
      <c r="AE85" s="4">
        <v>26.46</v>
      </c>
      <c r="AF85" s="4">
        <v>26.06</v>
      </c>
      <c r="AG85" s="4">
        <v>25.34</v>
      </c>
      <c r="AH85" s="4" t="s">
        <v>761</v>
      </c>
      <c r="AI85" s="5" t="s">
        <v>791</v>
      </c>
      <c r="AJ85" s="4">
        <v>1.22</v>
      </c>
      <c r="AK85" s="4">
        <v>4</v>
      </c>
      <c r="AL85" s="4" t="s">
        <v>797</v>
      </c>
      <c r="AM85" s="20" t="s">
        <v>796</v>
      </c>
      <c r="AN85" s="16" t="s">
        <v>804</v>
      </c>
      <c r="AO85" s="326"/>
      <c r="AP85" s="15">
        <v>0</v>
      </c>
      <c r="AQ85" s="9" t="str">
        <f>MID(Tabulka1[[#This Row],[BPEJ]],1,1)</f>
        <v>5</v>
      </c>
      <c r="AW85" s="9"/>
      <c r="AX85">
        <v>5</v>
      </c>
      <c r="AY85" s="114">
        <v>40</v>
      </c>
      <c r="AZ85" s="114">
        <v>7</v>
      </c>
      <c r="BA85" s="114">
        <v>7</v>
      </c>
      <c r="BB85" s="9">
        <v>5</v>
      </c>
      <c r="BC85" s="9" t="str">
        <f>MID(Tabulka1[[#This Row],[BPEJ]],3,2)</f>
        <v>40</v>
      </c>
      <c r="BD85" s="9" t="str">
        <f>MID(Tabulka1[[#This Row],[BPEJ]],6,1)</f>
        <v>7</v>
      </c>
      <c r="BE85" s="9" t="str">
        <f>MID(Tabulka1[[#This Row],[BPEJ]],7,1)</f>
        <v>7</v>
      </c>
      <c r="BF85" s="2" t="str">
        <f t="shared" si="6"/>
        <v>T</v>
      </c>
      <c r="BG85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85" s="7">
        <v>3.4</v>
      </c>
      <c r="BI85" s="2">
        <f t="shared" si="7"/>
        <v>34</v>
      </c>
      <c r="BJ85" s="2">
        <f>Tabulka1[[#This Row],[P2O5_60]]*10</f>
        <v>1473</v>
      </c>
      <c r="BK85" s="2">
        <f>Tabulka1[[#This Row],[K2O_30]]*10</f>
        <v>1262</v>
      </c>
      <c r="BL85" s="2">
        <f>Tabulka1[[#This Row],[K2O_60]]*10</f>
        <v>1039</v>
      </c>
      <c r="BN85" s="2">
        <f>VLOOKUP(Tabulka1[[#This Row],[ID]],'Zdroj hloubka okresy'!$A$2:$F$171,5,FALSE)</f>
        <v>1.48</v>
      </c>
      <c r="BO85" s="2">
        <f>VLOOKUP(Tabulka1[[#This Row],[ID]],'Zdroj hloubka okresy'!$A$2:$D$171,3,FALSE)</f>
        <v>23</v>
      </c>
      <c r="BP85" s="2">
        <f>VLOOKUP(Tabulka1[[#This Row],[ID]],'Zdroj hloubka okresy'!$A$2:$D$171,4,FALSE)</f>
        <v>19</v>
      </c>
    </row>
    <row r="86" spans="1:68" x14ac:dyDescent="0.35">
      <c r="A86" s="13">
        <v>4334</v>
      </c>
      <c r="B86" s="14" t="s">
        <v>532</v>
      </c>
      <c r="C86" s="7">
        <v>6.77</v>
      </c>
      <c r="D86" s="7">
        <v>6.89</v>
      </c>
      <c r="E86" s="7">
        <v>5.99</v>
      </c>
      <c r="F86" s="7">
        <v>5.91</v>
      </c>
      <c r="G86" s="7">
        <v>1.5</v>
      </c>
      <c r="H86" s="7">
        <v>0.92</v>
      </c>
      <c r="I86" s="7">
        <v>0.87</v>
      </c>
      <c r="J86" s="7">
        <v>0.54</v>
      </c>
      <c r="K86" s="7"/>
      <c r="L86" s="7"/>
      <c r="M86" s="7">
        <v>6.8999999999999995</v>
      </c>
      <c r="N86" s="139">
        <v>3.5</v>
      </c>
      <c r="O86" s="139">
        <v>93.6</v>
      </c>
      <c r="P86" s="139">
        <v>81.400000000000006</v>
      </c>
      <c r="Q86" s="7">
        <v>12.1</v>
      </c>
      <c r="R86" s="7">
        <v>14.28</v>
      </c>
      <c r="S86" s="7">
        <v>78.47</v>
      </c>
      <c r="T86" s="7">
        <v>81.23</v>
      </c>
      <c r="U86" s="4">
        <v>3</v>
      </c>
      <c r="V86" s="4">
        <f>VLOOKUP(Tabulka1[[#This Row],[ID]],'Zdroj hloubka okresy'!$A$2:$K$171,5,FALSE)</f>
        <v>1.48</v>
      </c>
      <c r="W86" s="4">
        <f>VLOOKUP(Tabulka1[[#This Row],[ID]],'Zdroj hloubka okresy'!$A$2:$K$171,6,FALSE)</f>
        <v>1.45</v>
      </c>
      <c r="X86" s="4">
        <v>13.74</v>
      </c>
      <c r="Y86" s="4">
        <v>14.46</v>
      </c>
      <c r="Z86" s="4">
        <v>9.15</v>
      </c>
      <c r="AA86" s="4">
        <v>9.4</v>
      </c>
      <c r="AB86" s="4">
        <v>35.28</v>
      </c>
      <c r="AC86" s="4">
        <v>35.57</v>
      </c>
      <c r="AD86" s="4">
        <v>17.89</v>
      </c>
      <c r="AE86" s="4">
        <v>18.87</v>
      </c>
      <c r="AF86" s="4">
        <v>23.94</v>
      </c>
      <c r="AG86" s="4">
        <v>21.7</v>
      </c>
      <c r="AH86" s="4" t="s">
        <v>762</v>
      </c>
      <c r="AI86" s="5" t="s">
        <v>791</v>
      </c>
      <c r="AJ86" s="4">
        <v>3.21</v>
      </c>
      <c r="AK86" s="4">
        <v>4</v>
      </c>
      <c r="AL86" s="4" t="s">
        <v>797</v>
      </c>
      <c r="AM86" s="20" t="s">
        <v>796</v>
      </c>
      <c r="AN86" s="16" t="s">
        <v>802</v>
      </c>
      <c r="AO86" s="326"/>
      <c r="AP86" s="15">
        <v>0</v>
      </c>
      <c r="AQ86" s="9" t="str">
        <f>MID(Tabulka1[[#This Row],[BPEJ]],1,1)</f>
        <v>5</v>
      </c>
      <c r="AW86" s="9"/>
      <c r="AX86">
        <v>5</v>
      </c>
      <c r="AY86" s="114">
        <v>26</v>
      </c>
      <c r="AZ86" s="114">
        <v>4</v>
      </c>
      <c r="BA86" s="114">
        <v>4</v>
      </c>
      <c r="BB86" s="9">
        <v>5</v>
      </c>
      <c r="BC86" s="9" t="str">
        <f>MID(Tabulka1[[#This Row],[BPEJ]],3,2)</f>
        <v>26</v>
      </c>
      <c r="BD86" s="9" t="str">
        <f>MID(Tabulka1[[#This Row],[BPEJ]],6,1)</f>
        <v>4</v>
      </c>
      <c r="BE86" s="9" t="str">
        <f>MID(Tabulka1[[#This Row],[BPEJ]],7,1)</f>
        <v>4</v>
      </c>
      <c r="BF86" s="2" t="str">
        <f t="shared" si="6"/>
        <v>T</v>
      </c>
      <c r="BG86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86" s="134">
        <v>0.69</v>
      </c>
      <c r="BI86" s="2">
        <f t="shared" si="7"/>
        <v>6.8999999999999995</v>
      </c>
      <c r="BJ86" s="2">
        <f>Tabulka1[[#This Row],[P2O5_60]]*10</f>
        <v>35</v>
      </c>
      <c r="BK86" s="2">
        <f>Tabulka1[[#This Row],[K2O_30]]*10</f>
        <v>936</v>
      </c>
      <c r="BL86" s="2">
        <f>Tabulka1[[#This Row],[K2O_60]]*10</f>
        <v>814</v>
      </c>
      <c r="BN86" s="2">
        <f>VLOOKUP(Tabulka1[[#This Row],[ID]],'Zdroj hloubka okresy'!$A$2:$F$171,5,FALSE)</f>
        <v>1.48</v>
      </c>
      <c r="BO86" s="2">
        <f>VLOOKUP(Tabulka1[[#This Row],[ID]],'Zdroj hloubka okresy'!$A$2:$D$171,3,FALSE)</f>
        <v>23</v>
      </c>
      <c r="BP86" s="2">
        <f>VLOOKUP(Tabulka1[[#This Row],[ID]],'Zdroj hloubka okresy'!$A$2:$D$171,4,FALSE)</f>
        <v>25</v>
      </c>
    </row>
    <row r="87" spans="1:68" x14ac:dyDescent="0.35">
      <c r="A87" s="13">
        <v>4339</v>
      </c>
      <c r="B87" s="14" t="s">
        <v>507</v>
      </c>
      <c r="C87" s="7">
        <v>6.63</v>
      </c>
      <c r="D87" s="7">
        <v>6.47</v>
      </c>
      <c r="E87" s="7">
        <v>5.9</v>
      </c>
      <c r="F87" s="7">
        <v>5.36</v>
      </c>
      <c r="G87" s="7">
        <v>2.69</v>
      </c>
      <c r="H87" s="7">
        <v>1.58</v>
      </c>
      <c r="I87" s="7">
        <v>1.56</v>
      </c>
      <c r="J87" s="7">
        <v>0.92</v>
      </c>
      <c r="K87" s="7"/>
      <c r="L87" s="7"/>
      <c r="M87" s="7">
        <v>40.300000000000004</v>
      </c>
      <c r="N87" s="139">
        <v>34.799999999999997</v>
      </c>
      <c r="O87" s="139">
        <v>144.30000000000001</v>
      </c>
      <c r="P87" s="139">
        <v>97.699999999999989</v>
      </c>
      <c r="Q87" s="7">
        <v>14.57</v>
      </c>
      <c r="R87" s="7">
        <v>13.14</v>
      </c>
      <c r="S87" s="7">
        <v>65</v>
      </c>
      <c r="T87" s="7">
        <v>64.58</v>
      </c>
      <c r="U87" s="4">
        <v>3</v>
      </c>
      <c r="V87" s="4">
        <f>VLOOKUP(Tabulka1[[#This Row],[ID]],'Zdroj hloubka okresy'!$A$2:$K$171,5,FALSE)</f>
        <v>1.46</v>
      </c>
      <c r="W87" s="4">
        <f>VLOOKUP(Tabulka1[[#This Row],[ID]],'Zdroj hloubka okresy'!$A$2:$K$171,6,FALSE)</f>
        <v>1.41</v>
      </c>
      <c r="X87" s="4">
        <v>14.78</v>
      </c>
      <c r="Y87" s="4">
        <v>19.72</v>
      </c>
      <c r="Z87" s="4">
        <v>16.489999999999998</v>
      </c>
      <c r="AA87" s="4">
        <v>17.82</v>
      </c>
      <c r="AB87" s="4">
        <v>25.57</v>
      </c>
      <c r="AC87" s="4">
        <v>23.33</v>
      </c>
      <c r="AD87" s="4">
        <v>20.83</v>
      </c>
      <c r="AE87" s="4">
        <v>19.36</v>
      </c>
      <c r="AF87" s="4">
        <v>22.33</v>
      </c>
      <c r="AG87" s="4">
        <v>19.760000000000002</v>
      </c>
      <c r="AH87" s="4" t="s">
        <v>729</v>
      </c>
      <c r="AI87" s="5" t="s">
        <v>790</v>
      </c>
      <c r="AJ87" s="4">
        <v>5.09</v>
      </c>
      <c r="AK87" s="4">
        <v>5</v>
      </c>
      <c r="AL87" s="4" t="s">
        <v>798</v>
      </c>
      <c r="AM87" s="20" t="s">
        <v>796</v>
      </c>
      <c r="AN87" s="16" t="s">
        <v>802</v>
      </c>
      <c r="AO87" s="326"/>
      <c r="AP87" s="15">
        <v>0</v>
      </c>
      <c r="AQ87" s="9" t="str">
        <f>MID(Tabulka1[[#This Row],[BPEJ]],1,1)</f>
        <v>5</v>
      </c>
      <c r="AW87" s="9"/>
      <c r="AX87">
        <v>5</v>
      </c>
      <c r="AY87" s="114">
        <v>26</v>
      </c>
      <c r="AZ87" s="114">
        <v>0</v>
      </c>
      <c r="BA87" s="114">
        <v>4</v>
      </c>
      <c r="BB87" s="9">
        <v>5</v>
      </c>
      <c r="BC87" s="9" t="str">
        <f>MID(Tabulka1[[#This Row],[BPEJ]],3,2)</f>
        <v>26</v>
      </c>
      <c r="BD87" s="9" t="str">
        <f>MID(Tabulka1[[#This Row],[BPEJ]],6,1)</f>
        <v>0</v>
      </c>
      <c r="BE87" s="9" t="str">
        <f>MID(Tabulka1[[#This Row],[BPEJ]],7,1)</f>
        <v>4</v>
      </c>
      <c r="BF87" s="2" t="str">
        <f t="shared" si="6"/>
        <v>T</v>
      </c>
      <c r="BG87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87" s="7">
        <v>4.03</v>
      </c>
      <c r="BI87" s="2">
        <f t="shared" si="7"/>
        <v>40.300000000000004</v>
      </c>
      <c r="BJ87" s="2">
        <f>Tabulka1[[#This Row],[P2O5_60]]*10</f>
        <v>348</v>
      </c>
      <c r="BK87" s="2">
        <f>Tabulka1[[#This Row],[K2O_30]]*10</f>
        <v>1443</v>
      </c>
      <c r="BL87" s="2">
        <f>Tabulka1[[#This Row],[K2O_60]]*10</f>
        <v>976.99999999999989</v>
      </c>
      <c r="BN87" s="2">
        <f>VLOOKUP(Tabulka1[[#This Row],[ID]],'Zdroj hloubka okresy'!$A$2:$F$171,5,FALSE)</f>
        <v>1.46</v>
      </c>
      <c r="BO87" s="2">
        <f>VLOOKUP(Tabulka1[[#This Row],[ID]],'Zdroj hloubka okresy'!$A$2:$D$171,3,FALSE)</f>
        <v>20</v>
      </c>
      <c r="BP87" s="2">
        <f>VLOOKUP(Tabulka1[[#This Row],[ID]],'Zdroj hloubka okresy'!$A$2:$D$171,4,FALSE)</f>
        <v>23</v>
      </c>
    </row>
    <row r="88" spans="1:68" x14ac:dyDescent="0.35">
      <c r="A88" s="13">
        <v>4342</v>
      </c>
      <c r="B88" s="14" t="s">
        <v>552</v>
      </c>
      <c r="C88" s="7">
        <v>5.93</v>
      </c>
      <c r="D88" s="7">
        <v>5.9</v>
      </c>
      <c r="E88" s="7">
        <v>5.19</v>
      </c>
      <c r="F88" s="7">
        <v>5.01</v>
      </c>
      <c r="G88" s="7">
        <v>2.86</v>
      </c>
      <c r="H88" s="7">
        <v>1.59</v>
      </c>
      <c r="I88" s="7">
        <v>1.66</v>
      </c>
      <c r="J88" s="7">
        <v>0.92</v>
      </c>
      <c r="K88" s="7"/>
      <c r="L88" s="7"/>
      <c r="M88" s="7">
        <v>24.1</v>
      </c>
      <c r="N88" s="139">
        <v>14.7</v>
      </c>
      <c r="O88" s="139">
        <v>163</v>
      </c>
      <c r="P88" s="139">
        <v>115.19999999999999</v>
      </c>
      <c r="Q88" s="7">
        <v>15.45</v>
      </c>
      <c r="R88" s="7">
        <v>11.41</v>
      </c>
      <c r="S88" s="7">
        <v>47.13</v>
      </c>
      <c r="T88" s="7">
        <v>49.9</v>
      </c>
      <c r="U88" s="4">
        <v>4</v>
      </c>
      <c r="V88" s="4">
        <f>VLOOKUP(Tabulka1[[#This Row],[ID]],'Zdroj hloubka okresy'!$A$2:$K$171,5,FALSE)</f>
        <v>1.5</v>
      </c>
      <c r="W88" s="4">
        <f>VLOOKUP(Tabulka1[[#This Row],[ID]],'Zdroj hloubka okresy'!$A$2:$K$171,6,FALSE)</f>
        <v>1.49</v>
      </c>
      <c r="X88" s="4">
        <v>13.96</v>
      </c>
      <c r="Y88" s="4">
        <v>15.04</v>
      </c>
      <c r="Z88" s="4">
        <v>13.93</v>
      </c>
      <c r="AA88" s="4">
        <v>10.92</v>
      </c>
      <c r="AB88" s="4">
        <v>13.6</v>
      </c>
      <c r="AC88" s="4">
        <v>10.7</v>
      </c>
      <c r="AD88" s="4">
        <v>20.190000000000001</v>
      </c>
      <c r="AE88" s="4">
        <v>18.25</v>
      </c>
      <c r="AF88" s="4">
        <v>38.32</v>
      </c>
      <c r="AG88" s="4">
        <v>45.09</v>
      </c>
      <c r="AH88" s="4" t="s">
        <v>699</v>
      </c>
      <c r="AI88" s="5" t="s">
        <v>790</v>
      </c>
      <c r="AJ88" s="4">
        <v>3.44</v>
      </c>
      <c r="AK88" s="4">
        <v>4</v>
      </c>
      <c r="AL88" s="4" t="s">
        <v>797</v>
      </c>
      <c r="AM88" s="20" t="s">
        <v>796</v>
      </c>
      <c r="AN88" s="16" t="s">
        <v>806</v>
      </c>
      <c r="AO88" s="326"/>
      <c r="AP88" s="15">
        <v>0</v>
      </c>
      <c r="AQ88" s="9" t="str">
        <f>MID(Tabulka1[[#This Row],[BPEJ]],1,1)</f>
        <v>7</v>
      </c>
      <c r="AW88" s="9"/>
      <c r="AX88">
        <v>7</v>
      </c>
      <c r="AY88" s="114">
        <v>47</v>
      </c>
      <c r="AZ88" s="114">
        <v>1</v>
      </c>
      <c r="BA88" s="114">
        <v>2</v>
      </c>
      <c r="BB88" s="9">
        <v>7</v>
      </c>
      <c r="BC88" s="9" t="str">
        <f>MID(Tabulka1[[#This Row],[BPEJ]],3,2)</f>
        <v>47</v>
      </c>
      <c r="BD88" s="9" t="str">
        <f>MID(Tabulka1[[#This Row],[BPEJ]],6,1)</f>
        <v>1</v>
      </c>
      <c r="BE88" s="9" t="str">
        <f>MID(Tabulka1[[#This Row],[BPEJ]],7,1)</f>
        <v>2</v>
      </c>
      <c r="BF88" s="2" t="str">
        <f t="shared" si="6"/>
        <v>CH</v>
      </c>
      <c r="BG88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88" s="134">
        <v>2.41</v>
      </c>
      <c r="BI88" s="2">
        <f t="shared" si="7"/>
        <v>24.1</v>
      </c>
      <c r="BJ88" s="2">
        <f>Tabulka1[[#This Row],[P2O5_60]]*10</f>
        <v>147</v>
      </c>
      <c r="BK88" s="2">
        <f>Tabulka1[[#This Row],[K2O_30]]*10</f>
        <v>1630</v>
      </c>
      <c r="BL88" s="2">
        <f>Tabulka1[[#This Row],[K2O_60]]*10</f>
        <v>1152</v>
      </c>
      <c r="BN88" s="2">
        <f>VLOOKUP(Tabulka1[[#This Row],[ID]],'Zdroj hloubka okresy'!$A$2:$F$171,5,FALSE)</f>
        <v>1.5</v>
      </c>
      <c r="BO88" s="2">
        <f>VLOOKUP(Tabulka1[[#This Row],[ID]],'Zdroj hloubka okresy'!$A$2:$D$171,3,FALSE)</f>
        <v>22</v>
      </c>
      <c r="BP88" s="2">
        <f>VLOOKUP(Tabulka1[[#This Row],[ID]],'Zdroj hloubka okresy'!$A$2:$D$171,4,FALSE)</f>
        <v>28</v>
      </c>
    </row>
    <row r="89" spans="1:68" x14ac:dyDescent="0.35">
      <c r="A89" s="13">
        <v>4345</v>
      </c>
      <c r="B89" s="14" t="s">
        <v>558</v>
      </c>
      <c r="C89" s="7">
        <v>6.06</v>
      </c>
      <c r="D89" s="7">
        <v>6.33</v>
      </c>
      <c r="E89" s="7">
        <v>4.82</v>
      </c>
      <c r="F89" s="7">
        <v>5.01</v>
      </c>
      <c r="G89" s="7">
        <v>1.21</v>
      </c>
      <c r="H89" s="7">
        <v>1.1200000000000001</v>
      </c>
      <c r="I89" s="7">
        <v>0.7</v>
      </c>
      <c r="J89" s="7">
        <v>0.65</v>
      </c>
      <c r="K89" s="7"/>
      <c r="L89" s="7"/>
      <c r="M89" s="7">
        <v>24.700000000000003</v>
      </c>
      <c r="N89" s="139">
        <v>20.8</v>
      </c>
      <c r="O89" s="139">
        <v>55.5</v>
      </c>
      <c r="P89" s="139">
        <v>54.800000000000004</v>
      </c>
      <c r="Q89" s="7">
        <v>11.15</v>
      </c>
      <c r="R89" s="7">
        <v>11.73</v>
      </c>
      <c r="S89" s="7">
        <v>77.37</v>
      </c>
      <c r="T89" s="7">
        <v>86.18</v>
      </c>
      <c r="U89" s="4">
        <v>1</v>
      </c>
      <c r="V89" s="4">
        <f>VLOOKUP(Tabulka1[[#This Row],[ID]],'Zdroj hloubka okresy'!$A$2:$K$171,5,FALSE)</f>
        <v>1.67</v>
      </c>
      <c r="W89" s="4">
        <f>VLOOKUP(Tabulka1[[#This Row],[ID]],'Zdroj hloubka okresy'!$A$2:$K$171,6,FALSE)</f>
        <v>1.68</v>
      </c>
      <c r="X89" s="4">
        <v>6.44</v>
      </c>
      <c r="Y89" s="4">
        <v>4.32</v>
      </c>
      <c r="Z89" s="4">
        <v>1.2</v>
      </c>
      <c r="AA89" s="4">
        <v>0.6</v>
      </c>
      <c r="AB89" s="4">
        <v>9.27</v>
      </c>
      <c r="AC89" s="4">
        <v>5.62</v>
      </c>
      <c r="AD89" s="4">
        <v>20.37</v>
      </c>
      <c r="AE89" s="4">
        <v>13.18</v>
      </c>
      <c r="AF89" s="4">
        <v>63.04</v>
      </c>
      <c r="AG89" s="4">
        <v>46.72</v>
      </c>
      <c r="AH89" s="4" t="s">
        <v>716</v>
      </c>
      <c r="AI89" s="5" t="s">
        <v>791</v>
      </c>
      <c r="AJ89" s="4">
        <v>1.64</v>
      </c>
      <c r="AK89" s="4">
        <v>4</v>
      </c>
      <c r="AL89" s="4" t="s">
        <v>797</v>
      </c>
      <c r="AM89" s="20" t="s">
        <v>796</v>
      </c>
      <c r="AN89" s="16" t="s">
        <v>804</v>
      </c>
      <c r="AO89" s="326"/>
      <c r="AP89" s="15">
        <v>0</v>
      </c>
      <c r="AQ89" s="9" t="str">
        <f>MID(Tabulka1[[#This Row],[BPEJ]],1,1)</f>
        <v>5</v>
      </c>
      <c r="AW89" s="9"/>
      <c r="AX89">
        <v>5</v>
      </c>
      <c r="AY89" s="114">
        <v>37</v>
      </c>
      <c r="AZ89" s="114">
        <v>1</v>
      </c>
      <c r="BA89" s="114">
        <v>6</v>
      </c>
      <c r="BB89" s="9">
        <v>5</v>
      </c>
      <c r="BC89" s="9" t="str">
        <f>MID(Tabulka1[[#This Row],[BPEJ]],3,2)</f>
        <v>37</v>
      </c>
      <c r="BD89" s="9" t="str">
        <f>MID(Tabulka1[[#This Row],[BPEJ]],6,1)</f>
        <v>1</v>
      </c>
      <c r="BE89" s="9" t="str">
        <f>MID(Tabulka1[[#This Row],[BPEJ]],7,1)</f>
        <v>6</v>
      </c>
      <c r="BF89" s="2" t="str">
        <f t="shared" si="6"/>
        <v>T</v>
      </c>
      <c r="BG89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89" s="7">
        <v>2.4700000000000002</v>
      </c>
      <c r="BI89" s="2">
        <f t="shared" si="7"/>
        <v>24.700000000000003</v>
      </c>
      <c r="BJ89" s="2">
        <f>Tabulka1[[#This Row],[P2O5_60]]*10</f>
        <v>208</v>
      </c>
      <c r="BK89" s="2">
        <f>Tabulka1[[#This Row],[K2O_30]]*10</f>
        <v>555</v>
      </c>
      <c r="BL89" s="2">
        <f>Tabulka1[[#This Row],[K2O_60]]*10</f>
        <v>548</v>
      </c>
      <c r="BN89" s="2">
        <f>VLOOKUP(Tabulka1[[#This Row],[ID]],'Zdroj hloubka okresy'!$A$2:$F$171,5,FALSE)</f>
        <v>1.67</v>
      </c>
      <c r="BO89" s="2">
        <f>VLOOKUP(Tabulka1[[#This Row],[ID]],'Zdroj hloubka okresy'!$A$2:$D$171,3,FALSE)</f>
        <v>23</v>
      </c>
      <c r="BP89" s="2">
        <f>VLOOKUP(Tabulka1[[#This Row],[ID]],'Zdroj hloubka okresy'!$A$2:$D$171,4,FALSE)</f>
        <v>19</v>
      </c>
    </row>
    <row r="90" spans="1:68" x14ac:dyDescent="0.35">
      <c r="A90" s="13">
        <v>4351</v>
      </c>
      <c r="B90" s="14" t="s">
        <v>110</v>
      </c>
      <c r="C90" s="7">
        <v>6.03</v>
      </c>
      <c r="D90" s="7">
        <v>6.12</v>
      </c>
      <c r="E90" s="7">
        <v>5.0199999999999996</v>
      </c>
      <c r="F90" s="7">
        <v>5.0599999999999996</v>
      </c>
      <c r="G90" s="7">
        <v>1.39</v>
      </c>
      <c r="H90" s="7">
        <v>0.98</v>
      </c>
      <c r="I90" s="7">
        <v>0.81</v>
      </c>
      <c r="J90" s="7">
        <v>0.56999999999999995</v>
      </c>
      <c r="K90" s="7"/>
      <c r="L90" s="7"/>
      <c r="M90" s="7">
        <v>21.7</v>
      </c>
      <c r="N90" s="139">
        <v>20.8</v>
      </c>
      <c r="O90" s="139">
        <v>78.7</v>
      </c>
      <c r="P90" s="139">
        <v>50.300000000000004</v>
      </c>
      <c r="Q90" s="7">
        <v>6.13</v>
      </c>
      <c r="R90" s="7">
        <v>5.22</v>
      </c>
      <c r="S90" s="7">
        <v>37.33</v>
      </c>
      <c r="T90" s="7">
        <v>43.17</v>
      </c>
      <c r="U90" s="4">
        <v>1</v>
      </c>
      <c r="V90" s="4">
        <f>VLOOKUP(Tabulka1[[#This Row],[ID]],'Zdroj hloubka okresy'!$A$2:$K$171,5,FALSE)</f>
        <v>1.62</v>
      </c>
      <c r="W90" s="4">
        <f>VLOOKUP(Tabulka1[[#This Row],[ID]],'Zdroj hloubka okresy'!$A$2:$K$171,6,FALSE)</f>
        <v>1.63</v>
      </c>
      <c r="X90" s="4">
        <v>7.45</v>
      </c>
      <c r="Y90" s="4">
        <v>7.21</v>
      </c>
      <c r="Z90" s="4">
        <v>5.42</v>
      </c>
      <c r="AA90" s="4">
        <v>4.32</v>
      </c>
      <c r="AB90" s="4">
        <v>13.78</v>
      </c>
      <c r="AC90" s="4">
        <v>12.99</v>
      </c>
      <c r="AD90" s="4">
        <v>38.58</v>
      </c>
      <c r="AE90" s="4">
        <v>39.29</v>
      </c>
      <c r="AF90" s="4">
        <v>34.770000000000003</v>
      </c>
      <c r="AG90" s="4">
        <v>36.18</v>
      </c>
      <c r="AH90" s="4" t="s">
        <v>716</v>
      </c>
      <c r="AI90" s="5" t="s">
        <v>791</v>
      </c>
      <c r="AJ90" s="4">
        <v>1.64</v>
      </c>
      <c r="AK90" s="4">
        <v>3</v>
      </c>
      <c r="AL90" s="4" t="s">
        <v>798</v>
      </c>
      <c r="AM90" s="20" t="s">
        <v>824</v>
      </c>
      <c r="AN90" s="16" t="s">
        <v>804</v>
      </c>
      <c r="AO90" s="326"/>
      <c r="AP90" s="15">
        <v>0</v>
      </c>
      <c r="AQ90" s="9" t="str">
        <f>MID(Tabulka1[[#This Row],[BPEJ]],1,1)</f>
        <v>5</v>
      </c>
      <c r="AW90" s="9"/>
      <c r="AX90">
        <v>5</v>
      </c>
      <c r="AY90" s="114">
        <v>37</v>
      </c>
      <c r="AZ90" s="114">
        <v>1</v>
      </c>
      <c r="BA90" s="114">
        <v>6</v>
      </c>
      <c r="BB90" s="9">
        <v>5</v>
      </c>
      <c r="BC90" s="9" t="str">
        <f>MID(Tabulka1[[#This Row],[BPEJ]],3,2)</f>
        <v>37</v>
      </c>
      <c r="BD90" s="9" t="str">
        <f>MID(Tabulka1[[#This Row],[BPEJ]],6,1)</f>
        <v>1</v>
      </c>
      <c r="BE90" s="9" t="str">
        <f>MID(Tabulka1[[#This Row],[BPEJ]],7,1)</f>
        <v>6</v>
      </c>
      <c r="BF90" s="2" t="str">
        <f t="shared" si="6"/>
        <v>T</v>
      </c>
      <c r="BG90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90" s="134">
        <v>2.17</v>
      </c>
      <c r="BI90" s="2">
        <f t="shared" si="7"/>
        <v>21.7</v>
      </c>
      <c r="BJ90" s="2">
        <f>Tabulka1[[#This Row],[P2O5_60]]*10</f>
        <v>208</v>
      </c>
      <c r="BK90" s="2">
        <f>Tabulka1[[#This Row],[K2O_30]]*10</f>
        <v>787</v>
      </c>
      <c r="BL90" s="2">
        <f>Tabulka1[[#This Row],[K2O_60]]*10</f>
        <v>503.00000000000006</v>
      </c>
      <c r="BN90" s="2">
        <f>VLOOKUP(Tabulka1[[#This Row],[ID]],'Zdroj hloubka okresy'!$A$2:$F$171,5,FALSE)</f>
        <v>1.62</v>
      </c>
      <c r="BO90" s="2">
        <f>VLOOKUP(Tabulka1[[#This Row],[ID]],'Zdroj hloubka okresy'!$A$2:$D$171,3,FALSE)</f>
        <v>25</v>
      </c>
      <c r="BP90" s="2">
        <f>VLOOKUP(Tabulka1[[#This Row],[ID]],'Zdroj hloubka okresy'!$A$2:$D$171,4,FALSE)</f>
        <v>20</v>
      </c>
    </row>
    <row r="91" spans="1:68" x14ac:dyDescent="0.35">
      <c r="A91" s="13">
        <v>4354</v>
      </c>
      <c r="B91" s="14" t="s">
        <v>527</v>
      </c>
      <c r="C91" s="7">
        <v>6.56</v>
      </c>
      <c r="D91" s="7">
        <v>5.83</v>
      </c>
      <c r="E91" s="7">
        <v>5.82</v>
      </c>
      <c r="F91" s="7">
        <v>4.99</v>
      </c>
      <c r="G91" s="7">
        <v>2.2200000000000002</v>
      </c>
      <c r="H91" s="7">
        <v>1.31</v>
      </c>
      <c r="I91" s="7">
        <v>1.29</v>
      </c>
      <c r="J91" s="7">
        <v>0.76</v>
      </c>
      <c r="K91" s="7"/>
      <c r="L91" s="7"/>
      <c r="M91" s="7">
        <v>28</v>
      </c>
      <c r="N91" s="139">
        <v>20.299999999999997</v>
      </c>
      <c r="O91" s="139">
        <v>128.4</v>
      </c>
      <c r="P91" s="139">
        <v>88.2</v>
      </c>
      <c r="Q91" s="7">
        <v>12.94</v>
      </c>
      <c r="R91" s="7">
        <v>12.2</v>
      </c>
      <c r="S91" s="7">
        <v>63.8</v>
      </c>
      <c r="T91" s="7">
        <v>54.4</v>
      </c>
      <c r="U91" s="4">
        <v>2</v>
      </c>
      <c r="V91" s="4">
        <f>VLOOKUP(Tabulka1[[#This Row],[ID]],'Zdroj hloubka okresy'!$A$2:$K$171,5,FALSE)</f>
        <v>1.43</v>
      </c>
      <c r="W91" s="4">
        <f>VLOOKUP(Tabulka1[[#This Row],[ID]],'Zdroj hloubka okresy'!$A$2:$K$171,6,FALSE)</f>
        <v>1.46</v>
      </c>
      <c r="X91" s="4">
        <v>13.11</v>
      </c>
      <c r="Y91" s="4">
        <v>16.28</v>
      </c>
      <c r="Z91" s="4">
        <v>26.91</v>
      </c>
      <c r="AA91" s="4">
        <v>25.48</v>
      </c>
      <c r="AB91" s="4">
        <v>38.1</v>
      </c>
      <c r="AC91" s="4">
        <v>31.85</v>
      </c>
      <c r="AD91" s="4">
        <v>12.24</v>
      </c>
      <c r="AE91" s="4">
        <v>11.67</v>
      </c>
      <c r="AF91" s="4">
        <v>9.64</v>
      </c>
      <c r="AG91" s="4">
        <v>14.72</v>
      </c>
      <c r="AH91" s="4" t="s">
        <v>733</v>
      </c>
      <c r="AI91" s="5" t="s">
        <v>790</v>
      </c>
      <c r="AJ91" s="4">
        <v>4.53</v>
      </c>
      <c r="AK91" s="4">
        <v>5</v>
      </c>
      <c r="AL91" s="4" t="s">
        <v>798</v>
      </c>
      <c r="AM91" s="20" t="s">
        <v>824</v>
      </c>
      <c r="AN91" s="16" t="s">
        <v>803</v>
      </c>
      <c r="AO91" s="326"/>
      <c r="AP91" s="15">
        <v>0</v>
      </c>
      <c r="AQ91" s="9" t="str">
        <f>MID(Tabulka1[[#This Row],[BPEJ]],1,1)</f>
        <v>4</v>
      </c>
      <c r="AW91" s="9"/>
      <c r="AX91">
        <v>4</v>
      </c>
      <c r="AY91" s="114">
        <v>48</v>
      </c>
      <c r="AZ91" s="114">
        <v>1</v>
      </c>
      <c r="BA91" s="114">
        <v>1</v>
      </c>
      <c r="BB91" s="9">
        <v>4</v>
      </c>
      <c r="BC91" s="9" t="str">
        <f>MID(Tabulka1[[#This Row],[BPEJ]],3,2)</f>
        <v>48</v>
      </c>
      <c r="BD91" s="9" t="str">
        <f>MID(Tabulka1[[#This Row],[BPEJ]],6,1)</f>
        <v>1</v>
      </c>
      <c r="BE91" s="9" t="str">
        <f>MID(Tabulka1[[#This Row],[BPEJ]],7,1)</f>
        <v>1</v>
      </c>
      <c r="BF91" s="2" t="str">
        <f t="shared" si="6"/>
        <v>T</v>
      </c>
      <c r="BG91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91" s="7">
        <v>2.8</v>
      </c>
      <c r="BI91" s="2">
        <f t="shared" si="7"/>
        <v>28</v>
      </c>
      <c r="BJ91" s="2">
        <f>Tabulka1[[#This Row],[P2O5_60]]*10</f>
        <v>202.99999999999997</v>
      </c>
      <c r="BK91" s="2">
        <f>Tabulka1[[#This Row],[K2O_30]]*10</f>
        <v>1284</v>
      </c>
      <c r="BL91" s="2">
        <f>Tabulka1[[#This Row],[K2O_60]]*10</f>
        <v>882</v>
      </c>
      <c r="BN91" s="2">
        <f>VLOOKUP(Tabulka1[[#This Row],[ID]],'Zdroj hloubka okresy'!$A$2:$F$171,5,FALSE)</f>
        <v>1.43</v>
      </c>
      <c r="BO91" s="2">
        <f>VLOOKUP(Tabulka1[[#This Row],[ID]],'Zdroj hloubka okresy'!$A$2:$D$171,3,FALSE)</f>
        <v>24</v>
      </c>
      <c r="BP91" s="2">
        <f>VLOOKUP(Tabulka1[[#This Row],[ID]],'Zdroj hloubka okresy'!$A$2:$D$171,4,FALSE)</f>
        <v>21</v>
      </c>
    </row>
    <row r="92" spans="1:68" x14ac:dyDescent="0.35">
      <c r="A92" s="13">
        <v>4357</v>
      </c>
      <c r="B92" s="14" t="s">
        <v>114</v>
      </c>
      <c r="C92" s="7">
        <v>6.14</v>
      </c>
      <c r="D92" s="7">
        <v>6.37</v>
      </c>
      <c r="E92" s="7">
        <v>5.44</v>
      </c>
      <c r="F92" s="7">
        <v>5.36</v>
      </c>
      <c r="G92" s="7">
        <v>1.7</v>
      </c>
      <c r="H92" s="7">
        <v>1.18</v>
      </c>
      <c r="I92" s="7">
        <v>0.98</v>
      </c>
      <c r="J92" s="7">
        <v>0.68</v>
      </c>
      <c r="K92" s="7"/>
      <c r="L92" s="7"/>
      <c r="M92" s="7">
        <v>15.2</v>
      </c>
      <c r="N92" s="139">
        <v>12.3</v>
      </c>
      <c r="O92" s="139">
        <v>144.4</v>
      </c>
      <c r="P92" s="139">
        <v>119.2</v>
      </c>
      <c r="Q92" s="7">
        <v>13.44</v>
      </c>
      <c r="R92" s="7">
        <v>16.11</v>
      </c>
      <c r="S92" s="7">
        <v>67.400000000000006</v>
      </c>
      <c r="T92" s="7">
        <v>71.3</v>
      </c>
      <c r="U92" s="4">
        <v>3</v>
      </c>
      <c r="V92" s="4">
        <f>VLOOKUP(Tabulka1[[#This Row],[ID]],'Zdroj hloubka okresy'!$A$2:$K$171,5,FALSE)</f>
        <v>1.42</v>
      </c>
      <c r="W92" s="4">
        <f>VLOOKUP(Tabulka1[[#This Row],[ID]],'Zdroj hloubka okresy'!$A$2:$K$171,6,FALSE)</f>
        <v>1.35</v>
      </c>
      <c r="X92" s="4">
        <v>18.77</v>
      </c>
      <c r="Y92" s="4">
        <v>27.01</v>
      </c>
      <c r="Z92" s="4">
        <v>10.89</v>
      </c>
      <c r="AA92" s="4">
        <v>9.6300000000000008</v>
      </c>
      <c r="AB92" s="4">
        <v>29.04</v>
      </c>
      <c r="AC92" s="4">
        <v>29.66</v>
      </c>
      <c r="AD92" s="4">
        <v>16.100000000000001</v>
      </c>
      <c r="AE92" s="4">
        <v>13.69</v>
      </c>
      <c r="AF92" s="4">
        <v>25.2</v>
      </c>
      <c r="AG92" s="4">
        <v>20</v>
      </c>
      <c r="AH92" s="4" t="s">
        <v>745</v>
      </c>
      <c r="AI92" s="5" t="s">
        <v>792</v>
      </c>
      <c r="AJ92" s="4">
        <v>5.78</v>
      </c>
      <c r="AK92" s="4">
        <v>4</v>
      </c>
      <c r="AL92" s="4" t="s">
        <v>797</v>
      </c>
      <c r="AM92" s="20" t="s">
        <v>824</v>
      </c>
      <c r="AN92" s="16" t="s">
        <v>806</v>
      </c>
      <c r="AO92" s="326"/>
      <c r="AP92" s="15">
        <v>0</v>
      </c>
      <c r="AQ92" s="9" t="str">
        <f>MID(Tabulka1[[#This Row],[BPEJ]],1,1)</f>
        <v>5</v>
      </c>
      <c r="AW92" s="9"/>
      <c r="AX92">
        <v>5</v>
      </c>
      <c r="AY92" s="114">
        <v>47</v>
      </c>
      <c r="AZ92" s="114">
        <v>0</v>
      </c>
      <c r="BA92" s="114">
        <v>2</v>
      </c>
      <c r="BB92" s="9">
        <v>5</v>
      </c>
      <c r="BC92" s="9" t="str">
        <f>MID(Tabulka1[[#This Row],[BPEJ]],3,2)</f>
        <v>47</v>
      </c>
      <c r="BD92" s="9" t="str">
        <f>MID(Tabulka1[[#This Row],[BPEJ]],6,1)</f>
        <v>0</v>
      </c>
      <c r="BE92" s="9" t="str">
        <f>MID(Tabulka1[[#This Row],[BPEJ]],7,1)</f>
        <v>2</v>
      </c>
      <c r="BF92" s="2" t="str">
        <f t="shared" si="6"/>
        <v>T</v>
      </c>
      <c r="BG92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92" s="134">
        <v>1.52</v>
      </c>
      <c r="BI92" s="2">
        <f t="shared" si="7"/>
        <v>15.2</v>
      </c>
      <c r="BJ92" s="2">
        <f>Tabulka1[[#This Row],[P2O5_60]]*10</f>
        <v>123</v>
      </c>
      <c r="BK92" s="2">
        <f>Tabulka1[[#This Row],[K2O_30]]*10</f>
        <v>1444</v>
      </c>
      <c r="BL92" s="2">
        <f>Tabulka1[[#This Row],[K2O_60]]*10</f>
        <v>1192</v>
      </c>
      <c r="BN92" s="2">
        <f>VLOOKUP(Tabulka1[[#This Row],[ID]],'Zdroj hloubka okresy'!$A$2:$F$171,5,FALSE)</f>
        <v>1.42</v>
      </c>
      <c r="BO92" s="2">
        <f>VLOOKUP(Tabulka1[[#This Row],[ID]],'Zdroj hloubka okresy'!$A$2:$D$171,3,FALSE)</f>
        <v>24</v>
      </c>
      <c r="BP92" s="2">
        <f>VLOOKUP(Tabulka1[[#This Row],[ID]],'Zdroj hloubka okresy'!$A$2:$D$171,4,FALSE)</f>
        <v>14</v>
      </c>
    </row>
    <row r="93" spans="1:68" x14ac:dyDescent="0.35">
      <c r="A93" s="13">
        <v>4360</v>
      </c>
      <c r="B93" s="14" t="s">
        <v>125</v>
      </c>
      <c r="C93" s="7">
        <v>5.5</v>
      </c>
      <c r="D93" s="7">
        <v>5.93</v>
      </c>
      <c r="E93" s="7">
        <v>4.8</v>
      </c>
      <c r="F93" s="7">
        <v>5.01</v>
      </c>
      <c r="G93" s="7">
        <v>1.67</v>
      </c>
      <c r="H93" s="7">
        <v>1.03</v>
      </c>
      <c r="I93" s="7">
        <v>0.97</v>
      </c>
      <c r="J93" s="7">
        <v>0.6</v>
      </c>
      <c r="K93" s="7"/>
      <c r="L93" s="7"/>
      <c r="M93" s="7">
        <v>15.4</v>
      </c>
      <c r="N93" s="139">
        <v>25.299999999999997</v>
      </c>
      <c r="O93" s="139">
        <v>64.800000000000011</v>
      </c>
      <c r="P93" s="139">
        <v>49.5</v>
      </c>
      <c r="Q93" s="7">
        <v>10.58</v>
      </c>
      <c r="R93" s="7">
        <v>9.8800000000000008</v>
      </c>
      <c r="S93" s="7">
        <v>47.6</v>
      </c>
      <c r="T93" s="7">
        <v>57.27</v>
      </c>
      <c r="U93" s="4">
        <v>2</v>
      </c>
      <c r="V93" s="4">
        <f>VLOOKUP(Tabulka1[[#This Row],[ID]],'Zdroj hloubka okresy'!$A$2:$K$171,5,FALSE)</f>
        <v>1.58</v>
      </c>
      <c r="W93" s="4">
        <f>VLOOKUP(Tabulka1[[#This Row],[ID]],'Zdroj hloubka okresy'!$A$2:$K$171,6,FALSE)</f>
        <v>1.58</v>
      </c>
      <c r="X93" s="4">
        <v>8.86</v>
      </c>
      <c r="Y93" s="4">
        <v>9.18</v>
      </c>
      <c r="Z93" s="4">
        <v>7.25</v>
      </c>
      <c r="AA93" s="4">
        <v>7.55</v>
      </c>
      <c r="AB93" s="4">
        <v>16.39</v>
      </c>
      <c r="AC93" s="4">
        <v>16.37</v>
      </c>
      <c r="AD93" s="4">
        <v>20.78</v>
      </c>
      <c r="AE93" s="4">
        <v>21.34</v>
      </c>
      <c r="AF93" s="4">
        <v>46.72</v>
      </c>
      <c r="AG93" s="4">
        <v>45.56</v>
      </c>
      <c r="AH93" s="4" t="s">
        <v>758</v>
      </c>
      <c r="AI93" s="5" t="s">
        <v>791</v>
      </c>
      <c r="AJ93" s="4">
        <v>3.23</v>
      </c>
      <c r="AK93" s="4">
        <v>4</v>
      </c>
      <c r="AL93" s="4" t="s">
        <v>797</v>
      </c>
      <c r="AM93" s="20" t="s">
        <v>796</v>
      </c>
      <c r="AN93" s="16" t="s">
        <v>804</v>
      </c>
      <c r="AO93" s="326"/>
      <c r="AP93" s="15">
        <v>0</v>
      </c>
      <c r="AQ93" s="9" t="str">
        <f>MID(Tabulka1[[#This Row],[BPEJ]],1,1)</f>
        <v>5</v>
      </c>
      <c r="AW93" s="9"/>
      <c r="AX93">
        <v>5</v>
      </c>
      <c r="AY93" s="114">
        <v>32</v>
      </c>
      <c r="AZ93" s="114">
        <v>5</v>
      </c>
      <c r="BA93" s="114">
        <v>4</v>
      </c>
      <c r="BB93" s="9">
        <v>5</v>
      </c>
      <c r="BC93" s="9" t="str">
        <f>MID(Tabulka1[[#This Row],[BPEJ]],3,2)</f>
        <v>32</v>
      </c>
      <c r="BD93" s="9" t="str">
        <f>MID(Tabulka1[[#This Row],[BPEJ]],6,1)</f>
        <v>5</v>
      </c>
      <c r="BE93" s="9" t="str">
        <f>MID(Tabulka1[[#This Row],[BPEJ]],7,1)</f>
        <v>4</v>
      </c>
      <c r="BF93" s="2" t="str">
        <f t="shared" si="6"/>
        <v>T</v>
      </c>
      <c r="BG93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93" s="7">
        <v>1.54</v>
      </c>
      <c r="BI93" s="2">
        <f t="shared" si="7"/>
        <v>15.4</v>
      </c>
      <c r="BJ93" s="2">
        <f>Tabulka1[[#This Row],[P2O5_60]]*10</f>
        <v>252.99999999999997</v>
      </c>
      <c r="BK93" s="2">
        <f>Tabulka1[[#This Row],[K2O_30]]*10</f>
        <v>648.00000000000011</v>
      </c>
      <c r="BL93" s="2">
        <f>Tabulka1[[#This Row],[K2O_60]]*10</f>
        <v>495</v>
      </c>
      <c r="BN93" s="2">
        <f>VLOOKUP(Tabulka1[[#This Row],[ID]],'Zdroj hloubka okresy'!$A$2:$F$171,5,FALSE)</f>
        <v>1.58</v>
      </c>
      <c r="BO93" s="2">
        <f>VLOOKUP(Tabulka1[[#This Row],[ID]],'Zdroj hloubka okresy'!$A$2:$D$171,3,FALSE)</f>
        <v>24</v>
      </c>
      <c r="BP93" s="2">
        <f>VLOOKUP(Tabulka1[[#This Row],[ID]],'Zdroj hloubka okresy'!$A$2:$D$171,4,FALSE)</f>
        <v>32</v>
      </c>
    </row>
    <row r="94" spans="1:68" x14ac:dyDescent="0.35">
      <c r="A94" s="13">
        <v>4363</v>
      </c>
      <c r="B94" s="14" t="s">
        <v>115</v>
      </c>
      <c r="C94" s="7">
        <v>5.95</v>
      </c>
      <c r="D94" s="7">
        <v>6.22</v>
      </c>
      <c r="E94" s="7">
        <v>5.76</v>
      </c>
      <c r="F94" s="7">
        <v>5.8</v>
      </c>
      <c r="G94" s="7">
        <v>1.81</v>
      </c>
      <c r="H94" s="7">
        <v>1.33</v>
      </c>
      <c r="I94" s="7">
        <v>1.05</v>
      </c>
      <c r="J94" s="7">
        <v>0.77</v>
      </c>
      <c r="K94" s="7"/>
      <c r="L94" s="7"/>
      <c r="M94" s="7">
        <v>53</v>
      </c>
      <c r="N94" s="139">
        <v>34</v>
      </c>
      <c r="O94" s="139">
        <v>101.19999999999999</v>
      </c>
      <c r="P94" s="139">
        <v>76.2</v>
      </c>
      <c r="Q94" s="7">
        <v>13.97</v>
      </c>
      <c r="R94" s="7">
        <v>13.02</v>
      </c>
      <c r="S94" s="7">
        <v>68.099999999999994</v>
      </c>
      <c r="T94" s="7">
        <v>72.05</v>
      </c>
      <c r="U94" s="4">
        <v>4</v>
      </c>
      <c r="V94" s="4">
        <f>VLOOKUP(Tabulka1[[#This Row],[ID]],'Zdroj hloubka okresy'!$A$2:$K$171,5,FALSE)</f>
        <v>1.46</v>
      </c>
      <c r="W94" s="4">
        <f>VLOOKUP(Tabulka1[[#This Row],[ID]],'Zdroj hloubka okresy'!$A$2:$K$171,6,FALSE)</f>
        <v>1.47</v>
      </c>
      <c r="X94" s="4">
        <v>14.72</v>
      </c>
      <c r="Y94" s="4">
        <v>15.06</v>
      </c>
      <c r="Z94" s="4">
        <v>12.16</v>
      </c>
      <c r="AA94" s="4">
        <v>10.93</v>
      </c>
      <c r="AB94" s="4">
        <v>26.57</v>
      </c>
      <c r="AC94" s="4">
        <v>25.36</v>
      </c>
      <c r="AD94" s="4">
        <v>23.02</v>
      </c>
      <c r="AE94" s="4">
        <v>22.16</v>
      </c>
      <c r="AF94" s="4">
        <v>23.53</v>
      </c>
      <c r="AG94" s="4">
        <v>26.5</v>
      </c>
      <c r="AH94" s="4" t="s">
        <v>720</v>
      </c>
      <c r="AI94" s="5" t="s">
        <v>792</v>
      </c>
      <c r="AJ94" s="4">
        <v>7.04</v>
      </c>
      <c r="AK94" s="4">
        <v>4</v>
      </c>
      <c r="AL94" s="4" t="s">
        <v>797</v>
      </c>
      <c r="AM94" s="20" t="s">
        <v>824</v>
      </c>
      <c r="AN94" s="16" t="s">
        <v>806</v>
      </c>
      <c r="AO94" s="326"/>
      <c r="AP94" s="15">
        <v>0</v>
      </c>
      <c r="AQ94" s="9" t="str">
        <f>MID(Tabulka1[[#This Row],[BPEJ]],1,1)</f>
        <v>5</v>
      </c>
      <c r="AW94" s="9"/>
      <c r="AX94">
        <v>5</v>
      </c>
      <c r="AY94" s="114">
        <v>47</v>
      </c>
      <c r="AZ94" s="114">
        <v>0</v>
      </c>
      <c r="BA94" s="114">
        <v>0</v>
      </c>
      <c r="BB94" s="9">
        <v>5</v>
      </c>
      <c r="BC94" s="9" t="str">
        <f>MID(Tabulka1[[#This Row],[BPEJ]],3,2)</f>
        <v>47</v>
      </c>
      <c r="BD94" s="9" t="str">
        <f>MID(Tabulka1[[#This Row],[BPEJ]],6,1)</f>
        <v>0</v>
      </c>
      <c r="BE94" s="9" t="str">
        <f>MID(Tabulka1[[#This Row],[BPEJ]],7,1)</f>
        <v>0</v>
      </c>
      <c r="BF94" s="2" t="str">
        <f t="shared" si="6"/>
        <v>T</v>
      </c>
      <c r="BG94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94" s="134">
        <v>5.3</v>
      </c>
      <c r="BI94" s="2">
        <f t="shared" si="7"/>
        <v>53</v>
      </c>
      <c r="BJ94" s="2">
        <f>Tabulka1[[#This Row],[P2O5_60]]*10</f>
        <v>340</v>
      </c>
      <c r="BK94" s="2">
        <f>Tabulka1[[#This Row],[K2O_30]]*10</f>
        <v>1011.9999999999999</v>
      </c>
      <c r="BL94" s="2">
        <f>Tabulka1[[#This Row],[K2O_60]]*10</f>
        <v>762</v>
      </c>
      <c r="BN94" s="2">
        <f>VLOOKUP(Tabulka1[[#This Row],[ID]],'Zdroj hloubka okresy'!$A$2:$F$171,5,FALSE)</f>
        <v>1.46</v>
      </c>
      <c r="BO94" s="2">
        <f>VLOOKUP(Tabulka1[[#This Row],[ID]],'Zdroj hloubka okresy'!$A$2:$D$171,3,FALSE)</f>
        <v>21</v>
      </c>
      <c r="BP94" s="2">
        <f>VLOOKUP(Tabulka1[[#This Row],[ID]],'Zdroj hloubka okresy'!$A$2:$D$171,4,FALSE)</f>
        <v>21</v>
      </c>
    </row>
    <row r="95" spans="1:68" x14ac:dyDescent="0.35">
      <c r="A95" s="13">
        <v>4366</v>
      </c>
      <c r="B95" s="14" t="s">
        <v>113</v>
      </c>
      <c r="C95" s="7">
        <v>5.18</v>
      </c>
      <c r="D95" s="7">
        <v>5.7</v>
      </c>
      <c r="E95" s="7">
        <v>4.68</v>
      </c>
      <c r="F95" s="7">
        <v>4.7699999999999996</v>
      </c>
      <c r="G95" s="7">
        <v>1.78</v>
      </c>
      <c r="H95" s="7">
        <v>1.1399999999999999</v>
      </c>
      <c r="I95" s="7">
        <v>1.03</v>
      </c>
      <c r="J95" s="7">
        <v>0.66</v>
      </c>
      <c r="K95" s="7"/>
      <c r="L95" s="7"/>
      <c r="M95" s="7">
        <v>17.2</v>
      </c>
      <c r="N95" s="139">
        <v>12.4</v>
      </c>
      <c r="O95" s="139">
        <v>195.10000000000002</v>
      </c>
      <c r="P95" s="139">
        <v>129.19999999999999</v>
      </c>
      <c r="Q95" s="7">
        <v>19.16</v>
      </c>
      <c r="R95" s="7">
        <v>23.23</v>
      </c>
      <c r="S95" s="7">
        <v>60.7</v>
      </c>
      <c r="T95" s="7">
        <v>72.069999999999993</v>
      </c>
      <c r="U95" s="4">
        <v>3</v>
      </c>
      <c r="V95" s="4">
        <f>VLOOKUP(Tabulka1[[#This Row],[ID]],'Zdroj hloubka okresy'!$A$2:$K$171,5,FALSE)</f>
        <v>1.51</v>
      </c>
      <c r="W95" s="4">
        <f>VLOOKUP(Tabulka1[[#This Row],[ID]],'Zdroj hloubka okresy'!$A$2:$K$171,6,FALSE)</f>
        <v>1.51</v>
      </c>
      <c r="X95" s="4">
        <v>12.23</v>
      </c>
      <c r="Y95" s="4">
        <v>11.62</v>
      </c>
      <c r="Z95" s="4">
        <v>8.4499999999999993</v>
      </c>
      <c r="AA95" s="4">
        <v>7.22</v>
      </c>
      <c r="AB95" s="4">
        <v>27.56</v>
      </c>
      <c r="AC95" s="4">
        <v>27.16</v>
      </c>
      <c r="AD95" s="4">
        <v>32.64</v>
      </c>
      <c r="AE95" s="4">
        <v>34.03</v>
      </c>
      <c r="AF95" s="4">
        <v>19.12</v>
      </c>
      <c r="AG95" s="4">
        <v>19.98</v>
      </c>
      <c r="AH95" s="4" t="s">
        <v>747</v>
      </c>
      <c r="AI95" s="5" t="s">
        <v>791</v>
      </c>
      <c r="AJ95" s="4">
        <v>3.26</v>
      </c>
      <c r="AK95" s="4">
        <v>5</v>
      </c>
      <c r="AL95" s="4" t="s">
        <v>798</v>
      </c>
      <c r="AM95" s="20" t="s">
        <v>824</v>
      </c>
      <c r="AN95" s="16" t="s">
        <v>804</v>
      </c>
      <c r="AO95" s="326"/>
      <c r="AP95" s="15">
        <v>0</v>
      </c>
      <c r="AQ95" s="9" t="str">
        <f>MID(Tabulka1[[#This Row],[BPEJ]],1,1)</f>
        <v>5</v>
      </c>
      <c r="AW95" s="9"/>
      <c r="AX95">
        <v>5</v>
      </c>
      <c r="AY95" s="114">
        <v>27</v>
      </c>
      <c r="AZ95" s="114">
        <v>5</v>
      </c>
      <c r="BA95" s="114">
        <v>4</v>
      </c>
      <c r="BB95" s="9">
        <v>5</v>
      </c>
      <c r="BC95" s="9" t="str">
        <f>MID(Tabulka1[[#This Row],[BPEJ]],3,2)</f>
        <v>27</v>
      </c>
      <c r="BD95" s="9" t="str">
        <f>MID(Tabulka1[[#This Row],[BPEJ]],6,1)</f>
        <v>5</v>
      </c>
      <c r="BE95" s="9" t="str">
        <f>MID(Tabulka1[[#This Row],[BPEJ]],7,1)</f>
        <v>4</v>
      </c>
      <c r="BF95" s="2" t="str">
        <f t="shared" si="6"/>
        <v>T</v>
      </c>
      <c r="BG95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95" s="7">
        <v>1.72</v>
      </c>
      <c r="BI95" s="2">
        <f t="shared" si="7"/>
        <v>17.2</v>
      </c>
      <c r="BJ95" s="2">
        <f>Tabulka1[[#This Row],[P2O5_60]]*10</f>
        <v>124</v>
      </c>
      <c r="BK95" s="2">
        <f>Tabulka1[[#This Row],[K2O_30]]*10</f>
        <v>1951.0000000000002</v>
      </c>
      <c r="BL95" s="2">
        <f>Tabulka1[[#This Row],[K2O_60]]*10</f>
        <v>1292</v>
      </c>
      <c r="BN95" s="2">
        <f>VLOOKUP(Tabulka1[[#This Row],[ID]],'Zdroj hloubka okresy'!$A$2:$F$171,5,FALSE)</f>
        <v>1.51</v>
      </c>
      <c r="BO95" s="2">
        <f>VLOOKUP(Tabulka1[[#This Row],[ID]],'Zdroj hloubka okresy'!$A$2:$D$171,3,FALSE)</f>
        <v>23</v>
      </c>
      <c r="BP95" s="2">
        <f>VLOOKUP(Tabulka1[[#This Row],[ID]],'Zdroj hloubka okresy'!$A$2:$D$171,4,FALSE)</f>
        <v>26</v>
      </c>
    </row>
    <row r="96" spans="1:68" x14ac:dyDescent="0.35">
      <c r="A96" s="13">
        <v>4369</v>
      </c>
      <c r="B96" s="14" t="s">
        <v>109</v>
      </c>
      <c r="C96" s="7">
        <v>5.57</v>
      </c>
      <c r="D96" s="7">
        <v>5.69</v>
      </c>
      <c r="E96" s="7">
        <v>5.08</v>
      </c>
      <c r="F96" s="7">
        <v>4.8899999999999997</v>
      </c>
      <c r="G96" s="7">
        <v>5.01</v>
      </c>
      <c r="H96" s="7">
        <v>2.77</v>
      </c>
      <c r="I96" s="7">
        <v>2.91</v>
      </c>
      <c r="J96" s="7">
        <v>1.6</v>
      </c>
      <c r="K96" s="7"/>
      <c r="L96" s="7"/>
      <c r="M96" s="7">
        <v>8.5</v>
      </c>
      <c r="N96" s="139">
        <v>9.2000000000000011</v>
      </c>
      <c r="O96" s="139">
        <v>79.5</v>
      </c>
      <c r="P96" s="139">
        <v>108.3</v>
      </c>
      <c r="Q96" s="7">
        <v>23.98</v>
      </c>
      <c r="R96" s="7">
        <v>19.84</v>
      </c>
      <c r="S96" s="7">
        <v>44.37</v>
      </c>
      <c r="T96" s="7">
        <v>53.18</v>
      </c>
      <c r="U96" s="4">
        <v>1</v>
      </c>
      <c r="V96" s="4">
        <f>VLOOKUP(Tabulka1[[#This Row],[ID]],'Zdroj hloubka okresy'!$A$2:$K$171,5,FALSE)</f>
        <v>1.57</v>
      </c>
      <c r="W96" s="4">
        <f>VLOOKUP(Tabulka1[[#This Row],[ID]],'Zdroj hloubka okresy'!$A$2:$K$171,6,FALSE)</f>
        <v>1.31</v>
      </c>
      <c r="X96" s="4">
        <v>12.89</v>
      </c>
      <c r="Y96" s="4">
        <v>22.24</v>
      </c>
      <c r="Z96" s="4">
        <v>10.67</v>
      </c>
      <c r="AA96" s="4">
        <v>10.94</v>
      </c>
      <c r="AB96" s="4">
        <v>34.770000000000003</v>
      </c>
      <c r="AC96" s="4">
        <v>33.090000000000003</v>
      </c>
      <c r="AD96" s="4">
        <v>20.69</v>
      </c>
      <c r="AE96" s="4">
        <v>15.1</v>
      </c>
      <c r="AF96" s="4">
        <v>20.98</v>
      </c>
      <c r="AG96" s="4">
        <v>18.64</v>
      </c>
      <c r="AH96" s="4" t="s">
        <v>710</v>
      </c>
      <c r="AI96" s="5" t="s">
        <v>791</v>
      </c>
      <c r="AJ96" s="4">
        <v>1.39</v>
      </c>
      <c r="AK96" s="4">
        <v>5</v>
      </c>
      <c r="AL96" s="4" t="s">
        <v>798</v>
      </c>
      <c r="AM96" s="20" t="s">
        <v>796</v>
      </c>
      <c r="AN96" s="16" t="s">
        <v>806</v>
      </c>
      <c r="AO96" s="326"/>
      <c r="AP96" s="15">
        <v>0</v>
      </c>
      <c r="AQ96" s="9" t="str">
        <f>MID(Tabulka1[[#This Row],[BPEJ]],1,1)</f>
        <v>5</v>
      </c>
      <c r="AW96" s="9"/>
      <c r="AX96">
        <v>5</v>
      </c>
      <c r="AY96" s="114">
        <v>67</v>
      </c>
      <c r="AZ96" s="114">
        <v>0</v>
      </c>
      <c r="BA96" s="114">
        <v>1</v>
      </c>
      <c r="BB96" s="9">
        <v>5</v>
      </c>
      <c r="BC96" s="9" t="str">
        <f>MID(Tabulka1[[#This Row],[BPEJ]],3,2)</f>
        <v>67</v>
      </c>
      <c r="BD96" s="9" t="str">
        <f>MID(Tabulka1[[#This Row],[BPEJ]],6,1)</f>
        <v>0</v>
      </c>
      <c r="BE96" s="9" t="str">
        <f>MID(Tabulka1[[#This Row],[BPEJ]],7,1)</f>
        <v>1</v>
      </c>
      <c r="BF96" s="2" t="str">
        <f t="shared" si="6"/>
        <v>T</v>
      </c>
      <c r="BG96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96" s="134">
        <v>0.85</v>
      </c>
      <c r="BI96" s="2">
        <f t="shared" si="7"/>
        <v>8.5</v>
      </c>
      <c r="BJ96" s="2">
        <f>Tabulka1[[#This Row],[P2O5_60]]*10</f>
        <v>92.000000000000014</v>
      </c>
      <c r="BK96" s="2">
        <f>Tabulka1[[#This Row],[K2O_30]]*10</f>
        <v>795</v>
      </c>
      <c r="BL96" s="2">
        <f>Tabulka1[[#This Row],[K2O_60]]*10</f>
        <v>1083</v>
      </c>
      <c r="BN96" s="2">
        <f>VLOOKUP(Tabulka1[[#This Row],[ID]],'Zdroj hloubka okresy'!$A$2:$F$171,5,FALSE)</f>
        <v>1.57</v>
      </c>
      <c r="BO96" s="2">
        <f>VLOOKUP(Tabulka1[[#This Row],[ID]],'Zdroj hloubka okresy'!$A$2:$D$171,3,FALSE)</f>
        <v>23</v>
      </c>
      <c r="BP96" s="2">
        <f>VLOOKUP(Tabulka1[[#This Row],[ID]],'Zdroj hloubka okresy'!$A$2:$D$171,4,FALSE)</f>
        <v>37</v>
      </c>
    </row>
    <row r="97" spans="1:68" x14ac:dyDescent="0.35">
      <c r="A97" s="13">
        <v>4372</v>
      </c>
      <c r="B97" s="14" t="s">
        <v>548</v>
      </c>
      <c r="C97" s="7">
        <v>4.8600000000000003</v>
      </c>
      <c r="D97" s="7">
        <v>4.96</v>
      </c>
      <c r="E97" s="7">
        <v>4.54</v>
      </c>
      <c r="F97" s="7">
        <v>4.5199999999999996</v>
      </c>
      <c r="G97" s="7">
        <v>4.3</v>
      </c>
      <c r="H97" s="7">
        <v>2.59</v>
      </c>
      <c r="I97" s="7">
        <v>2.4900000000000002</v>
      </c>
      <c r="J97" s="7">
        <v>1.5</v>
      </c>
      <c r="K97" s="7"/>
      <c r="L97" s="7"/>
      <c r="M97" s="7">
        <v>19.899999999999999</v>
      </c>
      <c r="N97" s="139">
        <v>12</v>
      </c>
      <c r="O97" s="139">
        <v>110.8</v>
      </c>
      <c r="P97" s="139">
        <v>84.399999999999991</v>
      </c>
      <c r="Q97" s="7">
        <v>22.21</v>
      </c>
      <c r="R97" s="7">
        <v>19.18</v>
      </c>
      <c r="S97" s="7">
        <v>29.9</v>
      </c>
      <c r="T97" s="7">
        <v>35.950000000000003</v>
      </c>
      <c r="U97" s="4">
        <v>2</v>
      </c>
      <c r="V97" s="4">
        <f>VLOOKUP(Tabulka1[[#This Row],[ID]],'Zdroj hloubka okresy'!$A$2:$K$171,5,FALSE)</f>
        <v>1.47</v>
      </c>
      <c r="W97" s="4">
        <f>VLOOKUP(Tabulka1[[#This Row],[ID]],'Zdroj hloubka okresy'!$A$2:$K$171,6,FALSE)</f>
        <v>1.4</v>
      </c>
      <c r="X97" s="4">
        <v>14.45</v>
      </c>
      <c r="Y97" s="4">
        <v>21.92</v>
      </c>
      <c r="Z97" s="4">
        <v>17.760000000000002</v>
      </c>
      <c r="AA97" s="4">
        <v>13.13</v>
      </c>
      <c r="AB97" s="4">
        <v>20.68</v>
      </c>
      <c r="AC97" s="4">
        <v>18.920000000000002</v>
      </c>
      <c r="AD97" s="4">
        <v>30.95</v>
      </c>
      <c r="AE97" s="4">
        <v>27.95</v>
      </c>
      <c r="AF97" s="4">
        <v>16.16</v>
      </c>
      <c r="AG97" s="4">
        <v>18.079999999999998</v>
      </c>
      <c r="AH97" s="4" t="s">
        <v>746</v>
      </c>
      <c r="AI97" s="5" t="s">
        <v>789</v>
      </c>
      <c r="AJ97" s="4">
        <v>7.87</v>
      </c>
      <c r="AK97" s="4">
        <v>4</v>
      </c>
      <c r="AL97" s="4" t="s">
        <v>797</v>
      </c>
      <c r="AM97" s="20" t="s">
        <v>824</v>
      </c>
      <c r="AN97" s="16" t="s">
        <v>803</v>
      </c>
      <c r="AO97" s="326"/>
      <c r="AP97" s="15">
        <v>0</v>
      </c>
      <c r="AQ97" s="9" t="str">
        <f>MID(Tabulka1[[#This Row],[BPEJ]],1,1)</f>
        <v>5</v>
      </c>
      <c r="AW97" s="9"/>
      <c r="AX97">
        <v>5</v>
      </c>
      <c r="AY97" s="114">
        <v>58</v>
      </c>
      <c r="AZ97" s="114">
        <v>0</v>
      </c>
      <c r="BA97" s="114">
        <v>0</v>
      </c>
      <c r="BB97" s="9">
        <v>5</v>
      </c>
      <c r="BC97" s="9" t="str">
        <f>MID(Tabulka1[[#This Row],[BPEJ]],3,2)</f>
        <v>58</v>
      </c>
      <c r="BD97" s="9" t="str">
        <f>MID(Tabulka1[[#This Row],[BPEJ]],6,1)</f>
        <v>0</v>
      </c>
      <c r="BE97" s="9" t="str">
        <f>MID(Tabulka1[[#This Row],[BPEJ]],7,1)</f>
        <v>0</v>
      </c>
      <c r="BF97" s="2" t="str">
        <f t="shared" si="6"/>
        <v>T</v>
      </c>
      <c r="BG97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97" s="7">
        <v>1.99</v>
      </c>
      <c r="BI97" s="2">
        <f t="shared" si="7"/>
        <v>19.899999999999999</v>
      </c>
      <c r="BJ97" s="2">
        <f>Tabulka1[[#This Row],[P2O5_60]]*10</f>
        <v>120</v>
      </c>
      <c r="BK97" s="2">
        <f>Tabulka1[[#This Row],[K2O_30]]*10</f>
        <v>1108</v>
      </c>
      <c r="BL97" s="2">
        <f>Tabulka1[[#This Row],[K2O_60]]*10</f>
        <v>843.99999999999989</v>
      </c>
      <c r="BN97" s="2">
        <f>VLOOKUP(Tabulka1[[#This Row],[ID]],'Zdroj hloubka okresy'!$A$2:$F$171,5,FALSE)</f>
        <v>1.47</v>
      </c>
      <c r="BO97" s="2">
        <f>VLOOKUP(Tabulka1[[#This Row],[ID]],'Zdroj hloubka okresy'!$A$2:$D$171,3,FALSE)</f>
        <v>21</v>
      </c>
      <c r="BP97" s="2">
        <f>VLOOKUP(Tabulka1[[#This Row],[ID]],'Zdroj hloubka okresy'!$A$2:$D$171,4,FALSE)</f>
        <v>24</v>
      </c>
    </row>
    <row r="98" spans="1:68" x14ac:dyDescent="0.35">
      <c r="A98" s="13">
        <v>4375</v>
      </c>
      <c r="B98" s="14" t="s">
        <v>121</v>
      </c>
      <c r="C98" s="7">
        <v>6.21</v>
      </c>
      <c r="D98" s="7">
        <v>6.58</v>
      </c>
      <c r="E98" s="7">
        <v>5.03</v>
      </c>
      <c r="F98" s="7">
        <v>4.9400000000000004</v>
      </c>
      <c r="G98" s="7">
        <v>1.94</v>
      </c>
      <c r="H98" s="7">
        <v>1.1499999999999999</v>
      </c>
      <c r="I98" s="7">
        <v>1.1299999999999999</v>
      </c>
      <c r="J98" s="7">
        <v>0.67</v>
      </c>
      <c r="K98" s="7"/>
      <c r="L98" s="7"/>
      <c r="M98" s="7">
        <v>34.900000000000006</v>
      </c>
      <c r="N98" s="139">
        <v>35.5</v>
      </c>
      <c r="O98" s="139">
        <v>127.5</v>
      </c>
      <c r="P98" s="139">
        <v>82.899999999999991</v>
      </c>
      <c r="Q98" s="7">
        <v>14.06</v>
      </c>
      <c r="R98" s="7">
        <v>13.79</v>
      </c>
      <c r="S98" s="7">
        <v>67.27</v>
      </c>
      <c r="T98" s="7">
        <v>74.23</v>
      </c>
      <c r="U98" s="4">
        <v>2</v>
      </c>
      <c r="V98" s="4">
        <f>VLOOKUP(Tabulka1[[#This Row],[ID]],'Zdroj hloubka okresy'!$A$2:$K$171,5,FALSE)</f>
        <v>1.65</v>
      </c>
      <c r="W98" s="4">
        <f>VLOOKUP(Tabulka1[[#This Row],[ID]],'Zdroj hloubka okresy'!$A$2:$K$171,6,FALSE)</f>
        <v>1.69</v>
      </c>
      <c r="X98" s="4">
        <v>6.16</v>
      </c>
      <c r="Y98" s="4">
        <v>5.21</v>
      </c>
      <c r="Z98" s="4">
        <v>7.27</v>
      </c>
      <c r="AA98" s="4">
        <v>5.07</v>
      </c>
      <c r="AB98" s="4">
        <v>10.98</v>
      </c>
      <c r="AC98" s="4">
        <v>8.43</v>
      </c>
      <c r="AD98" s="4">
        <v>17.399999999999999</v>
      </c>
      <c r="AE98" s="4">
        <v>20.170000000000002</v>
      </c>
      <c r="AF98" s="4">
        <v>58.19</v>
      </c>
      <c r="AG98" s="4">
        <v>61.13</v>
      </c>
      <c r="AH98" s="4" t="s">
        <v>693</v>
      </c>
      <c r="AI98" s="5" t="s">
        <v>790</v>
      </c>
      <c r="AJ98" s="4">
        <v>5.75</v>
      </c>
      <c r="AK98" s="4">
        <v>5</v>
      </c>
      <c r="AL98" s="4" t="s">
        <v>798</v>
      </c>
      <c r="AM98" s="20" t="s">
        <v>824</v>
      </c>
      <c r="AN98" s="16" t="s">
        <v>804</v>
      </c>
      <c r="AO98" s="326"/>
      <c r="AP98" s="15">
        <v>0</v>
      </c>
      <c r="AQ98" s="9" t="str">
        <f>MID(Tabulka1[[#This Row],[BPEJ]],1,1)</f>
        <v>5</v>
      </c>
      <c r="AW98" s="9"/>
      <c r="AX98">
        <v>5</v>
      </c>
      <c r="AY98" s="114">
        <v>32</v>
      </c>
      <c r="AZ98" s="114">
        <v>1</v>
      </c>
      <c r="BA98" s="114">
        <v>1</v>
      </c>
      <c r="BB98" s="9">
        <v>5</v>
      </c>
      <c r="BC98" s="9" t="str">
        <f>MID(Tabulka1[[#This Row],[BPEJ]],3,2)</f>
        <v>32</v>
      </c>
      <c r="BD98" s="9" t="str">
        <f>MID(Tabulka1[[#This Row],[BPEJ]],6,1)</f>
        <v>1</v>
      </c>
      <c r="BE98" s="9" t="str">
        <f>MID(Tabulka1[[#This Row],[BPEJ]],7,1)</f>
        <v>1</v>
      </c>
      <c r="BF98" s="2" t="str">
        <f t="shared" si="6"/>
        <v>T</v>
      </c>
      <c r="BG98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98" s="134">
        <v>3.49</v>
      </c>
      <c r="BI98" s="2">
        <f t="shared" si="7"/>
        <v>34.900000000000006</v>
      </c>
      <c r="BJ98" s="2">
        <f>Tabulka1[[#This Row],[P2O5_60]]*10</f>
        <v>355</v>
      </c>
      <c r="BK98" s="2">
        <f>Tabulka1[[#This Row],[K2O_30]]*10</f>
        <v>1275</v>
      </c>
      <c r="BL98" s="2">
        <f>Tabulka1[[#This Row],[K2O_60]]*10</f>
        <v>828.99999999999989</v>
      </c>
      <c r="BN98" s="2">
        <f>VLOOKUP(Tabulka1[[#This Row],[ID]],'Zdroj hloubka okresy'!$A$2:$F$171,5,FALSE)</f>
        <v>1.65</v>
      </c>
      <c r="BO98" s="2">
        <f>VLOOKUP(Tabulka1[[#This Row],[ID]],'Zdroj hloubka okresy'!$A$2:$D$171,3,FALSE)</f>
        <v>23</v>
      </c>
      <c r="BP98" s="2">
        <f>VLOOKUP(Tabulka1[[#This Row],[ID]],'Zdroj hloubka okresy'!$A$2:$D$171,4,FALSE)</f>
        <v>25</v>
      </c>
    </row>
    <row r="99" spans="1:68" x14ac:dyDescent="0.35">
      <c r="A99" s="13">
        <v>4378</v>
      </c>
      <c r="B99" s="14" t="s">
        <v>547</v>
      </c>
      <c r="C99" s="7">
        <v>6.5</v>
      </c>
      <c r="D99" s="7">
        <v>6</v>
      </c>
      <c r="E99" s="7">
        <v>5.75</v>
      </c>
      <c r="F99" s="7">
        <v>5.19</v>
      </c>
      <c r="G99" s="7">
        <v>1.8</v>
      </c>
      <c r="H99" s="7">
        <v>1.78</v>
      </c>
      <c r="I99" s="7">
        <v>1.04</v>
      </c>
      <c r="J99" s="7">
        <v>1.03</v>
      </c>
      <c r="K99" s="7"/>
      <c r="L99" s="7"/>
      <c r="M99" s="7">
        <v>34.5</v>
      </c>
      <c r="N99" s="139">
        <v>17.3</v>
      </c>
      <c r="O99" s="139">
        <v>41.900000000000006</v>
      </c>
      <c r="P99" s="139">
        <v>33</v>
      </c>
      <c r="Q99" s="7">
        <v>24.35</v>
      </c>
      <c r="R99" s="7">
        <v>22.67</v>
      </c>
      <c r="S99" s="7">
        <v>73.930000000000007</v>
      </c>
      <c r="T99" s="7">
        <v>62.23</v>
      </c>
      <c r="U99" s="4">
        <v>3</v>
      </c>
      <c r="V99" s="4">
        <f>VLOOKUP(Tabulka1[[#This Row],[ID]],'Zdroj hloubka okresy'!$A$2:$K$171,5,FALSE)</f>
        <v>1.47</v>
      </c>
      <c r="W99" s="4">
        <f>VLOOKUP(Tabulka1[[#This Row],[ID]],'Zdroj hloubka okresy'!$A$2:$K$171,6,FALSE)</f>
        <v>1.41</v>
      </c>
      <c r="X99" s="4">
        <v>12.38</v>
      </c>
      <c r="Y99" s="4">
        <v>16.940000000000001</v>
      </c>
      <c r="Z99" s="4">
        <v>19.57</v>
      </c>
      <c r="AA99" s="4">
        <v>19.55</v>
      </c>
      <c r="AB99" s="4">
        <v>35.58</v>
      </c>
      <c r="AC99" s="4">
        <v>34.409999999999997</v>
      </c>
      <c r="AD99" s="4">
        <v>26.05</v>
      </c>
      <c r="AE99" s="4">
        <v>24</v>
      </c>
      <c r="AF99" s="4">
        <v>6.41</v>
      </c>
      <c r="AG99" s="4">
        <v>5.1100000000000003</v>
      </c>
      <c r="AH99" s="4" t="s">
        <v>746</v>
      </c>
      <c r="AI99" s="5" t="s">
        <v>789</v>
      </c>
      <c r="AJ99" s="4">
        <v>7.87</v>
      </c>
      <c r="AK99" s="4">
        <v>3</v>
      </c>
      <c r="AL99" s="4" t="s">
        <v>798</v>
      </c>
      <c r="AM99" s="20" t="s">
        <v>824</v>
      </c>
      <c r="AN99" s="16" t="s">
        <v>803</v>
      </c>
      <c r="AO99" s="326"/>
      <c r="AP99" s="15">
        <v>0</v>
      </c>
      <c r="AQ99" s="9" t="str">
        <f>MID(Tabulka1[[#This Row],[BPEJ]],1,1)</f>
        <v>5</v>
      </c>
      <c r="AW99" s="9"/>
      <c r="AX99">
        <v>5</v>
      </c>
      <c r="AY99" s="114">
        <v>58</v>
      </c>
      <c r="AZ99" s="114">
        <v>0</v>
      </c>
      <c r="BA99" s="114">
        <v>0</v>
      </c>
      <c r="BB99" s="9">
        <v>5</v>
      </c>
      <c r="BC99" s="9" t="str">
        <f>MID(Tabulka1[[#This Row],[BPEJ]],3,2)</f>
        <v>58</v>
      </c>
      <c r="BD99" s="9" t="str">
        <f>MID(Tabulka1[[#This Row],[BPEJ]],6,1)</f>
        <v>0</v>
      </c>
      <c r="BE99" s="9" t="str">
        <f>MID(Tabulka1[[#This Row],[BPEJ]],7,1)</f>
        <v>0</v>
      </c>
      <c r="BF99" s="2" t="str">
        <f t="shared" si="6"/>
        <v>T</v>
      </c>
      <c r="BG99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99" s="7">
        <v>3.45</v>
      </c>
      <c r="BI99" s="2">
        <f t="shared" si="7"/>
        <v>34.5</v>
      </c>
      <c r="BJ99" s="2">
        <f>Tabulka1[[#This Row],[P2O5_60]]*10</f>
        <v>173</v>
      </c>
      <c r="BK99" s="2">
        <f>Tabulka1[[#This Row],[K2O_30]]*10</f>
        <v>419.00000000000006</v>
      </c>
      <c r="BL99" s="2">
        <f>Tabulka1[[#This Row],[K2O_60]]*10</f>
        <v>330</v>
      </c>
      <c r="BN99" s="2">
        <f>VLOOKUP(Tabulka1[[#This Row],[ID]],'Zdroj hloubka okresy'!$A$2:$F$171,5,FALSE)</f>
        <v>1.47</v>
      </c>
      <c r="BO99" s="2">
        <f>VLOOKUP(Tabulka1[[#This Row],[ID]],'Zdroj hloubka okresy'!$A$2:$D$171,3,FALSE)</f>
        <v>23</v>
      </c>
      <c r="BP99" s="2">
        <f>VLOOKUP(Tabulka1[[#This Row],[ID]],'Zdroj hloubka okresy'!$A$2:$D$171,4,FALSE)</f>
        <v>29</v>
      </c>
    </row>
    <row r="100" spans="1:68" x14ac:dyDescent="0.35">
      <c r="A100" s="13">
        <v>5292</v>
      </c>
      <c r="B100" s="14" t="s">
        <v>76</v>
      </c>
      <c r="C100" s="7">
        <v>5.71</v>
      </c>
      <c r="D100" s="7">
        <v>5.95</v>
      </c>
      <c r="E100" s="7">
        <v>5.2</v>
      </c>
      <c r="F100" s="7">
        <v>5.17</v>
      </c>
      <c r="G100" s="7">
        <v>3.27</v>
      </c>
      <c r="H100" s="7">
        <v>2.25</v>
      </c>
      <c r="I100" s="7">
        <v>1.9</v>
      </c>
      <c r="J100" s="7">
        <v>1.31</v>
      </c>
      <c r="K100" s="7">
        <v>0</v>
      </c>
      <c r="L100" s="7">
        <v>0</v>
      </c>
      <c r="M100" s="7">
        <v>11.100000000000001</v>
      </c>
      <c r="N100" s="139">
        <v>6.1</v>
      </c>
      <c r="O100" s="139">
        <v>1</v>
      </c>
      <c r="P100" s="139">
        <v>1</v>
      </c>
      <c r="Q100" s="7">
        <v>30.7</v>
      </c>
      <c r="R100" s="7">
        <v>28.03</v>
      </c>
      <c r="S100" s="7">
        <v>56.77</v>
      </c>
      <c r="T100" s="7">
        <v>50.57</v>
      </c>
      <c r="U100" s="4">
        <v>3</v>
      </c>
      <c r="V100" s="4">
        <f>VLOOKUP(Tabulka1[[#This Row],[ID]],'Zdroj hloubka okresy'!$A$2:$K$171,5,FALSE)</f>
        <v>1.36</v>
      </c>
      <c r="W100" s="4">
        <f>VLOOKUP(Tabulka1[[#This Row],[ID]],'Zdroj hloubka okresy'!$A$2:$K$171,6,FALSE)</f>
        <v>1.34</v>
      </c>
      <c r="X100" s="4">
        <v>21.2</v>
      </c>
      <c r="Y100" s="4">
        <v>23.4</v>
      </c>
      <c r="Z100" s="4">
        <v>30.44</v>
      </c>
      <c r="AA100" s="4">
        <v>31.64</v>
      </c>
      <c r="AB100" s="4">
        <v>31.74</v>
      </c>
      <c r="AC100" s="4">
        <v>29.42</v>
      </c>
      <c r="AD100" s="4">
        <v>15.13</v>
      </c>
      <c r="AE100" s="4">
        <v>14.11</v>
      </c>
      <c r="AF100" s="4">
        <v>1.49</v>
      </c>
      <c r="AG100" s="4">
        <v>1.43</v>
      </c>
      <c r="AH100" s="4" t="s">
        <v>720</v>
      </c>
      <c r="AI100" s="5" t="s">
        <v>792</v>
      </c>
      <c r="AJ100" s="4">
        <v>7.04</v>
      </c>
      <c r="AK100" s="4">
        <v>5</v>
      </c>
      <c r="AL100" s="4" t="s">
        <v>798</v>
      </c>
      <c r="AM100" s="20" t="s">
        <v>796</v>
      </c>
      <c r="AN100" s="16" t="s">
        <v>806</v>
      </c>
      <c r="AO100" s="326"/>
      <c r="AP100" s="15">
        <v>0</v>
      </c>
      <c r="AQ100" s="9" t="str">
        <f>MID(Tabulka1[[#This Row],[BPEJ]],1,1)</f>
        <v>5</v>
      </c>
      <c r="AW100" s="9"/>
      <c r="AX100">
        <v>5</v>
      </c>
      <c r="AY100" s="114">
        <v>47</v>
      </c>
      <c r="AZ100" s="114">
        <v>0</v>
      </c>
      <c r="BA100" s="114">
        <v>0</v>
      </c>
      <c r="BB100" s="9">
        <v>5</v>
      </c>
      <c r="BC100" s="9" t="str">
        <f>MID(Tabulka1[[#This Row],[BPEJ]],3,2)</f>
        <v>47</v>
      </c>
      <c r="BD100" s="9" t="str">
        <f>MID(Tabulka1[[#This Row],[BPEJ]],6,1)</f>
        <v>0</v>
      </c>
      <c r="BE100" s="9" t="str">
        <f>MID(Tabulka1[[#This Row],[BPEJ]],7,1)</f>
        <v>0</v>
      </c>
      <c r="BF100" s="2" t="str">
        <f t="shared" ref="BF100:BF103" si="8">IF(OR(AX100=2,AX100=3,AX100=4,AX100=5),"T",IF(OR(AX100=0,AX100=1),"VT",IF(OR(AX100=6,AX100=7,AX100=8,AX100=9),"CH"," ")))</f>
        <v>T</v>
      </c>
      <c r="BG100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T</v>
      </c>
      <c r="BH100" s="7">
        <v>1.1100000000000001</v>
      </c>
      <c r="BI100" s="2">
        <f t="shared" ref="BI100:BI103" si="9">BH100*10</f>
        <v>11.100000000000001</v>
      </c>
      <c r="BJ100" s="2">
        <f>Tabulka1[[#This Row],[P2O5_60]]*10</f>
        <v>61</v>
      </c>
      <c r="BK100" s="2">
        <f>Tabulka1[[#This Row],[K2O_30]]*10</f>
        <v>10</v>
      </c>
      <c r="BL100" s="2">
        <f>Tabulka1[[#This Row],[K2O_60]]*10</f>
        <v>10</v>
      </c>
      <c r="BN100" s="2">
        <f>VLOOKUP(Tabulka1[[#This Row],[ID]],'Zdroj hloubka okresy'!$A$2:$F$171,5,FALSE)</f>
        <v>1.36</v>
      </c>
      <c r="BO100" s="2">
        <f>VLOOKUP(Tabulka1[[#This Row],[ID]],'Zdroj hloubka okresy'!$A$2:$D$171,3,FALSE)</f>
        <v>16</v>
      </c>
      <c r="BP100" s="2">
        <f>VLOOKUP(Tabulka1[[#This Row],[ID]],'Zdroj hloubka okresy'!$A$2:$D$171,4,FALSE)</f>
        <v>24</v>
      </c>
    </row>
    <row r="101" spans="1:68" x14ac:dyDescent="0.35">
      <c r="A101" s="13">
        <v>5295</v>
      </c>
      <c r="B101" s="14" t="s">
        <v>298</v>
      </c>
      <c r="C101" s="7">
        <v>5.8</v>
      </c>
      <c r="D101" s="7">
        <v>5.76</v>
      </c>
      <c r="E101" s="7">
        <v>5</v>
      </c>
      <c r="F101" s="7">
        <v>4.92</v>
      </c>
      <c r="G101" s="7">
        <v>5.78</v>
      </c>
      <c r="H101" s="7">
        <v>3.46</v>
      </c>
      <c r="I101" s="7">
        <v>3.35</v>
      </c>
      <c r="J101" s="7">
        <v>2.0099999999999998</v>
      </c>
      <c r="K101" s="7">
        <v>0</v>
      </c>
      <c r="L101" s="7">
        <v>0</v>
      </c>
      <c r="M101" s="7">
        <v>1</v>
      </c>
      <c r="N101" s="139">
        <v>1</v>
      </c>
      <c r="O101" s="139">
        <v>40.300000000000004</v>
      </c>
      <c r="P101" s="139">
        <v>20.7</v>
      </c>
      <c r="Q101" s="7">
        <v>24.83</v>
      </c>
      <c r="R101" s="7">
        <v>20.170000000000002</v>
      </c>
      <c r="S101" s="7">
        <v>42.03</v>
      </c>
      <c r="T101" s="7">
        <v>46.68</v>
      </c>
      <c r="U101" s="4">
        <v>3</v>
      </c>
      <c r="V101" s="4">
        <f>VLOOKUP(Tabulka1[[#This Row],[ID]],'Zdroj hloubka okresy'!$A$2:$K$171,5,FALSE)</f>
        <v>1.44</v>
      </c>
      <c r="W101" s="4">
        <f>VLOOKUP(Tabulka1[[#This Row],[ID]],'Zdroj hloubka okresy'!$A$2:$K$171,6,FALSE)</f>
        <v>1.4</v>
      </c>
      <c r="X101" s="4">
        <v>13.68</v>
      </c>
      <c r="Y101" s="4">
        <v>19.46</v>
      </c>
      <c r="Z101" s="4">
        <v>21.62</v>
      </c>
      <c r="AA101" s="4">
        <v>18.89</v>
      </c>
      <c r="AB101" s="4">
        <v>34.67</v>
      </c>
      <c r="AC101" s="4">
        <v>30.97</v>
      </c>
      <c r="AD101" s="4">
        <v>16.100000000000001</v>
      </c>
      <c r="AE101" s="4">
        <v>13.51</v>
      </c>
      <c r="AF101" s="4">
        <v>13.93</v>
      </c>
      <c r="AG101" s="4">
        <v>17.16</v>
      </c>
      <c r="AH101" s="4" t="s">
        <v>700</v>
      </c>
      <c r="AI101" s="5" t="s">
        <v>789</v>
      </c>
      <c r="AJ101" s="4">
        <v>9</v>
      </c>
      <c r="AK101" s="4">
        <v>6</v>
      </c>
      <c r="AL101" s="4" t="s">
        <v>800</v>
      </c>
      <c r="AM101" s="20" t="s">
        <v>796</v>
      </c>
      <c r="AN101" s="16" t="s">
        <v>802</v>
      </c>
      <c r="AO101" s="326"/>
      <c r="AP101" s="15">
        <v>0</v>
      </c>
      <c r="AQ101" s="9" t="str">
        <f>MID(Tabulka1[[#This Row],[BPEJ]],1,1)</f>
        <v>5</v>
      </c>
      <c r="AW101" s="9"/>
      <c r="AX101">
        <v>5</v>
      </c>
      <c r="AY101" s="114">
        <v>29</v>
      </c>
      <c r="AZ101" s="114">
        <v>0</v>
      </c>
      <c r="BA101" s="114">
        <v>1</v>
      </c>
      <c r="BB101" s="9">
        <v>5</v>
      </c>
      <c r="BC101" s="9" t="str">
        <f>MID(Tabulka1[[#This Row],[BPEJ]],3,2)</f>
        <v>29</v>
      </c>
      <c r="BD101" s="9" t="str">
        <f>MID(Tabulka1[[#This Row],[BPEJ]],6,1)</f>
        <v>0</v>
      </c>
      <c r="BE101" s="9" t="str">
        <f>MID(Tabulka1[[#This Row],[BPEJ]],7,1)</f>
        <v>1</v>
      </c>
      <c r="BF101" s="2" t="str">
        <f t="shared" si="8"/>
        <v>T</v>
      </c>
      <c r="BG101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01" s="134">
        <v>0.1</v>
      </c>
      <c r="BI101" s="2">
        <f t="shared" si="9"/>
        <v>1</v>
      </c>
      <c r="BJ101" s="2">
        <f>Tabulka1[[#This Row],[P2O5_60]]*10</f>
        <v>10</v>
      </c>
      <c r="BK101" s="2">
        <f>Tabulka1[[#This Row],[K2O_30]]*10</f>
        <v>403.00000000000006</v>
      </c>
      <c r="BL101" s="2">
        <f>Tabulka1[[#This Row],[K2O_60]]*10</f>
        <v>207</v>
      </c>
      <c r="BN101" s="2">
        <f>VLOOKUP(Tabulka1[[#This Row],[ID]],'Zdroj hloubka okresy'!$A$2:$F$171,5,FALSE)</f>
        <v>1.44</v>
      </c>
      <c r="BO101" s="2">
        <f>VLOOKUP(Tabulka1[[#This Row],[ID]],'Zdroj hloubka okresy'!$A$2:$D$171,3,FALSE)</f>
        <v>20</v>
      </c>
      <c r="BP101" s="2">
        <f>VLOOKUP(Tabulka1[[#This Row],[ID]],'Zdroj hloubka okresy'!$A$2:$D$171,4,FALSE)</f>
        <v>26</v>
      </c>
    </row>
    <row r="102" spans="1:68" x14ac:dyDescent="0.35">
      <c r="A102" s="13">
        <v>5298</v>
      </c>
      <c r="B102" s="14" t="s">
        <v>314</v>
      </c>
      <c r="C102" s="7">
        <v>8</v>
      </c>
      <c r="D102" s="7">
        <v>8.02</v>
      </c>
      <c r="E102" s="7">
        <v>7.4</v>
      </c>
      <c r="F102" s="7">
        <v>7.4</v>
      </c>
      <c r="G102" s="7">
        <v>3.72</v>
      </c>
      <c r="H102" s="7">
        <v>2.95</v>
      </c>
      <c r="I102" s="7">
        <v>2.16</v>
      </c>
      <c r="J102" s="7">
        <v>1.71</v>
      </c>
      <c r="K102" s="7">
        <v>18</v>
      </c>
      <c r="L102" s="7">
        <v>25.4</v>
      </c>
      <c r="M102" s="7">
        <v>89</v>
      </c>
      <c r="N102" s="139">
        <v>72.400000000000006</v>
      </c>
      <c r="O102" s="139">
        <v>50</v>
      </c>
      <c r="P102" s="139">
        <v>25.5</v>
      </c>
      <c r="Q102" s="7">
        <v>25.7</v>
      </c>
      <c r="R102" s="7">
        <v>23.89</v>
      </c>
      <c r="S102" s="7">
        <v>100</v>
      </c>
      <c r="T102" s="7">
        <v>100</v>
      </c>
      <c r="U102" s="4">
        <v>4</v>
      </c>
      <c r="V102" s="4">
        <f>VLOOKUP(Tabulka1[[#This Row],[ID]],'Zdroj hloubka okresy'!$A$2:$K$171,5,FALSE)</f>
        <v>1.38</v>
      </c>
      <c r="W102" s="4">
        <f>VLOOKUP(Tabulka1[[#This Row],[ID]],'Zdroj hloubka okresy'!$A$2:$K$171,6,FALSE)</f>
        <v>1.37</v>
      </c>
      <c r="X102" s="4">
        <v>20.079999999999998</v>
      </c>
      <c r="Y102" s="4">
        <v>20.3</v>
      </c>
      <c r="Z102" s="4">
        <v>19.12</v>
      </c>
      <c r="AA102" s="4">
        <v>17.13</v>
      </c>
      <c r="AB102" s="4">
        <v>36.700000000000003</v>
      </c>
      <c r="AC102" s="4">
        <v>35.04</v>
      </c>
      <c r="AD102" s="4">
        <v>17.8</v>
      </c>
      <c r="AE102" s="4">
        <v>20.62</v>
      </c>
      <c r="AF102" s="4">
        <v>6.3</v>
      </c>
      <c r="AG102" s="4">
        <v>6.91</v>
      </c>
      <c r="AH102" s="4" t="s">
        <v>735</v>
      </c>
      <c r="AI102" s="5" t="s">
        <v>789</v>
      </c>
      <c r="AJ102" s="4">
        <v>25.51</v>
      </c>
      <c r="AK102" s="4">
        <v>4</v>
      </c>
      <c r="AL102" s="4" t="s">
        <v>797</v>
      </c>
      <c r="AM102" s="20" t="s">
        <v>824</v>
      </c>
      <c r="AN102" s="16" t="s">
        <v>806</v>
      </c>
      <c r="AO102" s="326"/>
      <c r="AP102" s="15">
        <v>0</v>
      </c>
      <c r="AQ102" s="9" t="str">
        <f>MID(Tabulka1[[#This Row],[BPEJ]],1,1)</f>
        <v>3</v>
      </c>
      <c r="AW102" s="9"/>
      <c r="AX102">
        <v>3</v>
      </c>
      <c r="AY102" s="114">
        <v>61</v>
      </c>
      <c r="AZ102" s="114">
        <v>0</v>
      </c>
      <c r="BA102" s="114">
        <v>0</v>
      </c>
      <c r="BB102" s="9">
        <v>3</v>
      </c>
      <c r="BC102" s="9" t="str">
        <f>MID(Tabulka1[[#This Row],[BPEJ]],3,2)</f>
        <v>61</v>
      </c>
      <c r="BD102" s="9" t="str">
        <f>MID(Tabulka1[[#This Row],[BPEJ]],6,1)</f>
        <v>0</v>
      </c>
      <c r="BE102" s="9" t="str">
        <f>MID(Tabulka1[[#This Row],[BPEJ]],7,1)</f>
        <v>0</v>
      </c>
      <c r="BF102" s="2" t="str">
        <f t="shared" si="8"/>
        <v>T</v>
      </c>
      <c r="BG102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02" s="7">
        <v>8.9</v>
      </c>
      <c r="BI102" s="2">
        <f t="shared" si="9"/>
        <v>89</v>
      </c>
      <c r="BJ102" s="2">
        <f>Tabulka1[[#This Row],[P2O5_60]]*10</f>
        <v>724</v>
      </c>
      <c r="BK102" s="2">
        <f>Tabulka1[[#This Row],[K2O_30]]*10</f>
        <v>500</v>
      </c>
      <c r="BL102" s="2">
        <f>Tabulka1[[#This Row],[K2O_60]]*10</f>
        <v>255</v>
      </c>
      <c r="BN102" s="2">
        <f>VLOOKUP(Tabulka1[[#This Row],[ID]],'Zdroj hloubka okresy'!$A$2:$F$171,5,FALSE)</f>
        <v>1.38</v>
      </c>
      <c r="BO102" s="2">
        <f>VLOOKUP(Tabulka1[[#This Row],[ID]],'Zdroj hloubka okresy'!$A$2:$D$171,3,FALSE)</f>
        <v>30</v>
      </c>
      <c r="BP102" s="2">
        <f>VLOOKUP(Tabulka1[[#This Row],[ID]],'Zdroj hloubka okresy'!$A$2:$D$171,4,FALSE)</f>
        <v>18</v>
      </c>
    </row>
    <row r="103" spans="1:68" x14ac:dyDescent="0.35">
      <c r="A103" s="13">
        <v>5301</v>
      </c>
      <c r="B103" s="14" t="s">
        <v>77</v>
      </c>
      <c r="C103" s="7">
        <v>7.61</v>
      </c>
      <c r="D103" s="7">
        <v>7.64</v>
      </c>
      <c r="E103" s="7">
        <v>7.09</v>
      </c>
      <c r="F103" s="7">
        <v>7.02</v>
      </c>
      <c r="G103" s="7">
        <v>2.79</v>
      </c>
      <c r="H103" s="7">
        <v>2.6</v>
      </c>
      <c r="I103" s="7">
        <v>1.62</v>
      </c>
      <c r="J103" s="7">
        <v>1.51</v>
      </c>
      <c r="K103" s="7">
        <v>1.47</v>
      </c>
      <c r="L103" s="7">
        <v>1.1100000000000001</v>
      </c>
      <c r="M103" s="7">
        <v>197.89999999999998</v>
      </c>
      <c r="N103" s="139">
        <v>168.4</v>
      </c>
      <c r="O103" s="139">
        <v>172.7</v>
      </c>
      <c r="P103" s="139">
        <v>120</v>
      </c>
      <c r="Q103" s="7">
        <v>27.17</v>
      </c>
      <c r="R103" s="7">
        <v>28.27</v>
      </c>
      <c r="S103" s="7">
        <v>100</v>
      </c>
      <c r="T103" s="7">
        <v>100</v>
      </c>
      <c r="U103" s="4">
        <v>4</v>
      </c>
      <c r="V103" s="4">
        <f>VLOOKUP(Tabulka1[[#This Row],[ID]],'Zdroj hloubka okresy'!$A$2:$K$171,5,FALSE)</f>
        <v>1.31</v>
      </c>
      <c r="W103" s="4">
        <f>VLOOKUP(Tabulka1[[#This Row],[ID]],'Zdroj hloubka okresy'!$A$2:$K$171,6,FALSE)</f>
        <v>1.3</v>
      </c>
      <c r="X103" s="4">
        <v>30.09</v>
      </c>
      <c r="Y103" s="4">
        <v>30.96</v>
      </c>
      <c r="Z103" s="4">
        <v>18.13</v>
      </c>
      <c r="AA103" s="4">
        <v>18.739999999999998</v>
      </c>
      <c r="AB103" s="4">
        <v>30.03</v>
      </c>
      <c r="AC103" s="4">
        <v>30.99</v>
      </c>
      <c r="AD103" s="4">
        <v>14.17</v>
      </c>
      <c r="AE103" s="4">
        <v>13.24</v>
      </c>
      <c r="AF103" s="4">
        <v>7.57</v>
      </c>
      <c r="AG103" s="4">
        <v>6.07</v>
      </c>
      <c r="AH103" s="4" t="s">
        <v>734</v>
      </c>
      <c r="AI103" s="5" t="s">
        <v>793</v>
      </c>
      <c r="AJ103" s="4">
        <v>18.77</v>
      </c>
      <c r="AK103" s="4">
        <v>3</v>
      </c>
      <c r="AL103" s="4" t="s">
        <v>798</v>
      </c>
      <c r="AM103" s="20" t="s">
        <v>824</v>
      </c>
      <c r="AN103" s="16" t="s">
        <v>802</v>
      </c>
      <c r="AO103" s="326"/>
      <c r="AP103" s="15">
        <v>0</v>
      </c>
      <c r="AQ103" s="9" t="str">
        <f>MID(Tabulka1[[#This Row],[BPEJ]],1,1)</f>
        <v>3</v>
      </c>
      <c r="AW103" s="9"/>
      <c r="AX103">
        <v>3</v>
      </c>
      <c r="AY103" s="114">
        <v>60</v>
      </c>
      <c r="AZ103" s="114">
        <v>0</v>
      </c>
      <c r="BA103" s="114">
        <v>0</v>
      </c>
      <c r="BB103" s="9">
        <v>3</v>
      </c>
      <c r="BC103" s="9" t="str">
        <f>MID(Tabulka1[[#This Row],[BPEJ]],3,2)</f>
        <v>60</v>
      </c>
      <c r="BD103" s="9" t="str">
        <f>MID(Tabulka1[[#This Row],[BPEJ]],6,1)</f>
        <v>0</v>
      </c>
      <c r="BE103" s="9" t="str">
        <f>MID(Tabulka1[[#This Row],[BPEJ]],7,1)</f>
        <v>0</v>
      </c>
      <c r="BF103" s="2" t="str">
        <f t="shared" si="8"/>
        <v>T</v>
      </c>
      <c r="BG103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T</v>
      </c>
      <c r="BH103" s="134">
        <v>19.79</v>
      </c>
      <c r="BI103" s="2">
        <f t="shared" si="9"/>
        <v>197.89999999999998</v>
      </c>
      <c r="BJ103" s="2">
        <f>Tabulka1[[#This Row],[P2O5_60]]*10</f>
        <v>1684</v>
      </c>
      <c r="BK103" s="2">
        <f>Tabulka1[[#This Row],[K2O_30]]*10</f>
        <v>1727</v>
      </c>
      <c r="BL103" s="2">
        <f>Tabulka1[[#This Row],[K2O_60]]*10</f>
        <v>1200</v>
      </c>
      <c r="BN103" s="2">
        <f>VLOOKUP(Tabulka1[[#This Row],[ID]],'Zdroj hloubka okresy'!$A$2:$F$171,5,FALSE)</f>
        <v>1.31</v>
      </c>
      <c r="BO103" s="2">
        <f>VLOOKUP(Tabulka1[[#This Row],[ID]],'Zdroj hloubka okresy'!$A$2:$D$171,3,FALSE)</f>
        <v>28</v>
      </c>
      <c r="BP103" s="2">
        <f>VLOOKUP(Tabulka1[[#This Row],[ID]],'Zdroj hloubka okresy'!$A$2:$D$171,4,FALSE)</f>
        <v>24</v>
      </c>
    </row>
    <row r="104" spans="1:68" x14ac:dyDescent="0.35">
      <c r="A104" s="13">
        <v>5478</v>
      </c>
      <c r="B104" s="14" t="s">
        <v>308</v>
      </c>
      <c r="C104" s="7">
        <v>7.51</v>
      </c>
      <c r="D104" s="7">
        <v>7.64</v>
      </c>
      <c r="E104" s="7">
        <v>6.91</v>
      </c>
      <c r="F104" s="7">
        <v>6.97</v>
      </c>
      <c r="G104" s="7">
        <v>2.0099999999999998</v>
      </c>
      <c r="H104" s="7">
        <v>1.68</v>
      </c>
      <c r="I104" s="7">
        <v>1.1599999999999999</v>
      </c>
      <c r="J104" s="7">
        <v>0.97</v>
      </c>
      <c r="K104" s="7">
        <v>0</v>
      </c>
      <c r="L104" s="7">
        <v>0.92</v>
      </c>
      <c r="M104" s="7">
        <v>53.3</v>
      </c>
      <c r="N104" s="139">
        <v>44</v>
      </c>
      <c r="O104" s="139">
        <v>79.3</v>
      </c>
      <c r="P104" s="139">
        <v>71.3</v>
      </c>
      <c r="Q104" s="7">
        <v>22.53</v>
      </c>
      <c r="R104" s="7">
        <v>22.4</v>
      </c>
      <c r="S104" s="7">
        <v>96.63</v>
      </c>
      <c r="T104" s="7">
        <v>97.82</v>
      </c>
      <c r="U104" s="4">
        <v>4</v>
      </c>
      <c r="V104" s="4">
        <f>VLOOKUP(Tabulka1[[#This Row],[ID]],'Zdroj hloubka okresy'!$A$2:$K$171,5,FALSE)</f>
        <v>1.32</v>
      </c>
      <c r="W104" s="4">
        <f>VLOOKUP(Tabulka1[[#This Row],[ID]],'Zdroj hloubka okresy'!$A$2:$K$171,6,FALSE)</f>
        <v>1.29</v>
      </c>
      <c r="X104" s="4">
        <v>24.85</v>
      </c>
      <c r="Y104" s="4">
        <v>29.14</v>
      </c>
      <c r="Z104" s="4">
        <v>19.61</v>
      </c>
      <c r="AA104" s="4">
        <v>16.12</v>
      </c>
      <c r="AB104" s="4">
        <v>44.45</v>
      </c>
      <c r="AC104" s="4">
        <v>44.91</v>
      </c>
      <c r="AD104" s="4">
        <v>7.83</v>
      </c>
      <c r="AE104" s="4">
        <v>6.83</v>
      </c>
      <c r="AF104" s="4">
        <v>3.26</v>
      </c>
      <c r="AG104" s="4">
        <v>3</v>
      </c>
      <c r="AH104" s="4" t="s">
        <v>766</v>
      </c>
      <c r="AI104" s="5" t="s">
        <v>789</v>
      </c>
      <c r="AJ104" s="4">
        <v>17.41</v>
      </c>
      <c r="AK104" s="4">
        <v>5</v>
      </c>
      <c r="AL104" s="4" t="s">
        <v>798</v>
      </c>
      <c r="AM104" s="20" t="s">
        <v>824</v>
      </c>
      <c r="AN104" s="16" t="s">
        <v>802</v>
      </c>
      <c r="AO104" s="326"/>
      <c r="AP104" s="15">
        <v>0</v>
      </c>
      <c r="AQ104" s="9" t="str">
        <f>MID(Tabulka1[[#This Row],[BPEJ]],1,1)</f>
        <v>3</v>
      </c>
      <c r="AW104" s="9"/>
      <c r="AX104">
        <v>3</v>
      </c>
      <c r="AY104" s="114">
        <v>2</v>
      </c>
      <c r="AZ104" s="114">
        <v>1</v>
      </c>
      <c r="BA104" s="114">
        <v>0</v>
      </c>
      <c r="BB104" s="9">
        <v>3</v>
      </c>
      <c r="BC104" s="9" t="str">
        <f>MID(Tabulka1[[#This Row],[BPEJ]],3,2)</f>
        <v>02</v>
      </c>
      <c r="BD104" s="9" t="str">
        <f>MID(Tabulka1[[#This Row],[BPEJ]],6,1)</f>
        <v>1</v>
      </c>
      <c r="BE104" s="9" t="str">
        <f>MID(Tabulka1[[#This Row],[BPEJ]],7,1)</f>
        <v>0</v>
      </c>
      <c r="BF104" s="2" t="str">
        <f t="shared" ref="BF104:BF133" si="10">IF(OR(AX104=2,AX104=3,AX104=4,AX104=5),"T",IF(OR(AX104=0,AX104=1),"VT",IF(OR(AX104=6,AX104=7,AX104=8,AX104=9),"CH"," ")))</f>
        <v>T</v>
      </c>
      <c r="BG104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04" s="7">
        <v>5.33</v>
      </c>
      <c r="BI104" s="2">
        <f t="shared" ref="BI104:BI133" si="11">BH104*10</f>
        <v>53.3</v>
      </c>
      <c r="BJ104" s="2">
        <f>Tabulka1[[#This Row],[P2O5_60]]*10</f>
        <v>440</v>
      </c>
      <c r="BK104" s="2">
        <f>Tabulka1[[#This Row],[K2O_30]]*10</f>
        <v>793</v>
      </c>
      <c r="BL104" s="2">
        <f>Tabulka1[[#This Row],[K2O_60]]*10</f>
        <v>713</v>
      </c>
      <c r="BN104" s="2">
        <f>VLOOKUP(Tabulka1[[#This Row],[ID]],'Zdroj hloubka okresy'!$A$2:$F$171,5,FALSE)</f>
        <v>1.32</v>
      </c>
      <c r="BO104" s="2">
        <f>VLOOKUP(Tabulka1[[#This Row],[ID]],'Zdroj hloubka okresy'!$A$2:$D$171,3,FALSE)</f>
        <v>28</v>
      </c>
      <c r="BP104" s="2">
        <f>VLOOKUP(Tabulka1[[#This Row],[ID]],'Zdroj hloubka okresy'!$A$2:$D$171,4,FALSE)</f>
        <v>22</v>
      </c>
    </row>
    <row r="105" spans="1:68" x14ac:dyDescent="0.35">
      <c r="A105" s="13">
        <v>5481</v>
      </c>
      <c r="B105" s="14" t="s">
        <v>305</v>
      </c>
      <c r="C105" s="7">
        <v>7.56</v>
      </c>
      <c r="D105" s="7">
        <v>7.7</v>
      </c>
      <c r="E105" s="7">
        <v>7.3</v>
      </c>
      <c r="F105" s="7">
        <v>7.3</v>
      </c>
      <c r="G105" s="7">
        <v>2.2999999999999998</v>
      </c>
      <c r="H105" s="7">
        <v>1.95</v>
      </c>
      <c r="I105" s="7">
        <v>1.33</v>
      </c>
      <c r="J105" s="7">
        <v>1.1299999999999999</v>
      </c>
      <c r="K105" s="7">
        <v>0.1</v>
      </c>
      <c r="L105" s="7">
        <v>0.42</v>
      </c>
      <c r="M105" s="7">
        <v>105.39999999999999</v>
      </c>
      <c r="N105" s="139">
        <v>75.5</v>
      </c>
      <c r="O105" s="139">
        <v>74</v>
      </c>
      <c r="P105" s="139">
        <v>65.3</v>
      </c>
      <c r="Q105" s="7">
        <v>22.2</v>
      </c>
      <c r="R105" s="7">
        <v>21.98</v>
      </c>
      <c r="S105" s="7">
        <v>100</v>
      </c>
      <c r="T105" s="7">
        <v>100</v>
      </c>
      <c r="U105" s="4">
        <v>3</v>
      </c>
      <c r="V105" s="4">
        <f>VLOOKUP(Tabulka1[[#This Row],[ID]],'Zdroj hloubka okresy'!$A$2:$K$171,5,FALSE)</f>
        <v>1.35</v>
      </c>
      <c r="W105" s="4">
        <f>VLOOKUP(Tabulka1[[#This Row],[ID]],'Zdroj hloubka okresy'!$A$2:$K$171,6,FALSE)</f>
        <v>1.33</v>
      </c>
      <c r="X105" s="4">
        <v>21.42</v>
      </c>
      <c r="Y105" s="4">
        <v>24.32</v>
      </c>
      <c r="Z105" s="4">
        <v>13.86</v>
      </c>
      <c r="AA105" s="4">
        <v>12.77</v>
      </c>
      <c r="AB105" s="4">
        <v>51.32</v>
      </c>
      <c r="AC105" s="4">
        <v>49.91</v>
      </c>
      <c r="AD105" s="4">
        <v>11.72</v>
      </c>
      <c r="AE105" s="4">
        <v>11.66</v>
      </c>
      <c r="AF105" s="4">
        <v>1.68</v>
      </c>
      <c r="AG105" s="4">
        <v>1.34</v>
      </c>
      <c r="AH105" s="4" t="s">
        <v>767</v>
      </c>
      <c r="AI105" s="5" t="s">
        <v>789</v>
      </c>
      <c r="AJ105" s="4">
        <v>11.85</v>
      </c>
      <c r="AK105" s="4">
        <v>4</v>
      </c>
      <c r="AL105" s="4" t="s">
        <v>797</v>
      </c>
      <c r="AM105" s="20" t="s">
        <v>824</v>
      </c>
      <c r="AN105" s="16" t="s">
        <v>802</v>
      </c>
      <c r="AO105" s="326"/>
      <c r="AP105" s="15">
        <v>0</v>
      </c>
      <c r="AQ105" s="9" t="str">
        <f>MID(Tabulka1[[#This Row],[BPEJ]],1,1)</f>
        <v>3</v>
      </c>
      <c r="AW105" s="9"/>
      <c r="AX105">
        <v>3</v>
      </c>
      <c r="AY105" s="114">
        <v>5</v>
      </c>
      <c r="AZ105" s="114">
        <v>0</v>
      </c>
      <c r="BA105" s="114">
        <v>1</v>
      </c>
      <c r="BB105" s="9">
        <v>3</v>
      </c>
      <c r="BC105" s="9" t="str">
        <f>MID(Tabulka1[[#This Row],[BPEJ]],3,2)</f>
        <v>05</v>
      </c>
      <c r="BD105" s="9" t="str">
        <f>MID(Tabulka1[[#This Row],[BPEJ]],6,1)</f>
        <v>0</v>
      </c>
      <c r="BE105" s="9" t="str">
        <f>MID(Tabulka1[[#This Row],[BPEJ]],7,1)</f>
        <v>1</v>
      </c>
      <c r="BF105" s="2" t="str">
        <f t="shared" si="10"/>
        <v>T</v>
      </c>
      <c r="BG105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05" s="134">
        <v>10.54</v>
      </c>
      <c r="BI105" s="2">
        <f t="shared" si="11"/>
        <v>105.39999999999999</v>
      </c>
      <c r="BJ105" s="2">
        <f>Tabulka1[[#This Row],[P2O5_60]]*10</f>
        <v>755</v>
      </c>
      <c r="BK105" s="2">
        <f>Tabulka1[[#This Row],[K2O_30]]*10</f>
        <v>740</v>
      </c>
      <c r="BL105" s="2">
        <f>Tabulka1[[#This Row],[K2O_60]]*10</f>
        <v>653</v>
      </c>
      <c r="BN105" s="2">
        <f>VLOOKUP(Tabulka1[[#This Row],[ID]],'Zdroj hloubka okresy'!$A$2:$F$171,5,FALSE)</f>
        <v>1.35</v>
      </c>
      <c r="BO105" s="2">
        <f>VLOOKUP(Tabulka1[[#This Row],[ID]],'Zdroj hloubka okresy'!$A$2:$D$171,3,FALSE)</f>
        <v>24</v>
      </c>
      <c r="BP105" s="2">
        <f>VLOOKUP(Tabulka1[[#This Row],[ID]],'Zdroj hloubka okresy'!$A$2:$D$171,4,FALSE)</f>
        <v>26</v>
      </c>
    </row>
    <row r="106" spans="1:68" x14ac:dyDescent="0.35">
      <c r="A106" s="13">
        <v>5484</v>
      </c>
      <c r="B106" s="14" t="s">
        <v>309</v>
      </c>
      <c r="C106" s="7">
        <v>7.14</v>
      </c>
      <c r="D106" s="7">
        <v>7.42</v>
      </c>
      <c r="E106" s="7">
        <v>6.71</v>
      </c>
      <c r="F106" s="7">
        <v>6.81</v>
      </c>
      <c r="G106" s="7">
        <v>2.2200000000000002</v>
      </c>
      <c r="H106" s="7">
        <v>1.93</v>
      </c>
      <c r="I106" s="7">
        <v>1.29</v>
      </c>
      <c r="J106" s="7">
        <v>1.1200000000000001</v>
      </c>
      <c r="K106" s="7">
        <v>0</v>
      </c>
      <c r="L106" s="7">
        <v>0</v>
      </c>
      <c r="M106" s="7">
        <v>66.900000000000006</v>
      </c>
      <c r="N106" s="139">
        <v>58.9</v>
      </c>
      <c r="O106" s="139">
        <v>4.3</v>
      </c>
      <c r="P106" s="139">
        <v>27.1</v>
      </c>
      <c r="Q106" s="7">
        <v>18.34</v>
      </c>
      <c r="R106" s="7">
        <v>20.02</v>
      </c>
      <c r="S106" s="7">
        <v>93.16</v>
      </c>
      <c r="T106" s="7">
        <v>95.68</v>
      </c>
      <c r="U106" s="4">
        <v>4</v>
      </c>
      <c r="V106" s="4">
        <f>VLOOKUP(Tabulka1[[#This Row],[ID]],'Zdroj hloubka okresy'!$A$2:$K$171,5,FALSE)</f>
        <v>1.38</v>
      </c>
      <c r="W106" s="4">
        <f>VLOOKUP(Tabulka1[[#This Row],[ID]],'Zdroj hloubka okresy'!$A$2:$K$171,6,FALSE)</f>
        <v>1.35</v>
      </c>
      <c r="X106" s="4">
        <v>18.09</v>
      </c>
      <c r="Y106" s="4">
        <v>21.85</v>
      </c>
      <c r="Z106" s="4">
        <v>13.94</v>
      </c>
      <c r="AA106" s="4">
        <v>13.87</v>
      </c>
      <c r="AB106" s="4">
        <v>49.73</v>
      </c>
      <c r="AC106" s="4">
        <v>47.87</v>
      </c>
      <c r="AD106" s="4">
        <v>6.34</v>
      </c>
      <c r="AE106" s="4">
        <v>10.119999999999999</v>
      </c>
      <c r="AF106" s="4">
        <v>11.9</v>
      </c>
      <c r="AG106" s="4">
        <v>6.3</v>
      </c>
      <c r="AH106" s="4" t="s">
        <v>742</v>
      </c>
      <c r="AI106" s="5" t="s">
        <v>793</v>
      </c>
      <c r="AJ106" s="4">
        <v>17.920000000000002</v>
      </c>
      <c r="AK106" s="4">
        <v>4</v>
      </c>
      <c r="AL106" s="4" t="s">
        <v>797</v>
      </c>
      <c r="AM106" s="20" t="s">
        <v>824</v>
      </c>
      <c r="AN106" s="16" t="s">
        <v>803</v>
      </c>
      <c r="AO106" s="326"/>
      <c r="AP106" s="15">
        <v>0</v>
      </c>
      <c r="AQ106" s="9" t="str">
        <f>MID(Tabulka1[[#This Row],[BPEJ]],1,1)</f>
        <v>3</v>
      </c>
      <c r="AW106" s="9"/>
      <c r="AX106">
        <v>3</v>
      </c>
      <c r="AY106" s="114">
        <v>10</v>
      </c>
      <c r="AZ106" s="114">
        <v>0</v>
      </c>
      <c r="BA106" s="114">
        <v>0</v>
      </c>
      <c r="BB106" s="9">
        <v>3</v>
      </c>
      <c r="BC106" s="9" t="str">
        <f>MID(Tabulka1[[#This Row],[BPEJ]],3,2)</f>
        <v>10</v>
      </c>
      <c r="BD106" s="9" t="str">
        <f>MID(Tabulka1[[#This Row],[BPEJ]],6,1)</f>
        <v>0</v>
      </c>
      <c r="BE106" s="9" t="str">
        <f>MID(Tabulka1[[#This Row],[BPEJ]],7,1)</f>
        <v>0</v>
      </c>
      <c r="BF106" s="2" t="str">
        <f t="shared" si="10"/>
        <v>T</v>
      </c>
      <c r="BG106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06" s="7">
        <v>6.69</v>
      </c>
      <c r="BI106" s="2">
        <f t="shared" si="11"/>
        <v>66.900000000000006</v>
      </c>
      <c r="BJ106" s="2">
        <f>Tabulka1[[#This Row],[P2O5_60]]*10</f>
        <v>589</v>
      </c>
      <c r="BK106" s="2">
        <f>Tabulka1[[#This Row],[K2O_30]]*10</f>
        <v>43</v>
      </c>
      <c r="BL106" s="2">
        <f>Tabulka1[[#This Row],[K2O_60]]*10</f>
        <v>271</v>
      </c>
      <c r="BN106" s="2">
        <f>VLOOKUP(Tabulka1[[#This Row],[ID]],'Zdroj hloubka okresy'!$A$2:$F$171,5,FALSE)</f>
        <v>1.38</v>
      </c>
      <c r="BO106" s="2">
        <f>VLOOKUP(Tabulka1[[#This Row],[ID]],'Zdroj hloubka okresy'!$A$2:$D$171,3,FALSE)</f>
        <v>28</v>
      </c>
      <c r="BP106" s="2">
        <f>VLOOKUP(Tabulka1[[#This Row],[ID]],'Zdroj hloubka okresy'!$A$2:$D$171,4,FALSE)</f>
        <v>34</v>
      </c>
    </row>
    <row r="107" spans="1:68" x14ac:dyDescent="0.35">
      <c r="A107" s="13">
        <v>5487</v>
      </c>
      <c r="B107" s="14" t="s">
        <v>294</v>
      </c>
      <c r="C107" s="7">
        <v>7</v>
      </c>
      <c r="D107" s="7">
        <v>7.28</v>
      </c>
      <c r="E107" s="7">
        <v>6.6</v>
      </c>
      <c r="F107" s="7">
        <v>6.74</v>
      </c>
      <c r="G107" s="7">
        <v>2.0299999999999998</v>
      </c>
      <c r="H107" s="7">
        <v>1.74</v>
      </c>
      <c r="I107" s="7">
        <v>1.18</v>
      </c>
      <c r="J107" s="7">
        <v>1.01</v>
      </c>
      <c r="K107" s="7">
        <v>0</v>
      </c>
      <c r="L107" s="7">
        <v>0</v>
      </c>
      <c r="M107" s="7">
        <v>122</v>
      </c>
      <c r="N107" s="139">
        <v>106.1</v>
      </c>
      <c r="O107" s="139">
        <v>60</v>
      </c>
      <c r="P107" s="139">
        <v>64.7</v>
      </c>
      <c r="Q107" s="7">
        <v>20.399999999999999</v>
      </c>
      <c r="R107" s="7">
        <v>22.45</v>
      </c>
      <c r="S107" s="7">
        <v>92.2</v>
      </c>
      <c r="T107" s="7">
        <v>94.16</v>
      </c>
      <c r="U107" s="4">
        <v>4</v>
      </c>
      <c r="V107" s="4">
        <f>VLOOKUP(Tabulka1[[#This Row],[ID]],'Zdroj hloubka okresy'!$A$2:$K$171,5,FALSE)</f>
        <v>1.38</v>
      </c>
      <c r="W107" s="4">
        <f>VLOOKUP(Tabulka1[[#This Row],[ID]],'Zdroj hloubka okresy'!$A$2:$K$171,6,FALSE)</f>
        <v>1.35</v>
      </c>
      <c r="X107" s="4">
        <v>19.05</v>
      </c>
      <c r="Y107" s="4">
        <v>22.43</v>
      </c>
      <c r="Z107" s="4">
        <v>15.05</v>
      </c>
      <c r="AA107" s="4">
        <v>15.03</v>
      </c>
      <c r="AB107" s="4">
        <v>45.8</v>
      </c>
      <c r="AC107" s="4">
        <v>45.19</v>
      </c>
      <c r="AD107" s="4">
        <v>14.5</v>
      </c>
      <c r="AE107" s="4">
        <v>12.91</v>
      </c>
      <c r="AF107" s="4">
        <v>5.6</v>
      </c>
      <c r="AG107" s="4">
        <v>4.43</v>
      </c>
      <c r="AH107" s="4" t="s">
        <v>737</v>
      </c>
      <c r="AI107" s="5" t="s">
        <v>793</v>
      </c>
      <c r="AJ107" s="4">
        <v>18.079999999999998</v>
      </c>
      <c r="AK107" s="4">
        <v>5</v>
      </c>
      <c r="AL107" s="4" t="s">
        <v>798</v>
      </c>
      <c r="AM107" s="20" t="s">
        <v>824</v>
      </c>
      <c r="AN107" s="16" t="s">
        <v>803</v>
      </c>
      <c r="AO107" s="326"/>
      <c r="AP107" s="15">
        <v>0</v>
      </c>
      <c r="AQ107" s="9" t="str">
        <f>MID(Tabulka1[[#This Row],[BPEJ]],1,1)</f>
        <v>3</v>
      </c>
      <c r="AW107" s="9"/>
      <c r="AX107">
        <v>3</v>
      </c>
      <c r="AY107" s="114">
        <v>9</v>
      </c>
      <c r="AZ107" s="114">
        <v>0</v>
      </c>
      <c r="BA107" s="114">
        <v>0</v>
      </c>
      <c r="BB107" s="9">
        <v>3</v>
      </c>
      <c r="BC107" s="9" t="str">
        <f>MID(Tabulka1[[#This Row],[BPEJ]],3,2)</f>
        <v>09</v>
      </c>
      <c r="BD107" s="9" t="str">
        <f>MID(Tabulka1[[#This Row],[BPEJ]],6,1)</f>
        <v>0</v>
      </c>
      <c r="BE107" s="9" t="str">
        <f>MID(Tabulka1[[#This Row],[BPEJ]],7,1)</f>
        <v>0</v>
      </c>
      <c r="BF107" s="2" t="str">
        <f t="shared" si="10"/>
        <v>T</v>
      </c>
      <c r="BG107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07" s="134">
        <v>12.2</v>
      </c>
      <c r="BI107" s="2">
        <f t="shared" si="11"/>
        <v>122</v>
      </c>
      <c r="BJ107" s="2">
        <f>Tabulka1[[#This Row],[P2O5_60]]*10</f>
        <v>1061</v>
      </c>
      <c r="BK107" s="2">
        <f>Tabulka1[[#This Row],[K2O_30]]*10</f>
        <v>600</v>
      </c>
      <c r="BL107" s="2">
        <f>Tabulka1[[#This Row],[K2O_60]]*10</f>
        <v>647</v>
      </c>
      <c r="BN107" s="2">
        <f>VLOOKUP(Tabulka1[[#This Row],[ID]],'Zdroj hloubka okresy'!$A$2:$F$171,5,FALSE)</f>
        <v>1.38</v>
      </c>
      <c r="BO107" s="2">
        <f>VLOOKUP(Tabulka1[[#This Row],[ID]],'Zdroj hloubka okresy'!$A$2:$D$171,3,FALSE)</f>
        <v>32</v>
      </c>
      <c r="BP107" s="2">
        <f>VLOOKUP(Tabulka1[[#This Row],[ID]],'Zdroj hloubka okresy'!$A$2:$D$171,4,FALSE)</f>
        <v>31</v>
      </c>
    </row>
    <row r="108" spans="1:68" x14ac:dyDescent="0.35">
      <c r="A108" s="13">
        <v>5490</v>
      </c>
      <c r="B108" s="14" t="s">
        <v>292</v>
      </c>
      <c r="C108" s="7">
        <v>6.8</v>
      </c>
      <c r="D108" s="7">
        <v>7.06</v>
      </c>
      <c r="E108" s="7">
        <v>5.9</v>
      </c>
      <c r="F108" s="7">
        <v>6.19</v>
      </c>
      <c r="G108" s="7">
        <v>2.16</v>
      </c>
      <c r="H108" s="7">
        <v>1.53</v>
      </c>
      <c r="I108" s="7">
        <v>1.25</v>
      </c>
      <c r="J108" s="7">
        <v>0.88</v>
      </c>
      <c r="K108" s="7">
        <v>0</v>
      </c>
      <c r="L108" s="7">
        <v>0</v>
      </c>
      <c r="M108" s="7">
        <v>200</v>
      </c>
      <c r="N108" s="139">
        <v>200</v>
      </c>
      <c r="O108" s="139">
        <v>90</v>
      </c>
      <c r="P108" s="139">
        <v>72.699999999999989</v>
      </c>
      <c r="Q108" s="7">
        <v>17.2</v>
      </c>
      <c r="R108" s="7">
        <v>17.38</v>
      </c>
      <c r="S108" s="7">
        <v>79.7</v>
      </c>
      <c r="T108" s="7">
        <v>85.62</v>
      </c>
      <c r="U108" s="4">
        <v>4</v>
      </c>
      <c r="V108" s="4">
        <f>VLOOKUP(Tabulka1[[#This Row],[ID]],'Zdroj hloubka okresy'!$A$2:$K$171,5,FALSE)</f>
        <v>1.36</v>
      </c>
      <c r="W108" s="4">
        <f>VLOOKUP(Tabulka1[[#This Row],[ID]],'Zdroj hloubka okresy'!$A$2:$K$171,6,FALSE)</f>
        <v>1.34</v>
      </c>
      <c r="X108" s="4">
        <v>18.7</v>
      </c>
      <c r="Y108" s="4">
        <v>23.23</v>
      </c>
      <c r="Z108" s="4">
        <v>17.899999999999999</v>
      </c>
      <c r="AA108" s="4">
        <v>14.88</v>
      </c>
      <c r="AB108" s="4">
        <v>49.9</v>
      </c>
      <c r="AC108" s="4">
        <v>49.5</v>
      </c>
      <c r="AD108" s="4">
        <v>10.1</v>
      </c>
      <c r="AE108" s="4">
        <v>9.48</v>
      </c>
      <c r="AF108" s="4">
        <v>3.4</v>
      </c>
      <c r="AG108" s="4">
        <v>2.92</v>
      </c>
      <c r="AH108" s="4" t="s">
        <v>737</v>
      </c>
      <c r="AI108" s="5" t="s">
        <v>793</v>
      </c>
      <c r="AJ108" s="4">
        <v>18.079999999999998</v>
      </c>
      <c r="AK108" s="4">
        <v>5</v>
      </c>
      <c r="AL108" s="4" t="s">
        <v>798</v>
      </c>
      <c r="AM108" s="20" t="s">
        <v>824</v>
      </c>
      <c r="AN108" s="16" t="s">
        <v>803</v>
      </c>
      <c r="AO108" s="326"/>
      <c r="AP108" s="15">
        <v>0</v>
      </c>
      <c r="AQ108" s="9" t="str">
        <f>MID(Tabulka1[[#This Row],[BPEJ]],1,1)</f>
        <v>3</v>
      </c>
      <c r="AW108" s="9"/>
      <c r="AX108">
        <v>3</v>
      </c>
      <c r="AY108" s="114">
        <v>9</v>
      </c>
      <c r="AZ108" s="114">
        <v>0</v>
      </c>
      <c r="BA108" s="114">
        <v>0</v>
      </c>
      <c r="BB108" s="9">
        <v>3</v>
      </c>
      <c r="BC108" s="9" t="str">
        <f>MID(Tabulka1[[#This Row],[BPEJ]],3,2)</f>
        <v>09</v>
      </c>
      <c r="BD108" s="9" t="str">
        <f>MID(Tabulka1[[#This Row],[BPEJ]],6,1)</f>
        <v>0</v>
      </c>
      <c r="BE108" s="9" t="str">
        <f>MID(Tabulka1[[#This Row],[BPEJ]],7,1)</f>
        <v>0</v>
      </c>
      <c r="BF108" s="2" t="str">
        <f t="shared" si="10"/>
        <v>T</v>
      </c>
      <c r="BG108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08" s="7">
        <v>20</v>
      </c>
      <c r="BI108" s="2">
        <f t="shared" si="11"/>
        <v>200</v>
      </c>
      <c r="BJ108" s="2">
        <f>Tabulka1[[#This Row],[P2O5_60]]*10</f>
        <v>2000</v>
      </c>
      <c r="BK108" s="2">
        <f>Tabulka1[[#This Row],[K2O_30]]*10</f>
        <v>900</v>
      </c>
      <c r="BL108" s="2">
        <f>Tabulka1[[#This Row],[K2O_60]]*10</f>
        <v>726.99999999999989</v>
      </c>
      <c r="BN108" s="2">
        <f>VLOOKUP(Tabulka1[[#This Row],[ID]],'Zdroj hloubka okresy'!$A$2:$F$171,5,FALSE)</f>
        <v>1.36</v>
      </c>
      <c r="BO108" s="2">
        <f>VLOOKUP(Tabulka1[[#This Row],[ID]],'Zdroj hloubka okresy'!$A$2:$D$171,3,FALSE)</f>
        <v>30</v>
      </c>
      <c r="BP108" s="2">
        <f>VLOOKUP(Tabulka1[[#This Row],[ID]],'Zdroj hloubka okresy'!$A$2:$D$171,4,FALSE)</f>
        <v>14</v>
      </c>
    </row>
    <row r="109" spans="1:68" x14ac:dyDescent="0.35">
      <c r="A109" s="13">
        <v>5493</v>
      </c>
      <c r="B109" s="14" t="s">
        <v>312</v>
      </c>
      <c r="C109" s="7">
        <v>7.94</v>
      </c>
      <c r="D109" s="7">
        <v>8.02</v>
      </c>
      <c r="E109" s="7">
        <v>7.32</v>
      </c>
      <c r="F109" s="7">
        <v>7.36</v>
      </c>
      <c r="G109" s="7">
        <v>4.01</v>
      </c>
      <c r="H109" s="7">
        <v>3.52</v>
      </c>
      <c r="I109" s="7">
        <v>2.33</v>
      </c>
      <c r="J109" s="7">
        <v>2.04</v>
      </c>
      <c r="K109" s="7">
        <v>17.600000000000001</v>
      </c>
      <c r="L109" s="7">
        <v>22.8</v>
      </c>
      <c r="M109" s="7">
        <v>172.60000000000002</v>
      </c>
      <c r="N109" s="139">
        <v>117.8</v>
      </c>
      <c r="O109" s="139">
        <v>96.199999999999989</v>
      </c>
      <c r="P109" s="139">
        <v>48.6</v>
      </c>
      <c r="Q109" s="7">
        <v>30.42</v>
      </c>
      <c r="R109" s="7">
        <v>29.46</v>
      </c>
      <c r="S109" s="7">
        <v>100</v>
      </c>
      <c r="T109" s="7">
        <v>100</v>
      </c>
      <c r="U109" s="4">
        <v>4</v>
      </c>
      <c r="V109" s="4">
        <f>VLOOKUP(Tabulka1[[#This Row],[ID]],'Zdroj hloubka okresy'!$A$2:$K$171,5,FALSE)</f>
        <v>1.36</v>
      </c>
      <c r="W109" s="4">
        <f>VLOOKUP(Tabulka1[[#This Row],[ID]],'Zdroj hloubka okresy'!$A$2:$K$171,6,FALSE)</f>
        <v>1.35</v>
      </c>
      <c r="X109" s="4">
        <v>22.34</v>
      </c>
      <c r="Y109" s="4">
        <v>22.93</v>
      </c>
      <c r="Z109" s="4">
        <v>17.899999999999999</v>
      </c>
      <c r="AA109" s="4">
        <v>18.190000000000001</v>
      </c>
      <c r="AB109" s="4">
        <v>38.58</v>
      </c>
      <c r="AC109" s="4">
        <v>39.54</v>
      </c>
      <c r="AD109" s="4">
        <v>15.38</v>
      </c>
      <c r="AE109" s="4">
        <v>14.74</v>
      </c>
      <c r="AF109" s="4">
        <v>5.8</v>
      </c>
      <c r="AG109" s="4">
        <v>4.5999999999999996</v>
      </c>
      <c r="AH109" s="4" t="s">
        <v>766</v>
      </c>
      <c r="AI109" s="5" t="s">
        <v>789</v>
      </c>
      <c r="AJ109" s="4">
        <v>17.41</v>
      </c>
      <c r="AK109" s="4">
        <v>4</v>
      </c>
      <c r="AL109" s="4" t="s">
        <v>797</v>
      </c>
      <c r="AM109" s="20" t="s">
        <v>824</v>
      </c>
      <c r="AN109" s="16" t="s">
        <v>802</v>
      </c>
      <c r="AO109" s="326"/>
      <c r="AP109" s="15">
        <v>0</v>
      </c>
      <c r="AQ109" s="9" t="str">
        <f>MID(Tabulka1[[#This Row],[BPEJ]],1,1)</f>
        <v>3</v>
      </c>
      <c r="AW109" s="9"/>
      <c r="AX109">
        <v>3</v>
      </c>
      <c r="AY109" s="114">
        <v>2</v>
      </c>
      <c r="AZ109" s="114">
        <v>1</v>
      </c>
      <c r="BA109" s="114">
        <v>0</v>
      </c>
      <c r="BB109" s="9">
        <v>3</v>
      </c>
      <c r="BC109" s="9" t="str">
        <f>MID(Tabulka1[[#This Row],[BPEJ]],3,2)</f>
        <v>02</v>
      </c>
      <c r="BD109" s="9" t="str">
        <f>MID(Tabulka1[[#This Row],[BPEJ]],6,1)</f>
        <v>1</v>
      </c>
      <c r="BE109" s="9" t="str">
        <f>MID(Tabulka1[[#This Row],[BPEJ]],7,1)</f>
        <v>0</v>
      </c>
      <c r="BF109" s="2" t="str">
        <f t="shared" si="10"/>
        <v>T</v>
      </c>
      <c r="BG109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09" s="134">
        <v>17.260000000000002</v>
      </c>
      <c r="BI109" s="2">
        <f t="shared" si="11"/>
        <v>172.60000000000002</v>
      </c>
      <c r="BJ109" s="2">
        <f>Tabulka1[[#This Row],[P2O5_60]]*10</f>
        <v>1178</v>
      </c>
      <c r="BK109" s="2">
        <f>Tabulka1[[#This Row],[K2O_30]]*10</f>
        <v>961.99999999999989</v>
      </c>
      <c r="BL109" s="2">
        <f>Tabulka1[[#This Row],[K2O_60]]*10</f>
        <v>486</v>
      </c>
      <c r="BN109" s="2">
        <f>VLOOKUP(Tabulka1[[#This Row],[ID]],'Zdroj hloubka okresy'!$A$2:$F$171,5,FALSE)</f>
        <v>1.36</v>
      </c>
      <c r="BO109" s="2">
        <f>VLOOKUP(Tabulka1[[#This Row],[ID]],'Zdroj hloubka okresy'!$A$2:$D$171,3,FALSE)</f>
        <v>24</v>
      </c>
      <c r="BP109" s="2">
        <f>VLOOKUP(Tabulka1[[#This Row],[ID]],'Zdroj hloubka okresy'!$A$2:$D$171,4,FALSE)</f>
        <v>56</v>
      </c>
    </row>
    <row r="110" spans="1:68" x14ac:dyDescent="0.35">
      <c r="A110" s="13">
        <v>5496</v>
      </c>
      <c r="B110" s="14" t="s">
        <v>78</v>
      </c>
      <c r="C110" s="7">
        <v>6.2</v>
      </c>
      <c r="D110" s="7">
        <v>6.29</v>
      </c>
      <c r="E110" s="7">
        <v>5.76</v>
      </c>
      <c r="F110" s="7">
        <v>5.68</v>
      </c>
      <c r="G110" s="7">
        <v>1.58</v>
      </c>
      <c r="H110" s="7">
        <v>1.17</v>
      </c>
      <c r="I110" s="7">
        <v>0.92</v>
      </c>
      <c r="J110" s="7">
        <v>0.68</v>
      </c>
      <c r="K110" s="7">
        <v>0</v>
      </c>
      <c r="L110" s="7">
        <v>0</v>
      </c>
      <c r="M110" s="7">
        <v>32.200000000000003</v>
      </c>
      <c r="N110" s="139">
        <v>36.6</v>
      </c>
      <c r="O110" s="139">
        <v>70</v>
      </c>
      <c r="P110" s="139">
        <v>74.7</v>
      </c>
      <c r="Q110" s="7">
        <v>18.16</v>
      </c>
      <c r="R110" s="7">
        <v>21.59</v>
      </c>
      <c r="S110" s="7">
        <v>74.47</v>
      </c>
      <c r="T110" s="7">
        <v>78.92</v>
      </c>
      <c r="U110" s="4">
        <v>4</v>
      </c>
      <c r="V110" s="4">
        <f>VLOOKUP(Tabulka1[[#This Row],[ID]],'Zdroj hloubka okresy'!$A$2:$K$171,5,FALSE)</f>
        <v>1.34</v>
      </c>
      <c r="W110" s="4">
        <f>VLOOKUP(Tabulka1[[#This Row],[ID]],'Zdroj hloubka okresy'!$A$2:$K$171,6,FALSE)</f>
        <v>1.3</v>
      </c>
      <c r="X110" s="4">
        <v>22.91</v>
      </c>
      <c r="Y110" s="4">
        <v>29.12</v>
      </c>
      <c r="Z110" s="4">
        <v>17.95</v>
      </c>
      <c r="AA110" s="4">
        <v>15.54</v>
      </c>
      <c r="AB110" s="4">
        <v>44.63</v>
      </c>
      <c r="AC110" s="4">
        <v>43.73</v>
      </c>
      <c r="AD110" s="4">
        <v>12.49</v>
      </c>
      <c r="AE110" s="4">
        <v>10.18</v>
      </c>
      <c r="AF110" s="4">
        <v>2.02</v>
      </c>
      <c r="AG110" s="4">
        <v>1.43</v>
      </c>
      <c r="AH110" s="4" t="s">
        <v>742</v>
      </c>
      <c r="AI110" s="5" t="s">
        <v>793</v>
      </c>
      <c r="AJ110" s="4">
        <v>17.920000000000002</v>
      </c>
      <c r="AK110" s="4">
        <v>5</v>
      </c>
      <c r="AL110" s="4" t="s">
        <v>798</v>
      </c>
      <c r="AM110" s="20" t="s">
        <v>824</v>
      </c>
      <c r="AN110" s="16" t="s">
        <v>803</v>
      </c>
      <c r="AO110" s="326"/>
      <c r="AP110" s="15">
        <v>0</v>
      </c>
      <c r="AQ110" s="9" t="str">
        <f>MID(Tabulka1[[#This Row],[BPEJ]],1,1)</f>
        <v>3</v>
      </c>
      <c r="AW110" s="9"/>
      <c r="AX110">
        <v>3</v>
      </c>
      <c r="AY110" s="114">
        <v>10</v>
      </c>
      <c r="AZ110" s="114">
        <v>0</v>
      </c>
      <c r="BA110" s="114">
        <v>0</v>
      </c>
      <c r="BB110" s="9">
        <v>3</v>
      </c>
      <c r="BC110" s="9" t="str">
        <f>MID(Tabulka1[[#This Row],[BPEJ]],3,2)</f>
        <v>10</v>
      </c>
      <c r="BD110" s="9" t="str">
        <f>MID(Tabulka1[[#This Row],[BPEJ]],6,1)</f>
        <v>0</v>
      </c>
      <c r="BE110" s="9" t="str">
        <f>MID(Tabulka1[[#This Row],[BPEJ]],7,1)</f>
        <v>0</v>
      </c>
      <c r="BF110" s="2" t="str">
        <f t="shared" si="10"/>
        <v>T</v>
      </c>
      <c r="BG110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10" s="7">
        <v>3.22</v>
      </c>
      <c r="BI110" s="2">
        <f t="shared" si="11"/>
        <v>32.200000000000003</v>
      </c>
      <c r="BJ110" s="2">
        <f>Tabulka1[[#This Row],[P2O5_60]]*10</f>
        <v>366</v>
      </c>
      <c r="BK110" s="2">
        <f>Tabulka1[[#This Row],[K2O_30]]*10</f>
        <v>700</v>
      </c>
      <c r="BL110" s="2">
        <f>Tabulka1[[#This Row],[K2O_60]]*10</f>
        <v>747</v>
      </c>
      <c r="BN110" s="2">
        <f>VLOOKUP(Tabulka1[[#This Row],[ID]],'Zdroj hloubka okresy'!$A$2:$F$171,5,FALSE)</f>
        <v>1.34</v>
      </c>
      <c r="BO110" s="2">
        <f>VLOOKUP(Tabulka1[[#This Row],[ID]],'Zdroj hloubka okresy'!$A$2:$D$171,3,FALSE)</f>
        <v>26</v>
      </c>
      <c r="BP110" s="2">
        <f>VLOOKUP(Tabulka1[[#This Row],[ID]],'Zdroj hloubka okresy'!$A$2:$D$171,4,FALSE)</f>
        <v>20</v>
      </c>
    </row>
    <row r="111" spans="1:68" x14ac:dyDescent="0.35">
      <c r="A111" s="13">
        <v>5499</v>
      </c>
      <c r="B111" s="14" t="s">
        <v>81</v>
      </c>
      <c r="C111" s="7">
        <v>7.5</v>
      </c>
      <c r="D111" s="7">
        <v>7.51</v>
      </c>
      <c r="E111" s="7">
        <v>6.74</v>
      </c>
      <c r="F111" s="7">
        <v>6.77</v>
      </c>
      <c r="G111" s="7">
        <v>1.53</v>
      </c>
      <c r="H111" s="7">
        <v>1.04</v>
      </c>
      <c r="I111" s="7">
        <v>0.89</v>
      </c>
      <c r="J111" s="7">
        <v>0.6</v>
      </c>
      <c r="K111" s="7">
        <v>0</v>
      </c>
      <c r="L111" s="7">
        <v>0</v>
      </c>
      <c r="M111" s="7">
        <v>48.2</v>
      </c>
      <c r="N111" s="139">
        <v>36.6</v>
      </c>
      <c r="O111" s="139">
        <v>66</v>
      </c>
      <c r="P111" s="139">
        <v>59</v>
      </c>
      <c r="Q111" s="7">
        <v>16.16</v>
      </c>
      <c r="R111" s="7">
        <v>17.600000000000001</v>
      </c>
      <c r="S111" s="7">
        <v>96.04</v>
      </c>
      <c r="T111" s="7">
        <v>96.29</v>
      </c>
      <c r="U111" s="4">
        <v>4</v>
      </c>
      <c r="V111" s="4">
        <f>VLOOKUP(Tabulka1[[#This Row],[ID]],'Zdroj hloubka okresy'!$A$2:$K$171,5,FALSE)</f>
        <v>1.35</v>
      </c>
      <c r="W111" s="4">
        <f>VLOOKUP(Tabulka1[[#This Row],[ID]],'Zdroj hloubka okresy'!$A$2:$K$171,6,FALSE)</f>
        <v>1.32</v>
      </c>
      <c r="X111" s="4">
        <v>20.34</v>
      </c>
      <c r="Y111" s="4">
        <v>24.55</v>
      </c>
      <c r="Z111" s="4">
        <v>15.68</v>
      </c>
      <c r="AA111" s="4">
        <v>14.9</v>
      </c>
      <c r="AB111" s="4">
        <v>51.67</v>
      </c>
      <c r="AC111" s="4">
        <v>49.15</v>
      </c>
      <c r="AD111" s="4">
        <v>10.55</v>
      </c>
      <c r="AE111" s="4">
        <v>10.119999999999999</v>
      </c>
      <c r="AF111" s="4">
        <v>1.76</v>
      </c>
      <c r="AG111" s="4">
        <v>1.28</v>
      </c>
      <c r="AH111" s="4" t="s">
        <v>744</v>
      </c>
      <c r="AI111" s="5" t="s">
        <v>793</v>
      </c>
      <c r="AJ111" s="4">
        <v>14.2</v>
      </c>
      <c r="AK111" s="4">
        <v>5</v>
      </c>
      <c r="AL111" s="4" t="s">
        <v>798</v>
      </c>
      <c r="AM111" s="20" t="s">
        <v>824</v>
      </c>
      <c r="AN111" s="16" t="s">
        <v>803</v>
      </c>
      <c r="AO111" s="326"/>
      <c r="AP111" s="15">
        <v>0</v>
      </c>
      <c r="AQ111" s="9" t="str">
        <f>MID(Tabulka1[[#This Row],[BPEJ]],1,1)</f>
        <v>5</v>
      </c>
      <c r="AW111" s="9"/>
      <c r="AX111">
        <v>5</v>
      </c>
      <c r="AY111" s="114">
        <v>10</v>
      </c>
      <c r="AZ111" s="114">
        <v>0</v>
      </c>
      <c r="BA111" s="114">
        <v>0</v>
      </c>
      <c r="BB111" s="9">
        <v>5</v>
      </c>
      <c r="BC111" s="9" t="str">
        <f>MID(Tabulka1[[#This Row],[BPEJ]],3,2)</f>
        <v>10</v>
      </c>
      <c r="BD111" s="9" t="str">
        <f>MID(Tabulka1[[#This Row],[BPEJ]],6,1)</f>
        <v>0</v>
      </c>
      <c r="BE111" s="9" t="str">
        <f>MID(Tabulka1[[#This Row],[BPEJ]],7,1)</f>
        <v>0</v>
      </c>
      <c r="BF111" s="2" t="str">
        <f t="shared" si="10"/>
        <v>T</v>
      </c>
      <c r="BG111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11" s="134">
        <v>4.82</v>
      </c>
      <c r="BI111" s="2">
        <f t="shared" si="11"/>
        <v>48.2</v>
      </c>
      <c r="BJ111" s="2">
        <f>Tabulka1[[#This Row],[P2O5_60]]*10</f>
        <v>366</v>
      </c>
      <c r="BK111" s="2">
        <f>Tabulka1[[#This Row],[K2O_30]]*10</f>
        <v>660</v>
      </c>
      <c r="BL111" s="2">
        <f>Tabulka1[[#This Row],[K2O_60]]*10</f>
        <v>590</v>
      </c>
      <c r="BN111" s="2">
        <f>VLOOKUP(Tabulka1[[#This Row],[ID]],'Zdroj hloubka okresy'!$A$2:$F$171,5,FALSE)</f>
        <v>1.35</v>
      </c>
      <c r="BO111" s="2">
        <f>VLOOKUP(Tabulka1[[#This Row],[ID]],'Zdroj hloubka okresy'!$A$2:$D$171,3,FALSE)</f>
        <v>24</v>
      </c>
      <c r="BP111" s="2">
        <f>VLOOKUP(Tabulka1[[#This Row],[ID]],'Zdroj hloubka okresy'!$A$2:$D$171,4,FALSE)</f>
        <v>14</v>
      </c>
    </row>
    <row r="112" spans="1:68" x14ac:dyDescent="0.35">
      <c r="A112" s="13">
        <v>5502</v>
      </c>
      <c r="B112" s="14" t="s">
        <v>306</v>
      </c>
      <c r="C112" s="7">
        <v>6.79</v>
      </c>
      <c r="D112" s="7">
        <v>7.1</v>
      </c>
      <c r="E112" s="7">
        <v>6.65</v>
      </c>
      <c r="F112" s="7">
        <v>6.75</v>
      </c>
      <c r="G112" s="7">
        <v>1.65</v>
      </c>
      <c r="H112" s="7">
        <v>1.06</v>
      </c>
      <c r="I112" s="7">
        <v>0.96</v>
      </c>
      <c r="J112" s="7">
        <v>0.62</v>
      </c>
      <c r="K112" s="7">
        <v>0</v>
      </c>
      <c r="L112" s="7">
        <v>0</v>
      </c>
      <c r="M112" s="7">
        <v>62.300000000000004</v>
      </c>
      <c r="N112" s="139">
        <v>44.900000000000006</v>
      </c>
      <c r="O112" s="139">
        <v>104.7</v>
      </c>
      <c r="P112" s="139">
        <v>83.3</v>
      </c>
      <c r="Q112" s="7">
        <v>285.51</v>
      </c>
      <c r="R112" s="7">
        <v>355.4</v>
      </c>
      <c r="S112" s="7">
        <v>86.74</v>
      </c>
      <c r="T112" s="7">
        <v>90.88</v>
      </c>
      <c r="U112" s="4">
        <v>4</v>
      </c>
      <c r="V112" s="4">
        <f>VLOOKUP(Tabulka1[[#This Row],[ID]],'Zdroj hloubka okresy'!$A$2:$K$171,5,FALSE)</f>
        <v>1.35</v>
      </c>
      <c r="W112" s="4">
        <f>VLOOKUP(Tabulka1[[#This Row],[ID]],'Zdroj hloubka okresy'!$A$2:$K$171,6,FALSE)</f>
        <v>1.29</v>
      </c>
      <c r="X112" s="4">
        <v>24.25</v>
      </c>
      <c r="Y112" s="4">
        <v>30.34</v>
      </c>
      <c r="Z112" s="4">
        <v>11.97</v>
      </c>
      <c r="AA112" s="4">
        <v>11.49</v>
      </c>
      <c r="AB112" s="4">
        <v>43.53</v>
      </c>
      <c r="AC112" s="4">
        <v>36.79</v>
      </c>
      <c r="AD112" s="4">
        <v>14.1</v>
      </c>
      <c r="AE112" s="4">
        <v>15.72</v>
      </c>
      <c r="AF112" s="4">
        <v>6.15</v>
      </c>
      <c r="AG112" s="4">
        <v>5.66</v>
      </c>
      <c r="AH112" s="4" t="s">
        <v>742</v>
      </c>
      <c r="AI112" s="5" t="s">
        <v>793</v>
      </c>
      <c r="AJ112" s="4">
        <v>17.920000000000002</v>
      </c>
      <c r="AK112" s="4">
        <v>4</v>
      </c>
      <c r="AL112" s="4" t="s">
        <v>797</v>
      </c>
      <c r="AM112" s="20" t="s">
        <v>824</v>
      </c>
      <c r="AN112" s="16" t="s">
        <v>803</v>
      </c>
      <c r="AO112" s="326"/>
      <c r="AP112" s="15">
        <v>0</v>
      </c>
      <c r="AQ112" s="9" t="str">
        <f>MID(Tabulka1[[#This Row],[BPEJ]],1,1)</f>
        <v>3</v>
      </c>
      <c r="AW112" s="9"/>
      <c r="AX112">
        <v>3</v>
      </c>
      <c r="AY112" s="114">
        <v>10</v>
      </c>
      <c r="AZ112" s="114">
        <v>0</v>
      </c>
      <c r="BA112" s="114">
        <v>0</v>
      </c>
      <c r="BB112" s="9">
        <v>3</v>
      </c>
      <c r="BC112" s="9" t="str">
        <f>MID(Tabulka1[[#This Row],[BPEJ]],3,2)</f>
        <v>10</v>
      </c>
      <c r="BD112" s="9" t="str">
        <f>MID(Tabulka1[[#This Row],[BPEJ]],6,1)</f>
        <v>0</v>
      </c>
      <c r="BE112" s="9" t="str">
        <f>MID(Tabulka1[[#This Row],[BPEJ]],7,1)</f>
        <v>0</v>
      </c>
      <c r="BF112" s="2" t="str">
        <f t="shared" si="10"/>
        <v>T</v>
      </c>
      <c r="BG112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12" s="7">
        <v>6.23</v>
      </c>
      <c r="BI112" s="2">
        <f t="shared" si="11"/>
        <v>62.300000000000004</v>
      </c>
      <c r="BJ112" s="2">
        <f>Tabulka1[[#This Row],[P2O5_60]]*10</f>
        <v>449.00000000000006</v>
      </c>
      <c r="BK112" s="2">
        <f>Tabulka1[[#This Row],[K2O_30]]*10</f>
        <v>1047</v>
      </c>
      <c r="BL112" s="2">
        <f>Tabulka1[[#This Row],[K2O_60]]*10</f>
        <v>833</v>
      </c>
      <c r="BN112" s="2">
        <f>VLOOKUP(Tabulka1[[#This Row],[ID]],'Zdroj hloubka okresy'!$A$2:$F$171,5,FALSE)</f>
        <v>1.35</v>
      </c>
      <c r="BO112" s="2">
        <f>VLOOKUP(Tabulka1[[#This Row],[ID]],'Zdroj hloubka okresy'!$A$2:$D$171,3,FALSE)</f>
        <v>26</v>
      </c>
      <c r="BP112" s="2">
        <f>VLOOKUP(Tabulka1[[#This Row],[ID]],'Zdroj hloubka okresy'!$A$2:$D$171,4,FALSE)</f>
        <v>10</v>
      </c>
    </row>
    <row r="113" spans="1:68" x14ac:dyDescent="0.35">
      <c r="A113" s="13">
        <v>5505</v>
      </c>
      <c r="B113" s="14" t="s">
        <v>307</v>
      </c>
      <c r="C113" s="7">
        <v>5.84</v>
      </c>
      <c r="D113" s="7">
        <v>6.19</v>
      </c>
      <c r="E113" s="7">
        <v>5.0199999999999996</v>
      </c>
      <c r="F113" s="7">
        <v>5.23</v>
      </c>
      <c r="G113" s="7">
        <v>1.34</v>
      </c>
      <c r="H113" s="7">
        <v>0.88</v>
      </c>
      <c r="I113" s="7">
        <v>0.78</v>
      </c>
      <c r="J113" s="7">
        <v>0.51</v>
      </c>
      <c r="K113" s="7">
        <v>0</v>
      </c>
      <c r="L113" s="7">
        <v>0</v>
      </c>
      <c r="M113" s="7">
        <v>1</v>
      </c>
      <c r="N113" s="139">
        <v>1</v>
      </c>
      <c r="O113" s="139">
        <v>50</v>
      </c>
      <c r="P113" s="139">
        <v>55</v>
      </c>
      <c r="Q113" s="7">
        <v>12.54</v>
      </c>
      <c r="R113" s="7">
        <v>14.95</v>
      </c>
      <c r="S113" s="7">
        <v>60.53</v>
      </c>
      <c r="T113" s="7">
        <v>71.16</v>
      </c>
      <c r="U113" s="4">
        <v>2</v>
      </c>
      <c r="V113" s="4">
        <f>VLOOKUP(Tabulka1[[#This Row],[ID]],'Zdroj hloubka okresy'!$A$2:$K$171,5,FALSE)</f>
        <v>1.38</v>
      </c>
      <c r="W113" s="4">
        <f>VLOOKUP(Tabulka1[[#This Row],[ID]],'Zdroj hloubka okresy'!$A$2:$K$171,6,FALSE)</f>
        <v>1.32</v>
      </c>
      <c r="X113" s="4">
        <v>17.34</v>
      </c>
      <c r="Y113" s="4">
        <v>23.7</v>
      </c>
      <c r="Z113" s="4">
        <v>17.420000000000002</v>
      </c>
      <c r="AA113" s="4">
        <v>14.5</v>
      </c>
      <c r="AB113" s="4">
        <v>52.38</v>
      </c>
      <c r="AC113" s="4">
        <v>51.19</v>
      </c>
      <c r="AD113" s="4">
        <v>9.67</v>
      </c>
      <c r="AE113" s="4">
        <v>8.34</v>
      </c>
      <c r="AF113" s="4">
        <v>3.19</v>
      </c>
      <c r="AG113" s="4">
        <v>2.27</v>
      </c>
      <c r="AH113" s="4" t="s">
        <v>751</v>
      </c>
      <c r="AI113" s="5" t="s">
        <v>789</v>
      </c>
      <c r="AJ113" s="4">
        <v>13.29</v>
      </c>
      <c r="AK113" s="4">
        <v>5</v>
      </c>
      <c r="AL113" s="4" t="s">
        <v>798</v>
      </c>
      <c r="AM113" s="20" t="s">
        <v>796</v>
      </c>
      <c r="AN113" s="16" t="s">
        <v>803</v>
      </c>
      <c r="AO113" s="326"/>
      <c r="AP113" s="15">
        <v>0</v>
      </c>
      <c r="AQ113" s="9" t="str">
        <f>MID(Tabulka1[[#This Row],[BPEJ]],1,1)</f>
        <v>3</v>
      </c>
      <c r="AW113" s="9"/>
      <c r="AX113">
        <v>3</v>
      </c>
      <c r="AY113" s="114">
        <v>58</v>
      </c>
      <c r="AZ113" s="114">
        <v>0</v>
      </c>
      <c r="BA113" s="114">
        <v>0</v>
      </c>
      <c r="BB113" s="9">
        <v>3</v>
      </c>
      <c r="BC113" s="9" t="str">
        <f>MID(Tabulka1[[#This Row],[BPEJ]],3,2)</f>
        <v>58</v>
      </c>
      <c r="BD113" s="9" t="str">
        <f>MID(Tabulka1[[#This Row],[BPEJ]],6,1)</f>
        <v>0</v>
      </c>
      <c r="BE113" s="9" t="str">
        <f>MID(Tabulka1[[#This Row],[BPEJ]],7,1)</f>
        <v>0</v>
      </c>
      <c r="BF113" s="2" t="str">
        <f t="shared" si="10"/>
        <v>T</v>
      </c>
      <c r="BG113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13" s="134">
        <v>0.1</v>
      </c>
      <c r="BI113" s="2">
        <f t="shared" si="11"/>
        <v>1</v>
      </c>
      <c r="BJ113" s="2">
        <f>Tabulka1[[#This Row],[P2O5_60]]*10</f>
        <v>10</v>
      </c>
      <c r="BK113" s="2">
        <f>Tabulka1[[#This Row],[K2O_30]]*10</f>
        <v>500</v>
      </c>
      <c r="BL113" s="2">
        <f>Tabulka1[[#This Row],[K2O_60]]*10</f>
        <v>550</v>
      </c>
      <c r="BN113" s="2">
        <f>VLOOKUP(Tabulka1[[#This Row],[ID]],'Zdroj hloubka okresy'!$A$2:$F$171,5,FALSE)</f>
        <v>1.38</v>
      </c>
      <c r="BO113" s="2">
        <f>VLOOKUP(Tabulka1[[#This Row],[ID]],'Zdroj hloubka okresy'!$A$2:$D$171,3,FALSE)</f>
        <v>28</v>
      </c>
      <c r="BP113" s="2">
        <f>VLOOKUP(Tabulka1[[#This Row],[ID]],'Zdroj hloubka okresy'!$A$2:$D$171,4,FALSE)</f>
        <v>22</v>
      </c>
    </row>
    <row r="114" spans="1:68" x14ac:dyDescent="0.35">
      <c r="A114" s="13">
        <v>5508</v>
      </c>
      <c r="B114" s="14" t="s">
        <v>304</v>
      </c>
      <c r="C114" s="7">
        <v>6.3</v>
      </c>
      <c r="D114" s="7">
        <v>5.78</v>
      </c>
      <c r="E114" s="7">
        <v>5.8</v>
      </c>
      <c r="F114" s="7">
        <v>4.9400000000000004</v>
      </c>
      <c r="G114" s="7">
        <v>1.72</v>
      </c>
      <c r="H114" s="7">
        <v>1.04</v>
      </c>
      <c r="I114" s="7">
        <v>1</v>
      </c>
      <c r="J114" s="7">
        <v>0.6</v>
      </c>
      <c r="K114" s="7">
        <v>0</v>
      </c>
      <c r="L114" s="7">
        <v>0</v>
      </c>
      <c r="M114" s="7">
        <v>20.299999999999997</v>
      </c>
      <c r="N114" s="139">
        <v>10.700000000000001</v>
      </c>
      <c r="O114" s="139">
        <v>67</v>
      </c>
      <c r="P114" s="139">
        <v>34</v>
      </c>
      <c r="Q114" s="7">
        <v>10.83</v>
      </c>
      <c r="R114" s="7">
        <v>10.82</v>
      </c>
      <c r="S114" s="7">
        <v>64.430000000000007</v>
      </c>
      <c r="T114" s="7">
        <v>55.73</v>
      </c>
      <c r="U114" s="4">
        <v>4</v>
      </c>
      <c r="V114" s="4">
        <f>VLOOKUP(Tabulka1[[#This Row],[ID]],'Zdroj hloubka okresy'!$A$2:$K$171,5,FALSE)</f>
        <v>1.38</v>
      </c>
      <c r="W114" s="4">
        <f>VLOOKUP(Tabulka1[[#This Row],[ID]],'Zdroj hloubka okresy'!$A$2:$K$171,6,FALSE)</f>
        <v>1.35</v>
      </c>
      <c r="X114" s="4">
        <v>20.54</v>
      </c>
      <c r="Y114" s="4">
        <v>26.36</v>
      </c>
      <c r="Z114" s="4">
        <v>12.46</v>
      </c>
      <c r="AA114" s="4">
        <v>10.58</v>
      </c>
      <c r="AB114" s="4">
        <v>37.67</v>
      </c>
      <c r="AC114" s="4">
        <v>33.78</v>
      </c>
      <c r="AD114" s="4">
        <v>10.97</v>
      </c>
      <c r="AE114" s="4">
        <v>9.68</v>
      </c>
      <c r="AF114" s="4">
        <v>18.37</v>
      </c>
      <c r="AG114" s="4">
        <v>19.600000000000001</v>
      </c>
      <c r="AH114" s="4" t="s">
        <v>765</v>
      </c>
      <c r="AI114" s="5" t="s">
        <v>789</v>
      </c>
      <c r="AJ114" s="4">
        <v>10.9</v>
      </c>
      <c r="AK114" s="4">
        <v>5</v>
      </c>
      <c r="AL114" s="4" t="s">
        <v>798</v>
      </c>
      <c r="AM114" s="20" t="s">
        <v>824</v>
      </c>
      <c r="AN114" s="16" t="s">
        <v>803</v>
      </c>
      <c r="AO114" s="326"/>
      <c r="AP114" s="15">
        <v>0</v>
      </c>
      <c r="AQ114" s="9" t="str">
        <f>MID(Tabulka1[[#This Row],[BPEJ]],1,1)</f>
        <v>5</v>
      </c>
      <c r="AW114" s="9"/>
      <c r="AX114">
        <v>5</v>
      </c>
      <c r="AY114" s="114">
        <v>14</v>
      </c>
      <c r="AZ114" s="114">
        <v>1</v>
      </c>
      <c r="BA114" s="114">
        <v>0</v>
      </c>
      <c r="BB114" s="9">
        <v>5</v>
      </c>
      <c r="BC114" s="9" t="str">
        <f>MID(Tabulka1[[#This Row],[BPEJ]],3,2)</f>
        <v>14</v>
      </c>
      <c r="BD114" s="9" t="str">
        <f>MID(Tabulka1[[#This Row],[BPEJ]],6,1)</f>
        <v>1</v>
      </c>
      <c r="BE114" s="9" t="str">
        <f>MID(Tabulka1[[#This Row],[BPEJ]],7,1)</f>
        <v>0</v>
      </c>
      <c r="BF114" s="2" t="str">
        <f t="shared" si="10"/>
        <v>T</v>
      </c>
      <c r="BG114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14" s="7">
        <v>2.0299999999999998</v>
      </c>
      <c r="BI114" s="2">
        <f t="shared" si="11"/>
        <v>20.299999999999997</v>
      </c>
      <c r="BJ114" s="2">
        <f>Tabulka1[[#This Row],[P2O5_60]]*10</f>
        <v>107.00000000000001</v>
      </c>
      <c r="BK114" s="2">
        <f>Tabulka1[[#This Row],[K2O_30]]*10</f>
        <v>670</v>
      </c>
      <c r="BL114" s="2">
        <f>Tabulka1[[#This Row],[K2O_60]]*10</f>
        <v>340</v>
      </c>
      <c r="BN114" s="2">
        <f>VLOOKUP(Tabulka1[[#This Row],[ID]],'Zdroj hloubka okresy'!$A$2:$F$171,5,FALSE)</f>
        <v>1.38</v>
      </c>
      <c r="BO114" s="2">
        <f>VLOOKUP(Tabulka1[[#This Row],[ID]],'Zdroj hloubka okresy'!$A$2:$D$171,3,FALSE)</f>
        <v>20</v>
      </c>
      <c r="BP114" s="2">
        <f>VLOOKUP(Tabulka1[[#This Row],[ID]],'Zdroj hloubka okresy'!$A$2:$D$171,4,FALSE)</f>
        <v>18</v>
      </c>
    </row>
    <row r="115" spans="1:68" x14ac:dyDescent="0.35">
      <c r="A115" s="13">
        <v>5511</v>
      </c>
      <c r="B115" s="14" t="s">
        <v>293</v>
      </c>
      <c r="C115" s="7">
        <v>6.91</v>
      </c>
      <c r="D115" s="7">
        <v>6.75</v>
      </c>
      <c r="E115" s="7">
        <v>6.34</v>
      </c>
      <c r="F115" s="7">
        <v>5.84</v>
      </c>
      <c r="G115" s="7">
        <v>1.4</v>
      </c>
      <c r="H115" s="7">
        <v>0.87</v>
      </c>
      <c r="I115" s="7">
        <v>0.81</v>
      </c>
      <c r="J115" s="7">
        <v>0.5</v>
      </c>
      <c r="K115" s="7">
        <v>0</v>
      </c>
      <c r="L115" s="7">
        <v>0</v>
      </c>
      <c r="M115" s="7">
        <v>27.599999999999998</v>
      </c>
      <c r="N115" s="139">
        <v>17.8</v>
      </c>
      <c r="O115" s="139">
        <v>44.3</v>
      </c>
      <c r="P115" s="139">
        <v>22.599999999999998</v>
      </c>
      <c r="Q115" s="7">
        <v>12.35</v>
      </c>
      <c r="R115" s="7">
        <v>14.41</v>
      </c>
      <c r="S115" s="7">
        <v>61.17</v>
      </c>
      <c r="T115" s="7">
        <v>68.78</v>
      </c>
      <c r="U115" s="4">
        <v>3</v>
      </c>
      <c r="V115" s="4">
        <f>VLOOKUP(Tabulka1[[#This Row],[ID]],'Zdroj hloubka okresy'!$A$2:$K$171,5,FALSE)</f>
        <v>1.44</v>
      </c>
      <c r="W115" s="4">
        <f>VLOOKUP(Tabulka1[[#This Row],[ID]],'Zdroj hloubka okresy'!$A$2:$K$171,6,FALSE)</f>
        <v>1.35</v>
      </c>
      <c r="X115" s="4">
        <v>18.329999999999998</v>
      </c>
      <c r="Y115" s="4">
        <v>25.43</v>
      </c>
      <c r="Z115" s="4">
        <v>12.83</v>
      </c>
      <c r="AA115" s="4">
        <v>12.68</v>
      </c>
      <c r="AB115" s="4">
        <v>35.65</v>
      </c>
      <c r="AC115" s="4">
        <v>31.13</v>
      </c>
      <c r="AD115" s="4">
        <v>10.35</v>
      </c>
      <c r="AE115" s="4">
        <v>9.57</v>
      </c>
      <c r="AF115" s="4">
        <v>22.84</v>
      </c>
      <c r="AG115" s="4">
        <v>21.2</v>
      </c>
      <c r="AH115" s="4" t="s">
        <v>768</v>
      </c>
      <c r="AI115" s="5" t="s">
        <v>792</v>
      </c>
      <c r="AJ115" s="4">
        <v>10.24</v>
      </c>
      <c r="AK115" s="4">
        <v>4</v>
      </c>
      <c r="AL115" s="4" t="s">
        <v>797</v>
      </c>
      <c r="AM115" s="20" t="s">
        <v>824</v>
      </c>
      <c r="AN115" s="16" t="s">
        <v>802</v>
      </c>
      <c r="AO115" s="326"/>
      <c r="AP115" s="15">
        <v>0</v>
      </c>
      <c r="AQ115" s="9" t="str">
        <f>MID(Tabulka1[[#This Row],[BPEJ]],1,1)</f>
        <v>3</v>
      </c>
      <c r="AW115" s="9"/>
      <c r="AX115">
        <v>3</v>
      </c>
      <c r="AY115" s="114">
        <v>29</v>
      </c>
      <c r="AZ115" s="114">
        <v>0</v>
      </c>
      <c r="BA115" s="114">
        <v>1</v>
      </c>
      <c r="BB115" s="9">
        <v>3</v>
      </c>
      <c r="BC115" s="9" t="str">
        <f>MID(Tabulka1[[#This Row],[BPEJ]],3,2)</f>
        <v>29</v>
      </c>
      <c r="BD115" s="9" t="str">
        <f>MID(Tabulka1[[#This Row],[BPEJ]],6,1)</f>
        <v>0</v>
      </c>
      <c r="BE115" s="9" t="str">
        <f>MID(Tabulka1[[#This Row],[BPEJ]],7,1)</f>
        <v>1</v>
      </c>
      <c r="BF115" s="2" t="str">
        <f t="shared" si="10"/>
        <v>T</v>
      </c>
      <c r="BG115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15" s="134">
        <v>2.76</v>
      </c>
      <c r="BI115" s="2">
        <f t="shared" si="11"/>
        <v>27.599999999999998</v>
      </c>
      <c r="BJ115" s="2">
        <f>Tabulka1[[#This Row],[P2O5_60]]*10</f>
        <v>178</v>
      </c>
      <c r="BK115" s="2">
        <f>Tabulka1[[#This Row],[K2O_30]]*10</f>
        <v>443</v>
      </c>
      <c r="BL115" s="2">
        <f>Tabulka1[[#This Row],[K2O_60]]*10</f>
        <v>225.99999999999997</v>
      </c>
      <c r="BN115" s="2">
        <f>VLOOKUP(Tabulka1[[#This Row],[ID]],'Zdroj hloubka okresy'!$A$2:$F$171,5,FALSE)</f>
        <v>1.44</v>
      </c>
      <c r="BO115" s="2">
        <f>VLOOKUP(Tabulka1[[#This Row],[ID]],'Zdroj hloubka okresy'!$A$2:$D$171,3,FALSE)</f>
        <v>22</v>
      </c>
      <c r="BP115" s="2">
        <f>VLOOKUP(Tabulka1[[#This Row],[ID]],'Zdroj hloubka okresy'!$A$2:$D$171,4,FALSE)</f>
        <v>13</v>
      </c>
    </row>
    <row r="116" spans="1:68" x14ac:dyDescent="0.35">
      <c r="A116" s="13">
        <v>5516</v>
      </c>
      <c r="B116" s="14" t="s">
        <v>303</v>
      </c>
      <c r="C116" s="7">
        <v>6.62</v>
      </c>
      <c r="D116" s="7">
        <v>6.14</v>
      </c>
      <c r="E116" s="7">
        <v>6.3</v>
      </c>
      <c r="F116" s="7">
        <v>5.4</v>
      </c>
      <c r="G116" s="7">
        <v>1.46</v>
      </c>
      <c r="H116" s="7">
        <v>0.85</v>
      </c>
      <c r="I116" s="7">
        <v>0.85</v>
      </c>
      <c r="J116" s="7">
        <v>0.49</v>
      </c>
      <c r="K116" s="7">
        <v>0</v>
      </c>
      <c r="L116" s="7">
        <v>0</v>
      </c>
      <c r="M116" s="7">
        <v>1</v>
      </c>
      <c r="N116" s="139">
        <v>1</v>
      </c>
      <c r="O116" s="139">
        <v>36.4</v>
      </c>
      <c r="P116" s="139">
        <v>18.700000000000003</v>
      </c>
      <c r="Q116" s="7">
        <v>10.4</v>
      </c>
      <c r="R116" s="7">
        <v>11.63</v>
      </c>
      <c r="S116" s="7">
        <v>78.900000000000006</v>
      </c>
      <c r="T116" s="7">
        <v>70.34</v>
      </c>
      <c r="U116" s="4">
        <v>4</v>
      </c>
      <c r="V116" s="4">
        <f>VLOOKUP(Tabulka1[[#This Row],[ID]],'Zdroj hloubka okresy'!$A$2:$K$171,5,FALSE)</f>
        <v>1.42</v>
      </c>
      <c r="W116" s="4">
        <f>VLOOKUP(Tabulka1[[#This Row],[ID]],'Zdroj hloubka okresy'!$A$2:$K$171,6,FALSE)</f>
        <v>1.37</v>
      </c>
      <c r="X116" s="4">
        <v>13.99</v>
      </c>
      <c r="Y116" s="4">
        <v>20.28</v>
      </c>
      <c r="Z116" s="4">
        <v>15.27</v>
      </c>
      <c r="AA116" s="4">
        <v>14.51</v>
      </c>
      <c r="AB116" s="4">
        <v>53.58</v>
      </c>
      <c r="AC116" s="4">
        <v>42.62</v>
      </c>
      <c r="AD116" s="4">
        <v>9.94</v>
      </c>
      <c r="AE116" s="4">
        <v>17.87</v>
      </c>
      <c r="AF116" s="4">
        <v>7.22</v>
      </c>
      <c r="AG116" s="4">
        <v>4.7300000000000004</v>
      </c>
      <c r="AH116" s="4" t="s">
        <v>696</v>
      </c>
      <c r="AI116" s="5" t="s">
        <v>792</v>
      </c>
      <c r="AJ116" s="4">
        <v>8.94</v>
      </c>
      <c r="AK116" s="4">
        <v>5</v>
      </c>
      <c r="AL116" s="4" t="s">
        <v>798</v>
      </c>
      <c r="AM116" s="20" t="s">
        <v>824</v>
      </c>
      <c r="AN116" s="16" t="s">
        <v>803</v>
      </c>
      <c r="AO116" s="326"/>
      <c r="AP116" s="15">
        <v>0</v>
      </c>
      <c r="AQ116" s="9" t="str">
        <f>MID(Tabulka1[[#This Row],[BPEJ]],1,1)</f>
        <v>5</v>
      </c>
      <c r="AW116" s="9"/>
      <c r="AX116">
        <v>5</v>
      </c>
      <c r="AY116" s="114">
        <v>46</v>
      </c>
      <c r="AZ116" s="114">
        <v>0</v>
      </c>
      <c r="BA116" s="114">
        <v>0</v>
      </c>
      <c r="BB116" s="9">
        <v>5</v>
      </c>
      <c r="BC116" s="9" t="str">
        <f>MID(Tabulka1[[#This Row],[BPEJ]],3,2)</f>
        <v>46</v>
      </c>
      <c r="BD116" s="9" t="str">
        <f>MID(Tabulka1[[#This Row],[BPEJ]],6,1)</f>
        <v>0</v>
      </c>
      <c r="BE116" s="9" t="str">
        <f>MID(Tabulka1[[#This Row],[BPEJ]],7,1)</f>
        <v>0</v>
      </c>
      <c r="BF116" s="2" t="str">
        <f t="shared" si="10"/>
        <v>T</v>
      </c>
      <c r="BG116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16" s="7">
        <v>0.1</v>
      </c>
      <c r="BI116" s="2">
        <f t="shared" si="11"/>
        <v>1</v>
      </c>
      <c r="BJ116" s="2">
        <f>Tabulka1[[#This Row],[P2O5_60]]*10</f>
        <v>10</v>
      </c>
      <c r="BK116" s="2">
        <f>Tabulka1[[#This Row],[K2O_30]]*10</f>
        <v>364</v>
      </c>
      <c r="BL116" s="2">
        <f>Tabulka1[[#This Row],[K2O_60]]*10</f>
        <v>187.00000000000003</v>
      </c>
      <c r="BN116" s="2">
        <f>VLOOKUP(Tabulka1[[#This Row],[ID]],'Zdroj hloubka okresy'!$A$2:$F$171,5,FALSE)</f>
        <v>1.42</v>
      </c>
      <c r="BO116" s="2">
        <f>VLOOKUP(Tabulka1[[#This Row],[ID]],'Zdroj hloubka okresy'!$A$2:$D$171,3,FALSE)</f>
        <v>18</v>
      </c>
      <c r="BP116" s="2">
        <f>VLOOKUP(Tabulka1[[#This Row],[ID]],'Zdroj hloubka okresy'!$A$2:$D$171,4,FALSE)</f>
        <v>14</v>
      </c>
    </row>
    <row r="117" spans="1:68" x14ac:dyDescent="0.35">
      <c r="A117" s="13">
        <v>5519</v>
      </c>
      <c r="B117" s="14" t="s">
        <v>106</v>
      </c>
      <c r="C117" s="7">
        <v>7.15</v>
      </c>
      <c r="D117" s="7">
        <v>7.15</v>
      </c>
      <c r="E117" s="7">
        <v>6.53</v>
      </c>
      <c r="F117" s="7">
        <v>6.37</v>
      </c>
      <c r="G117" s="7">
        <v>1.33</v>
      </c>
      <c r="H117" s="7">
        <v>0.78</v>
      </c>
      <c r="I117" s="7">
        <v>0.77</v>
      </c>
      <c r="J117" s="7">
        <v>0.45</v>
      </c>
      <c r="K117" s="7">
        <v>0</v>
      </c>
      <c r="L117" s="7">
        <v>0</v>
      </c>
      <c r="M117" s="7">
        <v>59.900000000000006</v>
      </c>
      <c r="N117" s="139">
        <v>38.299999999999997</v>
      </c>
      <c r="O117" s="139">
        <v>76</v>
      </c>
      <c r="P117" s="139">
        <v>63</v>
      </c>
      <c r="Q117" s="7">
        <v>16.829999999999998</v>
      </c>
      <c r="R117" s="7">
        <v>17.47</v>
      </c>
      <c r="S117" s="7">
        <v>88.17</v>
      </c>
      <c r="T117" s="7">
        <v>86.38</v>
      </c>
      <c r="U117" s="4">
        <v>3</v>
      </c>
      <c r="V117" s="4">
        <f>VLOOKUP(Tabulka1[[#This Row],[ID]],'Zdroj hloubka okresy'!$A$2:$K$171,5,FALSE)</f>
        <v>1.35</v>
      </c>
      <c r="W117" s="4">
        <f>VLOOKUP(Tabulka1[[#This Row],[ID]],'Zdroj hloubka okresy'!$A$2:$K$171,6,FALSE)</f>
        <v>1.33</v>
      </c>
      <c r="X117" s="4">
        <v>20.71</v>
      </c>
      <c r="Y117" s="4">
        <v>24.69</v>
      </c>
      <c r="Z117" s="4">
        <v>15.58</v>
      </c>
      <c r="AA117" s="4">
        <v>12.75</v>
      </c>
      <c r="AB117" s="4">
        <v>48.49</v>
      </c>
      <c r="AC117" s="4">
        <v>47.71</v>
      </c>
      <c r="AD117" s="4">
        <v>9.35</v>
      </c>
      <c r="AE117" s="4">
        <v>9.51</v>
      </c>
      <c r="AF117" s="4">
        <v>5.86</v>
      </c>
      <c r="AG117" s="4">
        <v>5.35</v>
      </c>
      <c r="AH117" s="4" t="s">
        <v>703</v>
      </c>
      <c r="AI117" s="5" t="s">
        <v>789</v>
      </c>
      <c r="AJ117" s="4">
        <v>7.79</v>
      </c>
      <c r="AK117" s="4">
        <v>7</v>
      </c>
      <c r="AL117" s="4" t="s">
        <v>801</v>
      </c>
      <c r="AM117" s="20" t="s">
        <v>824</v>
      </c>
      <c r="AN117" s="16" t="s">
        <v>802</v>
      </c>
      <c r="AO117" s="326"/>
      <c r="AP117" s="15">
        <v>0</v>
      </c>
      <c r="AQ117" s="9" t="str">
        <f>MID(Tabulka1[[#This Row],[BPEJ]],1,1)</f>
        <v>5</v>
      </c>
      <c r="AW117" s="9"/>
      <c r="AX117">
        <v>5</v>
      </c>
      <c r="AY117" s="114">
        <v>29</v>
      </c>
      <c r="AZ117" s="114">
        <v>1</v>
      </c>
      <c r="BA117" s="114">
        <v>1</v>
      </c>
      <c r="BB117" s="9">
        <v>5</v>
      </c>
      <c r="BC117" s="9" t="str">
        <f>MID(Tabulka1[[#This Row],[BPEJ]],3,2)</f>
        <v>29</v>
      </c>
      <c r="BD117" s="9" t="str">
        <f>MID(Tabulka1[[#This Row],[BPEJ]],6,1)</f>
        <v>1</v>
      </c>
      <c r="BE117" s="9" t="str">
        <f>MID(Tabulka1[[#This Row],[BPEJ]],7,1)</f>
        <v>1</v>
      </c>
      <c r="BF117" s="2" t="str">
        <f t="shared" si="10"/>
        <v>T</v>
      </c>
      <c r="BG117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17" s="134">
        <v>5.99</v>
      </c>
      <c r="BI117" s="2">
        <f t="shared" si="11"/>
        <v>59.900000000000006</v>
      </c>
      <c r="BJ117" s="2">
        <f>Tabulka1[[#This Row],[P2O5_60]]*10</f>
        <v>383</v>
      </c>
      <c r="BK117" s="2">
        <f>Tabulka1[[#This Row],[K2O_30]]*10</f>
        <v>760</v>
      </c>
      <c r="BL117" s="2">
        <f>Tabulka1[[#This Row],[K2O_60]]*10</f>
        <v>630</v>
      </c>
      <c r="BN117" s="2">
        <f>VLOOKUP(Tabulka1[[#This Row],[ID]],'Zdroj hloubka okresy'!$A$2:$F$171,5,FALSE)</f>
        <v>1.35</v>
      </c>
      <c r="BO117" s="2">
        <f>VLOOKUP(Tabulka1[[#This Row],[ID]],'Zdroj hloubka okresy'!$A$2:$D$171,3,FALSE)</f>
        <v>26</v>
      </c>
      <c r="BP117" s="2">
        <f>VLOOKUP(Tabulka1[[#This Row],[ID]],'Zdroj hloubka okresy'!$A$2:$D$171,4,FALSE)</f>
        <v>22</v>
      </c>
    </row>
    <row r="118" spans="1:68" x14ac:dyDescent="0.35">
      <c r="A118" s="13">
        <v>5522</v>
      </c>
      <c r="B118" s="14" t="s">
        <v>96</v>
      </c>
      <c r="C118" s="7">
        <v>6.87</v>
      </c>
      <c r="D118" s="7">
        <v>6.62</v>
      </c>
      <c r="E118" s="7">
        <v>6.15</v>
      </c>
      <c r="F118" s="7">
        <v>5.49</v>
      </c>
      <c r="G118" s="7">
        <v>1.83</v>
      </c>
      <c r="H118" s="7">
        <v>1.1399999999999999</v>
      </c>
      <c r="I118" s="7">
        <v>1.06</v>
      </c>
      <c r="J118" s="7">
        <v>0.66</v>
      </c>
      <c r="K118" s="7">
        <v>0</v>
      </c>
      <c r="L118" s="7">
        <v>0</v>
      </c>
      <c r="M118" s="7">
        <v>21</v>
      </c>
      <c r="N118" s="139">
        <v>14.2</v>
      </c>
      <c r="O118" s="139">
        <v>50</v>
      </c>
      <c r="P118" s="139">
        <v>50</v>
      </c>
      <c r="Q118" s="7">
        <v>16.05</v>
      </c>
      <c r="R118" s="7">
        <v>16.28</v>
      </c>
      <c r="S118" s="7">
        <v>77.61</v>
      </c>
      <c r="T118" s="7">
        <v>72.39</v>
      </c>
      <c r="U118" s="4">
        <v>4</v>
      </c>
      <c r="V118" s="4">
        <f>VLOOKUP(Tabulka1[[#This Row],[ID]],'Zdroj hloubka okresy'!$A$2:$K$171,5,FALSE)</f>
        <v>1.43</v>
      </c>
      <c r="W118" s="4">
        <f>VLOOKUP(Tabulka1[[#This Row],[ID]],'Zdroj hloubka okresy'!$A$2:$K$171,6,FALSE)</f>
        <v>1.37</v>
      </c>
      <c r="X118" s="4">
        <v>15.01</v>
      </c>
      <c r="Y118" s="4">
        <v>23.3</v>
      </c>
      <c r="Z118" s="4">
        <v>18.53</v>
      </c>
      <c r="AA118" s="4">
        <v>15.2</v>
      </c>
      <c r="AB118" s="4">
        <v>35.47</v>
      </c>
      <c r="AC118" s="4">
        <v>31.55</v>
      </c>
      <c r="AD118" s="4">
        <v>9.44</v>
      </c>
      <c r="AE118" s="4">
        <v>10.199999999999999</v>
      </c>
      <c r="AF118" s="4">
        <v>21.56</v>
      </c>
      <c r="AG118" s="4">
        <v>19.75</v>
      </c>
      <c r="AH118" s="4" t="s">
        <v>697</v>
      </c>
      <c r="AI118" s="5" t="s">
        <v>789</v>
      </c>
      <c r="AJ118" s="4">
        <v>11.76</v>
      </c>
      <c r="AK118" s="4">
        <v>6</v>
      </c>
      <c r="AL118" s="4" t="s">
        <v>800</v>
      </c>
      <c r="AM118" s="20" t="s">
        <v>824</v>
      </c>
      <c r="AN118" s="16" t="s">
        <v>803</v>
      </c>
      <c r="AO118" s="326"/>
      <c r="AP118" s="15">
        <v>0</v>
      </c>
      <c r="AQ118" s="9" t="str">
        <f>MID(Tabulka1[[#This Row],[BPEJ]],1,1)</f>
        <v>5</v>
      </c>
      <c r="AW118" s="9"/>
      <c r="AX118">
        <v>5</v>
      </c>
      <c r="AY118" s="114">
        <v>15</v>
      </c>
      <c r="AZ118" s="114">
        <v>0</v>
      </c>
      <c r="BA118" s="114">
        <v>0</v>
      </c>
      <c r="BB118" s="9">
        <v>5</v>
      </c>
      <c r="BC118" s="9" t="str">
        <f>MID(Tabulka1[[#This Row],[BPEJ]],3,2)</f>
        <v>15</v>
      </c>
      <c r="BD118" s="9" t="str">
        <f>MID(Tabulka1[[#This Row],[BPEJ]],6,1)</f>
        <v>0</v>
      </c>
      <c r="BE118" s="9" t="str">
        <f>MID(Tabulka1[[#This Row],[BPEJ]],7,1)</f>
        <v>0</v>
      </c>
      <c r="BF118" s="2" t="str">
        <f t="shared" si="10"/>
        <v>T</v>
      </c>
      <c r="BG118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18" s="7">
        <v>2.1</v>
      </c>
      <c r="BI118" s="2">
        <f t="shared" si="11"/>
        <v>21</v>
      </c>
      <c r="BJ118" s="2">
        <f>Tabulka1[[#This Row],[P2O5_60]]*10</f>
        <v>142</v>
      </c>
      <c r="BK118" s="2">
        <f>Tabulka1[[#This Row],[K2O_30]]*10</f>
        <v>500</v>
      </c>
      <c r="BL118" s="2">
        <f>Tabulka1[[#This Row],[K2O_60]]*10</f>
        <v>500</v>
      </c>
      <c r="BN118" s="2">
        <f>VLOOKUP(Tabulka1[[#This Row],[ID]],'Zdroj hloubka okresy'!$A$2:$F$171,5,FALSE)</f>
        <v>1.43</v>
      </c>
      <c r="BO118" s="2">
        <f>VLOOKUP(Tabulka1[[#This Row],[ID]],'Zdroj hloubka okresy'!$A$2:$D$171,3,FALSE)</f>
        <v>26</v>
      </c>
      <c r="BP118" s="2">
        <f>VLOOKUP(Tabulka1[[#This Row],[ID]],'Zdroj hloubka okresy'!$A$2:$D$171,4,FALSE)</f>
        <v>24</v>
      </c>
    </row>
    <row r="119" spans="1:68" x14ac:dyDescent="0.35">
      <c r="A119" s="13">
        <v>5525</v>
      </c>
      <c r="B119" s="14" t="s">
        <v>103</v>
      </c>
      <c r="C119" s="7">
        <v>6.43</v>
      </c>
      <c r="D119" s="7">
        <v>6.42</v>
      </c>
      <c r="E119" s="7">
        <v>5.7</v>
      </c>
      <c r="F119" s="7">
        <v>5.51</v>
      </c>
      <c r="G119" s="7">
        <v>1.57</v>
      </c>
      <c r="H119" s="7">
        <v>1.03</v>
      </c>
      <c r="I119" s="7">
        <v>0.91</v>
      </c>
      <c r="J119" s="7">
        <v>0.6</v>
      </c>
      <c r="K119" s="7">
        <v>0</v>
      </c>
      <c r="L119" s="7">
        <v>0</v>
      </c>
      <c r="M119" s="7">
        <v>20.7</v>
      </c>
      <c r="N119" s="139">
        <v>22.5</v>
      </c>
      <c r="O119" s="139">
        <v>36.700000000000003</v>
      </c>
      <c r="P119" s="139">
        <v>48</v>
      </c>
      <c r="Q119" s="7">
        <v>13.33</v>
      </c>
      <c r="R119" s="7">
        <v>15.38</v>
      </c>
      <c r="S119" s="7">
        <v>67.23</v>
      </c>
      <c r="T119" s="7">
        <v>70.38</v>
      </c>
      <c r="U119" s="4">
        <v>4</v>
      </c>
      <c r="V119" s="4">
        <f>VLOOKUP(Tabulka1[[#This Row],[ID]],'Zdroj hloubka okresy'!$A$2:$K$171,5,FALSE)</f>
        <v>1.42</v>
      </c>
      <c r="W119" s="4">
        <f>VLOOKUP(Tabulka1[[#This Row],[ID]],'Zdroj hloubka okresy'!$A$2:$K$171,6,FALSE)</f>
        <v>1.36</v>
      </c>
      <c r="X119" s="4">
        <v>14.48</v>
      </c>
      <c r="Y119" s="4">
        <v>21.93</v>
      </c>
      <c r="Z119" s="4">
        <v>19.25</v>
      </c>
      <c r="AA119" s="4">
        <v>17.29</v>
      </c>
      <c r="AB119" s="4">
        <v>54.43</v>
      </c>
      <c r="AC119" s="4">
        <v>51.72</v>
      </c>
      <c r="AD119" s="4">
        <v>5.27</v>
      </c>
      <c r="AE119" s="4">
        <v>4.49</v>
      </c>
      <c r="AF119" s="4">
        <v>6.57</v>
      </c>
      <c r="AG119" s="4">
        <v>4.57</v>
      </c>
      <c r="AH119" s="4" t="s">
        <v>764</v>
      </c>
      <c r="AI119" s="5" t="s">
        <v>789</v>
      </c>
      <c r="AJ119" s="4">
        <v>10.199999999999999</v>
      </c>
      <c r="AK119" s="4">
        <v>5</v>
      </c>
      <c r="AL119" s="4" t="s">
        <v>798</v>
      </c>
      <c r="AM119" s="20" t="s">
        <v>824</v>
      </c>
      <c r="AN119" s="16" t="s">
        <v>806</v>
      </c>
      <c r="AO119" s="326"/>
      <c r="AP119" s="15">
        <v>0</v>
      </c>
      <c r="AQ119" s="9" t="str">
        <f>MID(Tabulka1[[#This Row],[BPEJ]],1,1)</f>
        <v>5</v>
      </c>
      <c r="AW119" s="9"/>
      <c r="AX119">
        <v>5</v>
      </c>
      <c r="AY119" s="114">
        <v>43</v>
      </c>
      <c r="AZ119" s="114">
        <v>0</v>
      </c>
      <c r="BA119" s="114">
        <v>0</v>
      </c>
      <c r="BB119" s="9">
        <v>5</v>
      </c>
      <c r="BC119" s="9" t="str">
        <f>MID(Tabulka1[[#This Row],[BPEJ]],3,2)</f>
        <v>43</v>
      </c>
      <c r="BD119" s="9" t="str">
        <f>MID(Tabulka1[[#This Row],[BPEJ]],6,1)</f>
        <v>0</v>
      </c>
      <c r="BE119" s="9" t="str">
        <f>MID(Tabulka1[[#This Row],[BPEJ]],7,1)</f>
        <v>0</v>
      </c>
      <c r="BF119" s="2" t="str">
        <f t="shared" si="10"/>
        <v>T</v>
      </c>
      <c r="BG119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19" s="134">
        <v>2.0699999999999998</v>
      </c>
      <c r="BI119" s="2">
        <f t="shared" si="11"/>
        <v>20.7</v>
      </c>
      <c r="BJ119" s="2">
        <f>Tabulka1[[#This Row],[P2O5_60]]*10</f>
        <v>225</v>
      </c>
      <c r="BK119" s="2">
        <f>Tabulka1[[#This Row],[K2O_30]]*10</f>
        <v>367</v>
      </c>
      <c r="BL119" s="2">
        <f>Tabulka1[[#This Row],[K2O_60]]*10</f>
        <v>480</v>
      </c>
      <c r="BN119" s="2">
        <f>VLOOKUP(Tabulka1[[#This Row],[ID]],'Zdroj hloubka okresy'!$A$2:$F$171,5,FALSE)</f>
        <v>1.42</v>
      </c>
      <c r="BO119" s="2">
        <f>VLOOKUP(Tabulka1[[#This Row],[ID]],'Zdroj hloubka okresy'!$A$2:$D$171,3,FALSE)</f>
        <v>20</v>
      </c>
      <c r="BP119" s="2">
        <f>VLOOKUP(Tabulka1[[#This Row],[ID]],'Zdroj hloubka okresy'!$A$2:$D$171,4,FALSE)</f>
        <v>18</v>
      </c>
    </row>
    <row r="120" spans="1:68" x14ac:dyDescent="0.35">
      <c r="A120" s="13">
        <v>5528</v>
      </c>
      <c r="B120" s="14" t="s">
        <v>297</v>
      </c>
      <c r="C120" s="7">
        <v>5.9</v>
      </c>
      <c r="D120" s="7">
        <v>5.87</v>
      </c>
      <c r="E120" s="7">
        <v>4.5999999999999996</v>
      </c>
      <c r="F120" s="7">
        <v>4.3600000000000003</v>
      </c>
      <c r="G120" s="7">
        <v>1.62</v>
      </c>
      <c r="H120" s="7">
        <v>1</v>
      </c>
      <c r="I120" s="7">
        <v>0.94</v>
      </c>
      <c r="J120" s="7">
        <v>0.57999999999999996</v>
      </c>
      <c r="K120" s="7">
        <v>0</v>
      </c>
      <c r="L120" s="7">
        <v>0</v>
      </c>
      <c r="M120" s="7">
        <v>8.6999999999999993</v>
      </c>
      <c r="N120" s="139">
        <v>6.8999999999999995</v>
      </c>
      <c r="O120" s="139">
        <v>56.7</v>
      </c>
      <c r="P120" s="139">
        <v>43.3</v>
      </c>
      <c r="Q120" s="7">
        <v>16.37</v>
      </c>
      <c r="R120" s="7">
        <v>16.23</v>
      </c>
      <c r="S120" s="7">
        <v>63.17</v>
      </c>
      <c r="T120" s="7">
        <v>62.1</v>
      </c>
      <c r="U120" s="4">
        <v>3</v>
      </c>
      <c r="V120" s="4">
        <f>VLOOKUP(Tabulka1[[#This Row],[ID]],'Zdroj hloubka okresy'!$A$2:$K$171,5,FALSE)</f>
        <v>1.48</v>
      </c>
      <c r="W120" s="4">
        <f>VLOOKUP(Tabulka1[[#This Row],[ID]],'Zdroj hloubka okresy'!$A$2:$K$171,6,FALSE)</f>
        <v>1.42</v>
      </c>
      <c r="X120" s="4">
        <v>11.84</v>
      </c>
      <c r="Y120" s="4">
        <v>18.100000000000001</v>
      </c>
      <c r="Z120" s="4">
        <v>19.79</v>
      </c>
      <c r="AA120" s="4">
        <v>16.5</v>
      </c>
      <c r="AB120" s="4">
        <v>28.57</v>
      </c>
      <c r="AC120" s="4">
        <v>24.97</v>
      </c>
      <c r="AD120" s="4">
        <v>18.43</v>
      </c>
      <c r="AE120" s="4">
        <v>18.670000000000002</v>
      </c>
      <c r="AF120" s="4">
        <v>21.37</v>
      </c>
      <c r="AG120" s="4">
        <v>21.76</v>
      </c>
      <c r="AH120" s="4" t="s">
        <v>700</v>
      </c>
      <c r="AI120" s="5" t="s">
        <v>789</v>
      </c>
      <c r="AJ120" s="4">
        <v>9</v>
      </c>
      <c r="AK120" s="4">
        <v>6</v>
      </c>
      <c r="AL120" s="4" t="s">
        <v>800</v>
      </c>
      <c r="AM120" s="20" t="s">
        <v>824</v>
      </c>
      <c r="AN120" s="16" t="s">
        <v>802</v>
      </c>
      <c r="AO120" s="326"/>
      <c r="AP120" s="15">
        <v>0</v>
      </c>
      <c r="AQ120" s="9" t="str">
        <f>MID(Tabulka1[[#This Row],[BPEJ]],1,1)</f>
        <v>5</v>
      </c>
      <c r="AW120" s="9"/>
      <c r="AX120">
        <v>5</v>
      </c>
      <c r="AY120" s="114">
        <v>29</v>
      </c>
      <c r="AZ120" s="114">
        <v>0</v>
      </c>
      <c r="BA120" s="114">
        <v>1</v>
      </c>
      <c r="BB120" s="9">
        <v>5</v>
      </c>
      <c r="BC120" s="9" t="str">
        <f>MID(Tabulka1[[#This Row],[BPEJ]],3,2)</f>
        <v>29</v>
      </c>
      <c r="BD120" s="9" t="str">
        <f>MID(Tabulka1[[#This Row],[BPEJ]],6,1)</f>
        <v>0</v>
      </c>
      <c r="BE120" s="9" t="str">
        <f>MID(Tabulka1[[#This Row],[BPEJ]],7,1)</f>
        <v>1</v>
      </c>
      <c r="BF120" s="2" t="str">
        <f t="shared" si="10"/>
        <v>T</v>
      </c>
      <c r="BG120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20" s="7">
        <v>0.87</v>
      </c>
      <c r="BI120" s="2">
        <f t="shared" si="11"/>
        <v>8.6999999999999993</v>
      </c>
      <c r="BJ120" s="2">
        <f>Tabulka1[[#This Row],[P2O5_60]]*10</f>
        <v>69</v>
      </c>
      <c r="BK120" s="2">
        <f>Tabulka1[[#This Row],[K2O_30]]*10</f>
        <v>567</v>
      </c>
      <c r="BL120" s="2">
        <f>Tabulka1[[#This Row],[K2O_60]]*10</f>
        <v>433</v>
      </c>
      <c r="BN120" s="2">
        <f>VLOOKUP(Tabulka1[[#This Row],[ID]],'Zdroj hloubka okresy'!$A$2:$F$171,5,FALSE)</f>
        <v>1.48</v>
      </c>
      <c r="BO120" s="2">
        <f>VLOOKUP(Tabulka1[[#This Row],[ID]],'Zdroj hloubka okresy'!$A$2:$D$171,3,FALSE)</f>
        <v>20</v>
      </c>
      <c r="BP120" s="2">
        <f>VLOOKUP(Tabulka1[[#This Row],[ID]],'Zdroj hloubka okresy'!$A$2:$D$171,4,FALSE)</f>
        <v>12</v>
      </c>
    </row>
    <row r="121" spans="1:68" x14ac:dyDescent="0.35">
      <c r="A121" s="13">
        <v>5531</v>
      </c>
      <c r="B121" s="14" t="s">
        <v>101</v>
      </c>
      <c r="C121" s="7">
        <v>6.83</v>
      </c>
      <c r="D121" s="7">
        <v>6.56</v>
      </c>
      <c r="E121" s="7">
        <v>6.05</v>
      </c>
      <c r="F121" s="7">
        <v>5.51</v>
      </c>
      <c r="G121" s="7">
        <v>1.66</v>
      </c>
      <c r="H121" s="7">
        <v>0.98</v>
      </c>
      <c r="I121" s="7">
        <v>0.96</v>
      </c>
      <c r="J121" s="7">
        <v>0.56999999999999995</v>
      </c>
      <c r="K121" s="7">
        <v>0</v>
      </c>
      <c r="L121" s="7">
        <v>0</v>
      </c>
      <c r="M121" s="7">
        <v>24.900000000000002</v>
      </c>
      <c r="N121" s="139">
        <v>19.099999999999998</v>
      </c>
      <c r="O121" s="139">
        <v>66.7</v>
      </c>
      <c r="P121" s="139">
        <v>55</v>
      </c>
      <c r="Q121" s="7">
        <v>13.37</v>
      </c>
      <c r="R121" s="7">
        <v>13.43</v>
      </c>
      <c r="S121" s="7">
        <v>75.959999999999994</v>
      </c>
      <c r="T121" s="7">
        <v>71.5</v>
      </c>
      <c r="U121" s="4">
        <v>4</v>
      </c>
      <c r="V121" s="4">
        <f>VLOOKUP(Tabulka1[[#This Row],[ID]],'Zdroj hloubka okresy'!$A$2:$K$171,5,FALSE)</f>
        <v>1.48</v>
      </c>
      <c r="W121" s="4">
        <f>VLOOKUP(Tabulka1[[#This Row],[ID]],'Zdroj hloubka okresy'!$A$2:$K$171,6,FALSE)</f>
        <v>1.39</v>
      </c>
      <c r="X121" s="4">
        <v>10.7</v>
      </c>
      <c r="Y121" s="4">
        <v>17.64</v>
      </c>
      <c r="Z121" s="4">
        <v>18.02</v>
      </c>
      <c r="AA121" s="4">
        <v>16.239999999999998</v>
      </c>
      <c r="AB121" s="4">
        <v>40.380000000000003</v>
      </c>
      <c r="AC121" s="4">
        <v>40.82</v>
      </c>
      <c r="AD121" s="4">
        <v>13.31</v>
      </c>
      <c r="AE121" s="4">
        <v>10.9</v>
      </c>
      <c r="AF121" s="4">
        <v>17.59</v>
      </c>
      <c r="AG121" s="4">
        <v>14.39</v>
      </c>
      <c r="AH121" s="4" t="s">
        <v>764</v>
      </c>
      <c r="AI121" s="5" t="s">
        <v>789</v>
      </c>
      <c r="AJ121" s="4">
        <v>10.199999999999999</v>
      </c>
      <c r="AK121" s="4">
        <v>6</v>
      </c>
      <c r="AL121" s="4" t="s">
        <v>800</v>
      </c>
      <c r="AM121" s="20" t="s">
        <v>824</v>
      </c>
      <c r="AN121" s="16" t="s">
        <v>806</v>
      </c>
      <c r="AO121" s="326"/>
      <c r="AP121" s="15">
        <v>0</v>
      </c>
      <c r="AQ121" s="9" t="str">
        <f>MID(Tabulka1[[#This Row],[BPEJ]],1,1)</f>
        <v>5</v>
      </c>
      <c r="AW121" s="9"/>
      <c r="AX121">
        <v>5</v>
      </c>
      <c r="AY121" s="114">
        <v>43</v>
      </c>
      <c r="AZ121" s="114">
        <v>0</v>
      </c>
      <c r="BA121" s="114">
        <v>0</v>
      </c>
      <c r="BB121" s="9">
        <v>5</v>
      </c>
      <c r="BC121" s="9" t="str">
        <f>MID(Tabulka1[[#This Row],[BPEJ]],3,2)</f>
        <v>43</v>
      </c>
      <c r="BD121" s="9" t="str">
        <f>MID(Tabulka1[[#This Row],[BPEJ]],6,1)</f>
        <v>0</v>
      </c>
      <c r="BE121" s="9" t="str">
        <f>MID(Tabulka1[[#This Row],[BPEJ]],7,1)</f>
        <v>0</v>
      </c>
      <c r="BF121" s="2" t="str">
        <f t="shared" si="10"/>
        <v>T</v>
      </c>
      <c r="BG121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21" s="134">
        <v>2.4900000000000002</v>
      </c>
      <c r="BI121" s="2">
        <f t="shared" si="11"/>
        <v>24.900000000000002</v>
      </c>
      <c r="BJ121" s="2">
        <f>Tabulka1[[#This Row],[P2O5_60]]*10</f>
        <v>190.99999999999997</v>
      </c>
      <c r="BK121" s="2">
        <f>Tabulka1[[#This Row],[K2O_30]]*10</f>
        <v>667</v>
      </c>
      <c r="BL121" s="2">
        <f>Tabulka1[[#This Row],[K2O_60]]*10</f>
        <v>550</v>
      </c>
      <c r="BN121" s="2">
        <f>VLOOKUP(Tabulka1[[#This Row],[ID]],'Zdroj hloubka okresy'!$A$2:$F$171,5,FALSE)</f>
        <v>1.48</v>
      </c>
      <c r="BO121" s="2">
        <f>VLOOKUP(Tabulka1[[#This Row],[ID]],'Zdroj hloubka okresy'!$A$2:$D$171,3,FALSE)</f>
        <v>22</v>
      </c>
      <c r="BP121" s="2">
        <f>VLOOKUP(Tabulka1[[#This Row],[ID]],'Zdroj hloubka okresy'!$A$2:$D$171,4,FALSE)</f>
        <v>18</v>
      </c>
    </row>
    <row r="122" spans="1:68" x14ac:dyDescent="0.35">
      <c r="A122" s="13">
        <v>5534</v>
      </c>
      <c r="B122" s="14" t="s">
        <v>93</v>
      </c>
      <c r="C122" s="7">
        <v>7</v>
      </c>
      <c r="D122" s="7">
        <v>6.71</v>
      </c>
      <c r="E122" s="7">
        <v>6.47</v>
      </c>
      <c r="F122" s="7">
        <v>5.76</v>
      </c>
      <c r="G122" s="7">
        <v>1.59</v>
      </c>
      <c r="H122" s="7">
        <v>0.97</v>
      </c>
      <c r="I122" s="7">
        <v>0.92</v>
      </c>
      <c r="J122" s="7">
        <v>0.56000000000000005</v>
      </c>
      <c r="K122" s="7">
        <v>0</v>
      </c>
      <c r="L122" s="7">
        <v>0</v>
      </c>
      <c r="M122" s="7">
        <v>25.7</v>
      </c>
      <c r="N122" s="139">
        <v>17.100000000000001</v>
      </c>
      <c r="O122" s="139">
        <v>71.7</v>
      </c>
      <c r="P122" s="139">
        <v>56.2</v>
      </c>
      <c r="Q122" s="7">
        <v>16.45</v>
      </c>
      <c r="R122" s="7">
        <v>15.76</v>
      </c>
      <c r="S122" s="7">
        <v>88.07</v>
      </c>
      <c r="T122" s="7">
        <v>79.61</v>
      </c>
      <c r="U122" s="4">
        <v>3</v>
      </c>
      <c r="V122" s="4">
        <f>VLOOKUP(Tabulka1[[#This Row],[ID]],'Zdroj hloubka okresy'!$A$2:$K$171,5,FALSE)</f>
        <v>1.38</v>
      </c>
      <c r="W122" s="4">
        <f>VLOOKUP(Tabulka1[[#This Row],[ID]],'Zdroj hloubka okresy'!$A$2:$K$171,6,FALSE)</f>
        <v>1.37</v>
      </c>
      <c r="X122" s="4">
        <v>17.739999999999998</v>
      </c>
      <c r="Y122" s="4">
        <v>20.43</v>
      </c>
      <c r="Z122" s="4">
        <v>18.559999999999999</v>
      </c>
      <c r="AA122" s="4">
        <v>18.309999999999999</v>
      </c>
      <c r="AB122" s="4">
        <v>44.38</v>
      </c>
      <c r="AC122" s="4">
        <v>41.84</v>
      </c>
      <c r="AD122" s="4">
        <v>9.98</v>
      </c>
      <c r="AE122" s="4">
        <v>9.0299999999999994</v>
      </c>
      <c r="AF122" s="4">
        <v>9.33</v>
      </c>
      <c r="AG122" s="4">
        <v>10.39</v>
      </c>
      <c r="AH122" s="4" t="s">
        <v>750</v>
      </c>
      <c r="AI122" s="5" t="s">
        <v>792</v>
      </c>
      <c r="AJ122" s="4">
        <v>5.35</v>
      </c>
      <c r="AK122" s="4">
        <v>7</v>
      </c>
      <c r="AL122" s="4" t="s">
        <v>801</v>
      </c>
      <c r="AM122" s="20" t="s">
        <v>796</v>
      </c>
      <c r="AN122" s="16" t="s">
        <v>803</v>
      </c>
      <c r="AO122" s="326"/>
      <c r="AP122" s="15">
        <v>0</v>
      </c>
      <c r="AQ122" s="9" t="str">
        <f>MID(Tabulka1[[#This Row],[BPEJ]],1,1)</f>
        <v>7</v>
      </c>
      <c r="AW122" s="9"/>
      <c r="AX122">
        <v>7</v>
      </c>
      <c r="AY122" s="114">
        <v>50</v>
      </c>
      <c r="AZ122" s="114">
        <v>0</v>
      </c>
      <c r="BA122" s="114">
        <v>1</v>
      </c>
      <c r="BB122" s="9">
        <v>7</v>
      </c>
      <c r="BC122" s="9" t="str">
        <f>MID(Tabulka1[[#This Row],[BPEJ]],3,2)</f>
        <v>50</v>
      </c>
      <c r="BD122" s="9" t="str">
        <f>MID(Tabulka1[[#This Row],[BPEJ]],6,1)</f>
        <v>0</v>
      </c>
      <c r="BE122" s="9" t="str">
        <f>MID(Tabulka1[[#This Row],[BPEJ]],7,1)</f>
        <v>1</v>
      </c>
      <c r="BF122" s="2" t="str">
        <f t="shared" si="10"/>
        <v>CH</v>
      </c>
      <c r="BG122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22" s="7">
        <v>2.57</v>
      </c>
      <c r="BI122" s="2">
        <f t="shared" si="11"/>
        <v>25.7</v>
      </c>
      <c r="BJ122" s="2">
        <f>Tabulka1[[#This Row],[P2O5_60]]*10</f>
        <v>171</v>
      </c>
      <c r="BK122" s="2">
        <f>Tabulka1[[#This Row],[K2O_30]]*10</f>
        <v>717</v>
      </c>
      <c r="BL122" s="2">
        <f>Tabulka1[[#This Row],[K2O_60]]*10</f>
        <v>562</v>
      </c>
      <c r="BN122" s="2">
        <f>VLOOKUP(Tabulka1[[#This Row],[ID]],'Zdroj hloubka okresy'!$A$2:$F$171,5,FALSE)</f>
        <v>1.38</v>
      </c>
      <c r="BO122" s="2">
        <f>VLOOKUP(Tabulka1[[#This Row],[ID]],'Zdroj hloubka okresy'!$A$2:$D$171,3,FALSE)</f>
        <v>25</v>
      </c>
      <c r="BP122" s="2">
        <f>VLOOKUP(Tabulka1[[#This Row],[ID]],'Zdroj hloubka okresy'!$A$2:$D$171,4,FALSE)</f>
        <v>19</v>
      </c>
    </row>
    <row r="123" spans="1:68" x14ac:dyDescent="0.35">
      <c r="A123" s="13">
        <v>5537</v>
      </c>
      <c r="B123" s="14" t="s">
        <v>296</v>
      </c>
      <c r="C123" s="7">
        <v>5.73</v>
      </c>
      <c r="D123" s="7">
        <v>5.67</v>
      </c>
      <c r="E123" s="7">
        <v>5.2</v>
      </c>
      <c r="F123" s="7">
        <v>5.0999999999999996</v>
      </c>
      <c r="G123" s="7">
        <v>1.1200000000000001</v>
      </c>
      <c r="H123" s="7">
        <v>0.76</v>
      </c>
      <c r="I123" s="7">
        <v>0.65</v>
      </c>
      <c r="J123" s="7">
        <v>0.44</v>
      </c>
      <c r="K123" s="7">
        <v>0</v>
      </c>
      <c r="L123" s="7">
        <v>0</v>
      </c>
      <c r="M123" s="7">
        <v>19</v>
      </c>
      <c r="N123" s="139">
        <v>10</v>
      </c>
      <c r="O123" s="139">
        <v>60.300000000000004</v>
      </c>
      <c r="P123" s="139">
        <v>30.7</v>
      </c>
      <c r="Q123" s="7">
        <v>12.17</v>
      </c>
      <c r="R123" s="7">
        <v>11</v>
      </c>
      <c r="S123" s="7">
        <v>46.53</v>
      </c>
      <c r="T123" s="7">
        <v>51.93</v>
      </c>
      <c r="U123" s="4">
        <v>4</v>
      </c>
      <c r="V123" s="4">
        <f>VLOOKUP(Tabulka1[[#This Row],[ID]],'Zdroj hloubka okresy'!$A$2:$K$171,5,FALSE)</f>
        <v>1.45</v>
      </c>
      <c r="W123" s="4">
        <f>VLOOKUP(Tabulka1[[#This Row],[ID]],'Zdroj hloubka okresy'!$A$2:$K$171,6,FALSE)</f>
        <v>1.39</v>
      </c>
      <c r="X123" s="4">
        <v>12.72</v>
      </c>
      <c r="Y123" s="4">
        <v>17.559999999999999</v>
      </c>
      <c r="Z123" s="4">
        <v>22.45</v>
      </c>
      <c r="AA123" s="4">
        <v>20.059999999999999</v>
      </c>
      <c r="AB123" s="4">
        <v>38.1</v>
      </c>
      <c r="AC123" s="4">
        <v>37.200000000000003</v>
      </c>
      <c r="AD123" s="4">
        <v>9.9</v>
      </c>
      <c r="AE123" s="4">
        <v>9.83</v>
      </c>
      <c r="AF123" s="4">
        <v>16.829999999999998</v>
      </c>
      <c r="AG123" s="4">
        <v>15.34</v>
      </c>
      <c r="AH123" s="4" t="s">
        <v>769</v>
      </c>
      <c r="AI123" s="5" t="s">
        <v>792</v>
      </c>
      <c r="AJ123" s="4">
        <v>6.96</v>
      </c>
      <c r="AK123" s="4">
        <v>6</v>
      </c>
      <c r="AL123" s="4" t="s">
        <v>800</v>
      </c>
      <c r="AM123" s="20" t="s">
        <v>824</v>
      </c>
      <c r="AN123" s="16" t="s">
        <v>803</v>
      </c>
      <c r="AO123" s="326"/>
      <c r="AP123" s="15">
        <v>0</v>
      </c>
      <c r="AQ123" s="9" t="str">
        <f>MID(Tabulka1[[#This Row],[BPEJ]],1,1)</f>
        <v>5</v>
      </c>
      <c r="AW123" s="9"/>
      <c r="AX123">
        <v>5</v>
      </c>
      <c r="AY123" s="114">
        <v>46</v>
      </c>
      <c r="AZ123" s="114">
        <v>0</v>
      </c>
      <c r="BA123" s="114">
        <v>2</v>
      </c>
      <c r="BB123" s="9">
        <v>5</v>
      </c>
      <c r="BC123" s="9" t="str">
        <f>MID(Tabulka1[[#This Row],[BPEJ]],3,2)</f>
        <v>46</v>
      </c>
      <c r="BD123" s="9" t="str">
        <f>MID(Tabulka1[[#This Row],[BPEJ]],6,1)</f>
        <v>0</v>
      </c>
      <c r="BE123" s="9" t="str">
        <f>MID(Tabulka1[[#This Row],[BPEJ]],7,1)</f>
        <v>2</v>
      </c>
      <c r="BF123" s="2" t="str">
        <f t="shared" si="10"/>
        <v>T</v>
      </c>
      <c r="BG123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23" s="134">
        <v>1.9</v>
      </c>
      <c r="BI123" s="2">
        <f t="shared" si="11"/>
        <v>19</v>
      </c>
      <c r="BJ123" s="2">
        <f>Tabulka1[[#This Row],[P2O5_60]]*10</f>
        <v>100</v>
      </c>
      <c r="BK123" s="2">
        <f>Tabulka1[[#This Row],[K2O_30]]*10</f>
        <v>603</v>
      </c>
      <c r="BL123" s="2">
        <f>Tabulka1[[#This Row],[K2O_60]]*10</f>
        <v>307</v>
      </c>
      <c r="BN123" s="2">
        <f>VLOOKUP(Tabulka1[[#This Row],[ID]],'Zdroj hloubka okresy'!$A$2:$F$171,5,FALSE)</f>
        <v>1.45</v>
      </c>
      <c r="BO123" s="2">
        <f>VLOOKUP(Tabulka1[[#This Row],[ID]],'Zdroj hloubka okresy'!$A$2:$D$171,3,FALSE)</f>
        <v>20</v>
      </c>
      <c r="BP123" s="2">
        <f>VLOOKUP(Tabulka1[[#This Row],[ID]],'Zdroj hloubka okresy'!$A$2:$D$171,4,FALSE)</f>
        <v>20</v>
      </c>
    </row>
    <row r="124" spans="1:68" x14ac:dyDescent="0.35">
      <c r="A124" s="13">
        <v>5540</v>
      </c>
      <c r="B124" s="14" t="s">
        <v>302</v>
      </c>
      <c r="C124" s="7">
        <v>6.9</v>
      </c>
      <c r="D124" s="7">
        <v>6.61</v>
      </c>
      <c r="E124" s="7">
        <v>6.47</v>
      </c>
      <c r="F124" s="7">
        <v>6</v>
      </c>
      <c r="G124" s="7">
        <v>1.74</v>
      </c>
      <c r="H124" s="7">
        <v>1.07</v>
      </c>
      <c r="I124" s="7">
        <v>1.01</v>
      </c>
      <c r="J124" s="7">
        <v>0.62</v>
      </c>
      <c r="K124" s="7">
        <v>0</v>
      </c>
      <c r="L124" s="7">
        <v>0</v>
      </c>
      <c r="M124" s="7">
        <v>24.3</v>
      </c>
      <c r="N124" s="139">
        <v>12.7</v>
      </c>
      <c r="O124" s="139">
        <v>50</v>
      </c>
      <c r="P124" s="139">
        <v>50</v>
      </c>
      <c r="Q124" s="7">
        <v>15.73</v>
      </c>
      <c r="R124" s="7">
        <v>16.100000000000001</v>
      </c>
      <c r="S124" s="7">
        <v>86.03</v>
      </c>
      <c r="T124" s="7">
        <v>82.5</v>
      </c>
      <c r="U124" s="4">
        <v>4</v>
      </c>
      <c r="V124" s="4">
        <f>VLOOKUP(Tabulka1[[#This Row],[ID]],'Zdroj hloubka okresy'!$A$2:$K$171,5,FALSE)</f>
        <v>1.38</v>
      </c>
      <c r="W124" s="4">
        <f>VLOOKUP(Tabulka1[[#This Row],[ID]],'Zdroj hloubka okresy'!$A$2:$K$171,6,FALSE)</f>
        <v>1.33</v>
      </c>
      <c r="X124" s="4">
        <v>18.86</v>
      </c>
      <c r="Y124" s="4">
        <v>25.09</v>
      </c>
      <c r="Z124" s="4">
        <v>14.24</v>
      </c>
      <c r="AA124" s="4">
        <v>12.97</v>
      </c>
      <c r="AB124" s="4">
        <v>46.67</v>
      </c>
      <c r="AC124" s="4">
        <v>44.65</v>
      </c>
      <c r="AD124" s="4">
        <v>12.07</v>
      </c>
      <c r="AE124" s="4">
        <v>10.210000000000001</v>
      </c>
      <c r="AF124" s="4">
        <v>8.17</v>
      </c>
      <c r="AG124" s="4">
        <v>7.09</v>
      </c>
      <c r="AH124" s="4" t="s">
        <v>696</v>
      </c>
      <c r="AI124" s="5" t="s">
        <v>792</v>
      </c>
      <c r="AJ124" s="4">
        <v>8.94</v>
      </c>
      <c r="AK124" s="4">
        <v>5</v>
      </c>
      <c r="AL124" s="4" t="s">
        <v>798</v>
      </c>
      <c r="AM124" s="20" t="s">
        <v>824</v>
      </c>
      <c r="AN124" s="16" t="s">
        <v>803</v>
      </c>
      <c r="AO124" s="326"/>
      <c r="AP124" s="15">
        <v>0</v>
      </c>
      <c r="AQ124" s="9" t="str">
        <f>MID(Tabulka1[[#This Row],[BPEJ]],1,1)</f>
        <v>5</v>
      </c>
      <c r="AW124" s="9"/>
      <c r="AX124">
        <v>5</v>
      </c>
      <c r="AY124" s="114">
        <v>46</v>
      </c>
      <c r="AZ124" s="114">
        <v>0</v>
      </c>
      <c r="BA124" s="114">
        <v>0</v>
      </c>
      <c r="BB124" s="9">
        <v>5</v>
      </c>
      <c r="BC124" s="9" t="str">
        <f>MID(Tabulka1[[#This Row],[BPEJ]],3,2)</f>
        <v>46</v>
      </c>
      <c r="BD124" s="9" t="str">
        <f>MID(Tabulka1[[#This Row],[BPEJ]],6,1)</f>
        <v>0</v>
      </c>
      <c r="BE124" s="9" t="str">
        <f>MID(Tabulka1[[#This Row],[BPEJ]],7,1)</f>
        <v>0</v>
      </c>
      <c r="BF124" s="2" t="str">
        <f t="shared" si="10"/>
        <v>T</v>
      </c>
      <c r="BG124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24" s="7">
        <v>2.4300000000000002</v>
      </c>
      <c r="BI124" s="2">
        <f t="shared" si="11"/>
        <v>24.3</v>
      </c>
      <c r="BJ124" s="2">
        <f>Tabulka1[[#This Row],[P2O5_60]]*10</f>
        <v>127</v>
      </c>
      <c r="BK124" s="2">
        <f>Tabulka1[[#This Row],[K2O_30]]*10</f>
        <v>500</v>
      </c>
      <c r="BL124" s="2">
        <f>Tabulka1[[#This Row],[K2O_60]]*10</f>
        <v>500</v>
      </c>
      <c r="BN124" s="2">
        <f>VLOOKUP(Tabulka1[[#This Row],[ID]],'Zdroj hloubka okresy'!$A$2:$F$171,5,FALSE)</f>
        <v>1.38</v>
      </c>
      <c r="BO124" s="2">
        <f>VLOOKUP(Tabulka1[[#This Row],[ID]],'Zdroj hloubka okresy'!$A$2:$D$171,3,FALSE)</f>
        <v>20</v>
      </c>
      <c r="BP124" s="2">
        <f>VLOOKUP(Tabulka1[[#This Row],[ID]],'Zdroj hloubka okresy'!$A$2:$D$171,4,FALSE)</f>
        <v>17</v>
      </c>
    </row>
    <row r="125" spans="1:68" x14ac:dyDescent="0.35">
      <c r="A125" s="13">
        <v>5543</v>
      </c>
      <c r="B125" s="14" t="s">
        <v>102</v>
      </c>
      <c r="C125" s="7">
        <v>6.8</v>
      </c>
      <c r="D125" s="7">
        <v>6.8</v>
      </c>
      <c r="E125" s="7">
        <v>5.62</v>
      </c>
      <c r="F125" s="7">
        <v>5.43</v>
      </c>
      <c r="G125" s="7">
        <v>1.31</v>
      </c>
      <c r="H125" s="7">
        <v>0.79</v>
      </c>
      <c r="I125" s="7">
        <v>0.76</v>
      </c>
      <c r="J125" s="7">
        <v>0.46</v>
      </c>
      <c r="K125" s="7">
        <v>0</v>
      </c>
      <c r="L125" s="7">
        <v>0</v>
      </c>
      <c r="M125" s="7">
        <v>14</v>
      </c>
      <c r="N125" s="139">
        <v>11.100000000000001</v>
      </c>
      <c r="O125" s="139">
        <v>48</v>
      </c>
      <c r="P125" s="139">
        <v>38.299999999999997</v>
      </c>
      <c r="Q125" s="7">
        <v>14.64</v>
      </c>
      <c r="R125" s="7">
        <v>14.03</v>
      </c>
      <c r="S125" s="7">
        <v>77.739999999999995</v>
      </c>
      <c r="T125" s="7">
        <v>79.31</v>
      </c>
      <c r="U125" s="4">
        <v>3</v>
      </c>
      <c r="V125" s="4">
        <f>VLOOKUP(Tabulka1[[#This Row],[ID]],'Zdroj hloubka okresy'!$A$2:$K$171,5,FALSE)</f>
        <v>1.53</v>
      </c>
      <c r="W125" s="4">
        <f>VLOOKUP(Tabulka1[[#This Row],[ID]],'Zdroj hloubka okresy'!$A$2:$K$171,6,FALSE)</f>
        <v>1.54</v>
      </c>
      <c r="X125" s="4">
        <v>7.75</v>
      </c>
      <c r="Y125" s="4">
        <v>7.29</v>
      </c>
      <c r="Z125" s="4">
        <v>9.6300000000000008</v>
      </c>
      <c r="AA125" s="4">
        <v>7.25</v>
      </c>
      <c r="AB125" s="4">
        <v>18.12</v>
      </c>
      <c r="AC125" s="4">
        <v>16.010000000000002</v>
      </c>
      <c r="AD125" s="4">
        <v>25.06</v>
      </c>
      <c r="AE125" s="4">
        <v>25.44</v>
      </c>
      <c r="AF125" s="4">
        <v>39.44</v>
      </c>
      <c r="AG125" s="4">
        <v>44.01</v>
      </c>
      <c r="AH125" s="4" t="s">
        <v>748</v>
      </c>
      <c r="AI125" s="5" t="s">
        <v>793</v>
      </c>
      <c r="AJ125" s="4">
        <v>7.04</v>
      </c>
      <c r="AK125" s="4">
        <v>6</v>
      </c>
      <c r="AL125" s="4" t="s">
        <v>800</v>
      </c>
      <c r="AM125" s="20" t="s">
        <v>824</v>
      </c>
      <c r="AN125" s="16" t="s">
        <v>802</v>
      </c>
      <c r="AO125" s="326"/>
      <c r="AP125" s="15">
        <v>0</v>
      </c>
      <c r="AQ125" s="9" t="str">
        <f>MID(Tabulka1[[#This Row],[BPEJ]],1,1)</f>
        <v>7</v>
      </c>
      <c r="AW125" s="9"/>
      <c r="AX125">
        <v>7</v>
      </c>
      <c r="AY125" s="114">
        <v>29</v>
      </c>
      <c r="AZ125" s="114">
        <v>1</v>
      </c>
      <c r="BA125" s="114">
        <v>1</v>
      </c>
      <c r="BB125" s="9">
        <v>7</v>
      </c>
      <c r="BC125" s="9" t="str">
        <f>MID(Tabulka1[[#This Row],[BPEJ]],3,2)</f>
        <v>29</v>
      </c>
      <c r="BD125" s="9" t="str">
        <f>MID(Tabulka1[[#This Row],[BPEJ]],6,1)</f>
        <v>1</v>
      </c>
      <c r="BE125" s="9" t="str">
        <f>MID(Tabulka1[[#This Row],[BPEJ]],7,1)</f>
        <v>1</v>
      </c>
      <c r="BF125" s="2" t="str">
        <f t="shared" si="10"/>
        <v>CH</v>
      </c>
      <c r="BG125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125" s="134">
        <v>1.4</v>
      </c>
      <c r="BI125" s="2">
        <f t="shared" si="11"/>
        <v>14</v>
      </c>
      <c r="BJ125" s="2">
        <f>Tabulka1[[#This Row],[P2O5_60]]*10</f>
        <v>111.00000000000001</v>
      </c>
      <c r="BK125" s="2">
        <f>Tabulka1[[#This Row],[K2O_30]]*10</f>
        <v>480</v>
      </c>
      <c r="BL125" s="2">
        <f>Tabulka1[[#This Row],[K2O_60]]*10</f>
        <v>383</v>
      </c>
      <c r="BN125" s="2">
        <f>VLOOKUP(Tabulka1[[#This Row],[ID]],'Zdroj hloubka okresy'!$A$2:$F$171,5,FALSE)</f>
        <v>1.53</v>
      </c>
      <c r="BO125" s="2">
        <f>VLOOKUP(Tabulka1[[#This Row],[ID]],'Zdroj hloubka okresy'!$A$2:$D$171,3,FALSE)</f>
        <v>18</v>
      </c>
      <c r="BP125" s="2">
        <f>VLOOKUP(Tabulka1[[#This Row],[ID]],'Zdroj hloubka okresy'!$A$2:$D$171,4,FALSE)</f>
        <v>38</v>
      </c>
    </row>
    <row r="126" spans="1:68" x14ac:dyDescent="0.35">
      <c r="A126" s="13">
        <v>5546</v>
      </c>
      <c r="B126" s="14" t="s">
        <v>291</v>
      </c>
      <c r="C126" s="7">
        <v>7.41</v>
      </c>
      <c r="D126" s="7">
        <v>7.46</v>
      </c>
      <c r="E126" s="7">
        <v>6.77</v>
      </c>
      <c r="F126" s="7">
        <v>6.66</v>
      </c>
      <c r="G126" s="7">
        <v>2.2400000000000002</v>
      </c>
      <c r="H126" s="7">
        <v>1.52</v>
      </c>
      <c r="I126" s="7">
        <v>1.3</v>
      </c>
      <c r="J126" s="7">
        <v>0.88</v>
      </c>
      <c r="K126" s="7">
        <v>0</v>
      </c>
      <c r="L126" s="7">
        <v>0</v>
      </c>
      <c r="M126" s="7">
        <v>85.9</v>
      </c>
      <c r="N126" s="139">
        <v>43.5</v>
      </c>
      <c r="O126" s="139">
        <v>133.30000000000001</v>
      </c>
      <c r="P126" s="139">
        <v>109.3</v>
      </c>
      <c r="Q126" s="7">
        <v>14.23</v>
      </c>
      <c r="R126" s="7">
        <v>12.9</v>
      </c>
      <c r="S126" s="7">
        <v>92.1</v>
      </c>
      <c r="T126" s="7">
        <v>89.5</v>
      </c>
      <c r="U126" s="4">
        <v>3</v>
      </c>
      <c r="V126" s="4">
        <f>VLOOKUP(Tabulka1[[#This Row],[ID]],'Zdroj hloubka okresy'!$A$2:$K$171,5,FALSE)</f>
        <v>1.53</v>
      </c>
      <c r="W126" s="4">
        <f>VLOOKUP(Tabulka1[[#This Row],[ID]],'Zdroj hloubka okresy'!$A$2:$K$171,6,FALSE)</f>
        <v>1.56</v>
      </c>
      <c r="X126" s="4">
        <v>10.47</v>
      </c>
      <c r="Y126" s="4">
        <v>9.1199999999999992</v>
      </c>
      <c r="Z126" s="4">
        <v>16.57</v>
      </c>
      <c r="AA126" s="4">
        <v>13.45</v>
      </c>
      <c r="AB126" s="4">
        <v>22.93</v>
      </c>
      <c r="AC126" s="4">
        <v>19.940000000000001</v>
      </c>
      <c r="AD126" s="4">
        <v>24.99</v>
      </c>
      <c r="AE126" s="4">
        <v>26.54</v>
      </c>
      <c r="AF126" s="4">
        <v>25.05</v>
      </c>
      <c r="AG126" s="4">
        <v>30.95</v>
      </c>
      <c r="AH126" s="4" t="s">
        <v>749</v>
      </c>
      <c r="AI126" s="5" t="s">
        <v>792</v>
      </c>
      <c r="AJ126" s="4">
        <v>6.09</v>
      </c>
      <c r="AK126" s="4">
        <v>5</v>
      </c>
      <c r="AL126" s="4" t="s">
        <v>798</v>
      </c>
      <c r="AM126" s="20" t="s">
        <v>824</v>
      </c>
      <c r="AN126" s="16" t="s">
        <v>802</v>
      </c>
      <c r="AO126" s="326"/>
      <c r="AP126" s="15">
        <v>0</v>
      </c>
      <c r="AQ126" s="9" t="str">
        <f>MID(Tabulka1[[#This Row],[BPEJ]],1,1)</f>
        <v>5</v>
      </c>
      <c r="AW126" s="9"/>
      <c r="AX126">
        <v>5</v>
      </c>
      <c r="AY126" s="114">
        <v>29</v>
      </c>
      <c r="AZ126" s="114">
        <v>0</v>
      </c>
      <c r="BA126" s="114">
        <v>4</v>
      </c>
      <c r="BB126" s="9">
        <v>5</v>
      </c>
      <c r="BC126" s="9" t="str">
        <f>MID(Tabulka1[[#This Row],[BPEJ]],3,2)</f>
        <v>29</v>
      </c>
      <c r="BD126" s="9" t="str">
        <f>MID(Tabulka1[[#This Row],[BPEJ]],6,1)</f>
        <v>0</v>
      </c>
      <c r="BE126" s="9" t="str">
        <f>MID(Tabulka1[[#This Row],[BPEJ]],7,1)</f>
        <v>4</v>
      </c>
      <c r="BF126" s="2" t="str">
        <f t="shared" si="10"/>
        <v>T</v>
      </c>
      <c r="BG126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26" s="7">
        <v>8.59</v>
      </c>
      <c r="BI126" s="2">
        <f t="shared" si="11"/>
        <v>85.9</v>
      </c>
      <c r="BJ126" s="2">
        <f>Tabulka1[[#This Row],[P2O5_60]]*10</f>
        <v>435</v>
      </c>
      <c r="BK126" s="2">
        <f>Tabulka1[[#This Row],[K2O_30]]*10</f>
        <v>1333</v>
      </c>
      <c r="BL126" s="2">
        <f>Tabulka1[[#This Row],[K2O_60]]*10</f>
        <v>1093</v>
      </c>
      <c r="BN126" s="2">
        <f>VLOOKUP(Tabulka1[[#This Row],[ID]],'Zdroj hloubka okresy'!$A$2:$F$171,5,FALSE)</f>
        <v>1.53</v>
      </c>
      <c r="BO126" s="2">
        <f>VLOOKUP(Tabulka1[[#This Row],[ID]],'Zdroj hloubka okresy'!$A$2:$D$171,3,FALSE)</f>
        <v>26</v>
      </c>
      <c r="BP126" s="2">
        <f>VLOOKUP(Tabulka1[[#This Row],[ID]],'Zdroj hloubka okresy'!$A$2:$D$171,4,FALSE)</f>
        <v>20</v>
      </c>
    </row>
    <row r="127" spans="1:68" x14ac:dyDescent="0.35">
      <c r="A127" s="13">
        <v>5549</v>
      </c>
      <c r="B127" s="14" t="s">
        <v>23</v>
      </c>
      <c r="C127" s="7">
        <v>6.92</v>
      </c>
      <c r="D127" s="7">
        <v>6.53</v>
      </c>
      <c r="E127" s="7">
        <v>6.18</v>
      </c>
      <c r="F127" s="7">
        <v>5.67</v>
      </c>
      <c r="G127" s="7">
        <v>2.1800000000000002</v>
      </c>
      <c r="H127" s="7">
        <v>1.38</v>
      </c>
      <c r="I127" s="7">
        <v>1.27</v>
      </c>
      <c r="J127" s="7">
        <v>0.8</v>
      </c>
      <c r="K127" s="7">
        <v>0</v>
      </c>
      <c r="L127" s="7">
        <v>0</v>
      </c>
      <c r="M127" s="7">
        <v>34.6</v>
      </c>
      <c r="N127" s="139">
        <v>17.8</v>
      </c>
      <c r="O127" s="139">
        <v>260</v>
      </c>
      <c r="P127" s="139">
        <v>178.29999999999998</v>
      </c>
      <c r="Q127" s="7">
        <v>13</v>
      </c>
      <c r="R127" s="7">
        <v>10.87</v>
      </c>
      <c r="S127" s="7">
        <v>77.86</v>
      </c>
      <c r="T127" s="7">
        <v>64.3</v>
      </c>
      <c r="U127" s="4">
        <v>3</v>
      </c>
      <c r="V127" s="4">
        <f>VLOOKUP(Tabulka1[[#This Row],[ID]],'Zdroj hloubka okresy'!$A$2:$K$171,5,FALSE)</f>
        <v>1.58</v>
      </c>
      <c r="W127" s="4">
        <f>VLOOKUP(Tabulka1[[#This Row],[ID]],'Zdroj hloubka okresy'!$A$2:$K$171,6,FALSE)</f>
        <v>1.61</v>
      </c>
      <c r="X127" s="4">
        <v>7.76</v>
      </c>
      <c r="Y127" s="4">
        <v>7.28</v>
      </c>
      <c r="Z127" s="4">
        <v>12.61</v>
      </c>
      <c r="AA127" s="4">
        <v>11.43</v>
      </c>
      <c r="AB127" s="4">
        <v>18.510000000000002</v>
      </c>
      <c r="AC127" s="4">
        <v>18.329999999999998</v>
      </c>
      <c r="AD127" s="4">
        <v>21.71</v>
      </c>
      <c r="AE127" s="4">
        <v>25.13</v>
      </c>
      <c r="AF127" s="4">
        <v>39.409999999999997</v>
      </c>
      <c r="AG127" s="4">
        <v>37.83</v>
      </c>
      <c r="AH127" s="4" t="s">
        <v>700</v>
      </c>
      <c r="AI127" s="5" t="s">
        <v>789</v>
      </c>
      <c r="AJ127" s="4">
        <v>9</v>
      </c>
      <c r="AK127" s="4">
        <v>7</v>
      </c>
      <c r="AL127" s="4" t="s">
        <v>801</v>
      </c>
      <c r="AM127" s="20" t="s">
        <v>824</v>
      </c>
      <c r="AN127" s="16" t="s">
        <v>802</v>
      </c>
      <c r="AO127" s="326"/>
      <c r="AP127" s="15">
        <v>0</v>
      </c>
      <c r="AQ127" s="9" t="str">
        <f>MID(Tabulka1[[#This Row],[BPEJ]],1,1)</f>
        <v>5</v>
      </c>
      <c r="AW127" s="9"/>
      <c r="AX127">
        <v>5</v>
      </c>
      <c r="AY127" s="114">
        <v>29</v>
      </c>
      <c r="AZ127" s="114">
        <v>0</v>
      </c>
      <c r="BA127" s="114">
        <v>1</v>
      </c>
      <c r="BB127" s="9">
        <v>5</v>
      </c>
      <c r="BC127" s="9" t="str">
        <f>MID(Tabulka1[[#This Row],[BPEJ]],3,2)</f>
        <v>29</v>
      </c>
      <c r="BD127" s="9" t="str">
        <f>MID(Tabulka1[[#This Row],[BPEJ]],6,1)</f>
        <v>0</v>
      </c>
      <c r="BE127" s="9" t="str">
        <f>MID(Tabulka1[[#This Row],[BPEJ]],7,1)</f>
        <v>1</v>
      </c>
      <c r="BF127" s="2" t="str">
        <f t="shared" si="10"/>
        <v>T</v>
      </c>
      <c r="BG127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27" s="134">
        <v>3.46</v>
      </c>
      <c r="BI127" s="2">
        <f t="shared" si="11"/>
        <v>34.6</v>
      </c>
      <c r="BJ127" s="2">
        <f>Tabulka1[[#This Row],[P2O5_60]]*10</f>
        <v>178</v>
      </c>
      <c r="BK127" s="2">
        <f>Tabulka1[[#This Row],[K2O_30]]*10</f>
        <v>2600</v>
      </c>
      <c r="BL127" s="2">
        <f>Tabulka1[[#This Row],[K2O_60]]*10</f>
        <v>1782.9999999999998</v>
      </c>
      <c r="BN127" s="2">
        <f>VLOOKUP(Tabulka1[[#This Row],[ID]],'Zdroj hloubka okresy'!$A$2:$F$171,5,FALSE)</f>
        <v>1.58</v>
      </c>
      <c r="BO127" s="2">
        <f>VLOOKUP(Tabulka1[[#This Row],[ID]],'Zdroj hloubka okresy'!$A$2:$D$171,3,FALSE)</f>
        <v>24</v>
      </c>
      <c r="BP127" s="2">
        <f>VLOOKUP(Tabulka1[[#This Row],[ID]],'Zdroj hloubka okresy'!$A$2:$D$171,4,FALSE)</f>
        <v>26</v>
      </c>
    </row>
    <row r="128" spans="1:68" x14ac:dyDescent="0.35">
      <c r="A128" s="13">
        <v>5552</v>
      </c>
      <c r="B128" s="14" t="s">
        <v>311</v>
      </c>
      <c r="C128" s="7">
        <v>5.76</v>
      </c>
      <c r="D128" s="7">
        <v>6.02</v>
      </c>
      <c r="E128" s="7">
        <v>5.46</v>
      </c>
      <c r="F128" s="7">
        <v>5.63</v>
      </c>
      <c r="G128" s="7">
        <v>1.86</v>
      </c>
      <c r="H128" s="7">
        <v>1.23</v>
      </c>
      <c r="I128" s="7">
        <v>1.08</v>
      </c>
      <c r="J128" s="7">
        <v>0.72</v>
      </c>
      <c r="K128" s="7">
        <v>0</v>
      </c>
      <c r="L128" s="7">
        <v>0</v>
      </c>
      <c r="M128" s="7">
        <v>1</v>
      </c>
      <c r="N128" s="139">
        <v>1</v>
      </c>
      <c r="O128" s="139">
        <v>148</v>
      </c>
      <c r="P128" s="139">
        <v>99.5</v>
      </c>
      <c r="Q128" s="7">
        <v>18.82</v>
      </c>
      <c r="R128" s="7">
        <v>15.09</v>
      </c>
      <c r="S128" s="7">
        <v>77.48</v>
      </c>
      <c r="T128" s="7">
        <v>79.5</v>
      </c>
      <c r="U128" s="4">
        <v>3</v>
      </c>
      <c r="V128" s="4">
        <f>VLOOKUP(Tabulka1[[#This Row],[ID]],'Zdroj hloubka okresy'!$A$2:$K$171,5,FALSE)</f>
        <v>1.51</v>
      </c>
      <c r="W128" s="4">
        <f>VLOOKUP(Tabulka1[[#This Row],[ID]],'Zdroj hloubka okresy'!$A$2:$K$171,6,FALSE)</f>
        <v>1.54</v>
      </c>
      <c r="X128" s="4">
        <v>12.35</v>
      </c>
      <c r="Y128" s="4">
        <v>10.76</v>
      </c>
      <c r="Z128" s="4">
        <v>12.89</v>
      </c>
      <c r="AA128" s="4">
        <v>8.41</v>
      </c>
      <c r="AB128" s="4">
        <v>22.36</v>
      </c>
      <c r="AC128" s="4">
        <v>17.73</v>
      </c>
      <c r="AD128" s="4">
        <v>30.8</v>
      </c>
      <c r="AE128" s="4">
        <v>32.46</v>
      </c>
      <c r="AF128" s="4">
        <v>21.6</v>
      </c>
      <c r="AG128" s="4">
        <v>30.65</v>
      </c>
      <c r="AH128" s="4" t="s">
        <v>770</v>
      </c>
      <c r="AI128" s="5" t="s">
        <v>790</v>
      </c>
      <c r="AJ128" s="4">
        <v>5.92</v>
      </c>
      <c r="AK128" s="4">
        <v>5</v>
      </c>
      <c r="AL128" s="4" t="s">
        <v>798</v>
      </c>
      <c r="AM128" s="20" t="s">
        <v>824</v>
      </c>
      <c r="AN128" s="16" t="s">
        <v>802</v>
      </c>
      <c r="AO128" s="326"/>
      <c r="AP128" s="15">
        <v>0</v>
      </c>
      <c r="AQ128" s="9" t="str">
        <f>MID(Tabulka1[[#This Row],[BPEJ]],1,1)</f>
        <v>3</v>
      </c>
      <c r="AW128" s="9"/>
      <c r="AX128">
        <v>3</v>
      </c>
      <c r="AY128" s="114">
        <v>29</v>
      </c>
      <c r="AZ128" s="114">
        <v>1</v>
      </c>
      <c r="BA128" s="114">
        <v>4</v>
      </c>
      <c r="BB128" s="9">
        <v>3</v>
      </c>
      <c r="BC128" s="9" t="str">
        <f>MID(Tabulka1[[#This Row],[BPEJ]],3,2)</f>
        <v>29</v>
      </c>
      <c r="BD128" s="9" t="str">
        <f>MID(Tabulka1[[#This Row],[BPEJ]],6,1)</f>
        <v>1</v>
      </c>
      <c r="BE128" s="9" t="str">
        <f>MID(Tabulka1[[#This Row],[BPEJ]],7,1)</f>
        <v>4</v>
      </c>
      <c r="BF128" s="2" t="str">
        <f t="shared" si="10"/>
        <v>T</v>
      </c>
      <c r="BG128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28" s="7">
        <v>0.1</v>
      </c>
      <c r="BI128" s="2">
        <f t="shared" si="11"/>
        <v>1</v>
      </c>
      <c r="BJ128" s="2">
        <f>Tabulka1[[#This Row],[P2O5_60]]*10</f>
        <v>10</v>
      </c>
      <c r="BK128" s="2">
        <f>Tabulka1[[#This Row],[K2O_30]]*10</f>
        <v>1480</v>
      </c>
      <c r="BL128" s="2">
        <f>Tabulka1[[#This Row],[K2O_60]]*10</f>
        <v>995</v>
      </c>
      <c r="BN128" s="2">
        <f>VLOOKUP(Tabulka1[[#This Row],[ID]],'Zdroj hloubka okresy'!$A$2:$F$171,5,FALSE)</f>
        <v>1.51</v>
      </c>
      <c r="BO128" s="2">
        <f>VLOOKUP(Tabulka1[[#This Row],[ID]],'Zdroj hloubka okresy'!$A$2:$D$171,3,FALSE)</f>
        <v>24</v>
      </c>
      <c r="BP128" s="2">
        <f>VLOOKUP(Tabulka1[[#This Row],[ID]],'Zdroj hloubka okresy'!$A$2:$D$171,4,FALSE)</f>
        <v>9</v>
      </c>
    </row>
    <row r="129" spans="1:68" x14ac:dyDescent="0.35">
      <c r="A129" s="13">
        <v>5555</v>
      </c>
      <c r="B129" s="14" t="s">
        <v>24</v>
      </c>
      <c r="C129" s="7">
        <v>5.65</v>
      </c>
      <c r="D129" s="7">
        <v>5.75</v>
      </c>
      <c r="E129" s="7">
        <v>5.17</v>
      </c>
      <c r="F129" s="7">
        <v>4.9800000000000004</v>
      </c>
      <c r="G129" s="7">
        <v>2.0099999999999998</v>
      </c>
      <c r="H129" s="7">
        <v>1.25</v>
      </c>
      <c r="I129" s="7">
        <v>1.17</v>
      </c>
      <c r="J129" s="7">
        <v>0.72</v>
      </c>
      <c r="K129" s="7">
        <v>0</v>
      </c>
      <c r="L129" s="7">
        <v>0</v>
      </c>
      <c r="M129" s="7">
        <v>29.6</v>
      </c>
      <c r="N129" s="139">
        <v>15.3</v>
      </c>
      <c r="O129" s="139">
        <v>80.900000000000006</v>
      </c>
      <c r="P129" s="139">
        <v>54.699999999999996</v>
      </c>
      <c r="Q129" s="7">
        <v>15</v>
      </c>
      <c r="R129" s="7">
        <v>13.7</v>
      </c>
      <c r="S129" s="7">
        <v>54.23</v>
      </c>
      <c r="T129" s="7">
        <v>62.89</v>
      </c>
      <c r="U129" s="4">
        <v>3</v>
      </c>
      <c r="V129" s="4">
        <f>VLOOKUP(Tabulka1[[#This Row],[ID]],'Zdroj hloubka okresy'!$A$2:$K$171,5,FALSE)</f>
        <v>1.53</v>
      </c>
      <c r="W129" s="4">
        <f>VLOOKUP(Tabulka1[[#This Row],[ID]],'Zdroj hloubka okresy'!$A$2:$K$171,6,FALSE)</f>
        <v>1.54</v>
      </c>
      <c r="X129" s="4">
        <v>9.91</v>
      </c>
      <c r="Y129" s="4">
        <v>10.96</v>
      </c>
      <c r="Z129" s="4">
        <v>15.67</v>
      </c>
      <c r="AA129" s="4">
        <v>13.49</v>
      </c>
      <c r="AB129" s="4">
        <v>29.59</v>
      </c>
      <c r="AC129" s="4">
        <v>26.27</v>
      </c>
      <c r="AD129" s="4">
        <v>22.93</v>
      </c>
      <c r="AE129" s="4">
        <v>25.99</v>
      </c>
      <c r="AF129" s="4">
        <v>21.9</v>
      </c>
      <c r="AG129" s="4">
        <v>23.28</v>
      </c>
      <c r="AH129" s="4" t="s">
        <v>705</v>
      </c>
      <c r="AI129" s="5" t="s">
        <v>792</v>
      </c>
      <c r="AJ129" s="4">
        <v>5</v>
      </c>
      <c r="AK129" s="4">
        <v>7</v>
      </c>
      <c r="AL129" s="4" t="s">
        <v>801</v>
      </c>
      <c r="AM129" s="20" t="s">
        <v>824</v>
      </c>
      <c r="AN129" s="16" t="s">
        <v>802</v>
      </c>
      <c r="AO129" s="326"/>
      <c r="AP129" s="15">
        <v>0</v>
      </c>
      <c r="AQ129" s="9" t="str">
        <f>MID(Tabulka1[[#This Row],[BPEJ]],1,1)</f>
        <v>5</v>
      </c>
      <c r="AW129" s="9"/>
      <c r="AX129">
        <v>5</v>
      </c>
      <c r="AY129" s="114">
        <v>29</v>
      </c>
      <c r="AZ129" s="114">
        <v>1</v>
      </c>
      <c r="BA129" s="114">
        <v>4</v>
      </c>
      <c r="BB129" s="9">
        <v>5</v>
      </c>
      <c r="BC129" s="9" t="str">
        <f>MID(Tabulka1[[#This Row],[BPEJ]],3,2)</f>
        <v>29</v>
      </c>
      <c r="BD129" s="9" t="str">
        <f>MID(Tabulka1[[#This Row],[BPEJ]],6,1)</f>
        <v>1</v>
      </c>
      <c r="BE129" s="9" t="str">
        <f>MID(Tabulka1[[#This Row],[BPEJ]],7,1)</f>
        <v>4</v>
      </c>
      <c r="BF129" s="2" t="str">
        <f t="shared" si="10"/>
        <v>T</v>
      </c>
      <c r="BG129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29" s="134">
        <v>2.96</v>
      </c>
      <c r="BI129" s="2">
        <f t="shared" si="11"/>
        <v>29.6</v>
      </c>
      <c r="BJ129" s="2">
        <f>Tabulka1[[#This Row],[P2O5_60]]*10</f>
        <v>153</v>
      </c>
      <c r="BK129" s="2">
        <f>Tabulka1[[#This Row],[K2O_30]]*10</f>
        <v>809</v>
      </c>
      <c r="BL129" s="2">
        <f>Tabulka1[[#This Row],[K2O_60]]*10</f>
        <v>547</v>
      </c>
      <c r="BN129" s="2">
        <f>VLOOKUP(Tabulka1[[#This Row],[ID]],'Zdroj hloubka okresy'!$A$2:$F$171,5,FALSE)</f>
        <v>1.53</v>
      </c>
      <c r="BO129" s="2">
        <f>VLOOKUP(Tabulka1[[#This Row],[ID]],'Zdroj hloubka okresy'!$A$2:$D$171,3,FALSE)</f>
        <v>22</v>
      </c>
      <c r="BP129" s="2">
        <f>VLOOKUP(Tabulka1[[#This Row],[ID]],'Zdroj hloubka okresy'!$A$2:$D$171,4,FALSE)</f>
        <v>24</v>
      </c>
    </row>
    <row r="130" spans="1:68" x14ac:dyDescent="0.35">
      <c r="A130" s="13">
        <v>5558</v>
      </c>
      <c r="B130" s="14" t="s">
        <v>63</v>
      </c>
      <c r="C130" s="7">
        <v>6.53</v>
      </c>
      <c r="D130" s="7">
        <v>6.07</v>
      </c>
      <c r="E130" s="7">
        <v>6</v>
      </c>
      <c r="F130" s="7">
        <v>5.3</v>
      </c>
      <c r="G130" s="7">
        <v>1.93</v>
      </c>
      <c r="H130" s="7">
        <v>1.28</v>
      </c>
      <c r="I130" s="7">
        <v>1.1200000000000001</v>
      </c>
      <c r="J130" s="7">
        <v>0.74</v>
      </c>
      <c r="K130" s="7">
        <v>0</v>
      </c>
      <c r="L130" s="7">
        <v>0</v>
      </c>
      <c r="M130" s="7">
        <v>29.6</v>
      </c>
      <c r="N130" s="139">
        <v>18.100000000000001</v>
      </c>
      <c r="O130" s="139">
        <v>140.69999999999999</v>
      </c>
      <c r="P130" s="139">
        <v>100.3</v>
      </c>
      <c r="Q130" s="7">
        <v>15.43</v>
      </c>
      <c r="R130" s="7">
        <v>13.13</v>
      </c>
      <c r="S130" s="7">
        <v>69.31</v>
      </c>
      <c r="T130" s="7">
        <v>62.79</v>
      </c>
      <c r="U130" s="4">
        <v>3</v>
      </c>
      <c r="V130" s="4">
        <f>VLOOKUP(Tabulka1[[#This Row],[ID]],'Zdroj hloubka okresy'!$A$2:$K$171,5,FALSE)</f>
        <v>1.5</v>
      </c>
      <c r="W130" s="4">
        <f>VLOOKUP(Tabulka1[[#This Row],[ID]],'Zdroj hloubka okresy'!$A$2:$K$171,6,FALSE)</f>
        <v>1.47</v>
      </c>
      <c r="X130" s="4">
        <v>9.82</v>
      </c>
      <c r="Y130" s="4">
        <v>12.01</v>
      </c>
      <c r="Z130" s="4">
        <v>19.739999999999998</v>
      </c>
      <c r="AA130" s="4">
        <v>16.96</v>
      </c>
      <c r="AB130" s="4">
        <v>36.22</v>
      </c>
      <c r="AC130" s="4">
        <v>34.6</v>
      </c>
      <c r="AD130" s="4">
        <v>14.87</v>
      </c>
      <c r="AE130" s="4">
        <v>16.350000000000001</v>
      </c>
      <c r="AF130" s="4">
        <v>19.34</v>
      </c>
      <c r="AG130" s="4">
        <v>20.079999999999998</v>
      </c>
      <c r="AH130" s="4" t="s">
        <v>771</v>
      </c>
      <c r="AI130" s="5" t="s">
        <v>792</v>
      </c>
      <c r="AJ130" s="4">
        <v>4.04</v>
      </c>
      <c r="AK130" s="4">
        <v>7</v>
      </c>
      <c r="AL130" s="4" t="s">
        <v>801</v>
      </c>
      <c r="AM130" s="20" t="s">
        <v>824</v>
      </c>
      <c r="AN130" s="16" t="s">
        <v>803</v>
      </c>
      <c r="AO130" s="326"/>
      <c r="AP130" s="15">
        <v>0</v>
      </c>
      <c r="AQ130" s="9" t="str">
        <f>MID(Tabulka1[[#This Row],[BPEJ]],1,1)</f>
        <v>7</v>
      </c>
      <c r="AW130" s="9"/>
      <c r="AX130">
        <v>7</v>
      </c>
      <c r="AY130" s="114">
        <v>50</v>
      </c>
      <c r="AZ130" s="114">
        <v>1</v>
      </c>
      <c r="BA130" s="114">
        <v>1</v>
      </c>
      <c r="BB130" s="9">
        <v>7</v>
      </c>
      <c r="BC130" s="9" t="str">
        <f>MID(Tabulka1[[#This Row],[BPEJ]],3,2)</f>
        <v>50</v>
      </c>
      <c r="BD130" s="9" t="str">
        <f>MID(Tabulka1[[#This Row],[BPEJ]],6,1)</f>
        <v>1</v>
      </c>
      <c r="BE130" s="9" t="str">
        <f>MID(Tabulka1[[#This Row],[BPEJ]],7,1)</f>
        <v>1</v>
      </c>
      <c r="BF130" s="2" t="str">
        <f t="shared" si="10"/>
        <v>CH</v>
      </c>
      <c r="BG130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30" s="7">
        <v>2.96</v>
      </c>
      <c r="BI130" s="2">
        <f t="shared" si="11"/>
        <v>29.6</v>
      </c>
      <c r="BJ130" s="2">
        <f>Tabulka1[[#This Row],[P2O5_60]]*10</f>
        <v>181</v>
      </c>
      <c r="BK130" s="2">
        <f>Tabulka1[[#This Row],[K2O_30]]*10</f>
        <v>1407</v>
      </c>
      <c r="BL130" s="2">
        <f>Tabulka1[[#This Row],[K2O_60]]*10</f>
        <v>1003</v>
      </c>
      <c r="BN130" s="2">
        <f>VLOOKUP(Tabulka1[[#This Row],[ID]],'Zdroj hloubka okresy'!$A$2:$F$171,5,FALSE)</f>
        <v>1.5</v>
      </c>
      <c r="BO130" s="2">
        <f>VLOOKUP(Tabulka1[[#This Row],[ID]],'Zdroj hloubka okresy'!$A$2:$D$171,3,FALSE)</f>
        <v>22</v>
      </c>
      <c r="BP130" s="2">
        <f>VLOOKUP(Tabulka1[[#This Row],[ID]],'Zdroj hloubka okresy'!$A$2:$D$171,4,FALSE)</f>
        <v>28</v>
      </c>
    </row>
    <row r="131" spans="1:68" x14ac:dyDescent="0.35">
      <c r="A131" s="13">
        <v>5561</v>
      </c>
      <c r="B131" s="14" t="s">
        <v>25</v>
      </c>
      <c r="C131" s="7">
        <v>6.17</v>
      </c>
      <c r="D131" s="7">
        <v>6.2</v>
      </c>
      <c r="E131" s="7">
        <v>5.07</v>
      </c>
      <c r="F131" s="7">
        <v>4.88</v>
      </c>
      <c r="G131" s="7">
        <v>1.76</v>
      </c>
      <c r="H131" s="7">
        <v>1.24</v>
      </c>
      <c r="I131" s="7">
        <v>1.02</v>
      </c>
      <c r="J131" s="7">
        <v>0.72</v>
      </c>
      <c r="K131" s="7">
        <v>0</v>
      </c>
      <c r="L131" s="7">
        <v>0</v>
      </c>
      <c r="M131" s="7">
        <v>12.3</v>
      </c>
      <c r="N131" s="139">
        <v>11.5</v>
      </c>
      <c r="O131" s="139">
        <v>53.3</v>
      </c>
      <c r="P131" s="139">
        <v>35</v>
      </c>
      <c r="Q131" s="7">
        <v>19.829999999999998</v>
      </c>
      <c r="R131" s="7">
        <v>20.02</v>
      </c>
      <c r="S131" s="7">
        <v>56.43</v>
      </c>
      <c r="T131" s="7">
        <v>57.5</v>
      </c>
      <c r="U131" s="4">
        <v>3</v>
      </c>
      <c r="V131" s="4">
        <f>VLOOKUP(Tabulka1[[#This Row],[ID]],'Zdroj hloubka okresy'!$A$2:$K$171,5,FALSE)</f>
        <v>1.5</v>
      </c>
      <c r="W131" s="4">
        <f>VLOOKUP(Tabulka1[[#This Row],[ID]],'Zdroj hloubka okresy'!$A$2:$K$171,6,FALSE)</f>
        <v>1.51</v>
      </c>
      <c r="X131" s="4">
        <v>11.3</v>
      </c>
      <c r="Y131" s="4">
        <v>11.04</v>
      </c>
      <c r="Z131" s="4">
        <v>19.899999999999999</v>
      </c>
      <c r="AA131" s="4">
        <v>18.32</v>
      </c>
      <c r="AB131" s="4">
        <v>25.9</v>
      </c>
      <c r="AC131" s="4">
        <v>24.24</v>
      </c>
      <c r="AD131" s="4">
        <v>19</v>
      </c>
      <c r="AE131" s="4">
        <v>19.98</v>
      </c>
      <c r="AF131" s="4">
        <v>23.9</v>
      </c>
      <c r="AG131" s="4">
        <v>26.42</v>
      </c>
      <c r="AH131" s="4" t="s">
        <v>772</v>
      </c>
      <c r="AI131" s="5" t="s">
        <v>790</v>
      </c>
      <c r="AJ131" s="4">
        <v>5.6</v>
      </c>
      <c r="AK131" s="4">
        <v>7</v>
      </c>
      <c r="AL131" s="4" t="s">
        <v>801</v>
      </c>
      <c r="AM131" s="20" t="s">
        <v>824</v>
      </c>
      <c r="AN131" s="16" t="s">
        <v>802</v>
      </c>
      <c r="AO131" s="326"/>
      <c r="AP131" s="15">
        <v>0</v>
      </c>
      <c r="AQ131" s="9" t="str">
        <f>MID(Tabulka1[[#This Row],[BPEJ]],1,1)</f>
        <v>7</v>
      </c>
      <c r="AW131" s="9"/>
      <c r="AX131">
        <v>7</v>
      </c>
      <c r="AY131" s="114">
        <v>29</v>
      </c>
      <c r="AZ131" s="114">
        <v>4</v>
      </c>
      <c r="BA131" s="114">
        <v>1</v>
      </c>
      <c r="BB131" s="9">
        <v>7</v>
      </c>
      <c r="BC131" s="9" t="str">
        <f>MID(Tabulka1[[#This Row],[BPEJ]],3,2)</f>
        <v>29</v>
      </c>
      <c r="BD131" s="9" t="str">
        <f>MID(Tabulka1[[#This Row],[BPEJ]],6,1)</f>
        <v>4</v>
      </c>
      <c r="BE131" s="9" t="str">
        <f>MID(Tabulka1[[#This Row],[BPEJ]],7,1)</f>
        <v>1</v>
      </c>
      <c r="BF131" s="2" t="str">
        <f t="shared" si="10"/>
        <v>CH</v>
      </c>
      <c r="BG131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31" s="134">
        <v>1.23</v>
      </c>
      <c r="BI131" s="2">
        <f t="shared" si="11"/>
        <v>12.3</v>
      </c>
      <c r="BJ131" s="2">
        <f>Tabulka1[[#This Row],[P2O5_60]]*10</f>
        <v>115</v>
      </c>
      <c r="BK131" s="2">
        <f>Tabulka1[[#This Row],[K2O_30]]*10</f>
        <v>533</v>
      </c>
      <c r="BL131" s="2">
        <f>Tabulka1[[#This Row],[K2O_60]]*10</f>
        <v>350</v>
      </c>
      <c r="BN131" s="2">
        <f>VLOOKUP(Tabulka1[[#This Row],[ID]],'Zdroj hloubka okresy'!$A$2:$F$171,5,FALSE)</f>
        <v>1.5</v>
      </c>
      <c r="BO131" s="2">
        <f>VLOOKUP(Tabulka1[[#This Row],[ID]],'Zdroj hloubka okresy'!$A$2:$D$171,3,FALSE)</f>
        <v>20</v>
      </c>
      <c r="BP131" s="2">
        <f>VLOOKUP(Tabulka1[[#This Row],[ID]],'Zdroj hloubka okresy'!$A$2:$D$171,4,FALSE)</f>
        <v>30</v>
      </c>
    </row>
    <row r="132" spans="1:68" x14ac:dyDescent="0.35">
      <c r="A132" s="13">
        <v>5564</v>
      </c>
      <c r="B132" s="14" t="s">
        <v>100</v>
      </c>
      <c r="C132" s="7">
        <v>6.5</v>
      </c>
      <c r="D132" s="7">
        <v>6.54</v>
      </c>
      <c r="E132" s="7">
        <v>5.43</v>
      </c>
      <c r="F132" s="7">
        <v>5.27</v>
      </c>
      <c r="G132" s="7">
        <v>1.4</v>
      </c>
      <c r="H132" s="7">
        <v>0.82</v>
      </c>
      <c r="I132" s="7">
        <v>0.81</v>
      </c>
      <c r="J132" s="7">
        <v>0.48</v>
      </c>
      <c r="K132" s="7">
        <v>0</v>
      </c>
      <c r="L132" s="7">
        <v>0</v>
      </c>
      <c r="M132" s="7">
        <v>13.3</v>
      </c>
      <c r="N132" s="139">
        <v>11</v>
      </c>
      <c r="O132" s="139">
        <v>36.700000000000003</v>
      </c>
      <c r="P132" s="139">
        <v>23.3</v>
      </c>
      <c r="Q132" s="7">
        <v>12.2</v>
      </c>
      <c r="R132" s="7">
        <v>13.54</v>
      </c>
      <c r="S132" s="7">
        <v>67.069999999999993</v>
      </c>
      <c r="T132" s="7">
        <v>72.62</v>
      </c>
      <c r="U132" s="4">
        <v>3</v>
      </c>
      <c r="V132" s="4">
        <f>VLOOKUP(Tabulka1[[#This Row],[ID]],'Zdroj hloubka okresy'!$A$2:$K$171,5,FALSE)</f>
        <v>1.51</v>
      </c>
      <c r="W132" s="4">
        <f>VLOOKUP(Tabulka1[[#This Row],[ID]],'Zdroj hloubka okresy'!$A$2:$K$171,6,FALSE)</f>
        <v>1.5</v>
      </c>
      <c r="X132" s="4">
        <v>10.94</v>
      </c>
      <c r="Y132" s="4">
        <v>12.96</v>
      </c>
      <c r="Z132" s="4">
        <v>13.87</v>
      </c>
      <c r="AA132" s="4">
        <v>11.86</v>
      </c>
      <c r="AB132" s="4">
        <v>23.49</v>
      </c>
      <c r="AC132" s="4">
        <v>21.38</v>
      </c>
      <c r="AD132" s="4">
        <v>22.29</v>
      </c>
      <c r="AE132" s="4">
        <v>23.67</v>
      </c>
      <c r="AF132" s="4">
        <v>29.41</v>
      </c>
      <c r="AG132" s="4">
        <v>30.13</v>
      </c>
      <c r="AH132" s="4" t="s">
        <v>750</v>
      </c>
      <c r="AI132" s="5" t="s">
        <v>792</v>
      </c>
      <c r="AJ132" s="4">
        <v>5.35</v>
      </c>
      <c r="AK132" s="4">
        <v>6</v>
      </c>
      <c r="AL132" s="4" t="s">
        <v>800</v>
      </c>
      <c r="AM132" s="20" t="s">
        <v>824</v>
      </c>
      <c r="AN132" s="16" t="s">
        <v>803</v>
      </c>
      <c r="AO132" s="326"/>
      <c r="AP132" s="15">
        <v>0</v>
      </c>
      <c r="AQ132" s="9" t="str">
        <f>MID(Tabulka1[[#This Row],[BPEJ]],1,1)</f>
        <v>7</v>
      </c>
      <c r="AW132" s="9"/>
      <c r="AX132">
        <v>7</v>
      </c>
      <c r="AY132" s="114">
        <v>50</v>
      </c>
      <c r="AZ132" s="114">
        <v>0</v>
      </c>
      <c r="BA132" s="114">
        <v>1</v>
      </c>
      <c r="BB132" s="9">
        <v>7</v>
      </c>
      <c r="BC132" s="9" t="str">
        <f>MID(Tabulka1[[#This Row],[BPEJ]],3,2)</f>
        <v>50</v>
      </c>
      <c r="BD132" s="9" t="str">
        <f>MID(Tabulka1[[#This Row],[BPEJ]],6,1)</f>
        <v>0</v>
      </c>
      <c r="BE132" s="9" t="str">
        <f>MID(Tabulka1[[#This Row],[BPEJ]],7,1)</f>
        <v>1</v>
      </c>
      <c r="BF132" s="2" t="str">
        <f t="shared" si="10"/>
        <v>CH</v>
      </c>
      <c r="BG132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32" s="7">
        <v>1.33</v>
      </c>
      <c r="BI132" s="2">
        <f t="shared" si="11"/>
        <v>13.3</v>
      </c>
      <c r="BJ132" s="2">
        <f>Tabulka1[[#This Row],[P2O5_60]]*10</f>
        <v>110</v>
      </c>
      <c r="BK132" s="2">
        <f>Tabulka1[[#This Row],[K2O_30]]*10</f>
        <v>367</v>
      </c>
      <c r="BL132" s="2">
        <f>Tabulka1[[#This Row],[K2O_60]]*10</f>
        <v>233</v>
      </c>
      <c r="BN132" s="2">
        <f>VLOOKUP(Tabulka1[[#This Row],[ID]],'Zdroj hloubka okresy'!$A$2:$F$171,5,FALSE)</f>
        <v>1.51</v>
      </c>
      <c r="BO132" s="2">
        <f>VLOOKUP(Tabulka1[[#This Row],[ID]],'Zdroj hloubka okresy'!$A$2:$D$171,3,FALSE)</f>
        <v>20</v>
      </c>
      <c r="BP132" s="2">
        <f>VLOOKUP(Tabulka1[[#This Row],[ID]],'Zdroj hloubka okresy'!$A$2:$D$171,4,FALSE)</f>
        <v>18</v>
      </c>
    </row>
    <row r="133" spans="1:68" x14ac:dyDescent="0.35">
      <c r="A133" s="13">
        <v>5567</v>
      </c>
      <c r="B133" s="14" t="s">
        <v>310</v>
      </c>
      <c r="C133" s="7">
        <v>6.84</v>
      </c>
      <c r="D133" s="7">
        <v>6.87</v>
      </c>
      <c r="E133" s="7">
        <v>6.44</v>
      </c>
      <c r="F133" s="7">
        <v>6.47</v>
      </c>
      <c r="G133" s="7">
        <v>2.36</v>
      </c>
      <c r="H133" s="7">
        <v>1.63</v>
      </c>
      <c r="I133" s="7">
        <v>1.37</v>
      </c>
      <c r="J133" s="7">
        <v>0.95</v>
      </c>
      <c r="K133" s="7">
        <v>0</v>
      </c>
      <c r="L133" s="7">
        <v>0</v>
      </c>
      <c r="M133" s="7">
        <v>200</v>
      </c>
      <c r="N133" s="139">
        <v>200</v>
      </c>
      <c r="O133" s="139">
        <v>224</v>
      </c>
      <c r="P133" s="139">
        <v>210.5</v>
      </c>
      <c r="Q133" s="7">
        <v>18</v>
      </c>
      <c r="R133" s="7">
        <v>15.2</v>
      </c>
      <c r="S133" s="7">
        <v>83.5</v>
      </c>
      <c r="T133" s="7">
        <v>82.33</v>
      </c>
      <c r="U133" s="4">
        <v>3</v>
      </c>
      <c r="V133" s="4">
        <f>VLOOKUP(Tabulka1[[#This Row],[ID]],'Zdroj hloubka okresy'!$A$2:$K$171,5,FALSE)</f>
        <v>1.52</v>
      </c>
      <c r="W133" s="4">
        <f>VLOOKUP(Tabulka1[[#This Row],[ID]],'Zdroj hloubka okresy'!$A$2:$K$171,6,FALSE)</f>
        <v>1.56</v>
      </c>
      <c r="X133" s="4">
        <v>11.21</v>
      </c>
      <c r="Y133" s="4">
        <v>11.27</v>
      </c>
      <c r="Z133" s="4">
        <v>9.61</v>
      </c>
      <c r="AA133" s="4">
        <v>7.34</v>
      </c>
      <c r="AB133" s="4">
        <v>18.09</v>
      </c>
      <c r="AC133" s="4">
        <v>16.57</v>
      </c>
      <c r="AD133" s="4">
        <v>19.61</v>
      </c>
      <c r="AE133" s="4">
        <v>16.45</v>
      </c>
      <c r="AF133" s="4">
        <v>41.47</v>
      </c>
      <c r="AG133" s="4">
        <v>48.37</v>
      </c>
      <c r="AH133" s="4" t="s">
        <v>773</v>
      </c>
      <c r="AI133" s="5" t="s">
        <v>790</v>
      </c>
      <c r="AJ133" s="4">
        <v>6.48</v>
      </c>
      <c r="AK133" s="4">
        <v>4</v>
      </c>
      <c r="AL133" s="4" t="s">
        <v>797</v>
      </c>
      <c r="AM133" s="20" t="s">
        <v>824</v>
      </c>
      <c r="AN133" s="16" t="s">
        <v>802</v>
      </c>
      <c r="AO133" s="326"/>
      <c r="AP133" s="15">
        <v>0</v>
      </c>
      <c r="AQ133" s="9" t="str">
        <f>MID(Tabulka1[[#This Row],[BPEJ]],1,1)</f>
        <v>3</v>
      </c>
      <c r="AW133" s="9"/>
      <c r="AX133">
        <v>3</v>
      </c>
      <c r="AY133" s="114">
        <v>51</v>
      </c>
      <c r="AZ133" s="114">
        <v>1</v>
      </c>
      <c r="BA133" s="114">
        <v>1</v>
      </c>
      <c r="BB133" s="9">
        <v>3</v>
      </c>
      <c r="BC133" s="9" t="str">
        <f>MID(Tabulka1[[#This Row],[BPEJ]],3,2)</f>
        <v>51</v>
      </c>
      <c r="BD133" s="9" t="str">
        <f>MID(Tabulka1[[#This Row],[BPEJ]],6,1)</f>
        <v>1</v>
      </c>
      <c r="BE133" s="9" t="str">
        <f>MID(Tabulka1[[#This Row],[BPEJ]],7,1)</f>
        <v>1</v>
      </c>
      <c r="BF133" s="2" t="str">
        <f t="shared" si="10"/>
        <v>T</v>
      </c>
      <c r="BG133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33" s="134">
        <v>20</v>
      </c>
      <c r="BI133" s="2">
        <f t="shared" si="11"/>
        <v>200</v>
      </c>
      <c r="BJ133" s="2">
        <f>Tabulka1[[#This Row],[P2O5_60]]*10</f>
        <v>2000</v>
      </c>
      <c r="BK133" s="2">
        <f>Tabulka1[[#This Row],[K2O_30]]*10</f>
        <v>2240</v>
      </c>
      <c r="BL133" s="2">
        <f>Tabulka1[[#This Row],[K2O_60]]*10</f>
        <v>2105</v>
      </c>
      <c r="BN133" s="2">
        <f>VLOOKUP(Tabulka1[[#This Row],[ID]],'Zdroj hloubka okresy'!$A$2:$F$171,5,FALSE)</f>
        <v>1.52</v>
      </c>
      <c r="BO133" s="2">
        <f>VLOOKUP(Tabulka1[[#This Row],[ID]],'Zdroj hloubka okresy'!$A$2:$D$171,3,FALSE)</f>
        <v>18</v>
      </c>
      <c r="BP133" s="2">
        <f>VLOOKUP(Tabulka1[[#This Row],[ID]],'Zdroj hloubka okresy'!$A$2:$D$171,4,FALSE)</f>
        <v>15</v>
      </c>
    </row>
    <row r="134" spans="1:68" x14ac:dyDescent="0.35">
      <c r="A134" s="13">
        <v>5572</v>
      </c>
      <c r="B134" s="14" t="s">
        <v>91</v>
      </c>
      <c r="C134" s="7">
        <v>5.73</v>
      </c>
      <c r="D134" s="7">
        <v>6.19</v>
      </c>
      <c r="E134" s="7">
        <v>4.59</v>
      </c>
      <c r="F134" s="7">
        <v>5.27</v>
      </c>
      <c r="G134" s="7">
        <v>0.88</v>
      </c>
      <c r="H134" s="7">
        <v>0.52</v>
      </c>
      <c r="I134" s="7">
        <v>0.51</v>
      </c>
      <c r="J134" s="7">
        <v>0.3</v>
      </c>
      <c r="K134" s="7">
        <v>0</v>
      </c>
      <c r="L134" s="7">
        <v>0</v>
      </c>
      <c r="M134" s="7">
        <v>17.5</v>
      </c>
      <c r="N134" s="139">
        <v>9.2000000000000011</v>
      </c>
      <c r="O134" s="139">
        <v>43.5</v>
      </c>
      <c r="P134" s="139">
        <v>22.200000000000003</v>
      </c>
      <c r="Q134" s="7">
        <v>4.8499999999999996</v>
      </c>
      <c r="R134" s="7">
        <v>4.25</v>
      </c>
      <c r="S134" s="7">
        <v>27.81</v>
      </c>
      <c r="T134" s="7">
        <v>39.840000000000003</v>
      </c>
      <c r="U134" s="4">
        <v>3</v>
      </c>
      <c r="V134" s="4">
        <f>VLOOKUP(Tabulka1[[#This Row],[ID]],'Zdroj hloubka okresy'!$A$2:$K$171,5,FALSE)</f>
        <v>1.64</v>
      </c>
      <c r="W134" s="4">
        <f>VLOOKUP(Tabulka1[[#This Row],[ID]],'Zdroj hloubka okresy'!$A$2:$K$171,6,FALSE)</f>
        <v>1.67</v>
      </c>
      <c r="X134" s="4">
        <v>6.22</v>
      </c>
      <c r="Y134" s="4">
        <v>5.26</v>
      </c>
      <c r="Z134" s="4">
        <v>4.13</v>
      </c>
      <c r="AA134" s="4">
        <v>2.3199999999999998</v>
      </c>
      <c r="AB134" s="4">
        <v>12.44</v>
      </c>
      <c r="AC134" s="4">
        <v>9.34</v>
      </c>
      <c r="AD134" s="4">
        <v>28.96</v>
      </c>
      <c r="AE134" s="4">
        <v>25.25</v>
      </c>
      <c r="AF134" s="4">
        <v>48.25</v>
      </c>
      <c r="AG134" s="4">
        <v>57.82</v>
      </c>
      <c r="AH134" s="4" t="s">
        <v>774</v>
      </c>
      <c r="AI134" s="5" t="s">
        <v>790</v>
      </c>
      <c r="AJ134" s="4">
        <v>9.64</v>
      </c>
      <c r="AK134" s="4">
        <v>3</v>
      </c>
      <c r="AL134" s="4" t="s">
        <v>798</v>
      </c>
      <c r="AM134" s="20" t="s">
        <v>824</v>
      </c>
      <c r="AN134" s="16" t="s">
        <v>804</v>
      </c>
      <c r="AO134" s="326"/>
      <c r="AP134" s="15">
        <v>0</v>
      </c>
      <c r="AQ134" s="9" t="str">
        <f>MID(Tabulka1[[#This Row],[BPEJ]],1,1)</f>
        <v>3</v>
      </c>
      <c r="AW134" s="9"/>
      <c r="AX134">
        <v>3</v>
      </c>
      <c r="AY134" s="114">
        <v>4</v>
      </c>
      <c r="AZ134" s="114">
        <v>0</v>
      </c>
      <c r="BA134" s="114">
        <v>1</v>
      </c>
      <c r="BB134" s="9">
        <v>3</v>
      </c>
      <c r="BC134" s="9" t="str">
        <f>MID(Tabulka1[[#This Row],[BPEJ]],3,2)</f>
        <v>04</v>
      </c>
      <c r="BD134" s="9" t="str">
        <f>MID(Tabulka1[[#This Row],[BPEJ]],6,1)</f>
        <v>0</v>
      </c>
      <c r="BE134" s="9" t="str">
        <f>MID(Tabulka1[[#This Row],[BPEJ]],7,1)</f>
        <v>1</v>
      </c>
      <c r="BF134" s="2" t="str">
        <f t="shared" ref="BF134:BF139" si="12">IF(OR(AX134=2,AX134=3,AX134=4,AX134=5),"T",IF(OR(AX134=0,AX134=1),"VT",IF(OR(AX134=6,AX134=7,AX134=8,AX134=9),"CH"," ")))</f>
        <v>T</v>
      </c>
      <c r="BG134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134" s="7">
        <v>1.75</v>
      </c>
      <c r="BI134" s="2">
        <f t="shared" ref="BI134:BI139" si="13">BH134*10</f>
        <v>17.5</v>
      </c>
      <c r="BJ134" s="2">
        <f>Tabulka1[[#This Row],[P2O5_60]]*10</f>
        <v>92.000000000000014</v>
      </c>
      <c r="BK134" s="2">
        <f>Tabulka1[[#This Row],[K2O_30]]*10</f>
        <v>435</v>
      </c>
      <c r="BL134" s="2">
        <f>Tabulka1[[#This Row],[K2O_60]]*10</f>
        <v>222.00000000000003</v>
      </c>
      <c r="BN134" s="2">
        <f>VLOOKUP(Tabulka1[[#This Row],[ID]],'Zdroj hloubka okresy'!$A$2:$F$171,5,FALSE)</f>
        <v>1.64</v>
      </c>
      <c r="BO134" s="2">
        <f>VLOOKUP(Tabulka1[[#This Row],[ID]],'Zdroj hloubka okresy'!$A$2:$D$171,3,FALSE)</f>
        <v>26</v>
      </c>
      <c r="BP134" s="2">
        <f>VLOOKUP(Tabulka1[[#This Row],[ID]],'Zdroj hloubka okresy'!$A$2:$D$171,4,FALSE)</f>
        <v>18</v>
      </c>
    </row>
    <row r="135" spans="1:68" x14ac:dyDescent="0.35">
      <c r="A135" s="13">
        <v>5575</v>
      </c>
      <c r="B135" s="14" t="s">
        <v>315</v>
      </c>
      <c r="C135" s="7">
        <v>7.04</v>
      </c>
      <c r="D135" s="7">
        <v>7.52</v>
      </c>
      <c r="E135" s="7">
        <v>6.6</v>
      </c>
      <c r="F135" s="7">
        <v>7.03</v>
      </c>
      <c r="G135" s="7">
        <v>1.4</v>
      </c>
      <c r="H135" s="7">
        <v>0.88</v>
      </c>
      <c r="I135" s="7">
        <v>0.81</v>
      </c>
      <c r="J135" s="7">
        <v>0.51</v>
      </c>
      <c r="K135" s="7">
        <v>0</v>
      </c>
      <c r="L135" s="7">
        <v>0</v>
      </c>
      <c r="M135" s="7">
        <v>63.2</v>
      </c>
      <c r="N135" s="139">
        <v>53.6</v>
      </c>
      <c r="O135" s="139">
        <v>10.8</v>
      </c>
      <c r="P135" s="139">
        <v>14.1</v>
      </c>
      <c r="Q135" s="7">
        <v>10.88</v>
      </c>
      <c r="R135" s="7">
        <v>7.91</v>
      </c>
      <c r="S135" s="7">
        <v>88</v>
      </c>
      <c r="T135" s="7">
        <v>94</v>
      </c>
      <c r="U135" s="4">
        <v>4</v>
      </c>
      <c r="V135" s="4">
        <f>VLOOKUP(Tabulka1[[#This Row],[ID]],'Zdroj hloubka okresy'!$A$2:$K$171,5,FALSE)</f>
        <v>1.54</v>
      </c>
      <c r="W135" s="4">
        <f>VLOOKUP(Tabulka1[[#This Row],[ID]],'Zdroj hloubka okresy'!$A$2:$K$171,6,FALSE)</f>
        <v>1.56</v>
      </c>
      <c r="X135" s="4">
        <v>12.12</v>
      </c>
      <c r="Y135" s="4">
        <v>10.19</v>
      </c>
      <c r="Z135" s="4">
        <v>4.1399999999999997</v>
      </c>
      <c r="AA135" s="4">
        <v>2.76</v>
      </c>
      <c r="AB135" s="4">
        <v>6.4</v>
      </c>
      <c r="AC135" s="4">
        <v>4.78</v>
      </c>
      <c r="AD135" s="4">
        <v>29.14</v>
      </c>
      <c r="AE135" s="4">
        <v>23.93</v>
      </c>
      <c r="AF135" s="4">
        <v>48.2</v>
      </c>
      <c r="AG135" s="4">
        <v>58.8</v>
      </c>
      <c r="AH135" s="4" t="s">
        <v>775</v>
      </c>
      <c r="AI135" s="5" t="s">
        <v>789</v>
      </c>
      <c r="AJ135" s="4">
        <v>12.95</v>
      </c>
      <c r="AK135" s="4">
        <v>3</v>
      </c>
      <c r="AL135" s="4" t="s">
        <v>798</v>
      </c>
      <c r="AM135" s="20" t="s">
        <v>824</v>
      </c>
      <c r="AN135" s="16" t="s">
        <v>806</v>
      </c>
      <c r="AO135" s="326"/>
      <c r="AP135" s="15">
        <v>0</v>
      </c>
      <c r="AQ135" s="9" t="str">
        <f>MID(Tabulka1[[#This Row],[BPEJ]],1,1)</f>
        <v>3</v>
      </c>
      <c r="AW135" s="9"/>
      <c r="AX135">
        <v>3</v>
      </c>
      <c r="AY135" s="114">
        <v>57</v>
      </c>
      <c r="AZ135" s="114">
        <v>0</v>
      </c>
      <c r="BA135" s="114">
        <v>0</v>
      </c>
      <c r="BB135" s="9">
        <v>3</v>
      </c>
      <c r="BC135" s="9" t="str">
        <f>MID(Tabulka1[[#This Row],[BPEJ]],3,2)</f>
        <v>57</v>
      </c>
      <c r="BD135" s="9" t="str">
        <f>MID(Tabulka1[[#This Row],[BPEJ]],6,1)</f>
        <v>0</v>
      </c>
      <c r="BE135" s="9" t="str">
        <f>MID(Tabulka1[[#This Row],[BPEJ]],7,1)</f>
        <v>0</v>
      </c>
      <c r="BF135" s="2" t="str">
        <f t="shared" si="12"/>
        <v>T</v>
      </c>
      <c r="BG135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135" s="134">
        <v>6.32</v>
      </c>
      <c r="BI135" s="2">
        <f t="shared" si="13"/>
        <v>63.2</v>
      </c>
      <c r="BJ135" s="2">
        <f>Tabulka1[[#This Row],[P2O5_60]]*10</f>
        <v>536</v>
      </c>
      <c r="BK135" s="2">
        <f>Tabulka1[[#This Row],[K2O_30]]*10</f>
        <v>108</v>
      </c>
      <c r="BL135" s="2">
        <f>Tabulka1[[#This Row],[K2O_60]]*10</f>
        <v>141</v>
      </c>
      <c r="BN135" s="2">
        <f>VLOOKUP(Tabulka1[[#This Row],[ID]],'Zdroj hloubka okresy'!$A$2:$F$171,5,FALSE)</f>
        <v>1.54</v>
      </c>
      <c r="BO135" s="2">
        <f>VLOOKUP(Tabulka1[[#This Row],[ID]],'Zdroj hloubka okresy'!$A$2:$D$171,3,FALSE)</f>
        <v>24</v>
      </c>
      <c r="BP135" s="2">
        <f>VLOOKUP(Tabulka1[[#This Row],[ID]],'Zdroj hloubka okresy'!$A$2:$D$171,4,FALSE)</f>
        <v>16</v>
      </c>
    </row>
    <row r="136" spans="1:68" x14ac:dyDescent="0.35">
      <c r="A136" s="13">
        <v>5580</v>
      </c>
      <c r="B136" s="14" t="s">
        <v>290</v>
      </c>
      <c r="C136" s="7">
        <v>7.81</v>
      </c>
      <c r="D136" s="7">
        <v>7.66</v>
      </c>
      <c r="E136" s="7">
        <v>7.2</v>
      </c>
      <c r="F136" s="7">
        <v>7.18</v>
      </c>
      <c r="G136" s="7">
        <v>2.23</v>
      </c>
      <c r="H136" s="7">
        <v>1.41</v>
      </c>
      <c r="I136" s="7">
        <v>1.29</v>
      </c>
      <c r="J136" s="7">
        <v>0.82</v>
      </c>
      <c r="K136" s="7">
        <v>0</v>
      </c>
      <c r="L136" s="7">
        <v>0</v>
      </c>
      <c r="M136" s="7">
        <v>104.3</v>
      </c>
      <c r="N136" s="139">
        <v>55.8</v>
      </c>
      <c r="O136" s="139">
        <v>1</v>
      </c>
      <c r="P136" s="139">
        <v>1</v>
      </c>
      <c r="Q136" s="7">
        <v>10.74</v>
      </c>
      <c r="R136" s="7">
        <v>7.61</v>
      </c>
      <c r="S136" s="7">
        <v>99.12</v>
      </c>
      <c r="T136" s="7">
        <v>94.84</v>
      </c>
      <c r="U136" s="4">
        <v>3</v>
      </c>
      <c r="V136" s="4">
        <f>VLOOKUP(Tabulka1[[#This Row],[ID]],'Zdroj hloubka okresy'!$A$2:$K$171,5,FALSE)</f>
        <v>1.67</v>
      </c>
      <c r="W136" s="4">
        <f>VLOOKUP(Tabulka1[[#This Row],[ID]],'Zdroj hloubka okresy'!$A$2:$K$171,6,FALSE)</f>
        <v>1.71</v>
      </c>
      <c r="X136" s="4">
        <v>5.79</v>
      </c>
      <c r="Y136" s="4">
        <v>5.05</v>
      </c>
      <c r="Z136" s="4">
        <v>1.35</v>
      </c>
      <c r="AA136" s="4">
        <v>0.9</v>
      </c>
      <c r="AB136" s="4">
        <v>3.67</v>
      </c>
      <c r="AC136" s="4">
        <v>2.75</v>
      </c>
      <c r="AD136" s="4">
        <v>22.05</v>
      </c>
      <c r="AE136" s="4">
        <v>18.04</v>
      </c>
      <c r="AF136" s="4">
        <v>68.099999999999994</v>
      </c>
      <c r="AG136" s="4">
        <v>74.680000000000007</v>
      </c>
      <c r="AH136" s="4" t="s">
        <v>738</v>
      </c>
      <c r="AI136" s="5" t="s">
        <v>790</v>
      </c>
      <c r="AJ136" s="4">
        <v>9.91</v>
      </c>
      <c r="AK136" s="4">
        <v>3</v>
      </c>
      <c r="AL136" s="4" t="s">
        <v>798</v>
      </c>
      <c r="AM136" s="20" t="s">
        <v>824</v>
      </c>
      <c r="AN136" s="16" t="s">
        <v>804</v>
      </c>
      <c r="AO136" s="326"/>
      <c r="AP136" s="15">
        <v>0</v>
      </c>
      <c r="AQ136" s="9" t="str">
        <f>MID(Tabulka1[[#This Row],[BPEJ]],1,1)</f>
        <v>3</v>
      </c>
      <c r="AW136" s="9"/>
      <c r="AX136">
        <v>3</v>
      </c>
      <c r="AY136" s="114">
        <v>55</v>
      </c>
      <c r="AZ136" s="114">
        <v>0</v>
      </c>
      <c r="BA136" s="114">
        <v>0</v>
      </c>
      <c r="BB136" s="9">
        <v>3</v>
      </c>
      <c r="BC136" s="9" t="str">
        <f>MID(Tabulka1[[#This Row],[BPEJ]],3,2)</f>
        <v>55</v>
      </c>
      <c r="BD136" s="9" t="str">
        <f>MID(Tabulka1[[#This Row],[BPEJ]],6,1)</f>
        <v>0</v>
      </c>
      <c r="BE136" s="9" t="str">
        <f>MID(Tabulka1[[#This Row],[BPEJ]],7,1)</f>
        <v>0</v>
      </c>
      <c r="BF136" s="2" t="str">
        <f t="shared" si="12"/>
        <v>T</v>
      </c>
      <c r="BG136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136" s="7">
        <v>10.43</v>
      </c>
      <c r="BI136" s="2">
        <f t="shared" si="13"/>
        <v>104.3</v>
      </c>
      <c r="BJ136" s="2">
        <f>Tabulka1[[#This Row],[P2O5_60]]*10</f>
        <v>558</v>
      </c>
      <c r="BK136" s="2">
        <f>Tabulka1[[#This Row],[K2O_30]]*10</f>
        <v>10</v>
      </c>
      <c r="BL136" s="2">
        <f>Tabulka1[[#This Row],[K2O_60]]*10</f>
        <v>10</v>
      </c>
      <c r="BN136" s="2">
        <f>VLOOKUP(Tabulka1[[#This Row],[ID]],'Zdroj hloubka okresy'!$A$2:$F$171,5,FALSE)</f>
        <v>1.67</v>
      </c>
      <c r="BO136" s="2">
        <f>VLOOKUP(Tabulka1[[#This Row],[ID]],'Zdroj hloubka okresy'!$A$2:$D$171,3,FALSE)</f>
        <v>22</v>
      </c>
      <c r="BP136" s="2">
        <f>VLOOKUP(Tabulka1[[#This Row],[ID]],'Zdroj hloubka okresy'!$A$2:$D$171,4,FALSE)</f>
        <v>18</v>
      </c>
    </row>
    <row r="137" spans="1:68" x14ac:dyDescent="0.35">
      <c r="A137" s="13">
        <v>5585</v>
      </c>
      <c r="B137" s="14" t="s">
        <v>94</v>
      </c>
      <c r="C137" s="7">
        <v>7.54</v>
      </c>
      <c r="D137" s="7">
        <v>7.67</v>
      </c>
      <c r="E137" s="7">
        <v>7.18</v>
      </c>
      <c r="F137" s="7">
        <v>7.36</v>
      </c>
      <c r="G137" s="7">
        <v>1.55</v>
      </c>
      <c r="H137" s="7">
        <v>1.17</v>
      </c>
      <c r="I137" s="7">
        <v>0.9</v>
      </c>
      <c r="J137" s="7">
        <v>0.68</v>
      </c>
      <c r="K137" s="7"/>
      <c r="L137" s="7">
        <v>31</v>
      </c>
      <c r="M137" s="7">
        <v>35.4</v>
      </c>
      <c r="N137" s="139">
        <v>33.700000000000003</v>
      </c>
      <c r="O137" s="139">
        <v>40.199999999999996</v>
      </c>
      <c r="P137" s="139">
        <v>20.6</v>
      </c>
      <c r="Q137" s="7">
        <v>14.2</v>
      </c>
      <c r="R137" s="7">
        <v>12.82</v>
      </c>
      <c r="S137" s="7">
        <v>96.96</v>
      </c>
      <c r="T137" s="7">
        <v>98.05</v>
      </c>
      <c r="U137" s="4">
        <v>3</v>
      </c>
      <c r="V137" s="4">
        <f>VLOOKUP(Tabulka1[[#This Row],[ID]],'Zdroj hloubka okresy'!$A$2:$K$171,5,FALSE)</f>
        <v>1.49</v>
      </c>
      <c r="W137" s="4">
        <f>VLOOKUP(Tabulka1[[#This Row],[ID]],'Zdroj hloubka okresy'!$A$2:$K$171,6,FALSE)</f>
        <v>1.49</v>
      </c>
      <c r="X137" s="4">
        <v>12.98</v>
      </c>
      <c r="Y137" s="4">
        <v>13.05</v>
      </c>
      <c r="Z137" s="4">
        <v>11.96</v>
      </c>
      <c r="AA137" s="4">
        <v>10.99</v>
      </c>
      <c r="AB137" s="4">
        <v>27.11</v>
      </c>
      <c r="AC137" s="4">
        <v>23.52</v>
      </c>
      <c r="AD137" s="4">
        <v>23.43</v>
      </c>
      <c r="AE137" s="4">
        <v>22.5</v>
      </c>
      <c r="AF137" s="4">
        <v>24.51</v>
      </c>
      <c r="AG137" s="4">
        <v>29.93</v>
      </c>
      <c r="AH137" s="4" t="s">
        <v>776</v>
      </c>
      <c r="AI137" s="5" t="s">
        <v>792</v>
      </c>
      <c r="AJ137" s="4">
        <v>8.74</v>
      </c>
      <c r="AK137" s="4">
        <v>4</v>
      </c>
      <c r="AL137" s="4" t="s">
        <v>797</v>
      </c>
      <c r="AM137" s="20" t="s">
        <v>824</v>
      </c>
      <c r="AN137" s="16" t="s">
        <v>802</v>
      </c>
      <c r="AO137" s="326"/>
      <c r="AP137" s="15">
        <v>0</v>
      </c>
      <c r="AQ137" s="9" t="str">
        <f>MID(Tabulka1[[#This Row],[BPEJ]],1,1)</f>
        <v>3</v>
      </c>
      <c r="AW137" s="9"/>
      <c r="AX137">
        <v>3</v>
      </c>
      <c r="AY137" s="114">
        <v>29</v>
      </c>
      <c r="AZ137" s="114">
        <v>1</v>
      </c>
      <c r="BA137" s="114">
        <v>1</v>
      </c>
      <c r="BB137" s="9">
        <v>3</v>
      </c>
      <c r="BC137" s="9" t="str">
        <f>MID(Tabulka1[[#This Row],[BPEJ]],3,2)</f>
        <v>29</v>
      </c>
      <c r="BD137" s="9" t="str">
        <f>MID(Tabulka1[[#This Row],[BPEJ]],6,1)</f>
        <v>1</v>
      </c>
      <c r="BE137" s="9" t="str">
        <f>MID(Tabulka1[[#This Row],[BPEJ]],7,1)</f>
        <v>1</v>
      </c>
      <c r="BF137" s="2" t="str">
        <f t="shared" si="12"/>
        <v>T</v>
      </c>
      <c r="BG137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37" s="134">
        <v>3.54</v>
      </c>
      <c r="BI137" s="2">
        <f t="shared" si="13"/>
        <v>35.4</v>
      </c>
      <c r="BJ137" s="2">
        <f>Tabulka1[[#This Row],[P2O5_60]]*10</f>
        <v>337</v>
      </c>
      <c r="BK137" s="2">
        <f>Tabulka1[[#This Row],[K2O_30]]*10</f>
        <v>401.99999999999994</v>
      </c>
      <c r="BL137" s="2">
        <f>Tabulka1[[#This Row],[K2O_60]]*10</f>
        <v>206</v>
      </c>
      <c r="BN137" s="2">
        <f>VLOOKUP(Tabulka1[[#This Row],[ID]],'Zdroj hloubka okresy'!$A$2:$F$171,5,FALSE)</f>
        <v>1.49</v>
      </c>
      <c r="BO137" s="2">
        <f>VLOOKUP(Tabulka1[[#This Row],[ID]],'Zdroj hloubka okresy'!$A$2:$D$171,3,FALSE)</f>
        <v>24</v>
      </c>
      <c r="BP137" s="2">
        <f>VLOOKUP(Tabulka1[[#This Row],[ID]],'Zdroj hloubka okresy'!$A$2:$D$171,4,FALSE)</f>
        <v>22</v>
      </c>
    </row>
    <row r="138" spans="1:68" x14ac:dyDescent="0.35">
      <c r="A138" s="13">
        <v>5588</v>
      </c>
      <c r="B138" s="14" t="s">
        <v>299</v>
      </c>
      <c r="C138" s="7">
        <v>7.8</v>
      </c>
      <c r="D138" s="7">
        <v>7.82</v>
      </c>
      <c r="E138" s="7">
        <v>7.06</v>
      </c>
      <c r="F138" s="7">
        <v>6.95</v>
      </c>
      <c r="G138" s="7">
        <v>1.68</v>
      </c>
      <c r="H138" s="7">
        <v>1.19</v>
      </c>
      <c r="I138" s="7">
        <v>0.97</v>
      </c>
      <c r="J138" s="7">
        <v>0.69</v>
      </c>
      <c r="K138" s="7">
        <v>1.04</v>
      </c>
      <c r="L138" s="7">
        <v>0.52</v>
      </c>
      <c r="M138" s="7">
        <v>81.5</v>
      </c>
      <c r="N138" s="139">
        <v>58.9</v>
      </c>
      <c r="O138" s="139">
        <v>1</v>
      </c>
      <c r="P138" s="139">
        <v>1</v>
      </c>
      <c r="Q138" s="7">
        <v>24.06</v>
      </c>
      <c r="R138" s="7">
        <v>22.67</v>
      </c>
      <c r="S138" s="7">
        <v>98.93</v>
      </c>
      <c r="T138" s="7">
        <v>96.07</v>
      </c>
      <c r="U138" s="4">
        <v>4</v>
      </c>
      <c r="V138" s="4">
        <f>VLOOKUP(Tabulka1[[#This Row],[ID]],'Zdroj hloubka okresy'!$A$2:$K$171,5,FALSE)</f>
        <v>1.36</v>
      </c>
      <c r="W138" s="4">
        <f>VLOOKUP(Tabulka1[[#This Row],[ID]],'Zdroj hloubka okresy'!$A$2:$K$171,6,FALSE)</f>
        <v>1.41</v>
      </c>
      <c r="X138" s="4">
        <v>21.58</v>
      </c>
      <c r="Y138" s="4">
        <v>19.36</v>
      </c>
      <c r="Z138" s="4">
        <v>16.73</v>
      </c>
      <c r="AA138" s="4">
        <v>13.82</v>
      </c>
      <c r="AB138" s="4">
        <v>36.74</v>
      </c>
      <c r="AC138" s="4">
        <v>36.56</v>
      </c>
      <c r="AD138" s="4">
        <v>20.46</v>
      </c>
      <c r="AE138" s="4">
        <v>25.54</v>
      </c>
      <c r="AF138" s="4">
        <v>4.47</v>
      </c>
      <c r="AG138" s="4">
        <v>4.71</v>
      </c>
      <c r="AH138" s="4" t="s">
        <v>739</v>
      </c>
      <c r="AI138" s="5" t="s">
        <v>793</v>
      </c>
      <c r="AJ138" s="4">
        <v>15.77</v>
      </c>
      <c r="AK138" s="4">
        <v>4</v>
      </c>
      <c r="AL138" s="4" t="s">
        <v>797</v>
      </c>
      <c r="AM138" s="20" t="s">
        <v>824</v>
      </c>
      <c r="AN138" s="16" t="s">
        <v>802</v>
      </c>
      <c r="AO138" s="326"/>
      <c r="AP138" s="15">
        <v>0</v>
      </c>
      <c r="AQ138" s="9" t="str">
        <f>MID(Tabulka1[[#This Row],[BPEJ]],1,1)</f>
        <v>3</v>
      </c>
      <c r="AW138" s="9"/>
      <c r="AX138">
        <v>3</v>
      </c>
      <c r="AY138" s="114">
        <v>56</v>
      </c>
      <c r="AZ138" s="114">
        <v>0</v>
      </c>
      <c r="BA138" s="114">
        <v>0</v>
      </c>
      <c r="BB138" s="9">
        <v>3</v>
      </c>
      <c r="BC138" s="9" t="str">
        <f>MID(Tabulka1[[#This Row],[BPEJ]],3,2)</f>
        <v>56</v>
      </c>
      <c r="BD138" s="9" t="str">
        <f>MID(Tabulka1[[#This Row],[BPEJ]],6,1)</f>
        <v>0</v>
      </c>
      <c r="BE138" s="9" t="str">
        <f>MID(Tabulka1[[#This Row],[BPEJ]],7,1)</f>
        <v>0</v>
      </c>
      <c r="BF138" s="2" t="str">
        <f t="shared" si="12"/>
        <v>T</v>
      </c>
      <c r="BG138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38" s="7">
        <v>8.15</v>
      </c>
      <c r="BI138" s="2">
        <f t="shared" si="13"/>
        <v>81.5</v>
      </c>
      <c r="BJ138" s="2">
        <f>Tabulka1[[#This Row],[P2O5_60]]*10</f>
        <v>589</v>
      </c>
      <c r="BK138" s="2">
        <f>Tabulka1[[#This Row],[K2O_30]]*10</f>
        <v>10</v>
      </c>
      <c r="BL138" s="2">
        <f>Tabulka1[[#This Row],[K2O_60]]*10</f>
        <v>10</v>
      </c>
      <c r="BN138" s="2">
        <f>VLOOKUP(Tabulka1[[#This Row],[ID]],'Zdroj hloubka okresy'!$A$2:$F$171,5,FALSE)</f>
        <v>1.36</v>
      </c>
      <c r="BO138" s="2">
        <f>VLOOKUP(Tabulka1[[#This Row],[ID]],'Zdroj hloubka okresy'!$A$2:$D$171,3,FALSE)</f>
        <v>26</v>
      </c>
      <c r="BP138" s="2">
        <f>VLOOKUP(Tabulka1[[#This Row],[ID]],'Zdroj hloubka okresy'!$A$2:$D$171,4,FALSE)</f>
        <v>20</v>
      </c>
    </row>
    <row r="139" spans="1:68" x14ac:dyDescent="0.35">
      <c r="A139" s="13">
        <v>5591</v>
      </c>
      <c r="B139" s="14" t="s">
        <v>80</v>
      </c>
      <c r="C139" s="7">
        <v>7.4</v>
      </c>
      <c r="D139" s="7">
        <v>7.5</v>
      </c>
      <c r="E139" s="7">
        <v>7</v>
      </c>
      <c r="F139" s="7">
        <v>6.8</v>
      </c>
      <c r="G139" s="7">
        <v>1.86</v>
      </c>
      <c r="H139" s="7">
        <v>1.21</v>
      </c>
      <c r="I139" s="7">
        <v>1.08</v>
      </c>
      <c r="J139" s="7">
        <v>0.7</v>
      </c>
      <c r="K139" s="7">
        <v>0.8</v>
      </c>
      <c r="L139" s="7">
        <v>0.4</v>
      </c>
      <c r="M139" s="7">
        <v>180</v>
      </c>
      <c r="N139" s="139">
        <v>105</v>
      </c>
      <c r="O139" s="139">
        <v>1</v>
      </c>
      <c r="P139" s="139">
        <v>1</v>
      </c>
      <c r="Q139" s="7">
        <v>12</v>
      </c>
      <c r="R139" s="7">
        <v>10</v>
      </c>
      <c r="S139" s="7">
        <v>100</v>
      </c>
      <c r="T139" s="7">
        <v>100</v>
      </c>
      <c r="U139" s="4">
        <v>4</v>
      </c>
      <c r="V139" s="4">
        <f>VLOOKUP(Tabulka1[[#This Row],[ID]],'Zdroj hloubka okresy'!$A$2:$K$171,5,FALSE)</f>
        <v>1.5</v>
      </c>
      <c r="W139" s="4">
        <f>VLOOKUP(Tabulka1[[#This Row],[ID]],'Zdroj hloubka okresy'!$A$2:$K$171,6,FALSE)</f>
        <v>1.52</v>
      </c>
      <c r="X139" s="4">
        <v>13.99</v>
      </c>
      <c r="Y139" s="4">
        <v>14.05</v>
      </c>
      <c r="Z139" s="4">
        <v>13.31</v>
      </c>
      <c r="AA139" s="4">
        <v>7.32</v>
      </c>
      <c r="AB139" s="4">
        <v>11.6</v>
      </c>
      <c r="AC139" s="4">
        <v>9.44</v>
      </c>
      <c r="AD139" s="4">
        <v>29.6</v>
      </c>
      <c r="AE139" s="4">
        <v>30.31</v>
      </c>
      <c r="AF139" s="4">
        <v>31.5</v>
      </c>
      <c r="AG139" s="4">
        <v>38.880000000000003</v>
      </c>
      <c r="AH139" s="4" t="s">
        <v>739</v>
      </c>
      <c r="AI139" s="5" t="s">
        <v>793</v>
      </c>
      <c r="AJ139" s="4">
        <v>15.77</v>
      </c>
      <c r="AK139" s="4">
        <v>3</v>
      </c>
      <c r="AL139" s="4" t="s">
        <v>798</v>
      </c>
      <c r="AM139" s="20" t="s">
        <v>824</v>
      </c>
      <c r="AN139" s="16" t="s">
        <v>802</v>
      </c>
      <c r="AO139" s="326"/>
      <c r="AP139" s="15">
        <v>0</v>
      </c>
      <c r="AQ139" s="9" t="str">
        <f>MID(Tabulka1[[#This Row],[BPEJ]],1,1)</f>
        <v>3</v>
      </c>
      <c r="AW139" s="9"/>
      <c r="AX139">
        <v>3</v>
      </c>
      <c r="AY139" s="114">
        <v>56</v>
      </c>
      <c r="AZ139" s="114">
        <v>0</v>
      </c>
      <c r="BA139" s="114">
        <v>0</v>
      </c>
      <c r="BB139" s="9">
        <v>3</v>
      </c>
      <c r="BC139" s="9" t="str">
        <f>MID(Tabulka1[[#This Row],[BPEJ]],3,2)</f>
        <v>56</v>
      </c>
      <c r="BD139" s="9" t="str">
        <f>MID(Tabulka1[[#This Row],[BPEJ]],6,1)</f>
        <v>0</v>
      </c>
      <c r="BE139" s="9" t="str">
        <f>MID(Tabulka1[[#This Row],[BPEJ]],7,1)</f>
        <v>0</v>
      </c>
      <c r="BF139" s="2" t="str">
        <f t="shared" si="12"/>
        <v>T</v>
      </c>
      <c r="BG139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39" s="134">
        <v>18</v>
      </c>
      <c r="BI139" s="2">
        <f t="shared" si="13"/>
        <v>180</v>
      </c>
      <c r="BJ139" s="2">
        <f>Tabulka1[[#This Row],[P2O5_60]]*10</f>
        <v>1050</v>
      </c>
      <c r="BK139" s="2">
        <f>Tabulka1[[#This Row],[K2O_30]]*10</f>
        <v>10</v>
      </c>
      <c r="BL139" s="2">
        <f>Tabulka1[[#This Row],[K2O_60]]*10</f>
        <v>10</v>
      </c>
      <c r="BN139" s="2">
        <f>VLOOKUP(Tabulka1[[#This Row],[ID]],'Zdroj hloubka okresy'!$A$2:$F$171,5,FALSE)</f>
        <v>1.5</v>
      </c>
      <c r="BO139" s="2">
        <f>VLOOKUP(Tabulka1[[#This Row],[ID]],'Zdroj hloubka okresy'!$A$2:$D$171,3,FALSE)</f>
        <v>30</v>
      </c>
      <c r="BP139" s="2">
        <f>VLOOKUP(Tabulka1[[#This Row],[ID]],'Zdroj hloubka okresy'!$A$2:$D$171,4,FALSE)</f>
        <v>32</v>
      </c>
    </row>
    <row r="140" spans="1:68" x14ac:dyDescent="0.35">
      <c r="A140" s="13">
        <v>9107</v>
      </c>
      <c r="B140" s="14" t="s">
        <v>635</v>
      </c>
      <c r="C140" s="7">
        <v>7.45</v>
      </c>
      <c r="D140" s="7">
        <v>7.37</v>
      </c>
      <c r="E140" s="7">
        <v>6.87</v>
      </c>
      <c r="F140" s="7">
        <v>6.78</v>
      </c>
      <c r="G140" s="7">
        <v>1.8</v>
      </c>
      <c r="H140" s="7">
        <v>1.37</v>
      </c>
      <c r="I140" s="7">
        <v>1.05</v>
      </c>
      <c r="J140" s="7">
        <v>0.79</v>
      </c>
      <c r="K140" s="7">
        <v>0</v>
      </c>
      <c r="L140" s="7">
        <v>0.04</v>
      </c>
      <c r="M140" s="7">
        <v>43.8</v>
      </c>
      <c r="N140" s="139">
        <v>33.9</v>
      </c>
      <c r="O140" s="139">
        <v>110</v>
      </c>
      <c r="P140" s="139">
        <v>95.7</v>
      </c>
      <c r="Q140" s="7">
        <v>20.38</v>
      </c>
      <c r="R140" s="7">
        <v>21.51</v>
      </c>
      <c r="S140" s="7">
        <v>88.22</v>
      </c>
      <c r="T140" s="7">
        <v>92.08</v>
      </c>
      <c r="U140" s="4">
        <v>4</v>
      </c>
      <c r="V140" s="4">
        <f>VLOOKUP(Tabulka1[[#This Row],[ID]],'Zdroj hloubka okresy'!$A$2:$K$171,5,FALSE)</f>
        <v>1.38</v>
      </c>
      <c r="W140" s="4">
        <f>VLOOKUP(Tabulka1[[#This Row],[ID]],'Zdroj hloubka okresy'!$A$2:$K$171,6,FALSE)</f>
        <v>1.36</v>
      </c>
      <c r="X140" s="4">
        <v>25.8</v>
      </c>
      <c r="Y140" s="4">
        <v>30.2</v>
      </c>
      <c r="Z140" s="4">
        <v>8.89</v>
      </c>
      <c r="AA140" s="4">
        <v>7.54</v>
      </c>
      <c r="AB140" s="4">
        <v>18.170000000000002</v>
      </c>
      <c r="AC140" s="4">
        <v>15.72</v>
      </c>
      <c r="AD140" s="4">
        <v>22</v>
      </c>
      <c r="AE140" s="4">
        <v>20.72</v>
      </c>
      <c r="AF140" s="4">
        <v>25.15</v>
      </c>
      <c r="AG140" s="4">
        <v>25.81</v>
      </c>
      <c r="AH140" s="4" t="s">
        <v>735</v>
      </c>
      <c r="AI140" s="5" t="s">
        <v>789</v>
      </c>
      <c r="AJ140" s="4">
        <v>15.51</v>
      </c>
      <c r="AK140" s="4">
        <v>3</v>
      </c>
      <c r="AL140" s="4" t="s">
        <v>798</v>
      </c>
      <c r="AM140" s="20" t="s">
        <v>824</v>
      </c>
      <c r="AN140" s="16" t="s">
        <v>806</v>
      </c>
      <c r="AO140" s="326"/>
      <c r="AP140" s="15">
        <v>0</v>
      </c>
      <c r="AQ140" s="9" t="str">
        <f>MID(Tabulka1[[#This Row],[BPEJ]],1,1)</f>
        <v>3</v>
      </c>
      <c r="AW140" s="9"/>
      <c r="AX140">
        <v>3</v>
      </c>
      <c r="AY140" s="114">
        <v>61</v>
      </c>
      <c r="AZ140" s="114">
        <v>0</v>
      </c>
      <c r="BA140" s="114">
        <v>0</v>
      </c>
      <c r="BB140" s="9">
        <v>3</v>
      </c>
      <c r="BC140" s="9" t="str">
        <f>MID(Tabulka1[[#This Row],[BPEJ]],3,2)</f>
        <v>61</v>
      </c>
      <c r="BD140" s="9" t="str">
        <f>MID(Tabulka1[[#This Row],[BPEJ]],6,1)</f>
        <v>0</v>
      </c>
      <c r="BE140" s="9" t="str">
        <f>MID(Tabulka1[[#This Row],[BPEJ]],7,1)</f>
        <v>0</v>
      </c>
      <c r="BF140" s="2" t="str">
        <f t="shared" ref="BF140:BF161" si="14">IF(OR(AX140=2,AX140=3,AX140=4,AX140=5),"T",IF(OR(AX140=0,AX140=1),"VT",IF(OR(AX140=6,AX140=7,AX140=8,AX140=9),"CH"," ")))</f>
        <v>T</v>
      </c>
      <c r="BG140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40" s="7">
        <v>4.38</v>
      </c>
      <c r="BI140" s="2">
        <f t="shared" ref="BI140:BI161" si="15">BH140*10</f>
        <v>43.8</v>
      </c>
      <c r="BJ140" s="2">
        <f>Tabulka1[[#This Row],[P2O5_60]]*10</f>
        <v>339</v>
      </c>
      <c r="BK140" s="2">
        <f>Tabulka1[[#This Row],[K2O_30]]*10</f>
        <v>1100</v>
      </c>
      <c r="BL140" s="2">
        <f>Tabulka1[[#This Row],[K2O_60]]*10</f>
        <v>957</v>
      </c>
      <c r="BN140" s="2">
        <f>VLOOKUP(Tabulka1[[#This Row],[ID]],'Zdroj hloubka okresy'!$A$2:$F$171,5,FALSE)</f>
        <v>1.38</v>
      </c>
      <c r="BO140" s="2">
        <f>VLOOKUP(Tabulka1[[#This Row],[ID]],'Zdroj hloubka okresy'!$A$2:$D$171,3,FALSE)</f>
        <v>25</v>
      </c>
      <c r="BP140" s="2">
        <f>VLOOKUP(Tabulka1[[#This Row],[ID]],'Zdroj hloubka okresy'!$A$2:$D$171,4,FALSE)</f>
        <v>19</v>
      </c>
    </row>
    <row r="141" spans="1:68" x14ac:dyDescent="0.35">
      <c r="A141" s="13">
        <v>9110</v>
      </c>
      <c r="B141" s="14" t="s">
        <v>588</v>
      </c>
      <c r="C141" s="7">
        <v>7.2</v>
      </c>
      <c r="D141" s="7">
        <v>7.17</v>
      </c>
      <c r="E141" s="7">
        <v>6.59</v>
      </c>
      <c r="F141" s="7">
        <v>6.54</v>
      </c>
      <c r="G141" s="7">
        <v>2.67</v>
      </c>
      <c r="H141" s="7">
        <v>2.34</v>
      </c>
      <c r="I141" s="7">
        <v>1.55</v>
      </c>
      <c r="J141" s="7">
        <v>1.36</v>
      </c>
      <c r="K141" s="7">
        <v>0</v>
      </c>
      <c r="L141" s="7">
        <v>0</v>
      </c>
      <c r="M141" s="7">
        <v>540.70000000000005</v>
      </c>
      <c r="N141" s="139">
        <v>638.20000000000005</v>
      </c>
      <c r="O141" s="139">
        <v>101.30000000000001</v>
      </c>
      <c r="P141" s="139">
        <v>105.3</v>
      </c>
      <c r="Q141" s="7">
        <v>25.33</v>
      </c>
      <c r="R141" s="7">
        <v>26.24</v>
      </c>
      <c r="S141" s="7">
        <v>85.77</v>
      </c>
      <c r="T141" s="7">
        <v>86.28</v>
      </c>
      <c r="U141" s="4">
        <v>4</v>
      </c>
      <c r="V141" s="4">
        <f>VLOOKUP(Tabulka1[[#This Row],[ID]],'Zdroj hloubka okresy'!$A$2:$K$171,5,FALSE)</f>
        <v>1.37</v>
      </c>
      <c r="W141" s="4">
        <f>VLOOKUP(Tabulka1[[#This Row],[ID]],'Zdroj hloubka okresy'!$A$2:$K$171,6,FALSE)</f>
        <v>1.31</v>
      </c>
      <c r="X141" s="4">
        <v>19.91</v>
      </c>
      <c r="Y141" s="4">
        <v>23.15</v>
      </c>
      <c r="Z141" s="4">
        <v>14.7</v>
      </c>
      <c r="AA141" s="4">
        <v>13.44</v>
      </c>
      <c r="AB141" s="4">
        <v>52.95</v>
      </c>
      <c r="AC141" s="4">
        <v>51.83</v>
      </c>
      <c r="AD141" s="4">
        <v>11.89</v>
      </c>
      <c r="AE141" s="4">
        <v>11.2</v>
      </c>
      <c r="AF141" s="4">
        <v>0.55000000000000004</v>
      </c>
      <c r="AG141" s="4">
        <v>0.37</v>
      </c>
      <c r="AH141" s="4" t="s">
        <v>737</v>
      </c>
      <c r="AI141" s="5" t="s">
        <v>793</v>
      </c>
      <c r="AJ141" s="4">
        <v>18.079999999999998</v>
      </c>
      <c r="AK141" s="4">
        <v>5</v>
      </c>
      <c r="AL141" s="4" t="s">
        <v>798</v>
      </c>
      <c r="AM141" s="20" t="s">
        <v>824</v>
      </c>
      <c r="AN141" s="16" t="s">
        <v>803</v>
      </c>
      <c r="AO141" s="326"/>
      <c r="AP141" s="15">
        <v>0</v>
      </c>
      <c r="AQ141" s="9" t="str">
        <f>MID(Tabulka1[[#This Row],[BPEJ]],1,1)</f>
        <v>3</v>
      </c>
      <c r="AW141" s="9"/>
      <c r="AX141">
        <v>3</v>
      </c>
      <c r="AY141" s="114">
        <v>9</v>
      </c>
      <c r="AZ141" s="114">
        <v>0</v>
      </c>
      <c r="BA141" s="114">
        <v>0</v>
      </c>
      <c r="BB141" s="9">
        <v>3</v>
      </c>
      <c r="BC141" s="9" t="str">
        <f>MID(Tabulka1[[#This Row],[BPEJ]],3,2)</f>
        <v>09</v>
      </c>
      <c r="BD141" s="9" t="str">
        <f>MID(Tabulka1[[#This Row],[BPEJ]],6,1)</f>
        <v>0</v>
      </c>
      <c r="BE141" s="9" t="str">
        <f>MID(Tabulka1[[#This Row],[BPEJ]],7,1)</f>
        <v>0</v>
      </c>
      <c r="BF141" s="2" t="str">
        <f t="shared" si="14"/>
        <v>T</v>
      </c>
      <c r="BG141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41" s="134">
        <v>54.07</v>
      </c>
      <c r="BI141" s="2">
        <f t="shared" si="15"/>
        <v>540.70000000000005</v>
      </c>
      <c r="BJ141" s="2">
        <f>Tabulka1[[#This Row],[P2O5_60]]*10</f>
        <v>6382</v>
      </c>
      <c r="BK141" s="2">
        <f>Tabulka1[[#This Row],[K2O_30]]*10</f>
        <v>1013.0000000000001</v>
      </c>
      <c r="BL141" s="2">
        <f>Tabulka1[[#This Row],[K2O_60]]*10</f>
        <v>1053</v>
      </c>
      <c r="BN141" s="2">
        <f>VLOOKUP(Tabulka1[[#This Row],[ID]],'Zdroj hloubka okresy'!$A$2:$F$171,5,FALSE)</f>
        <v>1.37</v>
      </c>
      <c r="BO141" s="2">
        <f>VLOOKUP(Tabulka1[[#This Row],[ID]],'Zdroj hloubka okresy'!$A$2:$D$171,3,FALSE)</f>
        <v>26</v>
      </c>
      <c r="BP141" s="2">
        <f>VLOOKUP(Tabulka1[[#This Row],[ID]],'Zdroj hloubka okresy'!$A$2:$D$171,4,FALSE)</f>
        <v>32</v>
      </c>
    </row>
    <row r="142" spans="1:68" x14ac:dyDescent="0.35">
      <c r="A142" s="13">
        <v>9113</v>
      </c>
      <c r="B142" s="14" t="s">
        <v>622</v>
      </c>
      <c r="C142" s="7">
        <v>7.67</v>
      </c>
      <c r="D142" s="7">
        <v>7.75</v>
      </c>
      <c r="E142" s="7">
        <v>7.13</v>
      </c>
      <c r="F142" s="7">
        <v>7.21</v>
      </c>
      <c r="G142" s="7">
        <v>1.84</v>
      </c>
      <c r="H142" s="7">
        <v>1.42</v>
      </c>
      <c r="I142" s="7">
        <v>1.07</v>
      </c>
      <c r="J142" s="7">
        <v>0.82</v>
      </c>
      <c r="K142" s="7"/>
      <c r="L142" s="7"/>
      <c r="M142" s="7">
        <v>160.79999999999998</v>
      </c>
      <c r="N142" s="139">
        <v>155.6</v>
      </c>
      <c r="O142" s="139">
        <v>50</v>
      </c>
      <c r="P142" s="139">
        <v>46.3</v>
      </c>
      <c r="Q142" s="7">
        <v>14.99</v>
      </c>
      <c r="R142" s="7">
        <v>13.88</v>
      </c>
      <c r="S142" s="7">
        <v>89.49</v>
      </c>
      <c r="T142" s="7">
        <v>89.56</v>
      </c>
      <c r="U142" s="4">
        <v>4</v>
      </c>
      <c r="V142" s="4">
        <f>VLOOKUP(Tabulka1[[#This Row],[ID]],'Zdroj hloubka okresy'!$A$2:$K$171,5,FALSE)</f>
        <v>1.44</v>
      </c>
      <c r="W142" s="4">
        <f>VLOOKUP(Tabulka1[[#This Row],[ID]],'Zdroj hloubka okresy'!$A$2:$K$171,6,FALSE)</f>
        <v>1.42</v>
      </c>
      <c r="X142" s="4">
        <v>12.64</v>
      </c>
      <c r="Y142" s="4">
        <v>14.41</v>
      </c>
      <c r="Z142" s="4">
        <v>17.260000000000002</v>
      </c>
      <c r="AA142" s="4">
        <v>16.96</v>
      </c>
      <c r="AB142" s="4">
        <v>53.55</v>
      </c>
      <c r="AC142" s="4">
        <v>53.76</v>
      </c>
      <c r="AD142" s="4">
        <v>14.45</v>
      </c>
      <c r="AE142" s="4">
        <v>13.25</v>
      </c>
      <c r="AF142" s="4">
        <v>2.09</v>
      </c>
      <c r="AG142" s="4">
        <v>1.62</v>
      </c>
      <c r="AH142" s="4" t="s">
        <v>763</v>
      </c>
      <c r="AI142" s="5" t="s">
        <v>789</v>
      </c>
      <c r="AJ142" s="4">
        <v>16.52</v>
      </c>
      <c r="AK142" s="4">
        <v>5</v>
      </c>
      <c r="AL142" s="4" t="s">
        <v>798</v>
      </c>
      <c r="AM142" s="20" t="s">
        <v>824</v>
      </c>
      <c r="AN142" s="16" t="s">
        <v>803</v>
      </c>
      <c r="AO142" s="326"/>
      <c r="AP142" s="15">
        <v>0</v>
      </c>
      <c r="AQ142" s="9" t="str">
        <f>MID(Tabulka1[[#This Row],[BPEJ]],1,1)</f>
        <v>3</v>
      </c>
      <c r="AW142" s="9"/>
      <c r="AX142">
        <v>3</v>
      </c>
      <c r="AY142" s="114">
        <v>10</v>
      </c>
      <c r="AZ142" s="114">
        <v>1</v>
      </c>
      <c r="BA142" s="114">
        <v>0</v>
      </c>
      <c r="BB142" s="9">
        <v>3</v>
      </c>
      <c r="BC142" s="9" t="str">
        <f>MID(Tabulka1[[#This Row],[BPEJ]],3,2)</f>
        <v>10</v>
      </c>
      <c r="BD142" s="9" t="str">
        <f>MID(Tabulka1[[#This Row],[BPEJ]],6,1)</f>
        <v>1</v>
      </c>
      <c r="BE142" s="9" t="str">
        <f>MID(Tabulka1[[#This Row],[BPEJ]],7,1)</f>
        <v>0</v>
      </c>
      <c r="BF142" s="2" t="str">
        <f t="shared" si="14"/>
        <v>T</v>
      </c>
      <c r="BG142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42" s="7">
        <v>16.079999999999998</v>
      </c>
      <c r="BI142" s="2">
        <f t="shared" si="15"/>
        <v>160.79999999999998</v>
      </c>
      <c r="BJ142" s="2">
        <f>Tabulka1[[#This Row],[P2O5_60]]*10</f>
        <v>1556</v>
      </c>
      <c r="BK142" s="2">
        <f>Tabulka1[[#This Row],[K2O_30]]*10</f>
        <v>500</v>
      </c>
      <c r="BL142" s="2">
        <f>Tabulka1[[#This Row],[K2O_60]]*10</f>
        <v>463</v>
      </c>
      <c r="BN142" s="2">
        <f>VLOOKUP(Tabulka1[[#This Row],[ID]],'Zdroj hloubka okresy'!$A$2:$F$171,5,FALSE)</f>
        <v>1.44</v>
      </c>
      <c r="BO142" s="2">
        <f>VLOOKUP(Tabulka1[[#This Row],[ID]],'Zdroj hloubka okresy'!$A$2:$D$171,3,FALSE)</f>
        <v>26</v>
      </c>
      <c r="BP142" s="2">
        <f>VLOOKUP(Tabulka1[[#This Row],[ID]],'Zdroj hloubka okresy'!$A$2:$D$171,4,FALSE)</f>
        <v>18</v>
      </c>
    </row>
    <row r="143" spans="1:68" x14ac:dyDescent="0.35">
      <c r="A143" s="13">
        <v>9116</v>
      </c>
      <c r="B143" s="14" t="s">
        <v>632</v>
      </c>
      <c r="C143" s="7">
        <v>7.8</v>
      </c>
      <c r="D143" s="7">
        <v>7.61</v>
      </c>
      <c r="E143" s="7">
        <v>7.27</v>
      </c>
      <c r="F143" s="7">
        <v>7.05</v>
      </c>
      <c r="G143" s="7">
        <v>1.58</v>
      </c>
      <c r="H143" s="7">
        <v>1.1399999999999999</v>
      </c>
      <c r="I143" s="7">
        <v>0.92</v>
      </c>
      <c r="J143" s="7">
        <v>0.66</v>
      </c>
      <c r="K143" s="7">
        <v>0.1</v>
      </c>
      <c r="L143" s="7">
        <v>0.06</v>
      </c>
      <c r="M143" s="7">
        <v>161.1</v>
      </c>
      <c r="N143" s="139">
        <v>100.60000000000001</v>
      </c>
      <c r="O143" s="139">
        <v>81.5</v>
      </c>
      <c r="P143" s="139">
        <v>60.099999999999994</v>
      </c>
      <c r="Q143" s="7">
        <v>13.2</v>
      </c>
      <c r="R143" s="7">
        <v>12.96</v>
      </c>
      <c r="S143" s="7">
        <v>98.85</v>
      </c>
      <c r="T143" s="7">
        <v>94.03</v>
      </c>
      <c r="U143" s="4">
        <v>4</v>
      </c>
      <c r="V143" s="4">
        <f>VLOOKUP(Tabulka1[[#This Row],[ID]],'Zdroj hloubka okresy'!$A$2:$K$171,5,FALSE)</f>
        <v>1.43</v>
      </c>
      <c r="W143" s="4">
        <f>VLOOKUP(Tabulka1[[#This Row],[ID]],'Zdroj hloubka okresy'!$A$2:$K$171,6,FALSE)</f>
        <v>1.43</v>
      </c>
      <c r="X143" s="4">
        <v>12.35</v>
      </c>
      <c r="Y143" s="4">
        <v>14.87</v>
      </c>
      <c r="Z143" s="4">
        <v>15.74</v>
      </c>
      <c r="AA143" s="4">
        <v>13.84</v>
      </c>
      <c r="AB143" s="4">
        <v>57.46</v>
      </c>
      <c r="AC143" s="4">
        <v>57</v>
      </c>
      <c r="AD143" s="4">
        <v>13.12</v>
      </c>
      <c r="AE143" s="4">
        <v>13.49</v>
      </c>
      <c r="AF143" s="4">
        <v>1.34</v>
      </c>
      <c r="AG143" s="4">
        <v>0.8</v>
      </c>
      <c r="AH143" s="4" t="s">
        <v>742</v>
      </c>
      <c r="AI143" s="5" t="s">
        <v>793</v>
      </c>
      <c r="AJ143" s="4">
        <v>17.920000000000002</v>
      </c>
      <c r="AK143" s="4">
        <v>4</v>
      </c>
      <c r="AL143" s="4" t="s">
        <v>797</v>
      </c>
      <c r="AM143" s="20" t="s">
        <v>824</v>
      </c>
      <c r="AN143" s="16" t="s">
        <v>803</v>
      </c>
      <c r="AO143" s="326"/>
      <c r="AP143" s="15">
        <v>0</v>
      </c>
      <c r="AQ143" s="9" t="str">
        <f>MID(Tabulka1[[#This Row],[BPEJ]],1,1)</f>
        <v>3</v>
      </c>
      <c r="AW143" s="9"/>
      <c r="AX143">
        <v>3</v>
      </c>
      <c r="AY143" s="114">
        <v>10</v>
      </c>
      <c r="AZ143" s="114">
        <v>0</v>
      </c>
      <c r="BA143" s="114">
        <v>0</v>
      </c>
      <c r="BB143" s="9">
        <v>3</v>
      </c>
      <c r="BC143" s="9" t="str">
        <f>MID(Tabulka1[[#This Row],[BPEJ]],3,2)</f>
        <v>10</v>
      </c>
      <c r="BD143" s="9" t="str">
        <f>MID(Tabulka1[[#This Row],[BPEJ]],6,1)</f>
        <v>0</v>
      </c>
      <c r="BE143" s="9" t="str">
        <f>MID(Tabulka1[[#This Row],[BPEJ]],7,1)</f>
        <v>0</v>
      </c>
      <c r="BF143" s="2" t="str">
        <f t="shared" si="14"/>
        <v>T</v>
      </c>
      <c r="BG143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43" s="134">
        <v>16.11</v>
      </c>
      <c r="BI143" s="2">
        <f t="shared" si="15"/>
        <v>161.1</v>
      </c>
      <c r="BJ143" s="2">
        <f>Tabulka1[[#This Row],[P2O5_60]]*10</f>
        <v>1006.0000000000001</v>
      </c>
      <c r="BK143" s="2">
        <f>Tabulka1[[#This Row],[K2O_30]]*10</f>
        <v>815</v>
      </c>
      <c r="BL143" s="2">
        <f>Tabulka1[[#This Row],[K2O_60]]*10</f>
        <v>601</v>
      </c>
      <c r="BN143" s="2">
        <f>VLOOKUP(Tabulka1[[#This Row],[ID]],'Zdroj hloubka okresy'!$A$2:$F$171,5,FALSE)</f>
        <v>1.43</v>
      </c>
      <c r="BO143" s="2">
        <f>VLOOKUP(Tabulka1[[#This Row],[ID]],'Zdroj hloubka okresy'!$A$2:$D$171,3,FALSE)</f>
        <v>26</v>
      </c>
      <c r="BP143" s="2">
        <f>VLOOKUP(Tabulka1[[#This Row],[ID]],'Zdroj hloubka okresy'!$A$2:$D$171,4,FALSE)</f>
        <v>18</v>
      </c>
    </row>
    <row r="144" spans="1:68" x14ac:dyDescent="0.35">
      <c r="A144" s="13">
        <v>9119</v>
      </c>
      <c r="B144" s="14" t="s">
        <v>634</v>
      </c>
      <c r="C144" s="7">
        <v>7.56</v>
      </c>
      <c r="D144" s="7">
        <v>7.5</v>
      </c>
      <c r="E144" s="7">
        <v>7</v>
      </c>
      <c r="F144" s="7">
        <v>6.93</v>
      </c>
      <c r="G144" s="7">
        <v>1.42</v>
      </c>
      <c r="H144" s="7">
        <v>1.35</v>
      </c>
      <c r="I144" s="7">
        <v>0.82</v>
      </c>
      <c r="J144" s="7">
        <v>0.78</v>
      </c>
      <c r="K144" s="7"/>
      <c r="L144" s="7">
        <v>0</v>
      </c>
      <c r="M144" s="7">
        <v>87.2</v>
      </c>
      <c r="N144" s="139">
        <v>63</v>
      </c>
      <c r="O144" s="139">
        <v>50</v>
      </c>
      <c r="P144" s="139">
        <v>50</v>
      </c>
      <c r="Q144" s="7">
        <v>13.32</v>
      </c>
      <c r="R144" s="7">
        <v>15.9</v>
      </c>
      <c r="S144" s="7">
        <v>86.98</v>
      </c>
      <c r="T144" s="7">
        <v>88.64</v>
      </c>
      <c r="U144" s="4">
        <v>4</v>
      </c>
      <c r="V144" s="4">
        <f>VLOOKUP(Tabulka1[[#This Row],[ID]],'Zdroj hloubka okresy'!$A$2:$K$171,5,FALSE)</f>
        <v>1.43</v>
      </c>
      <c r="W144" s="4">
        <f>VLOOKUP(Tabulka1[[#This Row],[ID]],'Zdroj hloubka okresy'!$A$2:$K$171,6,FALSE)</f>
        <v>1.43</v>
      </c>
      <c r="X144" s="4">
        <v>12.58</v>
      </c>
      <c r="Y144" s="4">
        <v>18.62</v>
      </c>
      <c r="Z144" s="4">
        <v>10.98</v>
      </c>
      <c r="AA144" s="4">
        <v>10.72</v>
      </c>
      <c r="AB144" s="4">
        <v>63.12</v>
      </c>
      <c r="AC144" s="4">
        <v>58.53</v>
      </c>
      <c r="AD144" s="4">
        <v>11.7</v>
      </c>
      <c r="AE144" s="4">
        <v>11.11</v>
      </c>
      <c r="AF144" s="4">
        <v>1.62</v>
      </c>
      <c r="AG144" s="4">
        <v>1.02</v>
      </c>
      <c r="AH144" s="4" t="s">
        <v>737</v>
      </c>
      <c r="AI144" s="5" t="s">
        <v>793</v>
      </c>
      <c r="AJ144" s="4">
        <v>18.079999999999998</v>
      </c>
      <c r="AK144" s="4">
        <v>5</v>
      </c>
      <c r="AL144" s="4" t="s">
        <v>798</v>
      </c>
      <c r="AM144" s="20" t="s">
        <v>824</v>
      </c>
      <c r="AN144" s="16" t="s">
        <v>803</v>
      </c>
      <c r="AO144" s="326"/>
      <c r="AP144" s="15">
        <v>0</v>
      </c>
      <c r="AQ144" s="9" t="str">
        <f>MID(Tabulka1[[#This Row],[BPEJ]],1,1)</f>
        <v>3</v>
      </c>
      <c r="AW144" s="9"/>
      <c r="AX144">
        <v>3</v>
      </c>
      <c r="AY144" s="114">
        <v>9</v>
      </c>
      <c r="AZ144" s="114">
        <v>0</v>
      </c>
      <c r="BA144" s="114">
        <v>0</v>
      </c>
      <c r="BB144" s="9">
        <v>3</v>
      </c>
      <c r="BC144" s="9" t="str">
        <f>MID(Tabulka1[[#This Row],[BPEJ]],3,2)</f>
        <v>09</v>
      </c>
      <c r="BD144" s="9" t="str">
        <f>MID(Tabulka1[[#This Row],[BPEJ]],6,1)</f>
        <v>0</v>
      </c>
      <c r="BE144" s="9" t="str">
        <f>MID(Tabulka1[[#This Row],[BPEJ]],7,1)</f>
        <v>0</v>
      </c>
      <c r="BF144" s="2" t="str">
        <f t="shared" si="14"/>
        <v>T</v>
      </c>
      <c r="BG144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44" s="7">
        <v>8.7200000000000006</v>
      </c>
      <c r="BI144" s="2">
        <f t="shared" si="15"/>
        <v>87.2</v>
      </c>
      <c r="BJ144" s="2">
        <f>Tabulka1[[#This Row],[P2O5_60]]*10</f>
        <v>630</v>
      </c>
      <c r="BK144" s="2">
        <f>Tabulka1[[#This Row],[K2O_30]]*10</f>
        <v>500</v>
      </c>
      <c r="BL144" s="2">
        <f>Tabulka1[[#This Row],[K2O_60]]*10</f>
        <v>500</v>
      </c>
      <c r="BN144" s="2">
        <f>VLOOKUP(Tabulka1[[#This Row],[ID]],'Zdroj hloubka okresy'!$A$2:$F$171,5,FALSE)</f>
        <v>1.43</v>
      </c>
      <c r="BO144" s="2">
        <f>VLOOKUP(Tabulka1[[#This Row],[ID]],'Zdroj hloubka okresy'!$A$2:$D$171,3,FALSE)</f>
        <v>24</v>
      </c>
      <c r="BP144" s="2">
        <f>VLOOKUP(Tabulka1[[#This Row],[ID]],'Zdroj hloubka okresy'!$A$2:$D$171,4,FALSE)</f>
        <v>14</v>
      </c>
    </row>
    <row r="145" spans="1:68" x14ac:dyDescent="0.35">
      <c r="A145" s="13">
        <v>9122</v>
      </c>
      <c r="B145" s="14" t="s">
        <v>596</v>
      </c>
      <c r="C145" s="7">
        <v>7.3</v>
      </c>
      <c r="D145" s="7">
        <v>7.23</v>
      </c>
      <c r="E145" s="7">
        <v>6.7</v>
      </c>
      <c r="F145" s="7">
        <v>6.62</v>
      </c>
      <c r="G145" s="7">
        <v>1.99</v>
      </c>
      <c r="H145" s="7">
        <v>1.26</v>
      </c>
      <c r="I145" s="7">
        <v>1.1499999999999999</v>
      </c>
      <c r="J145" s="7">
        <v>0.73</v>
      </c>
      <c r="K145" s="7">
        <v>0</v>
      </c>
      <c r="L145" s="7">
        <v>0</v>
      </c>
      <c r="M145" s="7">
        <v>280</v>
      </c>
      <c r="N145" s="139">
        <v>227.2</v>
      </c>
      <c r="O145" s="139">
        <v>130</v>
      </c>
      <c r="P145" s="139">
        <v>122</v>
      </c>
      <c r="Q145" s="7">
        <v>19.8</v>
      </c>
      <c r="R145" s="7">
        <v>21.11</v>
      </c>
      <c r="S145" s="7">
        <v>83.8</v>
      </c>
      <c r="T145" s="7">
        <v>83.35</v>
      </c>
      <c r="U145" s="4">
        <v>4</v>
      </c>
      <c r="V145" s="4">
        <f>VLOOKUP(Tabulka1[[#This Row],[ID]],'Zdroj hloubka okresy'!$A$2:$K$171,5,FALSE)</f>
        <v>1.36</v>
      </c>
      <c r="W145" s="4">
        <f>VLOOKUP(Tabulka1[[#This Row],[ID]],'Zdroj hloubka okresy'!$A$2:$K$171,6,FALSE)</f>
        <v>1.31</v>
      </c>
      <c r="X145" s="4">
        <v>20.079999999999998</v>
      </c>
      <c r="Y145" s="4">
        <v>26.18</v>
      </c>
      <c r="Z145" s="4">
        <v>13.62</v>
      </c>
      <c r="AA145" s="4">
        <v>11.93</v>
      </c>
      <c r="AB145" s="4">
        <v>52.6</v>
      </c>
      <c r="AC145" s="4">
        <v>49.51</v>
      </c>
      <c r="AD145" s="4">
        <v>12.7</v>
      </c>
      <c r="AE145" s="4">
        <v>11.83</v>
      </c>
      <c r="AF145" s="4">
        <v>1</v>
      </c>
      <c r="AG145" s="4">
        <v>0.55000000000000004</v>
      </c>
      <c r="AH145" s="4" t="s">
        <v>737</v>
      </c>
      <c r="AI145" s="5" t="s">
        <v>793</v>
      </c>
      <c r="AJ145" s="4">
        <v>18.079999999999998</v>
      </c>
      <c r="AK145" s="4">
        <v>5</v>
      </c>
      <c r="AL145" s="4" t="s">
        <v>798</v>
      </c>
      <c r="AM145" s="20" t="s">
        <v>824</v>
      </c>
      <c r="AN145" s="16" t="s">
        <v>803</v>
      </c>
      <c r="AO145" s="326"/>
      <c r="AP145" s="15">
        <v>0</v>
      </c>
      <c r="AQ145" s="9" t="str">
        <f>MID(Tabulka1[[#This Row],[BPEJ]],1,1)</f>
        <v>3</v>
      </c>
      <c r="AW145" s="9"/>
      <c r="AX145">
        <v>3</v>
      </c>
      <c r="AY145" s="114">
        <v>9</v>
      </c>
      <c r="AZ145" s="114">
        <v>0</v>
      </c>
      <c r="BA145" s="114">
        <v>0</v>
      </c>
      <c r="BB145" s="9">
        <v>3</v>
      </c>
      <c r="BC145" s="9" t="str">
        <f>MID(Tabulka1[[#This Row],[BPEJ]],3,2)</f>
        <v>09</v>
      </c>
      <c r="BD145" s="9" t="str">
        <f>MID(Tabulka1[[#This Row],[BPEJ]],6,1)</f>
        <v>0</v>
      </c>
      <c r="BE145" s="9" t="str">
        <f>MID(Tabulka1[[#This Row],[BPEJ]],7,1)</f>
        <v>0</v>
      </c>
      <c r="BF145" s="2" t="str">
        <f t="shared" si="14"/>
        <v>T</v>
      </c>
      <c r="BG145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45" s="134">
        <v>28</v>
      </c>
      <c r="BI145" s="2">
        <f t="shared" si="15"/>
        <v>280</v>
      </c>
      <c r="BJ145" s="2">
        <f>Tabulka1[[#This Row],[P2O5_60]]*10</f>
        <v>2272</v>
      </c>
      <c r="BK145" s="2">
        <f>Tabulka1[[#This Row],[K2O_30]]*10</f>
        <v>1300</v>
      </c>
      <c r="BL145" s="2">
        <f>Tabulka1[[#This Row],[K2O_60]]*10</f>
        <v>1220</v>
      </c>
      <c r="BN145" s="2">
        <f>VLOOKUP(Tabulka1[[#This Row],[ID]],'Zdroj hloubka okresy'!$A$2:$F$171,5,FALSE)</f>
        <v>1.36</v>
      </c>
      <c r="BO145" s="2">
        <f>VLOOKUP(Tabulka1[[#This Row],[ID]],'Zdroj hloubka okresy'!$A$2:$D$171,3,FALSE)</f>
        <v>30</v>
      </c>
      <c r="BP145" s="2">
        <f>VLOOKUP(Tabulka1[[#This Row],[ID]],'Zdroj hloubka okresy'!$A$2:$D$171,4,FALSE)</f>
        <v>18</v>
      </c>
    </row>
    <row r="146" spans="1:68" x14ac:dyDescent="0.35">
      <c r="A146" s="13">
        <v>9125</v>
      </c>
      <c r="B146" s="14" t="s">
        <v>654</v>
      </c>
      <c r="C146" s="7">
        <v>7.16</v>
      </c>
      <c r="D146" s="7">
        <v>7.17</v>
      </c>
      <c r="E146" s="7">
        <v>6.53</v>
      </c>
      <c r="F146" s="7">
        <v>6.55</v>
      </c>
      <c r="G146" s="7">
        <v>1.08</v>
      </c>
      <c r="H146" s="7">
        <v>0.7</v>
      </c>
      <c r="I146" s="7">
        <v>0.63</v>
      </c>
      <c r="J146" s="7">
        <v>0.41</v>
      </c>
      <c r="K146" s="7">
        <v>0</v>
      </c>
      <c r="L146" s="7">
        <v>0</v>
      </c>
      <c r="M146" s="7">
        <v>99.9</v>
      </c>
      <c r="N146" s="139">
        <v>77.8</v>
      </c>
      <c r="O146" s="139">
        <v>77.699999999999989</v>
      </c>
      <c r="P146" s="139">
        <v>77.2</v>
      </c>
      <c r="Q146" s="7">
        <v>15.91</v>
      </c>
      <c r="R146" s="7">
        <v>16.190000000000001</v>
      </c>
      <c r="S146" s="7">
        <v>90.5</v>
      </c>
      <c r="T146" s="7">
        <v>89.89</v>
      </c>
      <c r="U146" s="4">
        <v>4</v>
      </c>
      <c r="V146" s="4">
        <f>VLOOKUP(Tabulka1[[#This Row],[ID]],'Zdroj hloubka okresy'!$A$2:$K$171,5,FALSE)</f>
        <v>1.36</v>
      </c>
      <c r="W146" s="4">
        <f>VLOOKUP(Tabulka1[[#This Row],[ID]],'Zdroj hloubka okresy'!$A$2:$K$171,6,FALSE)</f>
        <v>1.3</v>
      </c>
      <c r="X146" s="4">
        <v>21.39</v>
      </c>
      <c r="Y146" s="4">
        <v>24.3</v>
      </c>
      <c r="Z146" s="4">
        <v>11.09</v>
      </c>
      <c r="AA146" s="4">
        <v>10.3</v>
      </c>
      <c r="AB146" s="4">
        <v>55.89</v>
      </c>
      <c r="AC146" s="4">
        <v>54.72</v>
      </c>
      <c r="AD146" s="4">
        <v>11.29</v>
      </c>
      <c r="AE146" s="4">
        <v>10.46</v>
      </c>
      <c r="AF146" s="4">
        <v>0.33</v>
      </c>
      <c r="AG146" s="4">
        <v>0.22</v>
      </c>
      <c r="AH146" s="4" t="s">
        <v>779</v>
      </c>
      <c r="AI146" s="5" t="s">
        <v>792</v>
      </c>
      <c r="AJ146" s="4">
        <v>8.35</v>
      </c>
      <c r="AK146" s="4">
        <v>4</v>
      </c>
      <c r="AL146" s="4" t="s">
        <v>797</v>
      </c>
      <c r="AM146" s="20" t="s">
        <v>824</v>
      </c>
      <c r="AN146" s="16" t="s">
        <v>802</v>
      </c>
      <c r="AO146" s="326"/>
      <c r="AP146" s="15">
        <v>0</v>
      </c>
      <c r="AQ146" s="9" t="str">
        <f>MID(Tabulka1[[#This Row],[BPEJ]],1,1)</f>
        <v>5</v>
      </c>
      <c r="AW146" s="9"/>
      <c r="AX146">
        <v>5</v>
      </c>
      <c r="AY146" s="114">
        <v>8</v>
      </c>
      <c r="AZ146" s="114">
        <v>5</v>
      </c>
      <c r="BA146" s="114">
        <v>0</v>
      </c>
      <c r="BB146" s="9">
        <v>5</v>
      </c>
      <c r="BC146" s="9" t="str">
        <f>MID(Tabulka1[[#This Row],[BPEJ]],3,2)</f>
        <v>08</v>
      </c>
      <c r="BD146" s="9" t="str">
        <f>MID(Tabulka1[[#This Row],[BPEJ]],6,1)</f>
        <v>5</v>
      </c>
      <c r="BE146" s="9" t="str">
        <f>MID(Tabulka1[[#This Row],[BPEJ]],7,1)</f>
        <v>0</v>
      </c>
      <c r="BF146" s="2" t="str">
        <f t="shared" si="14"/>
        <v>T</v>
      </c>
      <c r="BG146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46" s="7">
        <v>9.99</v>
      </c>
      <c r="BI146" s="2">
        <f t="shared" si="15"/>
        <v>99.9</v>
      </c>
      <c r="BJ146" s="2">
        <f>Tabulka1[[#This Row],[P2O5_60]]*10</f>
        <v>778</v>
      </c>
      <c r="BK146" s="2">
        <f>Tabulka1[[#This Row],[K2O_30]]*10</f>
        <v>776.99999999999989</v>
      </c>
      <c r="BL146" s="2">
        <f>Tabulka1[[#This Row],[K2O_60]]*10</f>
        <v>772</v>
      </c>
      <c r="BN146" s="2">
        <f>VLOOKUP(Tabulka1[[#This Row],[ID]],'Zdroj hloubka okresy'!$A$2:$F$171,5,FALSE)</f>
        <v>1.36</v>
      </c>
      <c r="BO146" s="2">
        <f>VLOOKUP(Tabulka1[[#This Row],[ID]],'Zdroj hloubka okresy'!$A$2:$D$171,3,FALSE)</f>
        <v>23</v>
      </c>
      <c r="BP146" s="2">
        <f>VLOOKUP(Tabulka1[[#This Row],[ID]],'Zdroj hloubka okresy'!$A$2:$D$171,4,FALSE)</f>
        <v>17</v>
      </c>
    </row>
    <row r="147" spans="1:68" x14ac:dyDescent="0.35">
      <c r="A147" s="13">
        <v>9128</v>
      </c>
      <c r="B147" s="14" t="s">
        <v>671</v>
      </c>
      <c r="C147" s="7">
        <v>6.2</v>
      </c>
      <c r="D147" s="7">
        <v>6.26</v>
      </c>
      <c r="E147" s="7">
        <v>5.43</v>
      </c>
      <c r="F147" s="7">
        <v>5.49</v>
      </c>
      <c r="G147" s="7">
        <v>1.57</v>
      </c>
      <c r="H147" s="7">
        <v>0.98</v>
      </c>
      <c r="I147" s="7">
        <v>0.92</v>
      </c>
      <c r="J147" s="7">
        <v>0.56999999999999995</v>
      </c>
      <c r="K147" s="7">
        <v>0</v>
      </c>
      <c r="L147" s="7">
        <v>0</v>
      </c>
      <c r="M147" s="7">
        <v>22.200000000000003</v>
      </c>
      <c r="N147" s="139">
        <v>21.8</v>
      </c>
      <c r="O147" s="139">
        <v>67.300000000000011</v>
      </c>
      <c r="P147" s="139">
        <v>68.3</v>
      </c>
      <c r="Q147" s="7">
        <v>13.79</v>
      </c>
      <c r="R147" s="7">
        <v>14.65</v>
      </c>
      <c r="S147" s="7">
        <v>64.709999999999994</v>
      </c>
      <c r="T147" s="7">
        <v>70.38</v>
      </c>
      <c r="U147" s="4">
        <v>4</v>
      </c>
      <c r="V147" s="4">
        <f>VLOOKUP(Tabulka1[[#This Row],[ID]],'Zdroj hloubka okresy'!$A$2:$K$171,5,FALSE)</f>
        <v>1.42</v>
      </c>
      <c r="W147" s="4">
        <f>VLOOKUP(Tabulka1[[#This Row],[ID]],'Zdroj hloubka okresy'!$A$2:$K$171,6,FALSE)</f>
        <v>1.33</v>
      </c>
      <c r="X147" s="4">
        <v>16.43</v>
      </c>
      <c r="Y147" s="4">
        <v>21.29</v>
      </c>
      <c r="Z147" s="4">
        <v>11.5</v>
      </c>
      <c r="AA147" s="4">
        <v>11.53</v>
      </c>
      <c r="AB147" s="4">
        <v>54.49</v>
      </c>
      <c r="AC147" s="4">
        <v>52.35</v>
      </c>
      <c r="AD147" s="4">
        <v>16.13</v>
      </c>
      <c r="AE147" s="4">
        <v>13.84</v>
      </c>
      <c r="AF147" s="4">
        <v>1.45</v>
      </c>
      <c r="AG147" s="4">
        <v>1</v>
      </c>
      <c r="AH147" s="4" t="s">
        <v>765</v>
      </c>
      <c r="AI147" s="5" t="s">
        <v>789</v>
      </c>
      <c r="AJ147" s="4">
        <v>10.9</v>
      </c>
      <c r="AK147" s="4">
        <v>4</v>
      </c>
      <c r="AL147" s="4" t="s">
        <v>797</v>
      </c>
      <c r="AM147" s="20" t="s">
        <v>824</v>
      </c>
      <c r="AN147" s="16" t="s">
        <v>803</v>
      </c>
      <c r="AO147" s="326"/>
      <c r="AP147" s="15">
        <v>0</v>
      </c>
      <c r="AQ147" s="9" t="str">
        <f>MID(Tabulka1[[#This Row],[BPEJ]],1,1)</f>
        <v>5</v>
      </c>
      <c r="AW147" s="9"/>
      <c r="AX147">
        <v>5</v>
      </c>
      <c r="AY147" s="114">
        <v>14</v>
      </c>
      <c r="AZ147" s="114">
        <v>1</v>
      </c>
      <c r="BA147" s="114">
        <v>0</v>
      </c>
      <c r="BB147" s="9">
        <v>5</v>
      </c>
      <c r="BC147" s="9" t="str">
        <f>MID(Tabulka1[[#This Row],[BPEJ]],3,2)</f>
        <v>14</v>
      </c>
      <c r="BD147" s="9" t="str">
        <f>MID(Tabulka1[[#This Row],[BPEJ]],6,1)</f>
        <v>1</v>
      </c>
      <c r="BE147" s="9" t="str">
        <f>MID(Tabulka1[[#This Row],[BPEJ]],7,1)</f>
        <v>0</v>
      </c>
      <c r="BF147" s="2" t="str">
        <f t="shared" si="14"/>
        <v>T</v>
      </c>
      <c r="BG147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47" s="134">
        <v>2.2200000000000002</v>
      </c>
      <c r="BI147" s="2">
        <f t="shared" si="15"/>
        <v>22.200000000000003</v>
      </c>
      <c r="BJ147" s="2">
        <f>Tabulka1[[#This Row],[P2O5_60]]*10</f>
        <v>218</v>
      </c>
      <c r="BK147" s="2">
        <f>Tabulka1[[#This Row],[K2O_30]]*10</f>
        <v>673.00000000000011</v>
      </c>
      <c r="BL147" s="2">
        <f>Tabulka1[[#This Row],[K2O_60]]*10</f>
        <v>683</v>
      </c>
      <c r="BN147" s="2">
        <f>VLOOKUP(Tabulka1[[#This Row],[ID]],'Zdroj hloubka okresy'!$A$2:$F$171,5,FALSE)</f>
        <v>1.42</v>
      </c>
      <c r="BO147" s="2">
        <f>VLOOKUP(Tabulka1[[#This Row],[ID]],'Zdroj hloubka okresy'!$A$2:$D$171,3,FALSE)</f>
        <v>22</v>
      </c>
      <c r="BP147" s="2">
        <f>VLOOKUP(Tabulka1[[#This Row],[ID]],'Zdroj hloubka okresy'!$A$2:$D$171,4,FALSE)</f>
        <v>24</v>
      </c>
    </row>
    <row r="148" spans="1:68" x14ac:dyDescent="0.35">
      <c r="A148" s="13">
        <v>9131</v>
      </c>
      <c r="B148" s="14" t="s">
        <v>595</v>
      </c>
      <c r="C148" s="7">
        <v>7.69</v>
      </c>
      <c r="D148" s="7">
        <v>7.31</v>
      </c>
      <c r="E148" s="7">
        <v>7.15</v>
      </c>
      <c r="F148" s="7">
        <v>6.71</v>
      </c>
      <c r="G148" s="7">
        <v>1.47</v>
      </c>
      <c r="H148" s="7">
        <v>0.9</v>
      </c>
      <c r="I148" s="7">
        <v>0.85</v>
      </c>
      <c r="J148" s="7">
        <v>0.52</v>
      </c>
      <c r="K148" s="7"/>
      <c r="L148" s="7">
        <v>0</v>
      </c>
      <c r="M148" s="7">
        <v>191.9</v>
      </c>
      <c r="N148" s="139">
        <v>126.89999999999999</v>
      </c>
      <c r="O148" s="139">
        <v>144</v>
      </c>
      <c r="P148" s="139">
        <v>110</v>
      </c>
      <c r="Q148" s="7">
        <v>12.63</v>
      </c>
      <c r="R148" s="7">
        <v>12.55</v>
      </c>
      <c r="S148" s="7">
        <v>88.05</v>
      </c>
      <c r="T148" s="7">
        <v>84.57</v>
      </c>
      <c r="U148" s="4">
        <v>4</v>
      </c>
      <c r="V148" s="4">
        <f>VLOOKUP(Tabulka1[[#This Row],[ID]],'Zdroj hloubka okresy'!$A$2:$K$171,5,FALSE)</f>
        <v>1.45</v>
      </c>
      <c r="W148" s="4">
        <f>VLOOKUP(Tabulka1[[#This Row],[ID]],'Zdroj hloubka okresy'!$A$2:$K$171,6,FALSE)</f>
        <v>1.4</v>
      </c>
      <c r="X148" s="4">
        <v>11.4</v>
      </c>
      <c r="Y148" s="4">
        <v>16.45</v>
      </c>
      <c r="Z148" s="4">
        <v>15.67</v>
      </c>
      <c r="AA148" s="4">
        <v>13.54</v>
      </c>
      <c r="AB148" s="4">
        <v>57.92</v>
      </c>
      <c r="AC148" s="4">
        <v>56.38</v>
      </c>
      <c r="AD148" s="4">
        <v>13.78</v>
      </c>
      <c r="AE148" s="4">
        <v>12.84</v>
      </c>
      <c r="AF148" s="4">
        <v>1.23</v>
      </c>
      <c r="AG148" s="4">
        <v>0.79</v>
      </c>
      <c r="AH148" s="4" t="s">
        <v>737</v>
      </c>
      <c r="AI148" s="5" t="s">
        <v>793</v>
      </c>
      <c r="AJ148" s="4">
        <v>18.079999999999998</v>
      </c>
      <c r="AK148" s="4">
        <v>5</v>
      </c>
      <c r="AL148" s="4" t="s">
        <v>798</v>
      </c>
      <c r="AM148" s="20" t="s">
        <v>824</v>
      </c>
      <c r="AN148" s="16" t="s">
        <v>803</v>
      </c>
      <c r="AO148" s="326"/>
      <c r="AP148" s="15">
        <v>0</v>
      </c>
      <c r="AQ148" s="9" t="str">
        <f>MID(Tabulka1[[#This Row],[BPEJ]],1,1)</f>
        <v>3</v>
      </c>
      <c r="AW148" s="9"/>
      <c r="AX148">
        <v>3</v>
      </c>
      <c r="AY148" s="114">
        <v>9</v>
      </c>
      <c r="AZ148" s="114">
        <v>0</v>
      </c>
      <c r="BA148" s="114">
        <v>0</v>
      </c>
      <c r="BB148" s="9">
        <v>3</v>
      </c>
      <c r="BC148" s="9" t="str">
        <f>MID(Tabulka1[[#This Row],[BPEJ]],3,2)</f>
        <v>09</v>
      </c>
      <c r="BD148" s="9" t="str">
        <f>MID(Tabulka1[[#This Row],[BPEJ]],6,1)</f>
        <v>0</v>
      </c>
      <c r="BE148" s="9" t="str">
        <f>MID(Tabulka1[[#This Row],[BPEJ]],7,1)</f>
        <v>0</v>
      </c>
      <c r="BF148" s="2" t="str">
        <f t="shared" si="14"/>
        <v>T</v>
      </c>
      <c r="BG148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48" s="7">
        <v>19.190000000000001</v>
      </c>
      <c r="BI148" s="2">
        <f t="shared" si="15"/>
        <v>191.9</v>
      </c>
      <c r="BJ148" s="2">
        <f>Tabulka1[[#This Row],[P2O5_60]]*10</f>
        <v>1269</v>
      </c>
      <c r="BK148" s="2">
        <f>Tabulka1[[#This Row],[K2O_30]]*10</f>
        <v>1440</v>
      </c>
      <c r="BL148" s="2">
        <f>Tabulka1[[#This Row],[K2O_60]]*10</f>
        <v>1100</v>
      </c>
      <c r="BN148" s="2">
        <f>VLOOKUP(Tabulka1[[#This Row],[ID]],'Zdroj hloubka okresy'!$A$2:$F$171,5,FALSE)</f>
        <v>1.45</v>
      </c>
      <c r="BO148" s="2">
        <f>VLOOKUP(Tabulka1[[#This Row],[ID]],'Zdroj hloubka okresy'!$A$2:$D$171,3,FALSE)</f>
        <v>28</v>
      </c>
      <c r="BP148" s="2">
        <f>VLOOKUP(Tabulka1[[#This Row],[ID]],'Zdroj hloubka okresy'!$A$2:$D$171,4,FALSE)</f>
        <v>20</v>
      </c>
    </row>
    <row r="149" spans="1:68" x14ac:dyDescent="0.35">
      <c r="A149" s="13">
        <v>9134</v>
      </c>
      <c r="B149" s="14" t="s">
        <v>633</v>
      </c>
      <c r="C149" s="7">
        <v>7.48</v>
      </c>
      <c r="D149" s="7">
        <v>7.44</v>
      </c>
      <c r="E149" s="7">
        <v>6.9</v>
      </c>
      <c r="F149" s="7">
        <v>6.86</v>
      </c>
      <c r="G149" s="7">
        <v>1.46</v>
      </c>
      <c r="H149" s="7">
        <v>0.99</v>
      </c>
      <c r="I149" s="7">
        <v>0.85</v>
      </c>
      <c r="J149" s="7">
        <v>0.56999999999999995</v>
      </c>
      <c r="K149" s="7">
        <v>0</v>
      </c>
      <c r="L149" s="7">
        <v>0</v>
      </c>
      <c r="M149" s="7">
        <v>73</v>
      </c>
      <c r="N149" s="139">
        <v>58.3</v>
      </c>
      <c r="O149" s="139">
        <v>80</v>
      </c>
      <c r="P149" s="139">
        <v>68</v>
      </c>
      <c r="Q149" s="7">
        <v>11.3</v>
      </c>
      <c r="R149" s="7">
        <v>11.12</v>
      </c>
      <c r="S149" s="7">
        <v>88.5</v>
      </c>
      <c r="T149" s="7">
        <v>89.14</v>
      </c>
      <c r="U149" s="4">
        <v>4</v>
      </c>
      <c r="V149" s="4">
        <f>VLOOKUP(Tabulka1[[#This Row],[ID]],'Zdroj hloubka okresy'!$A$2:$K$171,5,FALSE)</f>
        <v>1.43</v>
      </c>
      <c r="W149" s="4">
        <f>VLOOKUP(Tabulka1[[#This Row],[ID]],'Zdroj hloubka okresy'!$A$2:$K$171,6,FALSE)</f>
        <v>1.39</v>
      </c>
      <c r="X149" s="4">
        <v>12.72</v>
      </c>
      <c r="Y149" s="4">
        <v>16.03</v>
      </c>
      <c r="Z149" s="4">
        <v>13.08</v>
      </c>
      <c r="AA149" s="4">
        <v>12.95</v>
      </c>
      <c r="AB149" s="4">
        <v>59.5</v>
      </c>
      <c r="AC149" s="4">
        <v>57.57</v>
      </c>
      <c r="AD149" s="4">
        <v>10.3</v>
      </c>
      <c r="AE149" s="4">
        <v>10.77</v>
      </c>
      <c r="AF149" s="4">
        <v>4.4000000000000004</v>
      </c>
      <c r="AG149" s="4">
        <v>2.69</v>
      </c>
      <c r="AH149" s="4" t="s">
        <v>742</v>
      </c>
      <c r="AI149" s="5" t="s">
        <v>793</v>
      </c>
      <c r="AJ149" s="4">
        <v>17.920000000000002</v>
      </c>
      <c r="AK149" s="4">
        <v>4</v>
      </c>
      <c r="AL149" s="4" t="s">
        <v>797</v>
      </c>
      <c r="AM149" s="20" t="s">
        <v>824</v>
      </c>
      <c r="AN149" s="16" t="s">
        <v>803</v>
      </c>
      <c r="AO149" s="326"/>
      <c r="AP149" s="15">
        <v>0</v>
      </c>
      <c r="AQ149" s="9" t="str">
        <f>MID(Tabulka1[[#This Row],[BPEJ]],1,1)</f>
        <v>3</v>
      </c>
      <c r="AW149" s="9"/>
      <c r="AX149">
        <v>3</v>
      </c>
      <c r="AY149" s="114">
        <v>10</v>
      </c>
      <c r="AZ149" s="114">
        <v>0</v>
      </c>
      <c r="BA149" s="114">
        <v>0</v>
      </c>
      <c r="BB149" s="9">
        <v>3</v>
      </c>
      <c r="BC149" s="9" t="str">
        <f>MID(Tabulka1[[#This Row],[BPEJ]],3,2)</f>
        <v>10</v>
      </c>
      <c r="BD149" s="9" t="str">
        <f>MID(Tabulka1[[#This Row],[BPEJ]],6,1)</f>
        <v>0</v>
      </c>
      <c r="BE149" s="9" t="str">
        <f>MID(Tabulka1[[#This Row],[BPEJ]],7,1)</f>
        <v>0</v>
      </c>
      <c r="BF149" s="2" t="str">
        <f t="shared" si="14"/>
        <v>T</v>
      </c>
      <c r="BG149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49" s="134">
        <v>7.3</v>
      </c>
      <c r="BI149" s="2">
        <f t="shared" si="15"/>
        <v>73</v>
      </c>
      <c r="BJ149" s="2">
        <f>Tabulka1[[#This Row],[P2O5_60]]*10</f>
        <v>583</v>
      </c>
      <c r="BK149" s="2">
        <f>Tabulka1[[#This Row],[K2O_30]]*10</f>
        <v>800</v>
      </c>
      <c r="BL149" s="2">
        <f>Tabulka1[[#This Row],[K2O_60]]*10</f>
        <v>680</v>
      </c>
      <c r="BN149" s="2">
        <f>VLOOKUP(Tabulka1[[#This Row],[ID]],'Zdroj hloubka okresy'!$A$2:$F$171,5,FALSE)</f>
        <v>1.43</v>
      </c>
      <c r="BO149" s="2">
        <f>VLOOKUP(Tabulka1[[#This Row],[ID]],'Zdroj hloubka okresy'!$A$2:$D$171,3,FALSE)</f>
        <v>34</v>
      </c>
      <c r="BP149" s="2">
        <f>VLOOKUP(Tabulka1[[#This Row],[ID]],'Zdroj hloubka okresy'!$A$2:$D$171,4,FALSE)</f>
        <v>18</v>
      </c>
    </row>
    <row r="150" spans="1:68" x14ac:dyDescent="0.35">
      <c r="A150" s="13">
        <v>9137</v>
      </c>
      <c r="B150" s="14" t="s">
        <v>652</v>
      </c>
      <c r="C150" s="7">
        <v>6.64</v>
      </c>
      <c r="D150" s="7">
        <v>6.89</v>
      </c>
      <c r="E150" s="7">
        <v>5.93</v>
      </c>
      <c r="F150" s="7">
        <v>6.23</v>
      </c>
      <c r="G150" s="7">
        <v>1.59</v>
      </c>
      <c r="H150" s="7">
        <v>1.03</v>
      </c>
      <c r="I150" s="7">
        <v>0.92</v>
      </c>
      <c r="J150" s="7">
        <v>0.6</v>
      </c>
      <c r="K150" s="7">
        <v>0</v>
      </c>
      <c r="L150" s="7">
        <v>0</v>
      </c>
      <c r="M150" s="7">
        <v>24.4</v>
      </c>
      <c r="N150" s="139">
        <v>23.599999999999998</v>
      </c>
      <c r="O150" s="139">
        <v>77.300000000000011</v>
      </c>
      <c r="P150" s="139">
        <v>62.699999999999996</v>
      </c>
      <c r="Q150" s="7">
        <v>14.11</v>
      </c>
      <c r="R150" s="7">
        <v>12.83</v>
      </c>
      <c r="S150" s="7">
        <v>82.21</v>
      </c>
      <c r="T150" s="7">
        <v>83.71</v>
      </c>
      <c r="U150" s="4">
        <v>4</v>
      </c>
      <c r="V150" s="4">
        <f>VLOOKUP(Tabulka1[[#This Row],[ID]],'Zdroj hloubka okresy'!$A$2:$K$171,5,FALSE)</f>
        <v>1.4</v>
      </c>
      <c r="W150" s="4">
        <f>VLOOKUP(Tabulka1[[#This Row],[ID]],'Zdroj hloubka okresy'!$A$2:$K$171,6,FALSE)</f>
        <v>1.37</v>
      </c>
      <c r="X150" s="4">
        <v>21.69</v>
      </c>
      <c r="Y150" s="4">
        <v>21.69</v>
      </c>
      <c r="Z150" s="4">
        <v>9.91</v>
      </c>
      <c r="AA150" s="4">
        <v>8.9600000000000009</v>
      </c>
      <c r="AB150" s="4">
        <v>27.63</v>
      </c>
      <c r="AC150" s="4">
        <v>39.29</v>
      </c>
      <c r="AD150" s="4">
        <v>39.71</v>
      </c>
      <c r="AE150" s="4">
        <v>29.35</v>
      </c>
      <c r="AF150" s="4">
        <v>1.06</v>
      </c>
      <c r="AG150" s="4">
        <v>0.7</v>
      </c>
      <c r="AH150" s="4" t="s">
        <v>737</v>
      </c>
      <c r="AI150" s="5" t="s">
        <v>793</v>
      </c>
      <c r="AJ150" s="4">
        <v>18.079999999999998</v>
      </c>
      <c r="AK150" s="4">
        <v>4</v>
      </c>
      <c r="AL150" s="4" t="s">
        <v>797</v>
      </c>
      <c r="AM150" s="20" t="s">
        <v>824</v>
      </c>
      <c r="AN150" s="16" t="s">
        <v>803</v>
      </c>
      <c r="AO150" s="326"/>
      <c r="AP150" s="15">
        <v>0</v>
      </c>
      <c r="AQ150" s="9" t="str">
        <f>MID(Tabulka1[[#This Row],[BPEJ]],1,1)</f>
        <v>3</v>
      </c>
      <c r="AW150" s="9"/>
      <c r="AX150">
        <v>3</v>
      </c>
      <c r="AY150" s="114">
        <v>9</v>
      </c>
      <c r="AZ150" s="114">
        <v>0</v>
      </c>
      <c r="BA150" s="114">
        <v>0</v>
      </c>
      <c r="BB150" s="9">
        <v>3</v>
      </c>
      <c r="BC150" s="9" t="str">
        <f>MID(Tabulka1[[#This Row],[BPEJ]],3,2)</f>
        <v>09</v>
      </c>
      <c r="BD150" s="9" t="str">
        <f>MID(Tabulka1[[#This Row],[BPEJ]],6,1)</f>
        <v>0</v>
      </c>
      <c r="BE150" s="9" t="str">
        <f>MID(Tabulka1[[#This Row],[BPEJ]],7,1)</f>
        <v>0</v>
      </c>
      <c r="BF150" s="2" t="str">
        <f t="shared" si="14"/>
        <v>T</v>
      </c>
      <c r="BG150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50" s="7">
        <v>2.44</v>
      </c>
      <c r="BI150" s="2">
        <f t="shared" si="15"/>
        <v>24.4</v>
      </c>
      <c r="BJ150" s="2">
        <f>Tabulka1[[#This Row],[P2O5_60]]*10</f>
        <v>235.99999999999997</v>
      </c>
      <c r="BK150" s="2">
        <f>Tabulka1[[#This Row],[K2O_30]]*10</f>
        <v>773.00000000000011</v>
      </c>
      <c r="BL150" s="2">
        <f>Tabulka1[[#This Row],[K2O_60]]*10</f>
        <v>627</v>
      </c>
      <c r="BN150" s="2">
        <f>VLOOKUP(Tabulka1[[#This Row],[ID]],'Zdroj hloubka okresy'!$A$2:$F$171,5,FALSE)</f>
        <v>1.4</v>
      </c>
      <c r="BO150" s="2">
        <f>VLOOKUP(Tabulka1[[#This Row],[ID]],'Zdroj hloubka okresy'!$A$2:$D$171,3,FALSE)</f>
        <v>28</v>
      </c>
      <c r="BP150" s="2">
        <f>VLOOKUP(Tabulka1[[#This Row],[ID]],'Zdroj hloubka okresy'!$A$2:$D$171,4,FALSE)</f>
        <v>20</v>
      </c>
    </row>
    <row r="151" spans="1:68" x14ac:dyDescent="0.35">
      <c r="A151" s="13">
        <v>9140</v>
      </c>
      <c r="B151" s="14" t="s">
        <v>672</v>
      </c>
      <c r="C151" s="7">
        <v>6.11</v>
      </c>
      <c r="D151" s="7">
        <v>6.19</v>
      </c>
      <c r="E151" s="7">
        <v>5.31</v>
      </c>
      <c r="F151" s="7">
        <v>5.41</v>
      </c>
      <c r="G151" s="7">
        <v>0.93</v>
      </c>
      <c r="H151" s="7">
        <v>0.56999999999999995</v>
      </c>
      <c r="I151" s="7">
        <v>0.54</v>
      </c>
      <c r="J151" s="7">
        <v>0.33</v>
      </c>
      <c r="K151" s="7">
        <v>0</v>
      </c>
      <c r="L151" s="7">
        <v>0</v>
      </c>
      <c r="M151" s="7">
        <v>22.5</v>
      </c>
      <c r="N151" s="139">
        <v>34.1</v>
      </c>
      <c r="O151" s="139">
        <v>76.399999999999991</v>
      </c>
      <c r="P151" s="139">
        <v>66.100000000000009</v>
      </c>
      <c r="Q151" s="7">
        <v>10.3</v>
      </c>
      <c r="R151" s="7">
        <v>10.77</v>
      </c>
      <c r="S151" s="7">
        <v>57.91</v>
      </c>
      <c r="T151" s="7">
        <v>56.44</v>
      </c>
      <c r="U151" s="4">
        <v>4</v>
      </c>
      <c r="V151" s="4">
        <f>VLOOKUP(Tabulka1[[#This Row],[ID]],'Zdroj hloubka okresy'!$A$2:$K$171,5,FALSE)</f>
        <v>1.44</v>
      </c>
      <c r="W151" s="4">
        <f>VLOOKUP(Tabulka1[[#This Row],[ID]],'Zdroj hloubka okresy'!$A$2:$K$171,6,FALSE)</f>
        <v>1.43</v>
      </c>
      <c r="X151" s="4">
        <v>12.53</v>
      </c>
      <c r="Y151" s="4">
        <v>16.04</v>
      </c>
      <c r="Z151" s="4">
        <v>11.54</v>
      </c>
      <c r="AA151" s="4">
        <v>10.71</v>
      </c>
      <c r="AB151" s="4">
        <v>54.61</v>
      </c>
      <c r="AC151" s="4">
        <v>55.05</v>
      </c>
      <c r="AD151" s="4">
        <v>19.93</v>
      </c>
      <c r="AE151" s="4">
        <v>16.989999999999998</v>
      </c>
      <c r="AF151" s="4">
        <v>1.39</v>
      </c>
      <c r="AG151" s="4">
        <v>1.21</v>
      </c>
      <c r="AH151" s="4" t="s">
        <v>732</v>
      </c>
      <c r="AI151" s="5" t="s">
        <v>793</v>
      </c>
      <c r="AJ151" s="4">
        <v>12.77</v>
      </c>
      <c r="AK151" s="4">
        <v>4</v>
      </c>
      <c r="AL151" s="4" t="s">
        <v>797</v>
      </c>
      <c r="AM151" s="20" t="s">
        <v>824</v>
      </c>
      <c r="AN151" s="16" t="s">
        <v>803</v>
      </c>
      <c r="AO151" s="326"/>
      <c r="AP151" s="15">
        <v>0</v>
      </c>
      <c r="AQ151" s="9" t="str">
        <f>MID(Tabulka1[[#This Row],[BPEJ]],1,1)</f>
        <v>5</v>
      </c>
      <c r="AW151" s="9"/>
      <c r="AX151">
        <v>5</v>
      </c>
      <c r="AY151" s="114">
        <v>14</v>
      </c>
      <c r="AZ151" s="114">
        <v>0</v>
      </c>
      <c r="BA151" s="114">
        <v>0</v>
      </c>
      <c r="BB151" s="9">
        <v>5</v>
      </c>
      <c r="BC151" s="9" t="str">
        <f>MID(Tabulka1[[#This Row],[BPEJ]],3,2)</f>
        <v>14</v>
      </c>
      <c r="BD151" s="9" t="str">
        <f>MID(Tabulka1[[#This Row],[BPEJ]],6,1)</f>
        <v>0</v>
      </c>
      <c r="BE151" s="9" t="str">
        <f>MID(Tabulka1[[#This Row],[BPEJ]],7,1)</f>
        <v>0</v>
      </c>
      <c r="BF151" s="2" t="str">
        <f t="shared" si="14"/>
        <v>T</v>
      </c>
      <c r="BG151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51" s="134">
        <v>2.25</v>
      </c>
      <c r="BI151" s="2">
        <f t="shared" si="15"/>
        <v>22.5</v>
      </c>
      <c r="BJ151" s="2">
        <f>Tabulka1[[#This Row],[P2O5_60]]*10</f>
        <v>341</v>
      </c>
      <c r="BK151" s="2">
        <f>Tabulka1[[#This Row],[K2O_30]]*10</f>
        <v>763.99999999999989</v>
      </c>
      <c r="BL151" s="2">
        <f>Tabulka1[[#This Row],[K2O_60]]*10</f>
        <v>661.00000000000011</v>
      </c>
      <c r="BN151" s="2">
        <f>VLOOKUP(Tabulka1[[#This Row],[ID]],'Zdroj hloubka okresy'!$A$2:$F$171,5,FALSE)</f>
        <v>1.44</v>
      </c>
      <c r="BO151" s="2">
        <f>VLOOKUP(Tabulka1[[#This Row],[ID]],'Zdroj hloubka okresy'!$A$2:$D$171,3,FALSE)</f>
        <v>28</v>
      </c>
      <c r="BP151" s="2">
        <f>VLOOKUP(Tabulka1[[#This Row],[ID]],'Zdroj hloubka okresy'!$A$2:$D$171,4,FALSE)</f>
        <v>18</v>
      </c>
    </row>
    <row r="152" spans="1:68" x14ac:dyDescent="0.35">
      <c r="A152" s="13">
        <v>9143</v>
      </c>
      <c r="B152" s="14" t="s">
        <v>585</v>
      </c>
      <c r="C152" s="7">
        <v>6.27</v>
      </c>
      <c r="D152" s="7">
        <v>6.1</v>
      </c>
      <c r="E152" s="7">
        <v>5.5</v>
      </c>
      <c r="F152" s="7">
        <v>5.3</v>
      </c>
      <c r="G152" s="7">
        <v>1.32</v>
      </c>
      <c r="H152" s="7">
        <v>0.75</v>
      </c>
      <c r="I152" s="7">
        <v>0.77</v>
      </c>
      <c r="J152" s="7">
        <v>0.43</v>
      </c>
      <c r="K152" s="7">
        <v>0</v>
      </c>
      <c r="L152" s="7">
        <v>0</v>
      </c>
      <c r="M152" s="7">
        <v>18.400000000000002</v>
      </c>
      <c r="N152" s="139">
        <v>14.1</v>
      </c>
      <c r="O152" s="139">
        <v>50</v>
      </c>
      <c r="P152" s="139">
        <v>50</v>
      </c>
      <c r="Q152" s="7">
        <v>6.16</v>
      </c>
      <c r="R152" s="7">
        <v>6.28</v>
      </c>
      <c r="S152" s="7">
        <v>44.02</v>
      </c>
      <c r="T152" s="7">
        <v>52.96</v>
      </c>
      <c r="U152" s="4">
        <v>2</v>
      </c>
      <c r="V152" s="4">
        <f>VLOOKUP(Tabulka1[[#This Row],[ID]],'Zdroj hloubka okresy'!$A$2:$K$171,5,FALSE)</f>
        <v>1.59</v>
      </c>
      <c r="W152" s="4">
        <f>VLOOKUP(Tabulka1[[#This Row],[ID]],'Zdroj hloubka okresy'!$A$2:$K$171,6,FALSE)</f>
        <v>1.55</v>
      </c>
      <c r="X152" s="4">
        <v>8.3000000000000007</v>
      </c>
      <c r="Y152" s="4">
        <v>11.86</v>
      </c>
      <c r="Z152" s="4">
        <v>6.08</v>
      </c>
      <c r="AA152" s="4">
        <v>3.43</v>
      </c>
      <c r="AB152" s="4">
        <v>19.5</v>
      </c>
      <c r="AC152" s="4">
        <v>12.72</v>
      </c>
      <c r="AD152" s="4">
        <v>51.86</v>
      </c>
      <c r="AE152" s="4">
        <v>51.82</v>
      </c>
      <c r="AF152" s="4">
        <v>14.26</v>
      </c>
      <c r="AG152" s="4">
        <v>21.2</v>
      </c>
      <c r="AH152" s="4" t="s">
        <v>780</v>
      </c>
      <c r="AI152" s="5" t="s">
        <v>790</v>
      </c>
      <c r="AJ152" s="4">
        <v>8.9600000000000009</v>
      </c>
      <c r="AK152" s="4">
        <v>5</v>
      </c>
      <c r="AL152" s="4" t="s">
        <v>798</v>
      </c>
      <c r="AM152" s="20" t="s">
        <v>824</v>
      </c>
      <c r="AN152" s="16" t="s">
        <v>804</v>
      </c>
      <c r="AO152" s="326"/>
      <c r="AP152" s="15">
        <v>0</v>
      </c>
      <c r="AQ152" s="9" t="str">
        <f>MID(Tabulka1[[#This Row],[BPEJ]],1,1)</f>
        <v>3</v>
      </c>
      <c r="AW152" s="9"/>
      <c r="AX152">
        <v>3</v>
      </c>
      <c r="AY152" s="114">
        <v>17</v>
      </c>
      <c r="AZ152" s="114">
        <v>0</v>
      </c>
      <c r="BA152" s="114">
        <v>0</v>
      </c>
      <c r="BB152" s="9">
        <v>3</v>
      </c>
      <c r="BC152" s="9" t="str">
        <f>MID(Tabulka1[[#This Row],[BPEJ]],3,2)</f>
        <v>17</v>
      </c>
      <c r="BD152" s="9" t="str">
        <f>MID(Tabulka1[[#This Row],[BPEJ]],6,1)</f>
        <v>0</v>
      </c>
      <c r="BE152" s="9" t="str">
        <f>MID(Tabulka1[[#This Row],[BPEJ]],7,1)</f>
        <v>0</v>
      </c>
      <c r="BF152" s="2" t="str">
        <f t="shared" si="14"/>
        <v>T</v>
      </c>
      <c r="BG152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152" s="7">
        <v>1.84</v>
      </c>
      <c r="BI152" s="2">
        <f t="shared" si="15"/>
        <v>18.400000000000002</v>
      </c>
      <c r="BJ152" s="2">
        <f>Tabulka1[[#This Row],[P2O5_60]]*10</f>
        <v>141</v>
      </c>
      <c r="BK152" s="2">
        <f>Tabulka1[[#This Row],[K2O_30]]*10</f>
        <v>500</v>
      </c>
      <c r="BL152" s="2">
        <f>Tabulka1[[#This Row],[K2O_60]]*10</f>
        <v>500</v>
      </c>
      <c r="BN152" s="2">
        <f>VLOOKUP(Tabulka1[[#This Row],[ID]],'Zdroj hloubka okresy'!$A$2:$F$171,5,FALSE)</f>
        <v>1.59</v>
      </c>
      <c r="BO152" s="2">
        <f>VLOOKUP(Tabulka1[[#This Row],[ID]],'Zdroj hloubka okresy'!$A$2:$D$171,3,FALSE)</f>
        <v>24</v>
      </c>
      <c r="BP152" s="2">
        <f>VLOOKUP(Tabulka1[[#This Row],[ID]],'Zdroj hloubka okresy'!$A$2:$D$171,4,FALSE)</f>
        <v>14</v>
      </c>
    </row>
    <row r="153" spans="1:68" x14ac:dyDescent="0.35">
      <c r="A153" s="13">
        <v>9146</v>
      </c>
      <c r="B153" s="14" t="s">
        <v>583</v>
      </c>
      <c r="C153" s="7">
        <v>6.1</v>
      </c>
      <c r="D153" s="7">
        <v>6.3</v>
      </c>
      <c r="E153" s="7">
        <v>5.3</v>
      </c>
      <c r="F153" s="7">
        <v>5.53</v>
      </c>
      <c r="G153" s="7">
        <v>1.03</v>
      </c>
      <c r="H153" s="7">
        <v>0.67</v>
      </c>
      <c r="I153" s="7">
        <v>0.6</v>
      </c>
      <c r="J153" s="7">
        <v>0.39</v>
      </c>
      <c r="K153" s="7">
        <v>0</v>
      </c>
      <c r="L153" s="7">
        <v>0.01</v>
      </c>
      <c r="M153" s="7">
        <v>12</v>
      </c>
      <c r="N153" s="139">
        <v>12</v>
      </c>
      <c r="O153" s="139">
        <v>50</v>
      </c>
      <c r="P153" s="139">
        <v>38.199999999999996</v>
      </c>
      <c r="Q153" s="7">
        <v>6.9</v>
      </c>
      <c r="R153" s="7">
        <v>5.69</v>
      </c>
      <c r="S153" s="7">
        <v>36.200000000000003</v>
      </c>
      <c r="T153" s="7">
        <v>39.159999999999997</v>
      </c>
      <c r="U153" s="4">
        <v>2</v>
      </c>
      <c r="V153" s="4">
        <f>VLOOKUP(Tabulka1[[#This Row],[ID]],'Zdroj hloubka okresy'!$A$2:$K$171,5,FALSE)</f>
        <v>1.55</v>
      </c>
      <c r="W153" s="4">
        <f>VLOOKUP(Tabulka1[[#This Row],[ID]],'Zdroj hloubka okresy'!$A$2:$K$171,6,FALSE)</f>
        <v>1.55</v>
      </c>
      <c r="X153" s="4">
        <v>9.15</v>
      </c>
      <c r="Y153" s="4">
        <v>9.77</v>
      </c>
      <c r="Z153" s="4">
        <v>8.85</v>
      </c>
      <c r="AA153" s="4">
        <v>7.19</v>
      </c>
      <c r="AB153" s="4">
        <v>27.2</v>
      </c>
      <c r="AC153" s="4">
        <v>24.52</v>
      </c>
      <c r="AD153" s="4">
        <v>39.9</v>
      </c>
      <c r="AE153" s="4">
        <v>47.45</v>
      </c>
      <c r="AF153" s="4">
        <v>14.9</v>
      </c>
      <c r="AG153" s="4">
        <v>11.08</v>
      </c>
      <c r="AH153" s="4" t="s">
        <v>781</v>
      </c>
      <c r="AI153" s="5" t="s">
        <v>790</v>
      </c>
      <c r="AJ153" s="4">
        <v>8.0500000000000007</v>
      </c>
      <c r="AK153" s="4">
        <v>5</v>
      </c>
      <c r="AL153" s="4" t="s">
        <v>798</v>
      </c>
      <c r="AM153" s="20" t="s">
        <v>824</v>
      </c>
      <c r="AN153" s="16" t="s">
        <v>804</v>
      </c>
      <c r="AO153" s="326"/>
      <c r="AP153" s="15">
        <v>0</v>
      </c>
      <c r="AQ153" s="9" t="str">
        <f>MID(Tabulka1[[#This Row],[BPEJ]],1,1)</f>
        <v>3</v>
      </c>
      <c r="AW153" s="9"/>
      <c r="AX153">
        <v>3</v>
      </c>
      <c r="AY153" s="114">
        <v>17</v>
      </c>
      <c r="AZ153" s="114">
        <v>1</v>
      </c>
      <c r="BA153" s="114">
        <v>0</v>
      </c>
      <c r="BB153" s="9">
        <v>3</v>
      </c>
      <c r="BC153" s="9" t="str">
        <f>MID(Tabulka1[[#This Row],[BPEJ]],3,2)</f>
        <v>17</v>
      </c>
      <c r="BD153" s="9" t="str">
        <f>MID(Tabulka1[[#This Row],[BPEJ]],6,1)</f>
        <v>1</v>
      </c>
      <c r="BE153" s="9" t="str">
        <f>MID(Tabulka1[[#This Row],[BPEJ]],7,1)</f>
        <v>0</v>
      </c>
      <c r="BF153" s="2" t="str">
        <f t="shared" si="14"/>
        <v>T</v>
      </c>
      <c r="BG153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153" s="134">
        <v>1.2</v>
      </c>
      <c r="BI153" s="2">
        <f t="shared" si="15"/>
        <v>12</v>
      </c>
      <c r="BJ153" s="2">
        <f>Tabulka1[[#This Row],[P2O5_60]]*10</f>
        <v>120</v>
      </c>
      <c r="BK153" s="2">
        <f>Tabulka1[[#This Row],[K2O_30]]*10</f>
        <v>500</v>
      </c>
      <c r="BL153" s="2">
        <f>Tabulka1[[#This Row],[K2O_60]]*10</f>
        <v>381.99999999999994</v>
      </c>
      <c r="BN153" s="2">
        <f>VLOOKUP(Tabulka1[[#This Row],[ID]],'Zdroj hloubka okresy'!$A$2:$F$171,5,FALSE)</f>
        <v>1.55</v>
      </c>
      <c r="BO153" s="2">
        <f>VLOOKUP(Tabulka1[[#This Row],[ID]],'Zdroj hloubka okresy'!$A$2:$D$171,3,FALSE)</f>
        <v>31</v>
      </c>
      <c r="BP153" s="2">
        <f>VLOOKUP(Tabulka1[[#This Row],[ID]],'Zdroj hloubka okresy'!$A$2:$D$171,4,FALSE)</f>
        <v>25</v>
      </c>
    </row>
    <row r="154" spans="1:68" x14ac:dyDescent="0.35">
      <c r="A154" s="13">
        <v>9149</v>
      </c>
      <c r="B154" s="14" t="s">
        <v>641</v>
      </c>
      <c r="C154" s="7">
        <v>7.35</v>
      </c>
      <c r="D154" s="7">
        <v>7.12</v>
      </c>
      <c r="E154" s="7">
        <v>6.76</v>
      </c>
      <c r="F154" s="7">
        <v>6.49</v>
      </c>
      <c r="G154" s="7">
        <v>1.18</v>
      </c>
      <c r="H154" s="7">
        <v>0.67</v>
      </c>
      <c r="I154" s="7">
        <v>0.69</v>
      </c>
      <c r="J154" s="7">
        <v>0.39</v>
      </c>
      <c r="K154" s="7">
        <v>0.1</v>
      </c>
      <c r="L154" s="7">
        <v>0.05</v>
      </c>
      <c r="M154" s="7">
        <v>22.400000000000002</v>
      </c>
      <c r="N154" s="139">
        <v>25.299999999999997</v>
      </c>
      <c r="O154" s="139">
        <v>116.19999999999999</v>
      </c>
      <c r="P154" s="139">
        <v>67.5</v>
      </c>
      <c r="Q154" s="7">
        <v>6.98</v>
      </c>
      <c r="R154" s="7">
        <v>4.4400000000000004</v>
      </c>
      <c r="S154" s="7">
        <v>71.900000000000006</v>
      </c>
      <c r="T154" s="7">
        <v>70.12</v>
      </c>
      <c r="U154" s="4">
        <v>2</v>
      </c>
      <c r="V154" s="4">
        <f>VLOOKUP(Tabulka1[[#This Row],[ID]],'Zdroj hloubka okresy'!$A$2:$K$171,5,FALSE)</f>
        <v>1.58</v>
      </c>
      <c r="W154" s="4">
        <f>VLOOKUP(Tabulka1[[#This Row],[ID]],'Zdroj hloubka okresy'!$A$2:$K$171,6,FALSE)</f>
        <v>1.67</v>
      </c>
      <c r="X154" s="4">
        <v>8.83</v>
      </c>
      <c r="Y154" s="4">
        <v>7.58</v>
      </c>
      <c r="Z154" s="4">
        <v>4.71</v>
      </c>
      <c r="AA154" s="4">
        <v>2.59</v>
      </c>
      <c r="AB154" s="4">
        <v>9.76</v>
      </c>
      <c r="AC154" s="4">
        <v>7.29</v>
      </c>
      <c r="AD154" s="4">
        <v>16.38</v>
      </c>
      <c r="AE154" s="4">
        <v>14.57</v>
      </c>
      <c r="AF154" s="4">
        <v>60.32</v>
      </c>
      <c r="AG154" s="4">
        <v>68.25</v>
      </c>
      <c r="AH154" s="4" t="s">
        <v>741</v>
      </c>
      <c r="AI154" s="5" t="s">
        <v>790</v>
      </c>
      <c r="AJ154" s="4">
        <v>7.42</v>
      </c>
      <c r="AK154" s="4">
        <v>3</v>
      </c>
      <c r="AL154" s="4" t="s">
        <v>798</v>
      </c>
      <c r="AM154" s="20" t="s">
        <v>824</v>
      </c>
      <c r="AN154" s="16" t="s">
        <v>804</v>
      </c>
      <c r="AO154" s="326"/>
      <c r="AP154" s="15">
        <v>0</v>
      </c>
      <c r="AQ154" s="9" t="str">
        <f>MID(Tabulka1[[#This Row],[BPEJ]],1,1)</f>
        <v>3</v>
      </c>
      <c r="AW154" s="9"/>
      <c r="AX154">
        <v>3</v>
      </c>
      <c r="AY154" s="114">
        <v>31</v>
      </c>
      <c r="AZ154" s="114">
        <v>0</v>
      </c>
      <c r="BA154" s="114">
        <v>1</v>
      </c>
      <c r="BB154" s="9">
        <v>3</v>
      </c>
      <c r="BC154" s="9" t="str">
        <f>MID(Tabulka1[[#This Row],[BPEJ]],3,2)</f>
        <v>31</v>
      </c>
      <c r="BD154" s="9" t="str">
        <f>MID(Tabulka1[[#This Row],[BPEJ]],6,1)</f>
        <v>0</v>
      </c>
      <c r="BE154" s="9" t="str">
        <f>MID(Tabulka1[[#This Row],[BPEJ]],7,1)</f>
        <v>1</v>
      </c>
      <c r="BF154" s="2" t="str">
        <f t="shared" si="14"/>
        <v>T</v>
      </c>
      <c r="BG154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154" s="7">
        <v>2.2400000000000002</v>
      </c>
      <c r="BI154" s="2">
        <f t="shared" si="15"/>
        <v>22.400000000000002</v>
      </c>
      <c r="BJ154" s="2">
        <f>Tabulka1[[#This Row],[P2O5_60]]*10</f>
        <v>252.99999999999997</v>
      </c>
      <c r="BK154" s="2">
        <f>Tabulka1[[#This Row],[K2O_30]]*10</f>
        <v>1162</v>
      </c>
      <c r="BL154" s="2">
        <f>Tabulka1[[#This Row],[K2O_60]]*10</f>
        <v>675</v>
      </c>
      <c r="BN154" s="2">
        <f>VLOOKUP(Tabulka1[[#This Row],[ID]],'Zdroj hloubka okresy'!$A$2:$F$171,5,FALSE)</f>
        <v>1.58</v>
      </c>
      <c r="BO154" s="2">
        <f>VLOOKUP(Tabulka1[[#This Row],[ID]],'Zdroj hloubka okresy'!$A$2:$D$171,3,FALSE)</f>
        <v>24</v>
      </c>
      <c r="BP154" s="2">
        <f>VLOOKUP(Tabulka1[[#This Row],[ID]],'Zdroj hloubka okresy'!$A$2:$D$171,4,FALSE)</f>
        <v>12</v>
      </c>
    </row>
    <row r="155" spans="1:68" x14ac:dyDescent="0.35">
      <c r="A155" s="13">
        <v>9152</v>
      </c>
      <c r="B155" s="14" t="s">
        <v>601</v>
      </c>
      <c r="C155" s="7">
        <v>6.91</v>
      </c>
      <c r="D155" s="7">
        <v>7.01</v>
      </c>
      <c r="E155" s="7">
        <v>6.24</v>
      </c>
      <c r="F155" s="7">
        <v>6.36</v>
      </c>
      <c r="G155" s="7">
        <v>1.1499999999999999</v>
      </c>
      <c r="H155" s="7">
        <v>0.72</v>
      </c>
      <c r="I155" s="7">
        <v>0.66</v>
      </c>
      <c r="J155" s="7">
        <v>0.42</v>
      </c>
      <c r="K155" s="7">
        <v>0</v>
      </c>
      <c r="L155" s="7">
        <v>0</v>
      </c>
      <c r="M155" s="7">
        <v>47.300000000000004</v>
      </c>
      <c r="N155" s="139">
        <v>30.5</v>
      </c>
      <c r="O155" s="139">
        <v>132</v>
      </c>
      <c r="P155" s="139">
        <v>104.7</v>
      </c>
      <c r="Q155" s="7">
        <v>7.32</v>
      </c>
      <c r="R155" s="7">
        <v>9.1199999999999992</v>
      </c>
      <c r="S155" s="7">
        <v>75.400000000000006</v>
      </c>
      <c r="T155" s="7">
        <v>81.39</v>
      </c>
      <c r="U155" s="4">
        <v>4</v>
      </c>
      <c r="V155" s="4">
        <f>VLOOKUP(Tabulka1[[#This Row],[ID]],'Zdroj hloubka okresy'!$A$2:$K$171,5,FALSE)</f>
        <v>1.55</v>
      </c>
      <c r="W155" s="4">
        <f>VLOOKUP(Tabulka1[[#This Row],[ID]],'Zdroj hloubka okresy'!$A$2:$K$171,6,FALSE)</f>
        <v>1.48</v>
      </c>
      <c r="X155" s="4">
        <v>10.19</v>
      </c>
      <c r="Y155" s="4">
        <v>15.83</v>
      </c>
      <c r="Z155" s="4">
        <v>5.57</v>
      </c>
      <c r="AA155" s="4">
        <v>5.53</v>
      </c>
      <c r="AB155" s="4">
        <v>21.3</v>
      </c>
      <c r="AC155" s="4">
        <v>19.25</v>
      </c>
      <c r="AD155" s="4">
        <v>45.97</v>
      </c>
      <c r="AE155" s="4">
        <v>42.4</v>
      </c>
      <c r="AF155" s="4">
        <v>16.97</v>
      </c>
      <c r="AG155" s="4">
        <v>16.989999999999998</v>
      </c>
      <c r="AH155" s="4" t="s">
        <v>782</v>
      </c>
      <c r="AI155" s="5" t="s">
        <v>789</v>
      </c>
      <c r="AJ155" s="4">
        <v>12.88</v>
      </c>
      <c r="AK155" s="4">
        <v>3</v>
      </c>
      <c r="AL155" s="4" t="s">
        <v>798</v>
      </c>
      <c r="AM155" s="20" t="s">
        <v>824</v>
      </c>
      <c r="AN155" s="16" t="s">
        <v>802</v>
      </c>
      <c r="AO155" s="326"/>
      <c r="AP155" s="15">
        <v>0</v>
      </c>
      <c r="AQ155" s="9" t="str">
        <f>MID(Tabulka1[[#This Row],[BPEJ]],1,1)</f>
        <v>3</v>
      </c>
      <c r="AW155" s="9"/>
      <c r="AX155">
        <v>3</v>
      </c>
      <c r="AY155" s="114">
        <v>8</v>
      </c>
      <c r="AZ155" s="114">
        <v>1</v>
      </c>
      <c r="BA155" s="114">
        <v>0</v>
      </c>
      <c r="BB155" s="9">
        <v>3</v>
      </c>
      <c r="BC155" s="9" t="str">
        <f>MID(Tabulka1[[#This Row],[BPEJ]],3,2)</f>
        <v>08</v>
      </c>
      <c r="BD155" s="9" t="str">
        <f>MID(Tabulka1[[#This Row],[BPEJ]],6,1)</f>
        <v>1</v>
      </c>
      <c r="BE155" s="9" t="str">
        <f>MID(Tabulka1[[#This Row],[BPEJ]],7,1)</f>
        <v>0</v>
      </c>
      <c r="BF155" s="2" t="str">
        <f t="shared" si="14"/>
        <v>T</v>
      </c>
      <c r="BG155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155" s="134">
        <v>4.7300000000000004</v>
      </c>
      <c r="BI155" s="2">
        <f t="shared" si="15"/>
        <v>47.300000000000004</v>
      </c>
      <c r="BJ155" s="2">
        <f>Tabulka1[[#This Row],[P2O5_60]]*10</f>
        <v>305</v>
      </c>
      <c r="BK155" s="2">
        <f>Tabulka1[[#This Row],[K2O_30]]*10</f>
        <v>1320</v>
      </c>
      <c r="BL155" s="2">
        <f>Tabulka1[[#This Row],[K2O_60]]*10</f>
        <v>1047</v>
      </c>
      <c r="BN155" s="2">
        <f>VLOOKUP(Tabulka1[[#This Row],[ID]],'Zdroj hloubka okresy'!$A$2:$F$171,5,FALSE)</f>
        <v>1.55</v>
      </c>
      <c r="BO155" s="2">
        <f>VLOOKUP(Tabulka1[[#This Row],[ID]],'Zdroj hloubka okresy'!$A$2:$D$171,3,FALSE)</f>
        <v>27</v>
      </c>
      <c r="BP155" s="2">
        <f>VLOOKUP(Tabulka1[[#This Row],[ID]],'Zdroj hloubka okresy'!$A$2:$D$171,4,FALSE)</f>
        <v>17</v>
      </c>
    </row>
    <row r="156" spans="1:68" x14ac:dyDescent="0.35">
      <c r="A156" s="13">
        <v>9155</v>
      </c>
      <c r="B156" s="14" t="s">
        <v>603</v>
      </c>
      <c r="C156" s="7">
        <v>7.04</v>
      </c>
      <c r="D156" s="7">
        <v>7.04</v>
      </c>
      <c r="E156" s="7">
        <v>6.4</v>
      </c>
      <c r="F156" s="7">
        <v>6.4</v>
      </c>
      <c r="G156" s="7">
        <v>2.29</v>
      </c>
      <c r="H156" s="7">
        <v>1.55</v>
      </c>
      <c r="I156" s="7">
        <v>1.33</v>
      </c>
      <c r="J156" s="7">
        <v>0.9</v>
      </c>
      <c r="K156" s="7">
        <v>0</v>
      </c>
      <c r="L156" s="7">
        <v>0</v>
      </c>
      <c r="M156" s="7">
        <v>38.5</v>
      </c>
      <c r="N156" s="139">
        <v>31.8</v>
      </c>
      <c r="O156" s="139">
        <v>201</v>
      </c>
      <c r="P156" s="139">
        <v>205.5</v>
      </c>
      <c r="Q156" s="7">
        <v>26.98</v>
      </c>
      <c r="R156" s="7">
        <v>32.29</v>
      </c>
      <c r="S156" s="7">
        <v>89.62</v>
      </c>
      <c r="T156" s="7">
        <v>90.16</v>
      </c>
      <c r="U156" s="4">
        <v>4</v>
      </c>
      <c r="V156" s="4">
        <f>VLOOKUP(Tabulka1[[#This Row],[ID]],'Zdroj hloubka okresy'!$A$2:$K$171,5,FALSE)</f>
        <v>1.29</v>
      </c>
      <c r="W156" s="4">
        <f>VLOOKUP(Tabulka1[[#This Row],[ID]],'Zdroj hloubka okresy'!$A$2:$K$171,6,FALSE)</f>
        <v>1.22</v>
      </c>
      <c r="X156" s="4">
        <v>38.69</v>
      </c>
      <c r="Y156" s="4">
        <v>52.57</v>
      </c>
      <c r="Z156" s="4">
        <v>11.36</v>
      </c>
      <c r="AA156" s="4">
        <v>10.31</v>
      </c>
      <c r="AB156" s="4">
        <v>20.45</v>
      </c>
      <c r="AC156" s="4">
        <v>18.43</v>
      </c>
      <c r="AD156" s="4">
        <v>13.9</v>
      </c>
      <c r="AE156" s="4">
        <v>9.4</v>
      </c>
      <c r="AF156" s="4">
        <v>15.6</v>
      </c>
      <c r="AG156" s="4">
        <v>9.3000000000000007</v>
      </c>
      <c r="AH156" s="4" t="s">
        <v>783</v>
      </c>
      <c r="AI156" s="5" t="s">
        <v>792</v>
      </c>
      <c r="AJ156" s="4">
        <v>11.99</v>
      </c>
      <c r="AK156" s="4">
        <v>3</v>
      </c>
      <c r="AL156" s="4" t="s">
        <v>798</v>
      </c>
      <c r="AM156" s="20" t="s">
        <v>824</v>
      </c>
      <c r="AN156" s="16" t="s">
        <v>803</v>
      </c>
      <c r="AO156" s="326"/>
      <c r="AP156" s="15">
        <v>0</v>
      </c>
      <c r="AQ156" s="9" t="str">
        <f>MID(Tabulka1[[#This Row],[BPEJ]],1,1)</f>
        <v>3</v>
      </c>
      <c r="AW156" s="9"/>
      <c r="AX156">
        <v>3</v>
      </c>
      <c r="AY156" s="114">
        <v>46</v>
      </c>
      <c r="AZ156" s="114">
        <v>0</v>
      </c>
      <c r="BA156" s="114">
        <v>0</v>
      </c>
      <c r="BB156" s="9">
        <v>3</v>
      </c>
      <c r="BC156" s="9" t="str">
        <f>MID(Tabulka1[[#This Row],[BPEJ]],3,2)</f>
        <v>46</v>
      </c>
      <c r="BD156" s="9" t="str">
        <f>MID(Tabulka1[[#This Row],[BPEJ]],6,1)</f>
        <v>0</v>
      </c>
      <c r="BE156" s="9" t="str">
        <f>MID(Tabulka1[[#This Row],[BPEJ]],7,1)</f>
        <v>0</v>
      </c>
      <c r="BF156" s="2" t="str">
        <f t="shared" si="14"/>
        <v>T</v>
      </c>
      <c r="BG156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T</v>
      </c>
      <c r="BH156" s="7">
        <v>3.85</v>
      </c>
      <c r="BI156" s="2">
        <f t="shared" si="15"/>
        <v>38.5</v>
      </c>
      <c r="BJ156" s="2">
        <f>Tabulka1[[#This Row],[P2O5_60]]*10</f>
        <v>318</v>
      </c>
      <c r="BK156" s="2">
        <f>Tabulka1[[#This Row],[K2O_30]]*10</f>
        <v>2010</v>
      </c>
      <c r="BL156" s="2">
        <f>Tabulka1[[#This Row],[K2O_60]]*10</f>
        <v>2055</v>
      </c>
      <c r="BN156" s="2">
        <f>VLOOKUP(Tabulka1[[#This Row],[ID]],'Zdroj hloubka okresy'!$A$2:$F$171,5,FALSE)</f>
        <v>1.29</v>
      </c>
      <c r="BO156" s="2">
        <f>VLOOKUP(Tabulka1[[#This Row],[ID]],'Zdroj hloubka okresy'!$A$2:$D$171,3,FALSE)</f>
        <v>27</v>
      </c>
      <c r="BP156" s="2">
        <f>VLOOKUP(Tabulka1[[#This Row],[ID]],'Zdroj hloubka okresy'!$A$2:$D$171,4,FALSE)</f>
        <v>43</v>
      </c>
    </row>
    <row r="157" spans="1:68" x14ac:dyDescent="0.35">
      <c r="A157" s="13">
        <v>9158</v>
      </c>
      <c r="B157" s="14" t="s">
        <v>594</v>
      </c>
      <c r="C157" s="7">
        <v>6.68</v>
      </c>
      <c r="D157" s="7">
        <v>6.86</v>
      </c>
      <c r="E157" s="7">
        <v>5.98</v>
      </c>
      <c r="F157" s="7">
        <v>6.19</v>
      </c>
      <c r="G157" s="7">
        <v>2.73</v>
      </c>
      <c r="H157" s="7">
        <v>2.17</v>
      </c>
      <c r="I157" s="7">
        <v>1.58</v>
      </c>
      <c r="J157" s="7">
        <v>1.26</v>
      </c>
      <c r="K157" s="7">
        <v>0</v>
      </c>
      <c r="L157" s="7">
        <v>0</v>
      </c>
      <c r="M157" s="7">
        <v>66.599999999999994</v>
      </c>
      <c r="N157" s="139">
        <v>56.8</v>
      </c>
      <c r="O157" s="139">
        <v>557</v>
      </c>
      <c r="P157" s="139">
        <v>553.5</v>
      </c>
      <c r="Q157" s="7">
        <v>34.58</v>
      </c>
      <c r="R157" s="7">
        <v>35.840000000000003</v>
      </c>
      <c r="S157" s="7">
        <v>77.03</v>
      </c>
      <c r="T157" s="7">
        <v>80.569999999999993</v>
      </c>
      <c r="U157" s="4">
        <v>3</v>
      </c>
      <c r="V157" s="4">
        <f>VLOOKUP(Tabulka1[[#This Row],[ID]],'Zdroj hloubka okresy'!$A$2:$K$171,5,FALSE)</f>
        <v>1.43</v>
      </c>
      <c r="W157" s="4">
        <f>VLOOKUP(Tabulka1[[#This Row],[ID]],'Zdroj hloubka okresy'!$A$2:$K$171,6,FALSE)</f>
        <v>1.44</v>
      </c>
      <c r="X157" s="4">
        <v>17.899999999999999</v>
      </c>
      <c r="Y157" s="4">
        <v>17.77</v>
      </c>
      <c r="Z157" s="4">
        <v>11.19</v>
      </c>
      <c r="AA157" s="4">
        <v>8.86</v>
      </c>
      <c r="AB157" s="4">
        <v>21.99</v>
      </c>
      <c r="AC157" s="4">
        <v>19.64</v>
      </c>
      <c r="AD157" s="4">
        <v>22.58</v>
      </c>
      <c r="AE157" s="4">
        <v>22.09</v>
      </c>
      <c r="AF157" s="4">
        <v>26.35</v>
      </c>
      <c r="AG157" s="4">
        <v>31.65</v>
      </c>
      <c r="AH157" s="4" t="s">
        <v>784</v>
      </c>
      <c r="AI157" s="5" t="s">
        <v>792</v>
      </c>
      <c r="AJ157" s="4">
        <v>11.96</v>
      </c>
      <c r="AK157" s="4">
        <v>3</v>
      </c>
      <c r="AL157" s="4" t="s">
        <v>798</v>
      </c>
      <c r="AM157" s="20" t="s">
        <v>824</v>
      </c>
      <c r="AN157" s="16" t="s">
        <v>803</v>
      </c>
      <c r="AO157" s="326"/>
      <c r="AP157" s="15">
        <v>0</v>
      </c>
      <c r="AQ157" s="9" t="str">
        <f>MID(Tabulka1[[#This Row],[BPEJ]],1,1)</f>
        <v>3</v>
      </c>
      <c r="AW157" s="9"/>
      <c r="AX157">
        <v>3</v>
      </c>
      <c r="AY157" s="114">
        <v>19</v>
      </c>
      <c r="AZ157" s="114">
        <v>0</v>
      </c>
      <c r="BA157" s="114">
        <v>1</v>
      </c>
      <c r="BB157" s="9">
        <v>3</v>
      </c>
      <c r="BC157" s="9" t="str">
        <f>MID(Tabulka1[[#This Row],[BPEJ]],3,2)</f>
        <v>19</v>
      </c>
      <c r="BD157" s="9" t="str">
        <f>MID(Tabulka1[[#This Row],[BPEJ]],6,1)</f>
        <v>0</v>
      </c>
      <c r="BE157" s="9" t="str">
        <f>MID(Tabulka1[[#This Row],[BPEJ]],7,1)</f>
        <v>1</v>
      </c>
      <c r="BF157" s="2" t="str">
        <f t="shared" si="14"/>
        <v>T</v>
      </c>
      <c r="BG157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57" s="134">
        <v>6.66</v>
      </c>
      <c r="BI157" s="2">
        <f t="shared" si="15"/>
        <v>66.599999999999994</v>
      </c>
      <c r="BJ157" s="2">
        <f>Tabulka1[[#This Row],[P2O5_60]]*10</f>
        <v>568</v>
      </c>
      <c r="BK157" s="2">
        <f>Tabulka1[[#This Row],[K2O_30]]*10</f>
        <v>5570</v>
      </c>
      <c r="BL157" s="2">
        <f>Tabulka1[[#This Row],[K2O_60]]*10</f>
        <v>5535</v>
      </c>
      <c r="BN157" s="2">
        <f>VLOOKUP(Tabulka1[[#This Row],[ID]],'Zdroj hloubka okresy'!$A$2:$F$171,5,FALSE)</f>
        <v>1.43</v>
      </c>
      <c r="BO157" s="2">
        <f>VLOOKUP(Tabulka1[[#This Row],[ID]],'Zdroj hloubka okresy'!$A$2:$D$171,3,FALSE)</f>
        <v>21</v>
      </c>
      <c r="BP157" s="2">
        <f>VLOOKUP(Tabulka1[[#This Row],[ID]],'Zdroj hloubka okresy'!$A$2:$D$171,4,FALSE)</f>
        <v>39</v>
      </c>
    </row>
    <row r="158" spans="1:68" x14ac:dyDescent="0.35">
      <c r="A158" s="13">
        <v>9161</v>
      </c>
      <c r="B158" s="14" t="s">
        <v>656</v>
      </c>
      <c r="C158" s="7">
        <v>6.61</v>
      </c>
      <c r="D158" s="7">
        <v>6.27</v>
      </c>
      <c r="E158" s="7">
        <v>5.9</v>
      </c>
      <c r="F158" s="7">
        <v>5.5</v>
      </c>
      <c r="G158" s="7">
        <v>2.0299999999999998</v>
      </c>
      <c r="H158" s="7">
        <v>1.17</v>
      </c>
      <c r="I158" s="7">
        <v>1.18</v>
      </c>
      <c r="J158" s="7">
        <v>0.68</v>
      </c>
      <c r="K158" s="7">
        <v>0</v>
      </c>
      <c r="L158" s="7">
        <v>0</v>
      </c>
      <c r="M158" s="7">
        <v>97</v>
      </c>
      <c r="N158" s="139">
        <v>52.5</v>
      </c>
      <c r="O158" s="139">
        <v>150</v>
      </c>
      <c r="P158" s="139">
        <v>105</v>
      </c>
      <c r="Q158" s="7">
        <v>14.8</v>
      </c>
      <c r="R158" s="7">
        <v>16.5</v>
      </c>
      <c r="S158" s="7">
        <v>74.3</v>
      </c>
      <c r="T158" s="7">
        <v>74.8</v>
      </c>
      <c r="U158" s="4">
        <v>2</v>
      </c>
      <c r="V158" s="4">
        <f>VLOOKUP(Tabulka1[[#This Row],[ID]],'Zdroj hloubka okresy'!$A$2:$K$171,5,FALSE)</f>
        <v>1.56</v>
      </c>
      <c r="W158" s="4">
        <f>VLOOKUP(Tabulka1[[#This Row],[ID]],'Zdroj hloubka okresy'!$A$2:$K$171,6,FALSE)</f>
        <v>1.4</v>
      </c>
      <c r="X158" s="4">
        <v>8.58</v>
      </c>
      <c r="Y158" s="4">
        <v>17.670000000000002</v>
      </c>
      <c r="Z158" s="4">
        <v>11.42</v>
      </c>
      <c r="AA158" s="4">
        <v>7.58</v>
      </c>
      <c r="AB158" s="4">
        <v>28.2</v>
      </c>
      <c r="AC158" s="4">
        <v>19.25</v>
      </c>
      <c r="AD158" s="4">
        <v>23.9</v>
      </c>
      <c r="AE158" s="4">
        <v>24.85</v>
      </c>
      <c r="AF158" s="4">
        <v>27.9</v>
      </c>
      <c r="AG158" s="4">
        <v>30.65</v>
      </c>
      <c r="AH158" s="4" t="s">
        <v>746</v>
      </c>
      <c r="AI158" s="5" t="s">
        <v>789</v>
      </c>
      <c r="AJ158" s="4">
        <v>7.87</v>
      </c>
      <c r="AK158" s="4">
        <v>3</v>
      </c>
      <c r="AL158" s="4" t="s">
        <v>798</v>
      </c>
      <c r="AM158" s="20" t="s">
        <v>796</v>
      </c>
      <c r="AN158" s="16" t="s">
        <v>803</v>
      </c>
      <c r="AO158" s="326"/>
      <c r="AP158" s="15">
        <v>0</v>
      </c>
      <c r="AQ158" s="9" t="str">
        <f>MID(Tabulka1[[#This Row],[BPEJ]],1,1)</f>
        <v>5</v>
      </c>
      <c r="AW158" s="9"/>
      <c r="AX158">
        <v>5</v>
      </c>
      <c r="AY158" s="114">
        <v>58</v>
      </c>
      <c r="AZ158" s="114">
        <v>0</v>
      </c>
      <c r="BA158" s="114">
        <v>0</v>
      </c>
      <c r="BB158" s="9">
        <v>5</v>
      </c>
      <c r="BC158" s="9" t="str">
        <f>MID(Tabulka1[[#This Row],[BPEJ]],3,2)</f>
        <v>58</v>
      </c>
      <c r="BD158" s="9" t="str">
        <f>MID(Tabulka1[[#This Row],[BPEJ]],6,1)</f>
        <v>0</v>
      </c>
      <c r="BE158" s="9" t="str">
        <f>MID(Tabulka1[[#This Row],[BPEJ]],7,1)</f>
        <v>0</v>
      </c>
      <c r="BF158" s="2" t="str">
        <f t="shared" si="14"/>
        <v>T</v>
      </c>
      <c r="BG158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58" s="7">
        <v>9.6999999999999993</v>
      </c>
      <c r="BI158" s="2">
        <f t="shared" si="15"/>
        <v>97</v>
      </c>
      <c r="BJ158" s="2">
        <f>Tabulka1[[#This Row],[P2O5_60]]*10</f>
        <v>525</v>
      </c>
      <c r="BK158" s="2">
        <f>Tabulka1[[#This Row],[K2O_30]]*10</f>
        <v>1500</v>
      </c>
      <c r="BL158" s="2">
        <f>Tabulka1[[#This Row],[K2O_60]]*10</f>
        <v>1050</v>
      </c>
      <c r="BN158" s="2">
        <f>VLOOKUP(Tabulka1[[#This Row],[ID]],'Zdroj hloubka okresy'!$A$2:$F$171,5,FALSE)</f>
        <v>1.56</v>
      </c>
      <c r="BO158" s="2">
        <f>VLOOKUP(Tabulka1[[#This Row],[ID]],'Zdroj hloubka okresy'!$A$2:$D$171,3,FALSE)</f>
        <v>30</v>
      </c>
      <c r="BP158" s="2">
        <f>VLOOKUP(Tabulka1[[#This Row],[ID]],'Zdroj hloubka okresy'!$A$2:$D$171,4,FALSE)</f>
        <v>50</v>
      </c>
    </row>
    <row r="159" spans="1:68" x14ac:dyDescent="0.35">
      <c r="A159" s="13">
        <v>9164</v>
      </c>
      <c r="B159" s="14" t="s">
        <v>629</v>
      </c>
      <c r="C159" s="7">
        <v>6.87</v>
      </c>
      <c r="D159" s="7">
        <v>6.27</v>
      </c>
      <c r="E159" s="7">
        <v>6.2</v>
      </c>
      <c r="F159" s="7">
        <v>5.5</v>
      </c>
      <c r="G159" s="7">
        <v>1.27</v>
      </c>
      <c r="H159" s="7">
        <v>0.84</v>
      </c>
      <c r="I159" s="7">
        <v>0.74</v>
      </c>
      <c r="J159" s="7">
        <v>0.49</v>
      </c>
      <c r="K159" s="7">
        <v>0</v>
      </c>
      <c r="L159" s="7">
        <v>0</v>
      </c>
      <c r="M159" s="7">
        <v>90</v>
      </c>
      <c r="N159" s="139">
        <v>63.6</v>
      </c>
      <c r="O159" s="139">
        <v>210</v>
      </c>
      <c r="P159" s="139">
        <v>144.70000000000002</v>
      </c>
      <c r="Q159" s="7">
        <v>9.1</v>
      </c>
      <c r="R159" s="7">
        <v>6.53</v>
      </c>
      <c r="S159" s="7">
        <v>67</v>
      </c>
      <c r="T159" s="7">
        <v>55.54</v>
      </c>
      <c r="U159" s="4">
        <v>2</v>
      </c>
      <c r="V159" s="4">
        <f>VLOOKUP(Tabulka1[[#This Row],[ID]],'Zdroj hloubka okresy'!$A$2:$K$171,5,FALSE)</f>
        <v>1.66</v>
      </c>
      <c r="W159" s="4">
        <f>VLOOKUP(Tabulka1[[#This Row],[ID]],'Zdroj hloubka okresy'!$A$2:$K$171,6,FALSE)</f>
        <v>1.69</v>
      </c>
      <c r="X159" s="4">
        <v>6</v>
      </c>
      <c r="Y159" s="4">
        <v>5.26</v>
      </c>
      <c r="Z159" s="4">
        <v>4.55</v>
      </c>
      <c r="AA159" s="4">
        <v>3.49</v>
      </c>
      <c r="AB159" s="4">
        <v>10.95</v>
      </c>
      <c r="AC159" s="4">
        <v>9.3699999999999992</v>
      </c>
      <c r="AD159" s="4">
        <v>18.62</v>
      </c>
      <c r="AE159" s="4">
        <v>20.25</v>
      </c>
      <c r="AF159" s="4">
        <v>59.88</v>
      </c>
      <c r="AG159" s="4">
        <v>61.66</v>
      </c>
      <c r="AH159" s="4" t="s">
        <v>759</v>
      </c>
      <c r="AI159" s="5" t="s">
        <v>790</v>
      </c>
      <c r="AJ159" s="4">
        <v>4.21</v>
      </c>
      <c r="AK159" s="4">
        <v>3</v>
      </c>
      <c r="AL159" s="4" t="s">
        <v>798</v>
      </c>
      <c r="AM159" s="20" t="s">
        <v>824</v>
      </c>
      <c r="AN159" s="16" t="s">
        <v>804</v>
      </c>
      <c r="AO159" s="326"/>
      <c r="AP159" s="15">
        <v>0</v>
      </c>
      <c r="AQ159" s="9" t="str">
        <f>MID(Tabulka1[[#This Row],[BPEJ]],1,1)</f>
        <v>5</v>
      </c>
      <c r="AW159" s="9"/>
      <c r="AX159">
        <v>5</v>
      </c>
      <c r="AY159" s="114">
        <v>21</v>
      </c>
      <c r="AZ159" s="114">
        <v>1</v>
      </c>
      <c r="BA159" s="114">
        <v>0</v>
      </c>
      <c r="BB159" s="9">
        <v>5</v>
      </c>
      <c r="BC159" s="9" t="str">
        <f>MID(Tabulka1[[#This Row],[BPEJ]],3,2)</f>
        <v>21</v>
      </c>
      <c r="BD159" s="9" t="str">
        <f>MID(Tabulka1[[#This Row],[BPEJ]],6,1)</f>
        <v>1</v>
      </c>
      <c r="BE159" s="9" t="str">
        <f>MID(Tabulka1[[#This Row],[BPEJ]],7,1)</f>
        <v>0</v>
      </c>
      <c r="BF159" s="2" t="str">
        <f t="shared" si="14"/>
        <v>T</v>
      </c>
      <c r="BG159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159" s="134">
        <v>9</v>
      </c>
      <c r="BI159" s="2">
        <f t="shared" si="15"/>
        <v>90</v>
      </c>
      <c r="BJ159" s="2">
        <f>Tabulka1[[#This Row],[P2O5_60]]*10</f>
        <v>636</v>
      </c>
      <c r="BK159" s="2">
        <f>Tabulka1[[#This Row],[K2O_30]]*10</f>
        <v>2100</v>
      </c>
      <c r="BL159" s="2">
        <f>Tabulka1[[#This Row],[K2O_60]]*10</f>
        <v>1447.0000000000002</v>
      </c>
      <c r="BN159" s="2">
        <f>VLOOKUP(Tabulka1[[#This Row],[ID]],'Zdroj hloubka okresy'!$A$2:$F$171,5,FALSE)</f>
        <v>1.66</v>
      </c>
      <c r="BO159" s="2">
        <f>VLOOKUP(Tabulka1[[#This Row],[ID]],'Zdroj hloubka okresy'!$A$2:$D$171,3,FALSE)</f>
        <v>32</v>
      </c>
      <c r="BP159" s="2">
        <f>VLOOKUP(Tabulka1[[#This Row],[ID]],'Zdroj hloubka okresy'!$A$2:$D$171,4,FALSE)</f>
        <v>14</v>
      </c>
    </row>
    <row r="160" spans="1:68" x14ac:dyDescent="0.35">
      <c r="A160" s="13">
        <v>9167</v>
      </c>
      <c r="B160" s="14" t="s">
        <v>597</v>
      </c>
      <c r="C160" s="7">
        <v>7.65</v>
      </c>
      <c r="D160" s="7">
        <v>7.69</v>
      </c>
      <c r="E160" s="7">
        <v>7.1</v>
      </c>
      <c r="F160" s="7">
        <v>7.15</v>
      </c>
      <c r="G160" s="7">
        <v>1.08</v>
      </c>
      <c r="H160" s="7">
        <v>0.73</v>
      </c>
      <c r="I160" s="7">
        <v>0.63</v>
      </c>
      <c r="J160" s="7">
        <v>0.42</v>
      </c>
      <c r="K160" s="7"/>
      <c r="L160" s="7"/>
      <c r="M160" s="7">
        <v>102</v>
      </c>
      <c r="N160" s="139">
        <v>84.5</v>
      </c>
      <c r="O160" s="139">
        <v>100</v>
      </c>
      <c r="P160" s="139">
        <v>81.300000000000011</v>
      </c>
      <c r="Q160" s="7">
        <v>6.9</v>
      </c>
      <c r="R160" s="7">
        <v>5.42</v>
      </c>
      <c r="S160" s="7">
        <v>36.299999999999997</v>
      </c>
      <c r="T160" s="7">
        <v>45.82</v>
      </c>
      <c r="U160" s="4">
        <v>4</v>
      </c>
      <c r="V160" s="4">
        <f>VLOOKUP(Tabulka1[[#This Row],[ID]],'Zdroj hloubka okresy'!$A$2:$K$171,5,FALSE)</f>
        <v>1.62</v>
      </c>
      <c r="W160" s="4">
        <f>VLOOKUP(Tabulka1[[#This Row],[ID]],'Zdroj hloubka okresy'!$A$2:$K$171,6,FALSE)</f>
        <v>1.62</v>
      </c>
      <c r="X160" s="4">
        <v>6.74</v>
      </c>
      <c r="Y160" s="4">
        <v>6.76</v>
      </c>
      <c r="Z160" s="4">
        <v>5.54</v>
      </c>
      <c r="AA160" s="4">
        <v>4.9800000000000004</v>
      </c>
      <c r="AB160" s="4">
        <v>16.760000000000002</v>
      </c>
      <c r="AC160" s="4">
        <v>15.37</v>
      </c>
      <c r="AD160" s="4">
        <v>34</v>
      </c>
      <c r="AE160" s="4">
        <v>35.229999999999997</v>
      </c>
      <c r="AF160" s="4">
        <v>36.96</v>
      </c>
      <c r="AG160" s="4">
        <v>37.67</v>
      </c>
      <c r="AH160" s="4" t="s">
        <v>783</v>
      </c>
      <c r="AI160" s="5" t="s">
        <v>792</v>
      </c>
      <c r="AJ160" s="4">
        <v>11.99</v>
      </c>
      <c r="AK160" s="4">
        <v>3</v>
      </c>
      <c r="AL160" s="4" t="s">
        <v>798</v>
      </c>
      <c r="AM160" s="20" t="s">
        <v>824</v>
      </c>
      <c r="AN160" s="16" t="s">
        <v>803</v>
      </c>
      <c r="AO160" s="326"/>
      <c r="AP160" s="15">
        <v>0</v>
      </c>
      <c r="AQ160" s="9" t="str">
        <f>MID(Tabulka1[[#This Row],[BPEJ]],1,1)</f>
        <v>3</v>
      </c>
      <c r="AW160" s="9"/>
      <c r="AX160">
        <v>3</v>
      </c>
      <c r="AY160" s="114">
        <v>46</v>
      </c>
      <c r="AZ160" s="114">
        <v>0</v>
      </c>
      <c r="BA160" s="114">
        <v>0</v>
      </c>
      <c r="BB160" s="9">
        <v>3</v>
      </c>
      <c r="BC160" s="9" t="str">
        <f>MID(Tabulka1[[#This Row],[BPEJ]],3,2)</f>
        <v>46</v>
      </c>
      <c r="BD160" s="9" t="str">
        <f>MID(Tabulka1[[#This Row],[BPEJ]],6,1)</f>
        <v>0</v>
      </c>
      <c r="BE160" s="9" t="str">
        <f>MID(Tabulka1[[#This Row],[BPEJ]],7,1)</f>
        <v>0</v>
      </c>
      <c r="BF160" s="2" t="str">
        <f t="shared" si="14"/>
        <v>T</v>
      </c>
      <c r="BG160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160" s="7">
        <v>10.199999999999999</v>
      </c>
      <c r="BI160" s="2">
        <f t="shared" si="15"/>
        <v>102</v>
      </c>
      <c r="BJ160" s="2">
        <f>Tabulka1[[#This Row],[P2O5_60]]*10</f>
        <v>845</v>
      </c>
      <c r="BK160" s="2">
        <f>Tabulka1[[#This Row],[K2O_30]]*10</f>
        <v>1000</v>
      </c>
      <c r="BL160" s="2">
        <f>Tabulka1[[#This Row],[K2O_60]]*10</f>
        <v>813.00000000000011</v>
      </c>
      <c r="BN160" s="2">
        <f>VLOOKUP(Tabulka1[[#This Row],[ID]],'Zdroj hloubka okresy'!$A$2:$F$171,5,FALSE)</f>
        <v>1.62</v>
      </c>
      <c r="BO160" s="2">
        <f>VLOOKUP(Tabulka1[[#This Row],[ID]],'Zdroj hloubka okresy'!$A$2:$D$171,3,FALSE)</f>
        <v>30</v>
      </c>
      <c r="BP160" s="2">
        <f>VLOOKUP(Tabulka1[[#This Row],[ID]],'Zdroj hloubka okresy'!$A$2:$D$171,4,FALSE)</f>
        <v>20</v>
      </c>
    </row>
    <row r="161" spans="1:68" x14ac:dyDescent="0.35">
      <c r="A161" s="13">
        <v>9170</v>
      </c>
      <c r="B161" s="14" t="s">
        <v>642</v>
      </c>
      <c r="C161" s="7">
        <v>7.39</v>
      </c>
      <c r="D161" s="7">
        <v>7.52</v>
      </c>
      <c r="E161" s="7">
        <v>6.8</v>
      </c>
      <c r="F161" s="7">
        <v>6.96</v>
      </c>
      <c r="G161" s="7">
        <v>2.2599999999999998</v>
      </c>
      <c r="H161" s="7">
        <v>1.35</v>
      </c>
      <c r="I161" s="7">
        <v>1.31</v>
      </c>
      <c r="J161" s="7">
        <v>0.78</v>
      </c>
      <c r="K161" s="7">
        <v>0</v>
      </c>
      <c r="L161" s="7">
        <v>0</v>
      </c>
      <c r="M161" s="7">
        <v>34</v>
      </c>
      <c r="N161" s="139">
        <v>21.8</v>
      </c>
      <c r="O161" s="139">
        <v>47</v>
      </c>
      <c r="P161" s="139">
        <v>31.400000000000002</v>
      </c>
      <c r="Q161" s="7">
        <v>13.8</v>
      </c>
      <c r="R161" s="7">
        <v>9.8000000000000007</v>
      </c>
      <c r="S161" s="7">
        <v>86.5</v>
      </c>
      <c r="T161" s="7">
        <v>86.5</v>
      </c>
      <c r="U161" s="4">
        <v>4</v>
      </c>
      <c r="V161" s="4">
        <f>VLOOKUP(Tabulka1[[#This Row],[ID]],'Zdroj hloubka okresy'!$A$2:$K$171,5,FALSE)</f>
        <v>1.61</v>
      </c>
      <c r="W161" s="4">
        <f>VLOOKUP(Tabulka1[[#This Row],[ID]],'Zdroj hloubka okresy'!$A$2:$K$171,6,FALSE)</f>
        <v>1.62</v>
      </c>
      <c r="X161" s="4">
        <v>8.0500000000000007</v>
      </c>
      <c r="Y161" s="4">
        <v>8.34</v>
      </c>
      <c r="Z161" s="4">
        <v>3.98</v>
      </c>
      <c r="AA161" s="4">
        <v>3.05</v>
      </c>
      <c r="AB161" s="4">
        <v>14.03</v>
      </c>
      <c r="AC161" s="4">
        <v>12.08</v>
      </c>
      <c r="AD161" s="4">
        <v>31.39</v>
      </c>
      <c r="AE161" s="4">
        <v>33.28</v>
      </c>
      <c r="AF161" s="4">
        <v>45.42</v>
      </c>
      <c r="AG161" s="4">
        <v>45.69</v>
      </c>
      <c r="AH161" s="4" t="s">
        <v>734</v>
      </c>
      <c r="AI161" s="5" t="s">
        <v>793</v>
      </c>
      <c r="AJ161" s="4">
        <v>18.77</v>
      </c>
      <c r="AK161" s="4">
        <v>3</v>
      </c>
      <c r="AL161" s="4" t="s">
        <v>798</v>
      </c>
      <c r="AM161" s="20" t="s">
        <v>824</v>
      </c>
      <c r="AN161" s="16" t="s">
        <v>802</v>
      </c>
      <c r="AO161" s="326"/>
      <c r="AP161" s="15">
        <v>0</v>
      </c>
      <c r="AQ161" s="9" t="str">
        <f>MID(Tabulka1[[#This Row],[BPEJ]],1,1)</f>
        <v>3</v>
      </c>
      <c r="AW161" s="9"/>
      <c r="AX161">
        <v>3</v>
      </c>
      <c r="AY161" s="114">
        <v>60</v>
      </c>
      <c r="AZ161" s="114">
        <v>0</v>
      </c>
      <c r="BA161" s="114">
        <v>0</v>
      </c>
      <c r="BB161" s="9">
        <v>3</v>
      </c>
      <c r="BC161" s="9" t="str">
        <f>MID(Tabulka1[[#This Row],[BPEJ]],3,2)</f>
        <v>60</v>
      </c>
      <c r="BD161" s="9" t="str">
        <f>MID(Tabulka1[[#This Row],[BPEJ]],6,1)</f>
        <v>0</v>
      </c>
      <c r="BE161" s="9" t="str">
        <f>MID(Tabulka1[[#This Row],[BPEJ]],7,1)</f>
        <v>0</v>
      </c>
      <c r="BF161" s="2" t="str">
        <f t="shared" si="14"/>
        <v>T</v>
      </c>
      <c r="BG161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161" s="134">
        <v>3.4</v>
      </c>
      <c r="BI161" s="2">
        <f t="shared" si="15"/>
        <v>34</v>
      </c>
      <c r="BJ161" s="2">
        <f>Tabulka1[[#This Row],[P2O5_60]]*10</f>
        <v>218</v>
      </c>
      <c r="BK161" s="2">
        <f>Tabulka1[[#This Row],[K2O_30]]*10</f>
        <v>470</v>
      </c>
      <c r="BL161" s="2">
        <f>Tabulka1[[#This Row],[K2O_60]]*10</f>
        <v>314</v>
      </c>
      <c r="BN161" s="2">
        <f>VLOOKUP(Tabulka1[[#This Row],[ID]],'Zdroj hloubka okresy'!$A$2:$F$171,5,FALSE)</f>
        <v>1.61</v>
      </c>
      <c r="BO161" s="2">
        <f>VLOOKUP(Tabulka1[[#This Row],[ID]],'Zdroj hloubka okresy'!$A$2:$D$171,3,FALSE)</f>
        <v>20</v>
      </c>
      <c r="BP161" s="2">
        <f>VLOOKUP(Tabulka1[[#This Row],[ID]],'Zdroj hloubka okresy'!$A$2:$D$171,4,FALSE)</f>
        <v>26</v>
      </c>
    </row>
    <row r="162" spans="1:68" x14ac:dyDescent="0.35">
      <c r="A162" s="13">
        <v>9173</v>
      </c>
      <c r="B162" s="14" t="s">
        <v>602</v>
      </c>
      <c r="C162" s="7">
        <v>7.65</v>
      </c>
      <c r="D162" s="7">
        <v>7.65</v>
      </c>
      <c r="E162" s="7">
        <v>7.1</v>
      </c>
      <c r="F162" s="7">
        <v>7.1</v>
      </c>
      <c r="G162" s="7">
        <v>2.2799999999999998</v>
      </c>
      <c r="H162" s="7">
        <v>1.55</v>
      </c>
      <c r="I162" s="7">
        <v>1.32</v>
      </c>
      <c r="J162" s="7">
        <v>0.9</v>
      </c>
      <c r="K162" s="7">
        <v>8</v>
      </c>
      <c r="L162" s="7">
        <v>8</v>
      </c>
      <c r="M162" s="7">
        <v>157</v>
      </c>
      <c r="N162" s="139">
        <v>98.5</v>
      </c>
      <c r="O162" s="139">
        <v>228</v>
      </c>
      <c r="P162" s="139">
        <v>189</v>
      </c>
      <c r="Q162" s="7">
        <v>34.71</v>
      </c>
      <c r="R162" s="7">
        <v>32.81</v>
      </c>
      <c r="S162" s="7">
        <v>100</v>
      </c>
      <c r="T162" s="7">
        <v>100</v>
      </c>
      <c r="U162" s="4">
        <v>4</v>
      </c>
      <c r="V162" s="4">
        <f>VLOOKUP(Tabulka1[[#This Row],[ID]],'Zdroj hloubka okresy'!$A$2:$K$171,5,FALSE)</f>
        <v>1.24</v>
      </c>
      <c r="W162" s="4">
        <f>VLOOKUP(Tabulka1[[#This Row],[ID]],'Zdroj hloubka okresy'!$A$2:$K$171,6,FALSE)</f>
        <v>1.21</v>
      </c>
      <c r="X162" s="4">
        <v>49.43</v>
      </c>
      <c r="Y162" s="4">
        <v>52.47</v>
      </c>
      <c r="Z162" s="4">
        <v>15.81</v>
      </c>
      <c r="AA162" s="4">
        <v>20.7</v>
      </c>
      <c r="AB162" s="4">
        <v>15.69</v>
      </c>
      <c r="AC162" s="4">
        <v>13.69</v>
      </c>
      <c r="AD162" s="4">
        <v>12.83</v>
      </c>
      <c r="AE162" s="4">
        <v>9.01</v>
      </c>
      <c r="AF162" s="4">
        <v>6.25</v>
      </c>
      <c r="AG162" s="4">
        <v>4.12</v>
      </c>
      <c r="AH162" s="4" t="s">
        <v>785</v>
      </c>
      <c r="AI162" s="5" t="s">
        <v>793</v>
      </c>
      <c r="AJ162" s="4">
        <v>12.74</v>
      </c>
      <c r="AK162" s="4">
        <v>3</v>
      </c>
      <c r="AL162" s="4" t="s">
        <v>798</v>
      </c>
      <c r="AM162" s="20" t="s">
        <v>824</v>
      </c>
      <c r="AN162" s="16" t="s">
        <v>802</v>
      </c>
      <c r="AO162" s="326"/>
      <c r="AP162" s="15">
        <v>0</v>
      </c>
      <c r="AQ162" s="9" t="str">
        <f>MID(Tabulka1[[#This Row],[BPEJ]],1,1)</f>
        <v>5</v>
      </c>
      <c r="AW162" s="9"/>
      <c r="AX162">
        <v>5</v>
      </c>
      <c r="AY162" s="114">
        <v>60</v>
      </c>
      <c r="AZ162" s="114">
        <v>0</v>
      </c>
      <c r="BA162" s="114">
        <v>0</v>
      </c>
      <c r="BB162" s="9">
        <v>5</v>
      </c>
      <c r="BC162" s="9" t="str">
        <f>MID(Tabulka1[[#This Row],[BPEJ]],3,2)</f>
        <v>60</v>
      </c>
      <c r="BD162" s="9" t="str">
        <f>MID(Tabulka1[[#This Row],[BPEJ]],6,1)</f>
        <v>0</v>
      </c>
      <c r="BE162" s="9" t="str">
        <f>MID(Tabulka1[[#This Row],[BPEJ]],7,1)</f>
        <v>0</v>
      </c>
      <c r="BF162" s="2" t="str">
        <f t="shared" ref="BF162:BF172" si="16">IF(OR(AX162=2,AX162=3,AX162=4,AX162=5),"T",IF(OR(AX162=0,AX162=1),"VT",IF(OR(AX162=6,AX162=7,AX162=8,AX162=9),"CH"," ")))</f>
        <v>T</v>
      </c>
      <c r="BG162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T</v>
      </c>
      <c r="BH162" s="7">
        <v>15.7</v>
      </c>
      <c r="BI162" s="2">
        <f t="shared" ref="BI162:BI172" si="17">BH162*10</f>
        <v>157</v>
      </c>
      <c r="BJ162" s="2">
        <f>Tabulka1[[#This Row],[P2O5_60]]*10</f>
        <v>985</v>
      </c>
      <c r="BK162" s="2">
        <f>Tabulka1[[#This Row],[K2O_30]]*10</f>
        <v>2280</v>
      </c>
      <c r="BL162" s="2">
        <f>Tabulka1[[#This Row],[K2O_60]]*10</f>
        <v>1890</v>
      </c>
      <c r="BN162" s="2">
        <f>VLOOKUP(Tabulka1[[#This Row],[ID]],'Zdroj hloubka okresy'!$A$2:$F$171,5,FALSE)</f>
        <v>1.24</v>
      </c>
      <c r="BO162" s="2">
        <f>VLOOKUP(Tabulka1[[#This Row],[ID]],'Zdroj hloubka okresy'!$A$2:$D$171,3,FALSE)</f>
        <v>26</v>
      </c>
      <c r="BP162" s="2">
        <f>VLOOKUP(Tabulka1[[#This Row],[ID]],'Zdroj hloubka okresy'!$A$2:$D$171,4,FALSE)</f>
        <v>35</v>
      </c>
    </row>
    <row r="163" spans="1:68" x14ac:dyDescent="0.35">
      <c r="A163" s="13">
        <v>9176</v>
      </c>
      <c r="B163" s="14" t="s">
        <v>663</v>
      </c>
      <c r="C163" s="7">
        <v>7.65</v>
      </c>
      <c r="D163" s="7">
        <v>7.68</v>
      </c>
      <c r="E163" s="7">
        <v>7.1</v>
      </c>
      <c r="F163" s="7">
        <v>7.13</v>
      </c>
      <c r="G163" s="7">
        <v>1.4</v>
      </c>
      <c r="H163" s="7">
        <v>1.05</v>
      </c>
      <c r="I163" s="7">
        <v>0.81</v>
      </c>
      <c r="J163" s="7">
        <v>0.61</v>
      </c>
      <c r="K163" s="7">
        <v>8</v>
      </c>
      <c r="L163" s="7">
        <v>15.27</v>
      </c>
      <c r="M163" s="7">
        <v>124</v>
      </c>
      <c r="N163" s="139">
        <v>84</v>
      </c>
      <c r="O163" s="139">
        <v>168</v>
      </c>
      <c r="P163" s="139">
        <v>147.30000000000001</v>
      </c>
      <c r="Q163" s="7">
        <v>26.1</v>
      </c>
      <c r="R163" s="7">
        <v>24.03</v>
      </c>
      <c r="S163" s="7">
        <v>100</v>
      </c>
      <c r="T163" s="7">
        <v>100</v>
      </c>
      <c r="U163" s="4">
        <v>3</v>
      </c>
      <c r="V163" s="4">
        <f>VLOOKUP(Tabulka1[[#This Row],[ID]],'Zdroj hloubka okresy'!$A$2:$K$171,5,FALSE)</f>
        <v>1.28</v>
      </c>
      <c r="W163" s="4">
        <f>VLOOKUP(Tabulka1[[#This Row],[ID]],'Zdroj hloubka okresy'!$A$2:$K$171,6,FALSE)</f>
        <v>1.26</v>
      </c>
      <c r="X163" s="4">
        <v>42.19</v>
      </c>
      <c r="Y163" s="4">
        <v>42.83</v>
      </c>
      <c r="Z163" s="4">
        <v>12.05</v>
      </c>
      <c r="AA163" s="4">
        <v>16.309999999999999</v>
      </c>
      <c r="AB163" s="4">
        <v>17.98</v>
      </c>
      <c r="AC163" s="4">
        <v>19.37</v>
      </c>
      <c r="AD163" s="4">
        <v>15.86</v>
      </c>
      <c r="AE163" s="4">
        <v>14.71</v>
      </c>
      <c r="AF163" s="4">
        <v>11.92</v>
      </c>
      <c r="AG163" s="4">
        <v>6.77</v>
      </c>
      <c r="AH163" s="4" t="s">
        <v>786</v>
      </c>
      <c r="AI163" s="5" t="s">
        <v>790</v>
      </c>
      <c r="AJ163" s="4">
        <v>8</v>
      </c>
      <c r="AK163" s="4">
        <v>3</v>
      </c>
      <c r="AL163" s="4" t="s">
        <v>798</v>
      </c>
      <c r="AM163" s="20" t="s">
        <v>824</v>
      </c>
      <c r="AN163" s="16" t="s">
        <v>806</v>
      </c>
      <c r="AO163" s="326"/>
      <c r="AP163" s="15">
        <v>0</v>
      </c>
      <c r="AQ163" s="9" t="str">
        <f>MID(Tabulka1[[#This Row],[BPEJ]],1,1)</f>
        <v>3</v>
      </c>
      <c r="AW163" s="9"/>
      <c r="AX163">
        <v>3</v>
      </c>
      <c r="AY163" s="114">
        <v>53</v>
      </c>
      <c r="AZ163" s="114">
        <v>0</v>
      </c>
      <c r="BA163" s="114">
        <v>1</v>
      </c>
      <c r="BB163" s="9">
        <v>3</v>
      </c>
      <c r="BC163" s="9" t="str">
        <f>MID(Tabulka1[[#This Row],[BPEJ]],3,2)</f>
        <v>53</v>
      </c>
      <c r="BD163" s="9" t="str">
        <f>MID(Tabulka1[[#This Row],[BPEJ]],6,1)</f>
        <v>0</v>
      </c>
      <c r="BE163" s="9" t="str">
        <f>MID(Tabulka1[[#This Row],[BPEJ]],7,1)</f>
        <v>1</v>
      </c>
      <c r="BF163" s="2" t="str">
        <f t="shared" si="16"/>
        <v>T</v>
      </c>
      <c r="BG163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T</v>
      </c>
      <c r="BH163" s="134">
        <v>12.4</v>
      </c>
      <c r="BI163" s="2">
        <f t="shared" si="17"/>
        <v>124</v>
      </c>
      <c r="BJ163" s="2">
        <f>Tabulka1[[#This Row],[P2O5_60]]*10</f>
        <v>840</v>
      </c>
      <c r="BK163" s="2">
        <f>Tabulka1[[#This Row],[K2O_30]]*10</f>
        <v>1680</v>
      </c>
      <c r="BL163" s="2">
        <f>Tabulka1[[#This Row],[K2O_60]]*10</f>
        <v>1473</v>
      </c>
      <c r="BN163" s="2">
        <f>VLOOKUP(Tabulka1[[#This Row],[ID]],'Zdroj hloubka okresy'!$A$2:$F$171,5,FALSE)</f>
        <v>1.28</v>
      </c>
      <c r="BO163" s="2">
        <f>VLOOKUP(Tabulka1[[#This Row],[ID]],'Zdroj hloubka okresy'!$A$2:$D$171,3,FALSE)</f>
        <v>24</v>
      </c>
      <c r="BP163" s="2">
        <f>VLOOKUP(Tabulka1[[#This Row],[ID]],'Zdroj hloubka okresy'!$A$2:$D$171,4,FALSE)</f>
        <v>16</v>
      </c>
    </row>
    <row r="164" spans="1:68" x14ac:dyDescent="0.35">
      <c r="A164" s="13">
        <v>9179</v>
      </c>
      <c r="B164" s="14" t="s">
        <v>623</v>
      </c>
      <c r="C164" s="7">
        <v>7.13</v>
      </c>
      <c r="D164" s="7">
        <v>7.32</v>
      </c>
      <c r="E164" s="7">
        <v>6.5</v>
      </c>
      <c r="F164" s="7">
        <v>6.72</v>
      </c>
      <c r="G164" s="7">
        <v>1.54</v>
      </c>
      <c r="H164" s="7">
        <v>0.89</v>
      </c>
      <c r="I164" s="7">
        <v>0.89</v>
      </c>
      <c r="J164" s="7">
        <v>0.52</v>
      </c>
      <c r="K164" s="7">
        <v>0</v>
      </c>
      <c r="L164" s="7">
        <v>0.05</v>
      </c>
      <c r="M164" s="7">
        <v>95</v>
      </c>
      <c r="N164" s="139">
        <v>61.2</v>
      </c>
      <c r="O164" s="139">
        <v>94</v>
      </c>
      <c r="P164" s="139">
        <v>78.3</v>
      </c>
      <c r="Q164" s="7">
        <v>16.62</v>
      </c>
      <c r="R164" s="7">
        <v>13.34</v>
      </c>
      <c r="S164" s="7">
        <v>82.16</v>
      </c>
      <c r="T164" s="7">
        <v>89</v>
      </c>
      <c r="U164" s="4">
        <v>4</v>
      </c>
      <c r="V164" s="4">
        <f>VLOOKUP(Tabulka1[[#This Row],[ID]],'Zdroj hloubka okresy'!$A$2:$K$171,5,FALSE)</f>
        <v>1.37</v>
      </c>
      <c r="W164" s="4">
        <f>VLOOKUP(Tabulka1[[#This Row],[ID]],'Zdroj hloubka okresy'!$A$2:$K$171,6,FALSE)</f>
        <v>1.41</v>
      </c>
      <c r="X164" s="4">
        <v>20.5</v>
      </c>
      <c r="Y164" s="4">
        <v>19.260000000000002</v>
      </c>
      <c r="Z164" s="4">
        <v>6.99</v>
      </c>
      <c r="AA164" s="4">
        <v>6</v>
      </c>
      <c r="AB164" s="4">
        <v>38.700000000000003</v>
      </c>
      <c r="AC164" s="4">
        <v>26.69</v>
      </c>
      <c r="AD164" s="4">
        <v>26.14</v>
      </c>
      <c r="AE164" s="4">
        <v>31.22</v>
      </c>
      <c r="AF164" s="4">
        <v>8.33</v>
      </c>
      <c r="AG164" s="4">
        <v>18.79</v>
      </c>
      <c r="AH164" s="4" t="s">
        <v>742</v>
      </c>
      <c r="AI164" s="5" t="s">
        <v>793</v>
      </c>
      <c r="AJ164" s="4">
        <v>17.920000000000002</v>
      </c>
      <c r="AK164" s="4">
        <v>5</v>
      </c>
      <c r="AL164" s="4" t="s">
        <v>798</v>
      </c>
      <c r="AM164" s="20" t="s">
        <v>824</v>
      </c>
      <c r="AN164" s="16" t="s">
        <v>803</v>
      </c>
      <c r="AO164" s="326"/>
      <c r="AP164" s="15">
        <v>0</v>
      </c>
      <c r="AQ164" s="9" t="str">
        <f>MID(Tabulka1[[#This Row],[BPEJ]],1,1)</f>
        <v>3</v>
      </c>
      <c r="AW164" s="9"/>
      <c r="AX164">
        <v>3</v>
      </c>
      <c r="AY164" s="114">
        <v>10</v>
      </c>
      <c r="AZ164" s="114">
        <v>0</v>
      </c>
      <c r="BA164" s="114">
        <v>0</v>
      </c>
      <c r="BB164" s="9">
        <v>3</v>
      </c>
      <c r="BC164" s="9" t="str">
        <f>MID(Tabulka1[[#This Row],[BPEJ]],3,2)</f>
        <v>10</v>
      </c>
      <c r="BD164" s="9" t="str">
        <f>MID(Tabulka1[[#This Row],[BPEJ]],6,1)</f>
        <v>0</v>
      </c>
      <c r="BE164" s="9" t="str">
        <f>MID(Tabulka1[[#This Row],[BPEJ]],7,1)</f>
        <v>0</v>
      </c>
      <c r="BF164" s="2" t="str">
        <f t="shared" si="16"/>
        <v>T</v>
      </c>
      <c r="BG164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64" s="7">
        <v>9.5</v>
      </c>
      <c r="BI164" s="2">
        <f t="shared" si="17"/>
        <v>95</v>
      </c>
      <c r="BJ164" s="2">
        <f>Tabulka1[[#This Row],[P2O5_60]]*10</f>
        <v>612</v>
      </c>
      <c r="BK164" s="2">
        <f>Tabulka1[[#This Row],[K2O_30]]*10</f>
        <v>940</v>
      </c>
      <c r="BL164" s="2">
        <f>Tabulka1[[#This Row],[K2O_60]]*10</f>
        <v>783</v>
      </c>
      <c r="BN164" s="2">
        <f>VLOOKUP(Tabulka1[[#This Row],[ID]],'Zdroj hloubka okresy'!$A$2:$F$171,5,FALSE)</f>
        <v>1.37</v>
      </c>
      <c r="BO164" s="2">
        <f>VLOOKUP(Tabulka1[[#This Row],[ID]],'Zdroj hloubka okresy'!$A$2:$D$171,3,FALSE)</f>
        <v>24</v>
      </c>
      <c r="BP164" s="2">
        <f>VLOOKUP(Tabulka1[[#This Row],[ID]],'Zdroj hloubka okresy'!$A$2:$D$171,4,FALSE)</f>
        <v>14</v>
      </c>
    </row>
    <row r="165" spans="1:68" x14ac:dyDescent="0.35">
      <c r="A165" s="13">
        <v>9182</v>
      </c>
      <c r="B165" s="14" t="s">
        <v>605</v>
      </c>
      <c r="C165" s="7">
        <v>7.69</v>
      </c>
      <c r="D165" s="7">
        <v>7.62</v>
      </c>
      <c r="E165" s="7">
        <v>7.15</v>
      </c>
      <c r="F165" s="7">
        <v>7.07</v>
      </c>
      <c r="G165" s="7">
        <v>1.33</v>
      </c>
      <c r="H165" s="7">
        <v>0.96</v>
      </c>
      <c r="I165" s="7">
        <v>0.77</v>
      </c>
      <c r="J165" s="7">
        <v>0.56000000000000005</v>
      </c>
      <c r="K165" s="7">
        <v>0.1</v>
      </c>
      <c r="L165" s="7">
        <v>0.81</v>
      </c>
      <c r="M165" s="7">
        <v>83.800000000000011</v>
      </c>
      <c r="N165" s="139">
        <v>60.599999999999994</v>
      </c>
      <c r="O165" s="139">
        <v>186.70000000000002</v>
      </c>
      <c r="P165" s="139">
        <v>151.69999999999999</v>
      </c>
      <c r="Q165" s="7">
        <v>21.13</v>
      </c>
      <c r="R165" s="7">
        <v>25.12</v>
      </c>
      <c r="S165" s="7">
        <v>98.65</v>
      </c>
      <c r="T165" s="7">
        <v>98.76</v>
      </c>
      <c r="U165" s="4">
        <v>4</v>
      </c>
      <c r="V165" s="4">
        <f>VLOOKUP(Tabulka1[[#This Row],[ID]],'Zdroj hloubka okresy'!$A$2:$K$171,5,FALSE)</f>
        <v>1.34</v>
      </c>
      <c r="W165" s="4">
        <f>VLOOKUP(Tabulka1[[#This Row],[ID]],'Zdroj hloubka okresy'!$A$2:$K$171,6,FALSE)</f>
        <v>1.29</v>
      </c>
      <c r="X165" s="4">
        <v>32.71</v>
      </c>
      <c r="Y165" s="4">
        <v>40.770000000000003</v>
      </c>
      <c r="Z165" s="4">
        <v>5.6</v>
      </c>
      <c r="AA165" s="4">
        <v>7.69</v>
      </c>
      <c r="AB165" s="4">
        <v>17.38</v>
      </c>
      <c r="AC165" s="4">
        <v>15.56</v>
      </c>
      <c r="AD165" s="4">
        <v>14.22</v>
      </c>
      <c r="AE165" s="4">
        <v>12.32</v>
      </c>
      <c r="AF165" s="4">
        <v>30.09</v>
      </c>
      <c r="AG165" s="4">
        <v>23.66</v>
      </c>
      <c r="AH165" s="4" t="s">
        <v>778</v>
      </c>
      <c r="AI165" s="5" t="s">
        <v>789</v>
      </c>
      <c r="AJ165" s="4">
        <v>15.664999999999999</v>
      </c>
      <c r="AK165" s="4">
        <v>3</v>
      </c>
      <c r="AL165" s="4" t="s">
        <v>798</v>
      </c>
      <c r="AM165" s="20" t="s">
        <v>824</v>
      </c>
      <c r="AN165" s="16" t="s">
        <v>806</v>
      </c>
      <c r="AO165" s="326"/>
      <c r="AP165" s="15">
        <v>0</v>
      </c>
      <c r="AQ165" s="9" t="str">
        <f>MID(Tabulka1[[#This Row],[BPEJ]],1,1)</f>
        <v>3</v>
      </c>
      <c r="AW165" s="9"/>
      <c r="AX165">
        <v>3</v>
      </c>
      <c r="AY165" s="114">
        <v>6</v>
      </c>
      <c r="AZ165" s="114">
        <v>0</v>
      </c>
      <c r="BA165" s="114">
        <v>0</v>
      </c>
      <c r="BB165" s="9">
        <v>3</v>
      </c>
      <c r="BC165" s="9" t="str">
        <f>MID(Tabulka1[[#This Row],[BPEJ]],3,2)</f>
        <v>06</v>
      </c>
      <c r="BD165" s="9" t="str">
        <f>MID(Tabulka1[[#This Row],[BPEJ]],6,1)</f>
        <v>0</v>
      </c>
      <c r="BE165" s="9" t="str">
        <f>MID(Tabulka1[[#This Row],[BPEJ]],7,1)</f>
        <v>0</v>
      </c>
      <c r="BF165" s="2" t="str">
        <f t="shared" si="16"/>
        <v>T</v>
      </c>
      <c r="BG165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65" s="134">
        <v>8.3800000000000008</v>
      </c>
      <c r="BI165" s="2">
        <f t="shared" si="17"/>
        <v>83.800000000000011</v>
      </c>
      <c r="BJ165" s="2">
        <f>Tabulka1[[#This Row],[P2O5_60]]*10</f>
        <v>606</v>
      </c>
      <c r="BK165" s="2">
        <f>Tabulka1[[#This Row],[K2O_30]]*10</f>
        <v>1867.0000000000002</v>
      </c>
      <c r="BL165" s="2">
        <f>Tabulka1[[#This Row],[K2O_60]]*10</f>
        <v>1517</v>
      </c>
      <c r="BN165" s="2">
        <f>VLOOKUP(Tabulka1[[#This Row],[ID]],'Zdroj hloubka okresy'!$A$2:$F$171,5,FALSE)</f>
        <v>1.34</v>
      </c>
      <c r="BO165" s="2">
        <f>VLOOKUP(Tabulka1[[#This Row],[ID]],'Zdroj hloubka okresy'!$A$2:$D$171,3,FALSE)</f>
        <v>22</v>
      </c>
      <c r="BP165" s="2">
        <f>VLOOKUP(Tabulka1[[#This Row],[ID]],'Zdroj hloubka okresy'!$A$2:$D$171,4,FALSE)</f>
        <v>18</v>
      </c>
    </row>
    <row r="166" spans="1:68" x14ac:dyDescent="0.35">
      <c r="A166" s="13">
        <v>9185</v>
      </c>
      <c r="B166" s="14" t="s">
        <v>655</v>
      </c>
      <c r="C166" s="7">
        <v>6.58</v>
      </c>
      <c r="D166" s="7">
        <v>6.42</v>
      </c>
      <c r="E166" s="7">
        <v>5.86</v>
      </c>
      <c r="F166" s="7">
        <v>5.68</v>
      </c>
      <c r="G166" s="7">
        <v>2.88</v>
      </c>
      <c r="H166" s="7">
        <v>2.02</v>
      </c>
      <c r="I166" s="7">
        <v>1.67</v>
      </c>
      <c r="J166" s="7">
        <v>1.18</v>
      </c>
      <c r="K166" s="7">
        <v>0</v>
      </c>
      <c r="L166" s="7">
        <v>0</v>
      </c>
      <c r="M166" s="7">
        <v>17.5</v>
      </c>
      <c r="N166" s="139">
        <v>11.100000000000001</v>
      </c>
      <c r="O166" s="139">
        <v>47.699999999999996</v>
      </c>
      <c r="P166" s="139">
        <v>39.200000000000003</v>
      </c>
      <c r="Q166" s="7">
        <v>20.47</v>
      </c>
      <c r="R166" s="7">
        <v>18.52</v>
      </c>
      <c r="S166" s="7">
        <v>72.59</v>
      </c>
      <c r="T166" s="7">
        <v>73.03</v>
      </c>
      <c r="U166" s="4">
        <v>4</v>
      </c>
      <c r="V166" s="4">
        <f>VLOOKUP(Tabulka1[[#This Row],[ID]],'Zdroj hloubka okresy'!$A$2:$K$171,5,FALSE)</f>
        <v>1.59</v>
      </c>
      <c r="W166" s="4">
        <f>VLOOKUP(Tabulka1[[#This Row],[ID]],'Zdroj hloubka okresy'!$A$2:$K$171,6,FALSE)</f>
        <v>1.51</v>
      </c>
      <c r="X166" s="4">
        <v>6.15</v>
      </c>
      <c r="Y166" s="4">
        <v>7.59</v>
      </c>
      <c r="Z166" s="4">
        <v>13.35</v>
      </c>
      <c r="AA166" s="4">
        <v>13.5</v>
      </c>
      <c r="AB166" s="4">
        <v>40.700000000000003</v>
      </c>
      <c r="AC166" s="4">
        <v>41.36</v>
      </c>
      <c r="AD166" s="4">
        <v>39.06</v>
      </c>
      <c r="AE166" s="4">
        <v>36.979999999999997</v>
      </c>
      <c r="AF166" s="4">
        <v>0.74</v>
      </c>
      <c r="AG166" s="4">
        <v>0.56000000000000005</v>
      </c>
      <c r="AH166" s="4" t="s">
        <v>777</v>
      </c>
      <c r="AI166" s="5" t="s">
        <v>793</v>
      </c>
      <c r="AJ166" s="4">
        <v>10.7</v>
      </c>
      <c r="AK166" s="4">
        <v>3</v>
      </c>
      <c r="AL166" s="4" t="s">
        <v>798</v>
      </c>
      <c r="AM166" s="20" t="s">
        <v>824</v>
      </c>
      <c r="AN166" s="16" t="s">
        <v>802</v>
      </c>
      <c r="AO166" s="326"/>
      <c r="AP166" s="15">
        <v>0</v>
      </c>
      <c r="AQ166" s="9" t="str">
        <f>MID(Tabulka1[[#This Row],[BPEJ]],1,1)</f>
        <v>5</v>
      </c>
      <c r="AW166" s="9"/>
      <c r="AX166">
        <v>5</v>
      </c>
      <c r="AY166" s="114">
        <v>56</v>
      </c>
      <c r="AZ166" s="114">
        <v>0</v>
      </c>
      <c r="BA166" s="114">
        <v>0</v>
      </c>
      <c r="BB166" s="9">
        <v>5</v>
      </c>
      <c r="BC166" s="9" t="str">
        <f>MID(Tabulka1[[#This Row],[BPEJ]],3,2)</f>
        <v>56</v>
      </c>
      <c r="BD166" s="9" t="str">
        <f>MID(Tabulka1[[#This Row],[BPEJ]],6,1)</f>
        <v>0</v>
      </c>
      <c r="BE166" s="9" t="str">
        <f>MID(Tabulka1[[#This Row],[BPEJ]],7,1)</f>
        <v>0</v>
      </c>
      <c r="BF166" s="2" t="str">
        <f t="shared" si="16"/>
        <v>T</v>
      </c>
      <c r="BG166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L</v>
      </c>
      <c r="BH166" s="7">
        <v>1.75</v>
      </c>
      <c r="BI166" s="2">
        <f t="shared" si="17"/>
        <v>17.5</v>
      </c>
      <c r="BJ166" s="2">
        <f>Tabulka1[[#This Row],[P2O5_60]]*10</f>
        <v>111.00000000000001</v>
      </c>
      <c r="BK166" s="2">
        <f>Tabulka1[[#This Row],[K2O_30]]*10</f>
        <v>476.99999999999994</v>
      </c>
      <c r="BL166" s="2">
        <f>Tabulka1[[#This Row],[K2O_60]]*10</f>
        <v>392</v>
      </c>
      <c r="BN166" s="2">
        <f>VLOOKUP(Tabulka1[[#This Row],[ID]],'Zdroj hloubka okresy'!$A$2:$F$171,5,FALSE)</f>
        <v>1.59</v>
      </c>
      <c r="BO166" s="2">
        <f>VLOOKUP(Tabulka1[[#This Row],[ID]],'Zdroj hloubka okresy'!$A$2:$D$171,3,FALSE)</f>
        <v>26</v>
      </c>
      <c r="BP166" s="2">
        <f>VLOOKUP(Tabulka1[[#This Row],[ID]],'Zdroj hloubka okresy'!$A$2:$D$171,4,FALSE)</f>
        <v>24</v>
      </c>
    </row>
    <row r="167" spans="1:68" x14ac:dyDescent="0.35">
      <c r="A167" s="13">
        <v>9188</v>
      </c>
      <c r="B167" s="14" t="s">
        <v>653</v>
      </c>
      <c r="C167" s="7">
        <v>6.53</v>
      </c>
      <c r="D167" s="7">
        <v>6.7</v>
      </c>
      <c r="E167" s="7">
        <v>5.8</v>
      </c>
      <c r="F167" s="7">
        <v>6</v>
      </c>
      <c r="G167" s="7">
        <v>2.62</v>
      </c>
      <c r="H167" s="7">
        <v>1.84</v>
      </c>
      <c r="I167" s="7">
        <v>1.52</v>
      </c>
      <c r="J167" s="7">
        <v>1.07</v>
      </c>
      <c r="K167" s="7">
        <v>0</v>
      </c>
      <c r="L167" s="7">
        <v>0</v>
      </c>
      <c r="M167" s="7">
        <v>18</v>
      </c>
      <c r="N167" s="139">
        <v>18</v>
      </c>
      <c r="O167" s="139">
        <v>50.300000000000004</v>
      </c>
      <c r="P167" s="139">
        <v>40.700000000000003</v>
      </c>
      <c r="Q167" s="7">
        <v>20.83</v>
      </c>
      <c r="R167" s="7">
        <v>18.87</v>
      </c>
      <c r="S167" s="7">
        <v>72.03</v>
      </c>
      <c r="T167" s="7">
        <v>76.569999999999993</v>
      </c>
      <c r="U167" s="4">
        <v>2</v>
      </c>
      <c r="V167" s="4">
        <f>VLOOKUP(Tabulka1[[#This Row],[ID]],'Zdroj hloubka okresy'!$A$2:$K$171,5,FALSE)</f>
        <v>1.47</v>
      </c>
      <c r="W167" s="4">
        <f>VLOOKUP(Tabulka1[[#This Row],[ID]],'Zdroj hloubka okresy'!$A$2:$K$171,6,FALSE)</f>
        <v>1.45</v>
      </c>
      <c r="X167" s="4">
        <v>11.96</v>
      </c>
      <c r="Y167" s="4">
        <v>13.05</v>
      </c>
      <c r="Z167" s="4">
        <v>19.239999999999998</v>
      </c>
      <c r="AA167" s="4">
        <v>17.850000000000001</v>
      </c>
      <c r="AB167" s="4">
        <v>41.37</v>
      </c>
      <c r="AC167" s="4">
        <v>42.03</v>
      </c>
      <c r="AD167" s="4">
        <v>25.33</v>
      </c>
      <c r="AE167" s="4">
        <v>24.57</v>
      </c>
      <c r="AF167" s="4">
        <v>2.1</v>
      </c>
      <c r="AG167" s="4">
        <v>2.5</v>
      </c>
      <c r="AH167" s="4" t="s">
        <v>751</v>
      </c>
      <c r="AI167" s="5" t="s">
        <v>789</v>
      </c>
      <c r="AJ167" s="4">
        <v>13.29</v>
      </c>
      <c r="AK167" s="4">
        <v>3</v>
      </c>
      <c r="AL167" s="4" t="s">
        <v>798</v>
      </c>
      <c r="AM167" s="20" t="s">
        <v>796</v>
      </c>
      <c r="AN167" s="16" t="s">
        <v>803</v>
      </c>
      <c r="AO167" s="326"/>
      <c r="AP167" s="15">
        <v>0</v>
      </c>
      <c r="AQ167" s="9" t="str">
        <f>MID(Tabulka1[[#This Row],[BPEJ]],1,1)</f>
        <v>3</v>
      </c>
      <c r="AW167" s="9"/>
      <c r="AX167">
        <v>3</v>
      </c>
      <c r="AY167" s="114">
        <v>58</v>
      </c>
      <c r="AZ167" s="114">
        <v>0</v>
      </c>
      <c r="BA167" s="114">
        <v>0</v>
      </c>
      <c r="BB167" s="9">
        <v>3</v>
      </c>
      <c r="BC167" s="9" t="str">
        <f>MID(Tabulka1[[#This Row],[BPEJ]],3,2)</f>
        <v>58</v>
      </c>
      <c r="BD167" s="9" t="str">
        <f>MID(Tabulka1[[#This Row],[BPEJ]],6,1)</f>
        <v>0</v>
      </c>
      <c r="BE167" s="9" t="str">
        <f>MID(Tabulka1[[#This Row],[BPEJ]],7,1)</f>
        <v>0</v>
      </c>
      <c r="BF167" s="2" t="str">
        <f t="shared" si="16"/>
        <v>T</v>
      </c>
      <c r="BG167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67" s="134">
        <v>1.8</v>
      </c>
      <c r="BI167" s="2">
        <f t="shared" si="17"/>
        <v>18</v>
      </c>
      <c r="BJ167" s="2">
        <f>Tabulka1[[#This Row],[P2O5_60]]*10</f>
        <v>180</v>
      </c>
      <c r="BK167" s="2">
        <f>Tabulka1[[#This Row],[K2O_30]]*10</f>
        <v>503.00000000000006</v>
      </c>
      <c r="BL167" s="2">
        <f>Tabulka1[[#This Row],[K2O_60]]*10</f>
        <v>407</v>
      </c>
      <c r="BN167" s="2">
        <f>VLOOKUP(Tabulka1[[#This Row],[ID]],'Zdroj hloubka okresy'!$A$2:$F$171,5,FALSE)</f>
        <v>1.47</v>
      </c>
      <c r="BO167" s="2">
        <f>VLOOKUP(Tabulka1[[#This Row],[ID]],'Zdroj hloubka okresy'!$A$2:$D$171,3,FALSE)</f>
        <v>20</v>
      </c>
      <c r="BP167" s="2">
        <f>VLOOKUP(Tabulka1[[#This Row],[ID]],'Zdroj hloubka okresy'!$A$2:$D$171,4,FALSE)</f>
        <v>40</v>
      </c>
    </row>
    <row r="168" spans="1:68" x14ac:dyDescent="0.35">
      <c r="A168" s="13">
        <v>9191</v>
      </c>
      <c r="B168" s="14" t="s">
        <v>662</v>
      </c>
      <c r="C168" s="7">
        <v>6.56</v>
      </c>
      <c r="D168" s="7">
        <v>6.39</v>
      </c>
      <c r="E168" s="7">
        <v>5.83</v>
      </c>
      <c r="F168" s="7">
        <v>5.64</v>
      </c>
      <c r="G168" s="7">
        <v>1.76</v>
      </c>
      <c r="H168" s="7">
        <v>1.4</v>
      </c>
      <c r="I168" s="7">
        <v>1.02</v>
      </c>
      <c r="J168" s="7">
        <v>0.81</v>
      </c>
      <c r="K168" s="7">
        <v>0</v>
      </c>
      <c r="L168" s="7">
        <v>0</v>
      </c>
      <c r="M168" s="7">
        <v>35.299999999999997</v>
      </c>
      <c r="N168" s="139">
        <v>22.5</v>
      </c>
      <c r="O168" s="139">
        <v>55.8</v>
      </c>
      <c r="P168" s="139">
        <v>45.4</v>
      </c>
      <c r="Q168" s="7">
        <v>17.02</v>
      </c>
      <c r="R168" s="7">
        <v>18.329999999999998</v>
      </c>
      <c r="S168" s="7">
        <v>75.88</v>
      </c>
      <c r="T168" s="7">
        <v>73.44</v>
      </c>
      <c r="U168" s="4">
        <v>2</v>
      </c>
      <c r="V168" s="4">
        <f>VLOOKUP(Tabulka1[[#This Row],[ID]],'Zdroj hloubka okresy'!$A$2:$K$171,5,FALSE)</f>
        <v>1.47</v>
      </c>
      <c r="W168" s="4">
        <f>VLOOKUP(Tabulka1[[#This Row],[ID]],'Zdroj hloubka okresy'!$A$2:$K$171,6,FALSE)</f>
        <v>1.41</v>
      </c>
      <c r="X168" s="4">
        <v>13.35</v>
      </c>
      <c r="Y168" s="4">
        <v>14.65</v>
      </c>
      <c r="Z168" s="4">
        <v>16.09</v>
      </c>
      <c r="AA168" s="4">
        <v>18.420000000000002</v>
      </c>
      <c r="AB168" s="4">
        <v>32.99</v>
      </c>
      <c r="AC168" s="4">
        <v>32.97</v>
      </c>
      <c r="AD168" s="4">
        <v>28.65</v>
      </c>
      <c r="AE168" s="4">
        <v>26.52</v>
      </c>
      <c r="AF168" s="4">
        <v>8.91</v>
      </c>
      <c r="AG168" s="4">
        <v>7.44</v>
      </c>
      <c r="AH168" s="4" t="s">
        <v>787</v>
      </c>
      <c r="AI168" s="5" t="s">
        <v>792</v>
      </c>
      <c r="AJ168" s="4">
        <v>6.4</v>
      </c>
      <c r="AK168" s="4">
        <v>3</v>
      </c>
      <c r="AL168" s="4" t="s">
        <v>798</v>
      </c>
      <c r="AM168" s="20" t="s">
        <v>796</v>
      </c>
      <c r="AN168" s="16" t="s">
        <v>802</v>
      </c>
      <c r="AO168" s="326"/>
      <c r="AP168" s="15">
        <v>0</v>
      </c>
      <c r="AQ168" s="9" t="str">
        <f>MID(Tabulka1[[#This Row],[BPEJ]],1,1)</f>
        <v>5</v>
      </c>
      <c r="AW168" s="9"/>
      <c r="AX168">
        <v>5</v>
      </c>
      <c r="AY168" s="114">
        <v>19</v>
      </c>
      <c r="AZ168" s="114">
        <v>4</v>
      </c>
      <c r="BA168" s="114">
        <v>1</v>
      </c>
      <c r="BB168" s="9">
        <v>5</v>
      </c>
      <c r="BC168" s="9" t="str">
        <f>MID(Tabulka1[[#This Row],[BPEJ]],3,2)</f>
        <v>19</v>
      </c>
      <c r="BD168" s="9" t="str">
        <f>MID(Tabulka1[[#This Row],[BPEJ]],6,1)</f>
        <v>4</v>
      </c>
      <c r="BE168" s="9" t="str">
        <f>MID(Tabulka1[[#This Row],[BPEJ]],7,1)</f>
        <v>1</v>
      </c>
      <c r="BF168" s="2" t="str">
        <f t="shared" si="16"/>
        <v>T</v>
      </c>
      <c r="BG168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68" s="7">
        <v>3.53</v>
      </c>
      <c r="BI168" s="2">
        <f t="shared" si="17"/>
        <v>35.299999999999997</v>
      </c>
      <c r="BJ168" s="2">
        <f>Tabulka1[[#This Row],[P2O5_60]]*10</f>
        <v>225</v>
      </c>
      <c r="BK168" s="2">
        <f>Tabulka1[[#This Row],[K2O_30]]*10</f>
        <v>558</v>
      </c>
      <c r="BL168" s="2">
        <f>Tabulka1[[#This Row],[K2O_60]]*10</f>
        <v>454</v>
      </c>
      <c r="BN168" s="2">
        <f>VLOOKUP(Tabulka1[[#This Row],[ID]],'Zdroj hloubka okresy'!$A$2:$F$171,5,FALSE)</f>
        <v>1.47</v>
      </c>
      <c r="BO168" s="2">
        <f>VLOOKUP(Tabulka1[[#This Row],[ID]],'Zdroj hloubka okresy'!$A$2:$D$171,3,FALSE)</f>
        <v>25</v>
      </c>
      <c r="BP168" s="2">
        <f>VLOOKUP(Tabulka1[[#This Row],[ID]],'Zdroj hloubka okresy'!$A$2:$D$171,4,FALSE)</f>
        <v>17</v>
      </c>
    </row>
    <row r="169" spans="1:68" x14ac:dyDescent="0.35">
      <c r="A169" s="13">
        <v>9194</v>
      </c>
      <c r="B169" s="14" t="s">
        <v>637</v>
      </c>
      <c r="C169" s="7">
        <v>7.73</v>
      </c>
      <c r="D169" s="7">
        <v>7.73</v>
      </c>
      <c r="E169" s="7">
        <v>7.2</v>
      </c>
      <c r="F169" s="7">
        <v>7.2</v>
      </c>
      <c r="G169" s="7">
        <v>1.31</v>
      </c>
      <c r="H169" s="7">
        <v>0.94</v>
      </c>
      <c r="I169" s="7">
        <v>0.76</v>
      </c>
      <c r="J169" s="7">
        <v>0.55000000000000004</v>
      </c>
      <c r="K169" s="7">
        <v>3</v>
      </c>
      <c r="L169" s="7">
        <v>3</v>
      </c>
      <c r="M169" s="7">
        <v>125</v>
      </c>
      <c r="N169" s="139">
        <v>94.2</v>
      </c>
      <c r="O169" s="139">
        <v>70</v>
      </c>
      <c r="P169" s="139">
        <v>60.7</v>
      </c>
      <c r="Q169" s="7">
        <v>14.9</v>
      </c>
      <c r="R169" s="7">
        <v>13.22</v>
      </c>
      <c r="S169" s="7">
        <v>100</v>
      </c>
      <c r="T169" s="7">
        <v>100</v>
      </c>
      <c r="U169" s="4">
        <v>2</v>
      </c>
      <c r="V169" s="4">
        <f>VLOOKUP(Tabulka1[[#This Row],[ID]],'Zdroj hloubka okresy'!$A$2:$K$171,5,FALSE)</f>
        <v>1.38</v>
      </c>
      <c r="W169" s="4">
        <f>VLOOKUP(Tabulka1[[#This Row],[ID]],'Zdroj hloubka okresy'!$A$2:$K$171,6,FALSE)</f>
        <v>1.4</v>
      </c>
      <c r="X169" s="4">
        <v>16.75</v>
      </c>
      <c r="Y169" s="4">
        <v>16.93</v>
      </c>
      <c r="Z169" s="4">
        <v>11.35</v>
      </c>
      <c r="AA169" s="4">
        <v>10.86</v>
      </c>
      <c r="AB169" s="4">
        <v>59.6</v>
      </c>
      <c r="AC169" s="4">
        <v>59.74</v>
      </c>
      <c r="AD169" s="4">
        <v>11.5</v>
      </c>
      <c r="AE169" s="4">
        <v>12</v>
      </c>
      <c r="AF169" s="4">
        <v>0.8</v>
      </c>
      <c r="AG169" s="4">
        <v>0.47</v>
      </c>
      <c r="AH169" s="4" t="s">
        <v>788</v>
      </c>
      <c r="AI169" s="5" t="s">
        <v>791</v>
      </c>
      <c r="AJ169" s="4">
        <v>3.27</v>
      </c>
      <c r="AK169" s="4">
        <v>3</v>
      </c>
      <c r="AL169" s="4" t="s">
        <v>798</v>
      </c>
      <c r="AM169" s="20" t="s">
        <v>796</v>
      </c>
      <c r="AN169" s="16" t="s">
        <v>805</v>
      </c>
      <c r="AO169" s="326"/>
      <c r="AP169" s="15">
        <v>0</v>
      </c>
      <c r="AQ169" s="9" t="str">
        <f>MID(Tabulka1[[#This Row],[BPEJ]],1,1)</f>
        <v>2</v>
      </c>
      <c r="AW169" s="9"/>
      <c r="AX169">
        <v>2</v>
      </c>
      <c r="AY169" s="114">
        <v>71</v>
      </c>
      <c r="AZ169" s="114">
        <v>0</v>
      </c>
      <c r="BA169" s="114">
        <v>1</v>
      </c>
      <c r="BB169" s="9">
        <v>2</v>
      </c>
      <c r="BC169" s="9" t="str">
        <f>MID(Tabulka1[[#This Row],[BPEJ]],3,2)</f>
        <v>71</v>
      </c>
      <c r="BD169" s="9" t="str">
        <f>MID(Tabulka1[[#This Row],[BPEJ]],6,1)</f>
        <v>0</v>
      </c>
      <c r="BE169" s="9" t="str">
        <f>MID(Tabulka1[[#This Row],[BPEJ]],7,1)</f>
        <v>1</v>
      </c>
      <c r="BF169" s="2" t="str">
        <f t="shared" si="16"/>
        <v>T</v>
      </c>
      <c r="BG169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ST</v>
      </c>
      <c r="BH169" s="134">
        <v>12.5</v>
      </c>
      <c r="BI169" s="2">
        <f t="shared" si="17"/>
        <v>125</v>
      </c>
      <c r="BJ169" s="2">
        <f>Tabulka1[[#This Row],[P2O5_60]]*10</f>
        <v>942</v>
      </c>
      <c r="BK169" s="2">
        <f>Tabulka1[[#This Row],[K2O_30]]*10</f>
        <v>700</v>
      </c>
      <c r="BL169" s="2">
        <f>Tabulka1[[#This Row],[K2O_60]]*10</f>
        <v>607</v>
      </c>
      <c r="BN169" s="2">
        <f>VLOOKUP(Tabulka1[[#This Row],[ID]],'Zdroj hloubka okresy'!$A$2:$F$171,5,FALSE)</f>
        <v>1.38</v>
      </c>
      <c r="BO169" s="2">
        <f>VLOOKUP(Tabulka1[[#This Row],[ID]],'Zdroj hloubka okresy'!$A$2:$D$171,3,FALSE)</f>
        <v>32</v>
      </c>
      <c r="BP169" s="2">
        <f>VLOOKUP(Tabulka1[[#This Row],[ID]],'Zdroj hloubka okresy'!$A$2:$D$171,4,FALSE)</f>
        <v>32</v>
      </c>
    </row>
    <row r="170" spans="1:68" x14ac:dyDescent="0.35">
      <c r="A170" s="13">
        <v>9197</v>
      </c>
      <c r="B170" s="14" t="s">
        <v>664</v>
      </c>
      <c r="C170" s="7">
        <v>7.56</v>
      </c>
      <c r="D170" s="7">
        <v>7.62</v>
      </c>
      <c r="E170" s="7">
        <v>7</v>
      </c>
      <c r="F170" s="7">
        <v>7.07</v>
      </c>
      <c r="G170" s="7">
        <v>3.31</v>
      </c>
      <c r="H170" s="7">
        <v>2.46</v>
      </c>
      <c r="I170" s="7">
        <v>1.92</v>
      </c>
      <c r="J170" s="7">
        <v>1.43</v>
      </c>
      <c r="K170" s="7">
        <v>1.6</v>
      </c>
      <c r="L170" s="7">
        <v>7.24</v>
      </c>
      <c r="M170" s="7">
        <v>151.4</v>
      </c>
      <c r="N170" s="139">
        <v>109.2</v>
      </c>
      <c r="O170" s="139">
        <v>178</v>
      </c>
      <c r="P170" s="139">
        <v>147.30000000000001</v>
      </c>
      <c r="Q170" s="7">
        <v>37.340000000000003</v>
      </c>
      <c r="R170" s="7">
        <v>32.450000000000003</v>
      </c>
      <c r="S170" s="7">
        <v>100</v>
      </c>
      <c r="T170" s="7">
        <v>100</v>
      </c>
      <c r="U170" s="4">
        <v>4</v>
      </c>
      <c r="V170" s="4">
        <f>VLOOKUP(Tabulka1[[#This Row],[ID]],'Zdroj hloubka okresy'!$A$2:$K$171,5,FALSE)</f>
        <v>1.24</v>
      </c>
      <c r="W170" s="4">
        <f>VLOOKUP(Tabulka1[[#This Row],[ID]],'Zdroj hloubka okresy'!$A$2:$K$171,6,FALSE)</f>
        <v>1.26</v>
      </c>
      <c r="X170" s="4">
        <v>47.67</v>
      </c>
      <c r="Y170" s="4">
        <v>44.25</v>
      </c>
      <c r="Z170" s="4">
        <v>14.33</v>
      </c>
      <c r="AA170" s="4">
        <v>13.49</v>
      </c>
      <c r="AB170" s="4">
        <v>18.34</v>
      </c>
      <c r="AC170" s="4">
        <v>20.62</v>
      </c>
      <c r="AD170" s="4">
        <v>12.2</v>
      </c>
      <c r="AE170" s="4">
        <v>13.2</v>
      </c>
      <c r="AF170" s="4">
        <v>7.46</v>
      </c>
      <c r="AG170" s="4">
        <v>8.4499999999999993</v>
      </c>
      <c r="AH170" s="4" t="s">
        <v>734</v>
      </c>
      <c r="AI170" s="5" t="s">
        <v>793</v>
      </c>
      <c r="AJ170" s="4">
        <v>18.77</v>
      </c>
      <c r="AK170" s="4">
        <v>3</v>
      </c>
      <c r="AL170" s="4" t="s">
        <v>798</v>
      </c>
      <c r="AM170" s="20" t="s">
        <v>824</v>
      </c>
      <c r="AN170" s="16" t="s">
        <v>802</v>
      </c>
      <c r="AO170" s="326"/>
      <c r="AP170" s="15">
        <v>0</v>
      </c>
      <c r="AQ170" s="9" t="str">
        <f>MID(Tabulka1[[#This Row],[BPEJ]],1,1)</f>
        <v>3</v>
      </c>
      <c r="AW170" s="9"/>
      <c r="AX170">
        <v>3</v>
      </c>
      <c r="AY170" s="114">
        <v>60</v>
      </c>
      <c r="AZ170" s="114">
        <v>0</v>
      </c>
      <c r="BA170" s="114">
        <v>0</v>
      </c>
      <c r="BB170" s="9">
        <v>3</v>
      </c>
      <c r="BC170" s="9" t="str">
        <f>MID(Tabulka1[[#This Row],[BPEJ]],3,2)</f>
        <v>60</v>
      </c>
      <c r="BD170" s="9" t="str">
        <f>MID(Tabulka1[[#This Row],[BPEJ]],6,1)</f>
        <v>0</v>
      </c>
      <c r="BE170" s="9" t="str">
        <f>MID(Tabulka1[[#This Row],[BPEJ]],7,1)</f>
        <v>0</v>
      </c>
      <c r="BF170" s="2" t="str">
        <f t="shared" si="16"/>
        <v>T</v>
      </c>
      <c r="BG170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T</v>
      </c>
      <c r="BH170" s="7">
        <v>15.14</v>
      </c>
      <c r="BI170" s="2">
        <f t="shared" si="17"/>
        <v>151.4</v>
      </c>
      <c r="BJ170" s="2">
        <f>Tabulka1[[#This Row],[P2O5_60]]*10</f>
        <v>1092</v>
      </c>
      <c r="BK170" s="2">
        <f>Tabulka1[[#This Row],[K2O_30]]*10</f>
        <v>1780</v>
      </c>
      <c r="BL170" s="2">
        <f>Tabulka1[[#This Row],[K2O_60]]*10</f>
        <v>1473</v>
      </c>
      <c r="BN170" s="2">
        <f>VLOOKUP(Tabulka1[[#This Row],[ID]],'Zdroj hloubka okresy'!$A$2:$F$171,5,FALSE)</f>
        <v>1.24</v>
      </c>
      <c r="BO170" s="2">
        <f>VLOOKUP(Tabulka1[[#This Row],[ID]],'Zdroj hloubka okresy'!$A$2:$D$171,3,FALSE)</f>
        <v>24</v>
      </c>
      <c r="BP170" s="2">
        <f>VLOOKUP(Tabulka1[[#This Row],[ID]],'Zdroj hloubka okresy'!$A$2:$D$171,4,FALSE)</f>
        <v>16</v>
      </c>
    </row>
    <row r="171" spans="1:68" x14ac:dyDescent="0.35">
      <c r="A171" s="13">
        <v>9200</v>
      </c>
      <c r="B171" s="14" t="s">
        <v>636</v>
      </c>
      <c r="C171" s="7">
        <v>6.61</v>
      </c>
      <c r="D171" s="7">
        <v>6.96</v>
      </c>
      <c r="E171" s="7">
        <v>5.9</v>
      </c>
      <c r="F171" s="7">
        <v>6.3</v>
      </c>
      <c r="G171" s="7">
        <v>5.45</v>
      </c>
      <c r="H171" s="7">
        <v>3.91</v>
      </c>
      <c r="I171" s="7">
        <v>3.16</v>
      </c>
      <c r="J171" s="7">
        <v>2.27</v>
      </c>
      <c r="K171" s="7">
        <v>0</v>
      </c>
      <c r="L171" s="7">
        <v>0</v>
      </c>
      <c r="M171" s="7">
        <v>31</v>
      </c>
      <c r="N171" s="139">
        <v>36.5</v>
      </c>
      <c r="O171" s="139">
        <v>100</v>
      </c>
      <c r="P171" s="139">
        <v>100</v>
      </c>
      <c r="Q171" s="7">
        <v>41.4</v>
      </c>
      <c r="R171" s="7">
        <v>41.2</v>
      </c>
      <c r="S171" s="7">
        <v>80.400000000000006</v>
      </c>
      <c r="T171" s="7">
        <v>86.65</v>
      </c>
      <c r="U171" s="4">
        <v>4</v>
      </c>
      <c r="V171" s="4">
        <f>VLOOKUP(Tabulka1[[#This Row],[ID]],'Zdroj hloubka okresy'!$A$2:$K$171,5,FALSE)</f>
        <v>1.29</v>
      </c>
      <c r="W171" s="4">
        <f>VLOOKUP(Tabulka1[[#This Row],[ID]],'Zdroj hloubka okresy'!$A$2:$K$171,6,FALSE)</f>
        <v>1.25</v>
      </c>
      <c r="X171" s="4">
        <v>34.81</v>
      </c>
      <c r="Y171" s="4">
        <v>43.2</v>
      </c>
      <c r="Z171" s="4">
        <v>22.09</v>
      </c>
      <c r="AA171" s="4">
        <v>19.5</v>
      </c>
      <c r="AB171" s="4">
        <v>23.1</v>
      </c>
      <c r="AC171" s="4">
        <v>22.05</v>
      </c>
      <c r="AD171" s="4">
        <v>12.5</v>
      </c>
      <c r="AE171" s="4">
        <v>10.6</v>
      </c>
      <c r="AF171" s="4">
        <v>7.5</v>
      </c>
      <c r="AG171" s="4">
        <v>4.6500000000000004</v>
      </c>
      <c r="AH171" s="4" t="s">
        <v>734</v>
      </c>
      <c r="AI171" s="5" t="s">
        <v>793</v>
      </c>
      <c r="AJ171" s="4">
        <v>18.77</v>
      </c>
      <c r="AK171" s="4">
        <v>3</v>
      </c>
      <c r="AL171" s="4" t="s">
        <v>798</v>
      </c>
      <c r="AM171" s="20" t="s">
        <v>824</v>
      </c>
      <c r="AN171" s="16" t="s">
        <v>802</v>
      </c>
      <c r="AO171" s="326"/>
      <c r="AP171" s="15">
        <v>0</v>
      </c>
      <c r="AQ171" s="9" t="str">
        <f>MID(Tabulka1[[#This Row],[BPEJ]],1,1)</f>
        <v>3</v>
      </c>
      <c r="AW171" s="9"/>
      <c r="AX171">
        <v>3</v>
      </c>
      <c r="AY171" s="114">
        <v>60</v>
      </c>
      <c r="AZ171" s="114">
        <v>0</v>
      </c>
      <c r="BA171" s="114">
        <v>0</v>
      </c>
      <c r="BB171" s="9">
        <v>3</v>
      </c>
      <c r="BC171" s="9" t="str">
        <f>MID(Tabulka1[[#This Row],[BPEJ]],3,2)</f>
        <v>60</v>
      </c>
      <c r="BD171" s="9" t="str">
        <f>MID(Tabulka1[[#This Row],[BPEJ]],6,1)</f>
        <v>0</v>
      </c>
      <c r="BE171" s="9" t="str">
        <f>MID(Tabulka1[[#This Row],[BPEJ]],7,1)</f>
        <v>0</v>
      </c>
      <c r="BF171" s="2" t="str">
        <f t="shared" si="16"/>
        <v>T</v>
      </c>
      <c r="BG171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T</v>
      </c>
      <c r="BH171" s="134">
        <v>3.1</v>
      </c>
      <c r="BI171" s="2">
        <f t="shared" si="17"/>
        <v>31</v>
      </c>
      <c r="BJ171" s="2">
        <f>Tabulka1[[#This Row],[P2O5_60]]*10</f>
        <v>365</v>
      </c>
      <c r="BK171" s="2">
        <f>Tabulka1[[#This Row],[K2O_30]]*10</f>
        <v>1000</v>
      </c>
      <c r="BL171" s="2">
        <f>Tabulka1[[#This Row],[K2O_60]]*10</f>
        <v>1000</v>
      </c>
      <c r="BN171" s="2">
        <f>VLOOKUP(Tabulka1[[#This Row],[ID]],'Zdroj hloubka okresy'!$A$2:$F$171,5,FALSE)</f>
        <v>1.29</v>
      </c>
      <c r="BO171" s="2">
        <f>VLOOKUP(Tabulka1[[#This Row],[ID]],'Zdroj hloubka okresy'!$A$2:$D$171,3,FALSE)</f>
        <v>30</v>
      </c>
      <c r="BP171" s="2">
        <f>VLOOKUP(Tabulka1[[#This Row],[ID]],'Zdroj hloubka okresy'!$A$2:$D$171,4,FALSE)</f>
        <v>30</v>
      </c>
    </row>
    <row r="172" spans="1:68" x14ac:dyDescent="0.35">
      <c r="A172" s="13">
        <v>9203</v>
      </c>
      <c r="B172" s="14" t="s">
        <v>665</v>
      </c>
      <c r="C172" s="7">
        <v>7.73</v>
      </c>
      <c r="D172" s="7">
        <v>7.76</v>
      </c>
      <c r="E172" s="7">
        <v>7.2</v>
      </c>
      <c r="F172" s="7">
        <v>7.23</v>
      </c>
      <c r="G172" s="7">
        <v>3.58</v>
      </c>
      <c r="H172" s="7">
        <v>2.76</v>
      </c>
      <c r="I172" s="7">
        <v>2.08</v>
      </c>
      <c r="J172" s="7">
        <v>1.6</v>
      </c>
      <c r="K172" s="7">
        <v>17</v>
      </c>
      <c r="L172" s="7">
        <v>19.11</v>
      </c>
      <c r="M172" s="7">
        <v>89</v>
      </c>
      <c r="N172" s="139">
        <v>63.2</v>
      </c>
      <c r="O172" s="139">
        <v>130</v>
      </c>
      <c r="P172" s="139">
        <v>98.699999999999989</v>
      </c>
      <c r="Q172" s="7">
        <v>35.799999999999997</v>
      </c>
      <c r="R172" s="7">
        <v>29.34</v>
      </c>
      <c r="S172" s="7">
        <v>100</v>
      </c>
      <c r="T172" s="7">
        <v>100</v>
      </c>
      <c r="U172" s="4">
        <v>4</v>
      </c>
      <c r="V172" s="4">
        <f>VLOOKUP(Tabulka1[[#This Row],[ID]],'Zdroj hloubka okresy'!$A$2:$K$171,5,FALSE)</f>
        <v>1.32</v>
      </c>
      <c r="W172" s="4">
        <f>VLOOKUP(Tabulka1[[#This Row],[ID]],'Zdroj hloubka okresy'!$A$2:$K$171,6,FALSE)</f>
        <v>1.33</v>
      </c>
      <c r="X172" s="4">
        <v>34.69</v>
      </c>
      <c r="Y172" s="4">
        <v>32.42</v>
      </c>
      <c r="Z172" s="4">
        <v>12.11</v>
      </c>
      <c r="AA172" s="4">
        <v>14.4</v>
      </c>
      <c r="AB172" s="4">
        <v>18.600000000000001</v>
      </c>
      <c r="AC172" s="4">
        <v>16.559999999999999</v>
      </c>
      <c r="AD172" s="4">
        <v>22.1</v>
      </c>
      <c r="AE172" s="4">
        <v>26.73</v>
      </c>
      <c r="AF172" s="4">
        <v>12.5</v>
      </c>
      <c r="AG172" s="4">
        <v>9.9</v>
      </c>
      <c r="AH172" s="4" t="s">
        <v>734</v>
      </c>
      <c r="AI172" s="5" t="s">
        <v>793</v>
      </c>
      <c r="AJ172" s="4">
        <v>18.77</v>
      </c>
      <c r="AK172" s="4">
        <v>3</v>
      </c>
      <c r="AL172" s="4" t="s">
        <v>798</v>
      </c>
      <c r="AM172" s="20" t="s">
        <v>824</v>
      </c>
      <c r="AN172" s="16" t="s">
        <v>802</v>
      </c>
      <c r="AO172" s="326"/>
      <c r="AP172" s="15">
        <v>0</v>
      </c>
      <c r="AQ172" s="9" t="str">
        <f>MID(Tabulka1[[#This Row],[BPEJ]],1,1)</f>
        <v>3</v>
      </c>
      <c r="AW172" s="9"/>
      <c r="AX172">
        <v>3</v>
      </c>
      <c r="AY172" s="114">
        <v>60</v>
      </c>
      <c r="AZ172" s="114">
        <v>0</v>
      </c>
      <c r="BA172" s="114">
        <v>0</v>
      </c>
      <c r="BB172" s="9">
        <v>3</v>
      </c>
      <c r="BC172" s="9" t="str">
        <f>MID(Tabulka1[[#This Row],[BPEJ]],3,2)</f>
        <v>60</v>
      </c>
      <c r="BD172" s="9" t="str">
        <f>MID(Tabulka1[[#This Row],[BPEJ]],6,1)</f>
        <v>0</v>
      </c>
      <c r="BE172" s="9" t="str">
        <f>MID(Tabulka1[[#This Row],[BPEJ]],7,1)</f>
        <v>0</v>
      </c>
      <c r="BF172" s="2" t="str">
        <f t="shared" si="16"/>
        <v>T</v>
      </c>
      <c r="BG172" s="2" t="str">
        <f>IF(Tabulka1[[#This Row],[0,002_30]]+Tabulka1[[#This Row],[ 0,01_30]]&lt;Body!$BQ$23,"L",IF(AND(Tabulka1[[#This Row],[0,002_30]]+Tabulka1[[#This Row],[ 0,01_30]]&lt;Body!$BN$24,Tabulka1[[#This Row],[0,002_30]]+Tabulka1[[#This Row],[ 0,01_30]]&gt;=Body!$BQ$23),"ST",IF(Tabulka1[[#This Row],[0,002_30]]+Tabulka1[[#This Row],[ 0,01_30]]&gt;=Body!$BN$24,"T","")))</f>
        <v>T</v>
      </c>
      <c r="BH172" s="7">
        <v>8.9</v>
      </c>
      <c r="BI172" s="2">
        <f t="shared" si="17"/>
        <v>89</v>
      </c>
      <c r="BJ172" s="2">
        <f>Tabulka1[[#This Row],[P2O5_60]]*10</f>
        <v>632</v>
      </c>
      <c r="BK172" s="2">
        <f>Tabulka1[[#This Row],[K2O_30]]*10</f>
        <v>1300</v>
      </c>
      <c r="BL172" s="2">
        <f>Tabulka1[[#This Row],[K2O_60]]*10</f>
        <v>986.99999999999989</v>
      </c>
      <c r="BN172" s="2">
        <f>VLOOKUP(Tabulka1[[#This Row],[ID]],'Zdroj hloubka okresy'!$A$2:$F$171,5,FALSE)</f>
        <v>1.32</v>
      </c>
      <c r="BO172" s="2">
        <f>VLOOKUP(Tabulka1[[#This Row],[ID]],'Zdroj hloubka okresy'!$A$2:$D$171,3,FALSE)</f>
        <v>30</v>
      </c>
      <c r="BP172" s="2">
        <f>VLOOKUP(Tabulka1[[#This Row],[ID]],'Zdroj hloubka okresy'!$A$2:$D$171,4,FALSE)</f>
        <v>22</v>
      </c>
    </row>
  </sheetData>
  <sheetProtection algorithmName="SHA-512" hashValue="Eij0nYHOjsrKC8zHyVot8DBJiMMDoTp7AnCTZEYvCdWCpWvIY6HW6IbNtrB3S3c5RZE6M5+DZsJpSNNYcOJQAQ==" saltValue="mz0uiSZDJnVvYkqKtAa30w==" spinCount="100000" sheet="1" objects="1" scenarios="1"/>
  <mergeCells count="3">
    <mergeCell ref="X1:Y1"/>
    <mergeCell ref="Z1:AC1"/>
    <mergeCell ref="AD1:AG1"/>
  </mergeCells>
  <phoneticPr fontId="8" type="noConversion"/>
  <pageMargins left="0.7" right="0.7" top="0.78740157499999996" bottom="0.78740157499999996" header="0.3" footer="0.3"/>
  <pageSetup paperSize="9" orientation="landscape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73B4C-3CB0-421D-A220-8635C2DA6F56}">
  <sheetPr codeName="List12"/>
  <dimension ref="A1"/>
  <sheetViews>
    <sheetView workbookViewId="0"/>
  </sheetViews>
  <sheetFormatPr defaultRowHeight="14.5" x14ac:dyDescent="0.35"/>
  <sheetData/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F93B8-CA30-4521-811D-AD3A83A259AE}">
  <sheetPr codeName="List13"/>
  <dimension ref="A1:K227"/>
  <sheetViews>
    <sheetView topLeftCell="B1" workbookViewId="0">
      <selection activeCell="O8" sqref="O8"/>
    </sheetView>
  </sheetViews>
  <sheetFormatPr defaultRowHeight="14.5" x14ac:dyDescent="0.35"/>
  <cols>
    <col min="1" max="1" width="10.7265625" bestFit="1" customWidth="1"/>
    <col min="2" max="2" width="8.54296875" bestFit="1" customWidth="1"/>
    <col min="3" max="4" width="11.26953125" bestFit="1" customWidth="1"/>
    <col min="5" max="5" width="22" bestFit="1" customWidth="1"/>
    <col min="6" max="6" width="22" style="139" bestFit="1" customWidth="1"/>
    <col min="7" max="7" width="18.54296875" style="255" hidden="1" customWidth="1"/>
    <col min="8" max="8" width="18.54296875" style="138" bestFit="1" customWidth="1"/>
    <col min="9" max="9" width="3" style="138" customWidth="1"/>
    <col min="10" max="10" width="18.54296875" style="255" hidden="1" customWidth="1"/>
    <col min="11" max="11" width="18.54296875" style="257" bestFit="1" customWidth="1"/>
  </cols>
  <sheetData>
    <row r="1" spans="1:11" x14ac:dyDescent="0.35">
      <c r="A1" s="246" t="s">
        <v>955</v>
      </c>
      <c r="B1" s="246" t="s">
        <v>956</v>
      </c>
      <c r="C1" s="246" t="s">
        <v>957</v>
      </c>
      <c r="D1" s="246" t="s">
        <v>958</v>
      </c>
      <c r="E1" s="252" t="s">
        <v>968</v>
      </c>
      <c r="F1" s="252" t="s">
        <v>969</v>
      </c>
      <c r="G1" s="253" t="s">
        <v>812</v>
      </c>
      <c r="H1" s="254" t="s">
        <v>813</v>
      </c>
      <c r="J1" s="253" t="s">
        <v>967</v>
      </c>
      <c r="K1" s="256" t="s">
        <v>967</v>
      </c>
    </row>
    <row r="2" spans="1:11" ht="29" x14ac:dyDescent="0.35">
      <c r="A2" s="247" t="s">
        <v>26</v>
      </c>
      <c r="B2" s="247" t="s">
        <v>959</v>
      </c>
      <c r="C2" s="248">
        <v>10</v>
      </c>
      <c r="D2" s="248">
        <v>25</v>
      </c>
      <c r="E2" s="139">
        <v>1.5</v>
      </c>
      <c r="F2" s="139">
        <v>1.53</v>
      </c>
      <c r="G2" s="255">
        <f>VLOOKUP(A2,'Odhad BD'!$A$7:$M$692,2,FALSE)</f>
        <v>14.1</v>
      </c>
      <c r="H2" s="138">
        <f>VLOOKUP(A2,'Odhad BD'!$A$7:$M$692,3,FALSE)</f>
        <v>11.94</v>
      </c>
      <c r="J2" s="255">
        <f>VLOOKUP(A2,'Odhad BD'!$A$7:$M$692,8,FALSE)</f>
        <v>58.8</v>
      </c>
      <c r="K2" s="138">
        <f>VLOOKUP(A2,'Odhad BD'!$A$7:$M$692,9,FALSE)</f>
        <v>64.34</v>
      </c>
    </row>
    <row r="3" spans="1:11" ht="29" x14ac:dyDescent="0.35">
      <c r="A3" s="247" t="s">
        <v>75</v>
      </c>
      <c r="B3" s="247" t="s">
        <v>959</v>
      </c>
      <c r="C3" s="248">
        <v>20</v>
      </c>
      <c r="D3" s="248">
        <v>17</v>
      </c>
      <c r="E3" s="139">
        <v>1.6</v>
      </c>
      <c r="F3" s="139">
        <v>1.65</v>
      </c>
      <c r="G3" s="255">
        <f>VLOOKUP(A3,'Odhad BD'!$A$7:$M$692,2,FALSE)</f>
        <v>8.69</v>
      </c>
      <c r="H3" s="138">
        <f>VLOOKUP(A3,'Odhad BD'!$A$7:$M$692,3,FALSE)</f>
        <v>7.21</v>
      </c>
      <c r="J3" s="255">
        <f>VLOOKUP(A3,'Odhad BD'!$A$7:$M$692,8,FALSE)</f>
        <v>79.14</v>
      </c>
      <c r="K3" s="138">
        <f>VLOOKUP(A3,'Odhad BD'!$A$7:$M$692,9,FALSE)</f>
        <v>84.009999999999991</v>
      </c>
    </row>
    <row r="4" spans="1:11" ht="29" x14ac:dyDescent="0.35">
      <c r="A4" s="247" t="s">
        <v>295</v>
      </c>
      <c r="B4" s="247" t="s">
        <v>959</v>
      </c>
      <c r="C4" s="248">
        <v>20</v>
      </c>
      <c r="D4" s="248">
        <v>22</v>
      </c>
      <c r="E4" s="139">
        <v>1.5</v>
      </c>
      <c r="F4" s="139">
        <v>1.5</v>
      </c>
      <c r="G4" s="255">
        <f>VLOOKUP(A4,'Odhad BD'!$A$7:$M$692,2,FALSE)</f>
        <v>12.34</v>
      </c>
      <c r="H4" s="138">
        <f>VLOOKUP(A4,'Odhad BD'!$A$7:$M$692,3,FALSE)</f>
        <v>13.43</v>
      </c>
      <c r="J4" s="255">
        <f>VLOOKUP(A4,'Odhad BD'!$A$7:$M$692,8,FALSE)</f>
        <v>48.730000000000004</v>
      </c>
      <c r="K4" s="138">
        <f>VLOOKUP(A4,'Odhad BD'!$A$7:$M$692,9,FALSE)</f>
        <v>57.01</v>
      </c>
    </row>
    <row r="5" spans="1:11" ht="29" x14ac:dyDescent="0.35">
      <c r="A5" s="247" t="s">
        <v>79</v>
      </c>
      <c r="B5" s="247" t="s">
        <v>959</v>
      </c>
      <c r="C5" s="248">
        <v>20</v>
      </c>
      <c r="D5" s="248">
        <v>40</v>
      </c>
      <c r="E5" s="139">
        <v>1.39</v>
      </c>
      <c r="F5" s="139">
        <v>1.38</v>
      </c>
      <c r="G5" s="255">
        <f>VLOOKUP(A5,'Odhad BD'!$A$7:$M$692,2,FALSE)</f>
        <v>18.7</v>
      </c>
      <c r="H5" s="138">
        <f>VLOOKUP(A5,'Odhad BD'!$A$7:$M$692,3,FALSE)</f>
        <v>20.2</v>
      </c>
      <c r="J5" s="255">
        <f>VLOOKUP(A5,'Odhad BD'!$A$7:$M$692,8,FALSE)</f>
        <v>25.130000000000003</v>
      </c>
      <c r="K5" s="138">
        <f>VLOOKUP(A5,'Odhad BD'!$A$7:$M$692,9,FALSE)</f>
        <v>24.87</v>
      </c>
    </row>
    <row r="6" spans="1:11" ht="29" x14ac:dyDescent="0.35">
      <c r="A6" s="247" t="s">
        <v>107</v>
      </c>
      <c r="B6" s="247" t="s">
        <v>959</v>
      </c>
      <c r="C6" s="248">
        <v>22</v>
      </c>
      <c r="D6" s="248">
        <v>15</v>
      </c>
      <c r="E6" s="139">
        <v>1.49</v>
      </c>
      <c r="F6" s="139">
        <v>1.48</v>
      </c>
      <c r="G6" s="255">
        <f>VLOOKUP(A6,'Odhad BD'!$A$7:$M$692,2,FALSE)</f>
        <v>11.12</v>
      </c>
      <c r="H6" s="138">
        <f>VLOOKUP(A6,'Odhad BD'!$A$7:$M$692,3,FALSE)</f>
        <v>12.32</v>
      </c>
      <c r="J6" s="255">
        <f>VLOOKUP(A6,'Odhad BD'!$A$7:$M$692,8,FALSE)</f>
        <v>39.380000000000003</v>
      </c>
      <c r="K6" s="138">
        <f>VLOOKUP(A6,'Odhad BD'!$A$7:$M$692,9,FALSE)</f>
        <v>40.090000000000003</v>
      </c>
    </row>
    <row r="7" spans="1:11" ht="29" x14ac:dyDescent="0.35">
      <c r="A7" s="247" t="s">
        <v>104</v>
      </c>
      <c r="B7" s="247" t="s">
        <v>959</v>
      </c>
      <c r="C7" s="248">
        <v>22</v>
      </c>
      <c r="D7" s="248">
        <v>18</v>
      </c>
      <c r="E7" s="139">
        <f>VLOOKUP(A7,'Odhad BD'!$A$7:$M$692,13,FALSE)</f>
        <v>1.37</v>
      </c>
      <c r="F7" s="139">
        <f>VLOOKUP(A7,'Odhad BD'!$A$7:$M$692,11,FALSE)</f>
        <v>1.34</v>
      </c>
      <c r="G7" s="255">
        <f>VLOOKUP(A7,'Odhad BD'!$A$7:$M$692,2,FALSE)</f>
        <v>23.79</v>
      </c>
      <c r="H7" s="138">
        <f>VLOOKUP(A7,'Odhad BD'!$A$7:$M$692,3,FALSE)</f>
        <v>27.28</v>
      </c>
      <c r="J7" s="255">
        <f>VLOOKUP(A7,'Odhad BD'!$A$7:$M$692,8,FALSE)</f>
        <v>31.48</v>
      </c>
      <c r="K7" s="138">
        <f>VLOOKUP(A7,'Odhad BD'!$A$7:$M$692,9,FALSE)</f>
        <v>35.67</v>
      </c>
    </row>
    <row r="8" spans="1:11" ht="29" x14ac:dyDescent="0.35">
      <c r="A8" s="247" t="s">
        <v>95</v>
      </c>
      <c r="B8" s="247" t="s">
        <v>959</v>
      </c>
      <c r="C8" s="248">
        <v>25</v>
      </c>
      <c r="D8" s="248">
        <v>20</v>
      </c>
      <c r="E8" s="139">
        <v>1.4</v>
      </c>
      <c r="F8" s="139">
        <v>1.34</v>
      </c>
      <c r="G8" s="255">
        <f>VLOOKUP(A8,'Odhad BD'!$A$7:$M$692,2,FALSE)</f>
        <v>17.04</v>
      </c>
      <c r="H8" s="138">
        <f>VLOOKUP(A8,'Odhad BD'!$A$7:$M$692,3,FALSE)</f>
        <v>23.53</v>
      </c>
      <c r="J8" s="255">
        <f>VLOOKUP(A8,'Odhad BD'!$A$7:$M$692,8,FALSE)</f>
        <v>22.96</v>
      </c>
      <c r="K8" s="138">
        <f>VLOOKUP(A8,'Odhad BD'!$A$7:$M$692,9,FALSE)</f>
        <v>20.369999999999997</v>
      </c>
    </row>
    <row r="9" spans="1:11" ht="29" x14ac:dyDescent="0.35">
      <c r="A9" s="247" t="s">
        <v>62</v>
      </c>
      <c r="B9" s="247" t="s">
        <v>959</v>
      </c>
      <c r="C9" s="248">
        <v>25</v>
      </c>
      <c r="D9" s="248">
        <v>25</v>
      </c>
      <c r="E9" s="139">
        <f>VLOOKUP(A9,'Odhad BD'!$A$7:$M$692,13,FALSE)</f>
        <v>1.47</v>
      </c>
      <c r="F9" s="139">
        <f>VLOOKUP(A9,'Odhad BD'!$A$7:$M$692,11,FALSE)</f>
        <v>1.47</v>
      </c>
      <c r="G9" s="255">
        <f>VLOOKUP(A9,'Odhad BD'!$A$7:$M$692,2,FALSE)</f>
        <v>13.03</v>
      </c>
      <c r="H9" s="138">
        <f>VLOOKUP(A9,'Odhad BD'!$A$7:$M$692,3,FALSE)</f>
        <v>14.41</v>
      </c>
      <c r="J9" s="255">
        <f>VLOOKUP(A9,'Odhad BD'!$A$7:$M$692,8,FALSE)</f>
        <v>42.55</v>
      </c>
      <c r="K9" s="138">
        <f>VLOOKUP(A9,'Odhad BD'!$A$7:$M$692,9,FALSE)</f>
        <v>42.71</v>
      </c>
    </row>
    <row r="10" spans="1:11" ht="29" x14ac:dyDescent="0.35">
      <c r="A10" s="247" t="s">
        <v>99</v>
      </c>
      <c r="B10" s="247" t="s">
        <v>959</v>
      </c>
      <c r="C10" s="248">
        <v>25</v>
      </c>
      <c r="D10" s="248">
        <v>25</v>
      </c>
      <c r="E10" s="139">
        <v>1.41</v>
      </c>
      <c r="F10" s="139">
        <v>1.39</v>
      </c>
      <c r="G10" s="255">
        <f>VLOOKUP(A10,'Odhad BD'!$A$7:$M$692,2,FALSE)</f>
        <v>15.91</v>
      </c>
      <c r="H10" s="138">
        <f>VLOOKUP(A10,'Odhad BD'!$A$7:$M$692,3,FALSE)</f>
        <v>17.84</v>
      </c>
      <c r="J10" s="255">
        <f>VLOOKUP(A10,'Odhad BD'!$A$7:$M$692,8,FALSE)</f>
        <v>18.3</v>
      </c>
      <c r="K10" s="138">
        <f>VLOOKUP(A10,'Odhad BD'!$A$7:$M$692,9,FALSE)</f>
        <v>23.299999999999997</v>
      </c>
    </row>
    <row r="11" spans="1:11" ht="29" x14ac:dyDescent="0.35">
      <c r="A11" s="247" t="s">
        <v>301</v>
      </c>
      <c r="B11" s="247" t="s">
        <v>959</v>
      </c>
      <c r="C11" s="248">
        <v>25</v>
      </c>
      <c r="D11" s="248">
        <v>25</v>
      </c>
      <c r="E11" s="139">
        <f>VLOOKUP(A11,'Odhad BD'!$A$7:$M$692,13,FALSE)</f>
        <v>1.37</v>
      </c>
      <c r="F11" s="139">
        <f>VLOOKUP(A11,'Odhad BD'!$A$7:$M$692,11,FALSE)</f>
        <v>1.26</v>
      </c>
      <c r="G11" s="255">
        <f>VLOOKUP(A11,'Odhad BD'!$A$7:$M$692,2,FALSE)</f>
        <v>26.49</v>
      </c>
      <c r="H11" s="138">
        <f>VLOOKUP(A11,'Odhad BD'!$A$7:$M$692,3,FALSE)</f>
        <v>33.22</v>
      </c>
      <c r="J11" s="255">
        <f>VLOOKUP(A11,'Odhad BD'!$A$7:$M$692,8,FALSE)</f>
        <v>28.259999999999998</v>
      </c>
      <c r="K11" s="138">
        <f>VLOOKUP(A11,'Odhad BD'!$A$7:$M$692,9,FALSE)</f>
        <v>26.21</v>
      </c>
    </row>
    <row r="12" spans="1:11" ht="29" x14ac:dyDescent="0.35">
      <c r="A12" s="247" t="s">
        <v>61</v>
      </c>
      <c r="B12" s="247" t="s">
        <v>959</v>
      </c>
      <c r="C12" s="248">
        <v>25</v>
      </c>
      <c r="D12" s="248">
        <v>25</v>
      </c>
      <c r="E12" s="139">
        <f>VLOOKUP(A12,'Odhad BD'!$A$7:$M$692,13,FALSE)</f>
        <v>1.32</v>
      </c>
      <c r="F12" s="139">
        <f>VLOOKUP(A12,'Odhad BD'!$A$7:$M$692,11,FALSE)</f>
        <v>1.31</v>
      </c>
      <c r="G12" s="255">
        <f>VLOOKUP(A12,'Odhad BD'!$A$7:$M$692,2,FALSE)</f>
        <v>27.35</v>
      </c>
      <c r="H12" s="138">
        <f>VLOOKUP(A12,'Odhad BD'!$A$7:$M$692,3,FALSE)</f>
        <v>29.66</v>
      </c>
      <c r="J12" s="255">
        <f>VLOOKUP(A12,'Odhad BD'!$A$7:$M$692,8,FALSE)</f>
        <v>20.11</v>
      </c>
      <c r="K12" s="138">
        <f>VLOOKUP(A12,'Odhad BD'!$A$7:$M$692,9,FALSE)</f>
        <v>20.94</v>
      </c>
    </row>
    <row r="13" spans="1:11" ht="29" x14ac:dyDescent="0.35">
      <c r="A13" s="247" t="s">
        <v>300</v>
      </c>
      <c r="B13" s="247" t="s">
        <v>959</v>
      </c>
      <c r="C13" s="248">
        <v>27</v>
      </c>
      <c r="D13" s="248">
        <v>18</v>
      </c>
      <c r="E13" s="139">
        <f>VLOOKUP(A13,'Odhad BD'!$A$7:$M$692,13,FALSE)</f>
        <v>1.33</v>
      </c>
      <c r="F13" s="139">
        <f>VLOOKUP(A13,'Odhad BD'!$A$7:$M$692,11,FALSE)</f>
        <v>1.32</v>
      </c>
      <c r="G13" s="255">
        <f>VLOOKUP(A13,'Odhad BD'!$A$7:$M$692,2,FALSE)</f>
        <v>24.3</v>
      </c>
      <c r="H13" s="138">
        <f>VLOOKUP(A13,'Odhad BD'!$A$7:$M$692,3,FALSE)</f>
        <v>28.43</v>
      </c>
      <c r="J13" s="255">
        <f>VLOOKUP(A13,'Odhad BD'!$A$7:$M$692,8,FALSE)</f>
        <v>12.049999999999999</v>
      </c>
      <c r="K13" s="138">
        <f>VLOOKUP(A13,'Odhad BD'!$A$7:$M$692,9,FALSE)</f>
        <v>11.719999999999999</v>
      </c>
    </row>
    <row r="14" spans="1:11" ht="29" x14ac:dyDescent="0.35">
      <c r="A14" s="247" t="s">
        <v>105</v>
      </c>
      <c r="B14" s="247" t="s">
        <v>959</v>
      </c>
      <c r="C14" s="248">
        <v>27</v>
      </c>
      <c r="D14" s="248">
        <v>18</v>
      </c>
      <c r="E14" s="139">
        <v>1.45</v>
      </c>
      <c r="F14" s="139">
        <v>1.41</v>
      </c>
      <c r="G14" s="255">
        <f>VLOOKUP(A14,'Odhad BD'!$A$7:$M$692,2,FALSE)</f>
        <v>15.02</v>
      </c>
      <c r="H14" s="138">
        <f>VLOOKUP(A14,'Odhad BD'!$A$7:$M$692,3,FALSE)</f>
        <v>18.63</v>
      </c>
      <c r="J14" s="255">
        <f>VLOOKUP(A14,'Odhad BD'!$A$7:$M$692,8,FALSE)</f>
        <v>39</v>
      </c>
      <c r="K14" s="138">
        <f>VLOOKUP(A14,'Odhad BD'!$A$7:$M$692,9,FALSE)</f>
        <v>40.35</v>
      </c>
    </row>
    <row r="15" spans="1:11" ht="29" x14ac:dyDescent="0.35">
      <c r="A15" s="247" t="s">
        <v>92</v>
      </c>
      <c r="B15" s="247" t="s">
        <v>959</v>
      </c>
      <c r="C15" s="248">
        <v>30</v>
      </c>
      <c r="D15" s="248">
        <v>17</v>
      </c>
      <c r="E15" s="139">
        <v>1.34</v>
      </c>
      <c r="F15" s="139">
        <v>1.31</v>
      </c>
      <c r="G15" s="255">
        <f>VLOOKUP(A15,'Odhad BD'!$A$7:$M$692,2,FALSE)</f>
        <v>25.03</v>
      </c>
      <c r="H15" s="138">
        <f>VLOOKUP(A15,'Odhad BD'!$A$7:$M$692,3,FALSE)</f>
        <v>29.59</v>
      </c>
      <c r="J15" s="255">
        <f>VLOOKUP(A15,'Odhad BD'!$A$7:$M$692,8,FALSE)</f>
        <v>23.1</v>
      </c>
      <c r="K15" s="138">
        <f>VLOOKUP(A15,'Odhad BD'!$A$7:$M$692,9,FALSE)</f>
        <v>18.130000000000003</v>
      </c>
    </row>
    <row r="16" spans="1:11" ht="29" x14ac:dyDescent="0.35">
      <c r="A16" s="247" t="s">
        <v>98</v>
      </c>
      <c r="B16" s="247" t="s">
        <v>959</v>
      </c>
      <c r="C16" s="248">
        <v>30</v>
      </c>
      <c r="D16" s="248">
        <v>20</v>
      </c>
      <c r="E16" s="139">
        <v>1.39</v>
      </c>
      <c r="F16" s="139">
        <v>1.4</v>
      </c>
      <c r="G16" s="255">
        <f>VLOOKUP(A16,'Odhad BD'!$A$7:$M$692,2,FALSE)</f>
        <v>19.23</v>
      </c>
      <c r="H16" s="138">
        <f>VLOOKUP(A16,'Odhad BD'!$A$7:$M$692,3,FALSE)</f>
        <v>18.53</v>
      </c>
      <c r="J16" s="255">
        <f>VLOOKUP(A16,'Odhad BD'!$A$7:$M$692,8,FALSE)</f>
        <v>28.04</v>
      </c>
      <c r="K16" s="138">
        <f>VLOOKUP(A16,'Odhad BD'!$A$7:$M$692,9,FALSE)</f>
        <v>29.630000000000003</v>
      </c>
    </row>
    <row r="17" spans="1:11" ht="29" x14ac:dyDescent="0.35">
      <c r="A17" s="247" t="s">
        <v>313</v>
      </c>
      <c r="B17" s="247" t="s">
        <v>959</v>
      </c>
      <c r="C17" s="248">
        <v>30</v>
      </c>
      <c r="D17" s="248">
        <v>30</v>
      </c>
      <c r="E17" s="139">
        <v>1.35</v>
      </c>
      <c r="F17" s="139">
        <v>1.33</v>
      </c>
      <c r="G17" s="255">
        <f>VLOOKUP(A17,'Odhad BD'!$A$7:$M$692,2,FALSE)</f>
        <v>21.58</v>
      </c>
      <c r="H17" s="138">
        <f>VLOOKUP(A17,'Odhad BD'!$A$7:$M$692,3,FALSE)</f>
        <v>24.63</v>
      </c>
      <c r="J17" s="255">
        <f>VLOOKUP(A17,'Odhad BD'!$A$7:$M$692,8,FALSE)</f>
        <v>16.8</v>
      </c>
      <c r="K17" s="138">
        <f>VLOOKUP(A17,'Odhad BD'!$A$7:$M$692,9,FALSE)</f>
        <v>14.700000000000001</v>
      </c>
    </row>
    <row r="18" spans="1:11" ht="29" x14ac:dyDescent="0.35">
      <c r="A18" s="247" t="s">
        <v>76</v>
      </c>
      <c r="B18" s="247" t="s">
        <v>960</v>
      </c>
      <c r="C18" s="248">
        <v>16</v>
      </c>
      <c r="D18" s="248">
        <v>24</v>
      </c>
      <c r="E18" s="139">
        <v>1.36</v>
      </c>
      <c r="F18" s="139">
        <v>1.34</v>
      </c>
      <c r="G18" s="255">
        <f>VLOOKUP(A18,'Odhad BD'!$A$7:$M$692,2,FALSE)</f>
        <v>21.2</v>
      </c>
      <c r="H18" s="138">
        <f>VLOOKUP(A18,'Odhad BD'!$A$7:$M$692,3,FALSE)</f>
        <v>23.4</v>
      </c>
      <c r="J18" s="255">
        <f>VLOOKUP(A18,'Odhad BD'!$A$7:$M$692,8,FALSE)</f>
        <v>16.62</v>
      </c>
      <c r="K18" s="138">
        <f>VLOOKUP(A18,'Odhad BD'!$A$7:$M$692,9,FALSE)</f>
        <v>15.54</v>
      </c>
    </row>
    <row r="19" spans="1:11" ht="29" x14ac:dyDescent="0.35">
      <c r="A19" s="247" t="s">
        <v>303</v>
      </c>
      <c r="B19" s="247" t="s">
        <v>960</v>
      </c>
      <c r="C19" s="248">
        <v>18</v>
      </c>
      <c r="D19" s="248">
        <v>14</v>
      </c>
      <c r="E19" s="139">
        <v>1.42</v>
      </c>
      <c r="F19" s="139">
        <v>1.37</v>
      </c>
      <c r="G19" s="255">
        <f>VLOOKUP(A19,'Odhad BD'!$A$7:$M$692,2,FALSE)</f>
        <v>13.99</v>
      </c>
      <c r="H19" s="138">
        <f>VLOOKUP(A19,'Odhad BD'!$A$7:$M$692,3,FALSE)</f>
        <v>20.28</v>
      </c>
      <c r="J19" s="255">
        <f>VLOOKUP(A19,'Odhad BD'!$A$7:$M$692,8,FALSE)</f>
        <v>17.16</v>
      </c>
      <c r="K19" s="138">
        <f>VLOOKUP(A19,'Odhad BD'!$A$7:$M$692,9,FALSE)</f>
        <v>22.6</v>
      </c>
    </row>
    <row r="20" spans="1:11" ht="29" x14ac:dyDescent="0.35">
      <c r="A20" s="247" t="s">
        <v>310</v>
      </c>
      <c r="B20" s="247" t="s">
        <v>960</v>
      </c>
      <c r="C20" s="248">
        <v>18</v>
      </c>
      <c r="D20" s="248">
        <v>15</v>
      </c>
      <c r="E20" s="139">
        <f>VLOOKUP(A20,'Odhad BD'!$A$7:$M$692,13,FALSE)</f>
        <v>1.52</v>
      </c>
      <c r="F20" s="139">
        <f>VLOOKUP(A20,'Odhad BD'!$A$7:$M$692,11,FALSE)</f>
        <v>1.56</v>
      </c>
      <c r="G20" s="255">
        <f>VLOOKUP(A20,'Odhad BD'!$A$7:$M$692,2,FALSE)</f>
        <v>11.21</v>
      </c>
      <c r="H20" s="138">
        <f>VLOOKUP(A20,'Odhad BD'!$A$7:$M$692,3,FALSE)</f>
        <v>11.27</v>
      </c>
      <c r="J20" s="255">
        <f>VLOOKUP(A20,'Odhad BD'!$A$7:$M$692,8,FALSE)</f>
        <v>61.08</v>
      </c>
      <c r="K20" s="138">
        <f>VLOOKUP(A20,'Odhad BD'!$A$7:$M$692,9,FALSE)</f>
        <v>64.819999999999993</v>
      </c>
    </row>
    <row r="21" spans="1:11" ht="29" x14ac:dyDescent="0.35">
      <c r="A21" s="247" t="s">
        <v>102</v>
      </c>
      <c r="B21" s="247" t="s">
        <v>960</v>
      </c>
      <c r="C21" s="248">
        <v>18</v>
      </c>
      <c r="D21" s="248">
        <v>38</v>
      </c>
      <c r="E21" s="139">
        <v>1.53</v>
      </c>
      <c r="F21" s="139">
        <v>1.54</v>
      </c>
      <c r="G21" s="255">
        <f>VLOOKUP(A21,'Odhad BD'!$A$7:$M$692,2,FALSE)</f>
        <v>7.75</v>
      </c>
      <c r="H21" s="138">
        <f>VLOOKUP(A21,'Odhad BD'!$A$7:$M$692,3,FALSE)</f>
        <v>7.29</v>
      </c>
      <c r="J21" s="255">
        <f>VLOOKUP(A21,'Odhad BD'!$A$7:$M$692,8,FALSE)</f>
        <v>64.5</v>
      </c>
      <c r="K21" s="138">
        <f>VLOOKUP(A21,'Odhad BD'!$A$7:$M$692,9,FALSE)</f>
        <v>69.45</v>
      </c>
    </row>
    <row r="22" spans="1:11" ht="29" x14ac:dyDescent="0.35">
      <c r="A22" s="247" t="s">
        <v>297</v>
      </c>
      <c r="B22" s="247" t="s">
        <v>960</v>
      </c>
      <c r="C22" s="248">
        <v>20</v>
      </c>
      <c r="D22" s="248">
        <v>12</v>
      </c>
      <c r="E22" s="139">
        <v>1.48</v>
      </c>
      <c r="F22" s="139">
        <v>1.42</v>
      </c>
      <c r="G22" s="255">
        <f>VLOOKUP(A22,'Odhad BD'!$A$7:$M$692,2,FALSE)</f>
        <v>11.84</v>
      </c>
      <c r="H22" s="138">
        <f>VLOOKUP(A22,'Odhad BD'!$A$7:$M$692,3,FALSE)</f>
        <v>18.100000000000001</v>
      </c>
      <c r="J22" s="255">
        <f>VLOOKUP(A22,'Odhad BD'!$A$7:$M$692,8,FALSE)</f>
        <v>39.799999999999997</v>
      </c>
      <c r="K22" s="138">
        <f>VLOOKUP(A22,'Odhad BD'!$A$7:$M$692,9,FALSE)</f>
        <v>40.430000000000007</v>
      </c>
    </row>
    <row r="23" spans="1:11" ht="29" x14ac:dyDescent="0.35">
      <c r="A23" s="247" t="s">
        <v>302</v>
      </c>
      <c r="B23" s="247" t="s">
        <v>960</v>
      </c>
      <c r="C23" s="248">
        <v>20</v>
      </c>
      <c r="D23" s="248">
        <v>17</v>
      </c>
      <c r="E23" s="139">
        <v>1.38</v>
      </c>
      <c r="F23" s="139">
        <v>1.33</v>
      </c>
      <c r="G23" s="255">
        <f>VLOOKUP(A23,'Odhad BD'!$A$7:$M$692,2,FALSE)</f>
        <v>18.86</v>
      </c>
      <c r="H23" s="138">
        <f>VLOOKUP(A23,'Odhad BD'!$A$7:$M$692,3,FALSE)</f>
        <v>25.09</v>
      </c>
      <c r="J23" s="255">
        <f>VLOOKUP(A23,'Odhad BD'!$A$7:$M$692,8,FALSE)</f>
        <v>20.240000000000002</v>
      </c>
      <c r="K23" s="138">
        <f>VLOOKUP(A23,'Odhad BD'!$A$7:$M$692,9,FALSE)</f>
        <v>17.3</v>
      </c>
    </row>
    <row r="24" spans="1:11" ht="29" x14ac:dyDescent="0.35">
      <c r="A24" s="247" t="s">
        <v>100</v>
      </c>
      <c r="B24" s="247" t="s">
        <v>960</v>
      </c>
      <c r="C24" s="248">
        <v>20</v>
      </c>
      <c r="D24" s="248">
        <v>18</v>
      </c>
      <c r="E24" s="139">
        <v>1.51</v>
      </c>
      <c r="F24" s="139">
        <v>1.5</v>
      </c>
      <c r="G24" s="255">
        <f>VLOOKUP(A24,'Odhad BD'!$A$7:$M$692,2,FALSE)</f>
        <v>10.94</v>
      </c>
      <c r="H24" s="138">
        <f>VLOOKUP(A24,'Odhad BD'!$A$7:$M$692,3,FALSE)</f>
        <v>12.96</v>
      </c>
      <c r="J24" s="255">
        <f>VLOOKUP(A24,'Odhad BD'!$A$7:$M$692,8,FALSE)</f>
        <v>51.7</v>
      </c>
      <c r="K24" s="138">
        <f>VLOOKUP(A24,'Odhad BD'!$A$7:$M$692,9,FALSE)</f>
        <v>53.8</v>
      </c>
    </row>
    <row r="25" spans="1:11" ht="29" x14ac:dyDescent="0.35">
      <c r="A25" s="247" t="s">
        <v>103</v>
      </c>
      <c r="B25" s="247" t="s">
        <v>960</v>
      </c>
      <c r="C25" s="248">
        <v>20</v>
      </c>
      <c r="D25" s="248">
        <v>18</v>
      </c>
      <c r="E25" s="139">
        <f>VLOOKUP(A25,'Odhad BD'!$A$7:$M$692,13,FALSE)</f>
        <v>1.42</v>
      </c>
      <c r="F25" s="139">
        <f>VLOOKUP(A25,'Odhad BD'!$A$7:$M$692,11,FALSE)</f>
        <v>1.36</v>
      </c>
      <c r="G25" s="255">
        <f>VLOOKUP(A25,'Odhad BD'!$A$7:$M$692,2,FALSE)</f>
        <v>14.48</v>
      </c>
      <c r="H25" s="138">
        <f>VLOOKUP(A25,'Odhad BD'!$A$7:$M$692,3,FALSE)</f>
        <v>21.93</v>
      </c>
      <c r="J25" s="255">
        <f>VLOOKUP(A25,'Odhad BD'!$A$7:$M$692,8,FALSE)</f>
        <v>11.84</v>
      </c>
      <c r="K25" s="138">
        <f>VLOOKUP(A25,'Odhad BD'!$A$7:$M$692,9,FALSE)</f>
        <v>9.06</v>
      </c>
    </row>
    <row r="26" spans="1:11" ht="29" x14ac:dyDescent="0.35">
      <c r="A26" s="247" t="s">
        <v>304</v>
      </c>
      <c r="B26" s="247" t="s">
        <v>960</v>
      </c>
      <c r="C26" s="248">
        <v>20</v>
      </c>
      <c r="D26" s="248">
        <v>18</v>
      </c>
      <c r="E26" s="139">
        <v>1.38</v>
      </c>
      <c r="F26" s="139">
        <v>1.35</v>
      </c>
      <c r="G26" s="255">
        <f>VLOOKUP(A26,'Odhad BD'!$A$7:$M$692,2,FALSE)</f>
        <v>20.54</v>
      </c>
      <c r="H26" s="138">
        <f>VLOOKUP(A26,'Odhad BD'!$A$7:$M$692,3,FALSE)</f>
        <v>26.36</v>
      </c>
      <c r="J26" s="255">
        <f>VLOOKUP(A26,'Odhad BD'!$A$7:$M$692,8,FALSE)</f>
        <v>29.340000000000003</v>
      </c>
      <c r="K26" s="138">
        <f>VLOOKUP(A26,'Odhad BD'!$A$7:$M$692,9,FALSE)</f>
        <v>29.28</v>
      </c>
    </row>
    <row r="27" spans="1:11" ht="29" x14ac:dyDescent="0.35">
      <c r="A27" s="247" t="s">
        <v>296</v>
      </c>
      <c r="B27" s="247" t="s">
        <v>960</v>
      </c>
      <c r="C27" s="248">
        <v>20</v>
      </c>
      <c r="D27" s="248">
        <v>20</v>
      </c>
      <c r="E27" s="139">
        <v>1.45</v>
      </c>
      <c r="F27" s="139">
        <v>1.39</v>
      </c>
      <c r="G27" s="255">
        <f>VLOOKUP(A27,'Odhad BD'!$A$7:$M$692,2,FALSE)</f>
        <v>12.72</v>
      </c>
      <c r="H27" s="138">
        <f>VLOOKUP(A27,'Odhad BD'!$A$7:$M$692,3,FALSE)</f>
        <v>17.559999999999999</v>
      </c>
      <c r="J27" s="255">
        <f>VLOOKUP(A27,'Odhad BD'!$A$7:$M$692,8,FALSE)</f>
        <v>26.729999999999997</v>
      </c>
      <c r="K27" s="138">
        <f>VLOOKUP(A27,'Odhad BD'!$A$7:$M$692,9,FALSE)</f>
        <v>25.17</v>
      </c>
    </row>
    <row r="28" spans="1:11" ht="29" x14ac:dyDescent="0.35">
      <c r="A28" s="247" t="s">
        <v>298</v>
      </c>
      <c r="B28" s="247" t="s">
        <v>960</v>
      </c>
      <c r="C28" s="248">
        <v>20</v>
      </c>
      <c r="D28" s="248">
        <v>26</v>
      </c>
      <c r="E28" s="139">
        <v>1.44</v>
      </c>
      <c r="F28" s="139">
        <v>1.4</v>
      </c>
      <c r="G28" s="255">
        <f>VLOOKUP(A28,'Odhad BD'!$A$7:$M$692,2,FALSE)</f>
        <v>13.68</v>
      </c>
      <c r="H28" s="138">
        <f>VLOOKUP(A28,'Odhad BD'!$A$7:$M$692,3,FALSE)</f>
        <v>19.46</v>
      </c>
      <c r="J28" s="255">
        <f>VLOOKUP(A28,'Odhad BD'!$A$7:$M$692,8,FALSE)</f>
        <v>30.03</v>
      </c>
      <c r="K28" s="138">
        <f>VLOOKUP(A28,'Odhad BD'!$A$7:$M$692,9,FALSE)</f>
        <v>30.67</v>
      </c>
    </row>
    <row r="29" spans="1:11" ht="29" x14ac:dyDescent="0.35">
      <c r="A29" s="247" t="s">
        <v>25</v>
      </c>
      <c r="B29" s="247" t="s">
        <v>960</v>
      </c>
      <c r="C29" s="248">
        <v>20</v>
      </c>
      <c r="D29" s="248">
        <v>30</v>
      </c>
      <c r="E29" s="139">
        <v>1.5</v>
      </c>
      <c r="F29" s="139">
        <v>1.51</v>
      </c>
      <c r="G29" s="255">
        <f>VLOOKUP(A29,'Odhad BD'!$A$7:$M$692,2,FALSE)</f>
        <v>11.3</v>
      </c>
      <c r="H29" s="138">
        <f>VLOOKUP(A29,'Odhad BD'!$A$7:$M$692,3,FALSE)</f>
        <v>11.04</v>
      </c>
      <c r="J29" s="255">
        <f>VLOOKUP(A29,'Odhad BD'!$A$7:$M$692,8,FALSE)</f>
        <v>42.9</v>
      </c>
      <c r="K29" s="138">
        <f>VLOOKUP(A29,'Odhad BD'!$A$7:$M$692,9,FALSE)</f>
        <v>46.400000000000006</v>
      </c>
    </row>
    <row r="30" spans="1:11" ht="29" x14ac:dyDescent="0.35">
      <c r="A30" s="247" t="s">
        <v>293</v>
      </c>
      <c r="B30" s="247" t="s">
        <v>960</v>
      </c>
      <c r="C30" s="248">
        <v>22</v>
      </c>
      <c r="D30" s="248">
        <v>13</v>
      </c>
      <c r="E30" s="139">
        <f>VLOOKUP(A30,'Odhad BD'!$A$7:$M$692,13,FALSE)</f>
        <v>1.44</v>
      </c>
      <c r="F30" s="139">
        <f>VLOOKUP(A30,'Odhad BD'!$A$7:$M$692,11,FALSE)</f>
        <v>1.35</v>
      </c>
      <c r="G30" s="255">
        <f>VLOOKUP(A30,'Odhad BD'!$A$7:$M$692,2,FALSE)</f>
        <v>18.329999999999998</v>
      </c>
      <c r="H30" s="138">
        <f>VLOOKUP(A30,'Odhad BD'!$A$7:$M$692,3,FALSE)</f>
        <v>25.43</v>
      </c>
      <c r="J30" s="255">
        <f>VLOOKUP(A30,'Odhad BD'!$A$7:$M$692,8,FALSE)</f>
        <v>33.19</v>
      </c>
      <c r="K30" s="138">
        <f>VLOOKUP(A30,'Odhad BD'!$A$7:$M$692,9,FALSE)</f>
        <v>30.77</v>
      </c>
    </row>
    <row r="31" spans="1:11" ht="29" x14ac:dyDescent="0.35">
      <c r="A31" s="247" t="s">
        <v>290</v>
      </c>
      <c r="B31" s="247" t="s">
        <v>960</v>
      </c>
      <c r="C31" s="248">
        <v>22</v>
      </c>
      <c r="D31" s="248">
        <v>18</v>
      </c>
      <c r="E31" s="139">
        <f>VLOOKUP(A31,'Odhad BD'!$A$7:$M$692,13,FALSE)</f>
        <v>1.67</v>
      </c>
      <c r="F31" s="139">
        <f>VLOOKUP(A31,'Odhad BD'!$A$7:$M$692,11,FALSE)</f>
        <v>1.71</v>
      </c>
      <c r="G31" s="255">
        <f>VLOOKUP(A31,'Odhad BD'!$A$7:$M$692,2,FALSE)</f>
        <v>5.79</v>
      </c>
      <c r="H31" s="138">
        <f>VLOOKUP(A31,'Odhad BD'!$A$7:$M$692,3,FALSE)</f>
        <v>5.05</v>
      </c>
      <c r="J31" s="255">
        <f>VLOOKUP(A31,'Odhad BD'!$A$7:$M$692,8,FALSE)</f>
        <v>90.149999999999991</v>
      </c>
      <c r="K31" s="138">
        <f>VLOOKUP(A31,'Odhad BD'!$A$7:$M$692,9,FALSE)</f>
        <v>92.72</v>
      </c>
    </row>
    <row r="32" spans="1:11" ht="29" x14ac:dyDescent="0.35">
      <c r="A32" s="247" t="s">
        <v>101</v>
      </c>
      <c r="B32" s="247" t="s">
        <v>960</v>
      </c>
      <c r="C32" s="248">
        <v>22</v>
      </c>
      <c r="D32" s="248">
        <v>18</v>
      </c>
      <c r="E32" s="139">
        <v>1.48</v>
      </c>
      <c r="F32" s="139">
        <v>1.39</v>
      </c>
      <c r="G32" s="255">
        <f>VLOOKUP(A32,'Odhad BD'!$A$7:$M$692,2,FALSE)</f>
        <v>10.7</v>
      </c>
      <c r="H32" s="138">
        <f>VLOOKUP(A32,'Odhad BD'!$A$7:$M$692,3,FALSE)</f>
        <v>17.64</v>
      </c>
      <c r="J32" s="255">
        <f>VLOOKUP(A32,'Odhad BD'!$A$7:$M$692,8,FALSE)</f>
        <v>30.9</v>
      </c>
      <c r="K32" s="138">
        <f>VLOOKUP(A32,'Odhad BD'!$A$7:$M$692,9,FALSE)</f>
        <v>25.29</v>
      </c>
    </row>
    <row r="33" spans="1:11" ht="29" x14ac:dyDescent="0.35">
      <c r="A33" s="247" t="s">
        <v>24</v>
      </c>
      <c r="B33" s="247" t="s">
        <v>960</v>
      </c>
      <c r="C33" s="248">
        <v>22</v>
      </c>
      <c r="D33" s="248">
        <v>24</v>
      </c>
      <c r="E33" s="139">
        <f>VLOOKUP(A33,'Odhad BD'!$A$7:$M$692,13,FALSE)</f>
        <v>1.53</v>
      </c>
      <c r="F33" s="139">
        <f>VLOOKUP(A33,'Odhad BD'!$A$7:$M$692,11,FALSE)</f>
        <v>1.54</v>
      </c>
      <c r="G33" s="255">
        <f>VLOOKUP(A33,'Odhad BD'!$A$7:$M$692,2,FALSE)</f>
        <v>9.91</v>
      </c>
      <c r="H33" s="138">
        <f>VLOOKUP(A33,'Odhad BD'!$A$7:$M$692,3,FALSE)</f>
        <v>10.96</v>
      </c>
      <c r="J33" s="255">
        <f>VLOOKUP(A33,'Odhad BD'!$A$7:$M$692,8,FALSE)</f>
        <v>44.83</v>
      </c>
      <c r="K33" s="138">
        <f>VLOOKUP(A33,'Odhad BD'!$A$7:$M$692,9,FALSE)</f>
        <v>49.269999999999996</v>
      </c>
    </row>
    <row r="34" spans="1:11" ht="29" x14ac:dyDescent="0.35">
      <c r="A34" s="247" t="s">
        <v>63</v>
      </c>
      <c r="B34" s="247" t="s">
        <v>960</v>
      </c>
      <c r="C34" s="248">
        <v>22</v>
      </c>
      <c r="D34" s="248">
        <v>28</v>
      </c>
      <c r="E34" s="139">
        <v>1.5</v>
      </c>
      <c r="F34" s="139">
        <v>1.47</v>
      </c>
      <c r="G34" s="255">
        <f>VLOOKUP(A34,'Odhad BD'!$A$7:$M$692,2,FALSE)</f>
        <v>9.82</v>
      </c>
      <c r="H34" s="138">
        <f>VLOOKUP(A34,'Odhad BD'!$A$7:$M$692,3,FALSE)</f>
        <v>12.01</v>
      </c>
      <c r="J34" s="255">
        <f>VLOOKUP(A34,'Odhad BD'!$A$7:$M$692,8,FALSE)</f>
        <v>34.21</v>
      </c>
      <c r="K34" s="138">
        <f>VLOOKUP(A34,'Odhad BD'!$A$7:$M$692,9,FALSE)</f>
        <v>36.43</v>
      </c>
    </row>
    <row r="35" spans="1:11" ht="29" x14ac:dyDescent="0.35">
      <c r="A35" s="247" t="s">
        <v>311</v>
      </c>
      <c r="B35" s="247" t="s">
        <v>960</v>
      </c>
      <c r="C35" s="248">
        <v>24</v>
      </c>
      <c r="D35" s="248">
        <v>9</v>
      </c>
      <c r="E35" s="139">
        <v>1.51</v>
      </c>
      <c r="F35" s="139">
        <v>1.54</v>
      </c>
      <c r="G35" s="255">
        <f>VLOOKUP(A35,'Odhad BD'!$A$7:$M$692,2,FALSE)</f>
        <v>12.35</v>
      </c>
      <c r="H35" s="138">
        <f>VLOOKUP(A35,'Odhad BD'!$A$7:$M$692,3,FALSE)</f>
        <v>10.76</v>
      </c>
      <c r="J35" s="255">
        <f>VLOOKUP(A35,'Odhad BD'!$A$7:$M$692,8,FALSE)</f>
        <v>52.400000000000006</v>
      </c>
      <c r="K35" s="138">
        <f>VLOOKUP(A35,'Odhad BD'!$A$7:$M$692,9,FALSE)</f>
        <v>63.11</v>
      </c>
    </row>
    <row r="36" spans="1:11" ht="29" x14ac:dyDescent="0.35">
      <c r="A36" s="247" t="s">
        <v>81</v>
      </c>
      <c r="B36" s="247" t="s">
        <v>960</v>
      </c>
      <c r="C36" s="248">
        <v>24</v>
      </c>
      <c r="D36" s="248">
        <v>14</v>
      </c>
      <c r="E36" s="139">
        <v>1.35</v>
      </c>
      <c r="F36" s="139">
        <v>1.32</v>
      </c>
      <c r="G36" s="255">
        <f>VLOOKUP(A36,'Odhad BD'!$A$7:$M$692,2,FALSE)</f>
        <v>20.34</v>
      </c>
      <c r="H36" s="138">
        <f>VLOOKUP(A36,'Odhad BD'!$A$7:$M$692,3,FALSE)</f>
        <v>24.55</v>
      </c>
      <c r="J36" s="255">
        <f>VLOOKUP(A36,'Odhad BD'!$A$7:$M$692,8,FALSE)</f>
        <v>12.31</v>
      </c>
      <c r="K36" s="138">
        <f>VLOOKUP(A36,'Odhad BD'!$A$7:$M$692,9,FALSE)</f>
        <v>11.399999999999999</v>
      </c>
    </row>
    <row r="37" spans="1:11" ht="29" x14ac:dyDescent="0.35">
      <c r="A37" s="247" t="s">
        <v>315</v>
      </c>
      <c r="B37" s="247" t="s">
        <v>960</v>
      </c>
      <c r="C37" s="248">
        <v>24</v>
      </c>
      <c r="D37" s="248">
        <v>16</v>
      </c>
      <c r="E37" s="139">
        <f>VLOOKUP(A37,'Odhad BD'!$A$7:$M$692,13,FALSE)</f>
        <v>1.54</v>
      </c>
      <c r="F37" s="139">
        <f>VLOOKUP(A37,'Odhad BD'!$A$7:$M$692,11,FALSE)</f>
        <v>1.56</v>
      </c>
      <c r="G37" s="255">
        <f>VLOOKUP(A37,'Odhad BD'!$A$7:$M$692,2,FALSE)</f>
        <v>12.12</v>
      </c>
      <c r="H37" s="138">
        <f>VLOOKUP(A37,'Odhad BD'!$A$7:$M$692,3,FALSE)</f>
        <v>10.19</v>
      </c>
      <c r="J37" s="255">
        <f>VLOOKUP(A37,'Odhad BD'!$A$7:$M$692,8,FALSE)</f>
        <v>77.34</v>
      </c>
      <c r="K37" s="138">
        <f>VLOOKUP(A37,'Odhad BD'!$A$7:$M$692,9,FALSE)</f>
        <v>82.72999999999999</v>
      </c>
    </row>
    <row r="38" spans="1:11" ht="29" x14ac:dyDescent="0.35">
      <c r="A38" s="247" t="s">
        <v>94</v>
      </c>
      <c r="B38" s="247" t="s">
        <v>960</v>
      </c>
      <c r="C38" s="248">
        <v>24</v>
      </c>
      <c r="D38" s="248">
        <v>22</v>
      </c>
      <c r="E38" s="139">
        <v>1.49</v>
      </c>
      <c r="F38" s="139">
        <v>1.49</v>
      </c>
      <c r="G38" s="255">
        <f>VLOOKUP(A38,'Odhad BD'!$A$7:$M$692,2,FALSE)</f>
        <v>12.98</v>
      </c>
      <c r="H38" s="138">
        <f>VLOOKUP(A38,'Odhad BD'!$A$7:$M$692,3,FALSE)</f>
        <v>13.05</v>
      </c>
      <c r="J38" s="255">
        <f>VLOOKUP(A38,'Odhad BD'!$A$7:$M$692,8,FALSE)</f>
        <v>47.94</v>
      </c>
      <c r="K38" s="138">
        <f>VLOOKUP(A38,'Odhad BD'!$A$7:$M$692,9,FALSE)</f>
        <v>52.43</v>
      </c>
    </row>
    <row r="39" spans="1:11" ht="29" x14ac:dyDescent="0.35">
      <c r="A39" s="247" t="s">
        <v>305</v>
      </c>
      <c r="B39" s="247" t="s">
        <v>960</v>
      </c>
      <c r="C39" s="248">
        <v>24</v>
      </c>
      <c r="D39" s="248">
        <v>26</v>
      </c>
      <c r="E39" s="139">
        <f>VLOOKUP(A39,'Odhad BD'!$A$7:$M$692,13,FALSE)</f>
        <v>1.35</v>
      </c>
      <c r="F39" s="139">
        <f>VLOOKUP(A39,'Odhad BD'!$A$7:$M$692,11,FALSE)</f>
        <v>1.33</v>
      </c>
      <c r="G39" s="255">
        <f>VLOOKUP(A39,'Odhad BD'!$A$7:$M$692,2,FALSE)</f>
        <v>21.42</v>
      </c>
      <c r="H39" s="138">
        <f>VLOOKUP(A39,'Odhad BD'!$A$7:$M$692,3,FALSE)</f>
        <v>24.32</v>
      </c>
      <c r="J39" s="255">
        <f>VLOOKUP(A39,'Odhad BD'!$A$7:$M$692,8,FALSE)</f>
        <v>13.4</v>
      </c>
      <c r="K39" s="138">
        <f>VLOOKUP(A39,'Odhad BD'!$A$7:$M$692,9,FALSE)</f>
        <v>13</v>
      </c>
    </row>
    <row r="40" spans="1:11" ht="29" x14ac:dyDescent="0.35">
      <c r="A40" s="247" t="s">
        <v>23</v>
      </c>
      <c r="B40" s="247" t="s">
        <v>960</v>
      </c>
      <c r="C40" s="248">
        <v>24</v>
      </c>
      <c r="D40" s="248">
        <v>26</v>
      </c>
      <c r="E40" s="139">
        <f>VLOOKUP(A40,'Odhad BD'!$A$7:$M$692,13,FALSE)</f>
        <v>1.58</v>
      </c>
      <c r="F40" s="139">
        <f>VLOOKUP(A40,'Odhad BD'!$A$7:$M$692,11,FALSE)</f>
        <v>1.61</v>
      </c>
      <c r="G40" s="255">
        <f>VLOOKUP(A40,'Odhad BD'!$A$7:$M$692,2,FALSE)</f>
        <v>7.76</v>
      </c>
      <c r="H40" s="138">
        <f>VLOOKUP(A40,'Odhad BD'!$A$7:$M$692,3,FALSE)</f>
        <v>7.28</v>
      </c>
      <c r="J40" s="255">
        <f>VLOOKUP(A40,'Odhad BD'!$A$7:$M$692,8,FALSE)</f>
        <v>61.12</v>
      </c>
      <c r="K40" s="138">
        <f>VLOOKUP(A40,'Odhad BD'!$A$7:$M$692,9,FALSE)</f>
        <v>62.959999999999994</v>
      </c>
    </row>
    <row r="41" spans="1:11" ht="29" x14ac:dyDescent="0.35">
      <c r="A41" s="247" t="s">
        <v>312</v>
      </c>
      <c r="B41" s="247" t="s">
        <v>960</v>
      </c>
      <c r="C41" s="248">
        <v>24</v>
      </c>
      <c r="D41" s="248">
        <v>56</v>
      </c>
      <c r="E41" s="139">
        <v>1.36</v>
      </c>
      <c r="F41" s="139">
        <v>1.35</v>
      </c>
      <c r="G41" s="255">
        <f>VLOOKUP(A41,'Odhad BD'!$A$7:$M$692,2,FALSE)</f>
        <v>22.34</v>
      </c>
      <c r="H41" s="138">
        <f>VLOOKUP(A41,'Odhad BD'!$A$7:$M$692,3,FALSE)</f>
        <v>22.93</v>
      </c>
      <c r="J41" s="255">
        <f>VLOOKUP(A41,'Odhad BD'!$A$7:$M$692,8,FALSE)</f>
        <v>21.18</v>
      </c>
      <c r="K41" s="138">
        <f>VLOOKUP(A41,'Odhad BD'!$A$7:$M$692,9,FALSE)</f>
        <v>19.34</v>
      </c>
    </row>
    <row r="42" spans="1:11" ht="29" x14ac:dyDescent="0.35">
      <c r="A42" s="247" t="s">
        <v>93</v>
      </c>
      <c r="B42" s="247" t="s">
        <v>960</v>
      </c>
      <c r="C42" s="248">
        <v>25</v>
      </c>
      <c r="D42" s="248">
        <v>19</v>
      </c>
      <c r="E42" s="139">
        <v>1.38</v>
      </c>
      <c r="F42" s="139">
        <v>1.37</v>
      </c>
      <c r="G42" s="255">
        <f>VLOOKUP(A42,'Odhad BD'!$A$7:$M$692,2,FALSE)</f>
        <v>17.739999999999998</v>
      </c>
      <c r="H42" s="138">
        <f>VLOOKUP(A42,'Odhad BD'!$A$7:$M$692,3,FALSE)</f>
        <v>20.43</v>
      </c>
      <c r="J42" s="255">
        <f>VLOOKUP(A42,'Odhad BD'!$A$7:$M$692,8,FALSE)</f>
        <v>19.310000000000002</v>
      </c>
      <c r="K42" s="138">
        <f>VLOOKUP(A42,'Odhad BD'!$A$7:$M$692,9,FALSE)</f>
        <v>19.420000000000002</v>
      </c>
    </row>
    <row r="43" spans="1:11" ht="29" x14ac:dyDescent="0.35">
      <c r="A43" s="247" t="s">
        <v>306</v>
      </c>
      <c r="B43" s="247" t="s">
        <v>960</v>
      </c>
      <c r="C43" s="248">
        <v>26</v>
      </c>
      <c r="D43" s="248">
        <v>10</v>
      </c>
      <c r="E43" s="139">
        <f>VLOOKUP(A43,'Odhad BD'!$A$7:$M$692,13,FALSE)</f>
        <v>1.35</v>
      </c>
      <c r="F43" s="139">
        <f>VLOOKUP(A43,'Odhad BD'!$A$7:$M$692,11,FALSE)</f>
        <v>1.29</v>
      </c>
      <c r="G43" s="255">
        <f>VLOOKUP(A43,'Odhad BD'!$A$7:$M$692,2,FALSE)</f>
        <v>24.25</v>
      </c>
      <c r="H43" s="138">
        <f>VLOOKUP(A43,'Odhad BD'!$A$7:$M$692,3,FALSE)</f>
        <v>30.34</v>
      </c>
      <c r="J43" s="255">
        <f>VLOOKUP(A43,'Odhad BD'!$A$7:$M$692,8,FALSE)</f>
        <v>20.25</v>
      </c>
      <c r="K43" s="138">
        <f>VLOOKUP(A43,'Odhad BD'!$A$7:$M$692,9,FALSE)</f>
        <v>21.380000000000003</v>
      </c>
    </row>
    <row r="44" spans="1:11" ht="29" x14ac:dyDescent="0.35">
      <c r="A44" s="247" t="s">
        <v>91</v>
      </c>
      <c r="B44" s="247" t="s">
        <v>960</v>
      </c>
      <c r="C44" s="248">
        <v>26</v>
      </c>
      <c r="D44" s="248">
        <v>18</v>
      </c>
      <c r="E44" s="139">
        <f>VLOOKUP(A44,'Odhad BD'!$A$7:$M$692,13,FALSE)</f>
        <v>1.64</v>
      </c>
      <c r="F44" s="139">
        <f>VLOOKUP(A44,'Odhad BD'!$A$7:$M$692,11,FALSE)</f>
        <v>1.67</v>
      </c>
      <c r="G44" s="255">
        <f>VLOOKUP(A44,'Odhad BD'!$A$7:$M$692,2,FALSE)</f>
        <v>6.22</v>
      </c>
      <c r="H44" s="138">
        <f>VLOOKUP(A44,'Odhad BD'!$A$7:$M$692,3,FALSE)</f>
        <v>5.26</v>
      </c>
      <c r="J44" s="255">
        <f>VLOOKUP(A44,'Odhad BD'!$A$7:$M$692,8,FALSE)</f>
        <v>77.210000000000008</v>
      </c>
      <c r="K44" s="138">
        <f>VLOOKUP(A44,'Odhad BD'!$A$7:$M$692,9,FALSE)</f>
        <v>83.07</v>
      </c>
    </row>
    <row r="45" spans="1:11" ht="29" x14ac:dyDescent="0.35">
      <c r="A45" s="247" t="s">
        <v>78</v>
      </c>
      <c r="B45" s="247" t="s">
        <v>960</v>
      </c>
      <c r="C45" s="248">
        <v>26</v>
      </c>
      <c r="D45" s="248">
        <v>20</v>
      </c>
      <c r="E45" s="139">
        <v>1.34</v>
      </c>
      <c r="F45" s="139">
        <v>1.3</v>
      </c>
      <c r="G45" s="255">
        <f>VLOOKUP(A45,'Odhad BD'!$A$7:$M$692,2,FALSE)</f>
        <v>22.91</v>
      </c>
      <c r="H45" s="138">
        <f>VLOOKUP(A45,'Odhad BD'!$A$7:$M$692,3,FALSE)</f>
        <v>29.12</v>
      </c>
      <c r="J45" s="255">
        <f>VLOOKUP(A45,'Odhad BD'!$A$7:$M$692,8,FALSE)</f>
        <v>14.51</v>
      </c>
      <c r="K45" s="138">
        <f>VLOOKUP(A45,'Odhad BD'!$A$7:$M$692,9,FALSE)</f>
        <v>11.61</v>
      </c>
    </row>
    <row r="46" spans="1:11" ht="29" x14ac:dyDescent="0.35">
      <c r="A46" s="247" t="s">
        <v>291</v>
      </c>
      <c r="B46" s="247" t="s">
        <v>960</v>
      </c>
      <c r="C46" s="248">
        <v>26</v>
      </c>
      <c r="D46" s="248">
        <v>20</v>
      </c>
      <c r="E46" s="139">
        <v>1.53</v>
      </c>
      <c r="F46" s="139">
        <v>1.56</v>
      </c>
      <c r="G46" s="255">
        <f>VLOOKUP(A46,'Odhad BD'!$A$7:$M$692,2,FALSE)</f>
        <v>10.47</v>
      </c>
      <c r="H46" s="138">
        <f>VLOOKUP(A46,'Odhad BD'!$A$7:$M$692,3,FALSE)</f>
        <v>9.1199999999999992</v>
      </c>
      <c r="J46" s="255">
        <f>VLOOKUP(A46,'Odhad BD'!$A$7:$M$692,8,FALSE)</f>
        <v>50.04</v>
      </c>
      <c r="K46" s="138">
        <f>VLOOKUP(A46,'Odhad BD'!$A$7:$M$692,9,FALSE)</f>
        <v>57.489999999999995</v>
      </c>
    </row>
    <row r="47" spans="1:11" ht="29" x14ac:dyDescent="0.35">
      <c r="A47" s="247" t="s">
        <v>299</v>
      </c>
      <c r="B47" s="247" t="s">
        <v>960</v>
      </c>
      <c r="C47" s="248">
        <v>26</v>
      </c>
      <c r="D47" s="248">
        <v>20</v>
      </c>
      <c r="E47" s="139">
        <f>VLOOKUP(A47,'Odhad BD'!$A$7:$M$692,13,FALSE)</f>
        <v>1.36</v>
      </c>
      <c r="F47" s="139">
        <f>VLOOKUP(A47,'Odhad BD'!$A$7:$M$692,11,FALSE)</f>
        <v>1.41</v>
      </c>
      <c r="G47" s="255">
        <f>VLOOKUP(A47,'Odhad BD'!$A$7:$M$692,2,FALSE)</f>
        <v>21.58</v>
      </c>
      <c r="H47" s="138">
        <f>VLOOKUP(A47,'Odhad BD'!$A$7:$M$692,3,FALSE)</f>
        <v>19.36</v>
      </c>
      <c r="J47" s="255">
        <f>VLOOKUP(A47,'Odhad BD'!$A$7:$M$692,8,FALSE)</f>
        <v>24.93</v>
      </c>
      <c r="K47" s="138">
        <f>VLOOKUP(A47,'Odhad BD'!$A$7:$M$692,9,FALSE)</f>
        <v>30.25</v>
      </c>
    </row>
    <row r="48" spans="1:11" ht="29" x14ac:dyDescent="0.35">
      <c r="A48" s="247" t="s">
        <v>106</v>
      </c>
      <c r="B48" s="247" t="s">
        <v>960</v>
      </c>
      <c r="C48" s="248">
        <v>26</v>
      </c>
      <c r="D48" s="248">
        <v>22</v>
      </c>
      <c r="E48" s="139">
        <v>1.35</v>
      </c>
      <c r="F48" s="139">
        <v>1.33</v>
      </c>
      <c r="G48" s="255">
        <f>VLOOKUP(A48,'Odhad BD'!$A$7:$M$692,2,FALSE)</f>
        <v>20.71</v>
      </c>
      <c r="H48" s="138">
        <f>VLOOKUP(A48,'Odhad BD'!$A$7:$M$692,3,FALSE)</f>
        <v>24.69</v>
      </c>
      <c r="J48" s="255">
        <f>VLOOKUP(A48,'Odhad BD'!$A$7:$M$692,8,FALSE)</f>
        <v>15.21</v>
      </c>
      <c r="K48" s="138">
        <f>VLOOKUP(A48,'Odhad BD'!$A$7:$M$692,9,FALSE)</f>
        <v>14.86</v>
      </c>
    </row>
    <row r="49" spans="1:11" ht="29" x14ac:dyDescent="0.35">
      <c r="A49" s="247" t="s">
        <v>96</v>
      </c>
      <c r="B49" s="247" t="s">
        <v>960</v>
      </c>
      <c r="C49" s="248">
        <v>26</v>
      </c>
      <c r="D49" s="248">
        <v>24</v>
      </c>
      <c r="E49" s="139">
        <v>1.43</v>
      </c>
      <c r="F49" s="139">
        <v>1.37</v>
      </c>
      <c r="G49" s="255">
        <f>VLOOKUP(A49,'Odhad BD'!$A$7:$M$692,2,FALSE)</f>
        <v>15.01</v>
      </c>
      <c r="H49" s="138">
        <f>VLOOKUP(A49,'Odhad BD'!$A$7:$M$692,3,FALSE)</f>
        <v>23.3</v>
      </c>
      <c r="J49" s="255">
        <f>VLOOKUP(A49,'Odhad BD'!$A$7:$M$692,8,FALSE)</f>
        <v>31</v>
      </c>
      <c r="K49" s="138">
        <f>VLOOKUP(A49,'Odhad BD'!$A$7:$M$692,9,FALSE)</f>
        <v>29.95</v>
      </c>
    </row>
    <row r="50" spans="1:11" ht="29" x14ac:dyDescent="0.35">
      <c r="A50" s="247" t="s">
        <v>308</v>
      </c>
      <c r="B50" s="247" t="s">
        <v>960</v>
      </c>
      <c r="C50" s="248">
        <v>28</v>
      </c>
      <c r="D50" s="248">
        <v>22</v>
      </c>
      <c r="E50" s="139">
        <v>1.32</v>
      </c>
      <c r="F50" s="139">
        <v>1.29</v>
      </c>
      <c r="G50" s="255">
        <f>VLOOKUP(A50,'Odhad BD'!$A$7:$M$692,2,FALSE)</f>
        <v>24.85</v>
      </c>
      <c r="H50" s="138">
        <f>VLOOKUP(A50,'Odhad BD'!$A$7:$M$692,3,FALSE)</f>
        <v>29.14</v>
      </c>
      <c r="J50" s="255">
        <f>VLOOKUP(A50,'Odhad BD'!$A$7:$M$692,8,FALSE)</f>
        <v>11.09</v>
      </c>
      <c r="K50" s="138">
        <f>VLOOKUP(A50,'Odhad BD'!$A$7:$M$692,9,FALSE)</f>
        <v>9.83</v>
      </c>
    </row>
    <row r="51" spans="1:11" ht="29" x14ac:dyDescent="0.35">
      <c r="A51" s="247" t="s">
        <v>307</v>
      </c>
      <c r="B51" s="247" t="s">
        <v>960</v>
      </c>
      <c r="C51" s="248">
        <v>28</v>
      </c>
      <c r="D51" s="248">
        <v>22</v>
      </c>
      <c r="E51" s="139">
        <v>1.38</v>
      </c>
      <c r="F51" s="139">
        <v>1.32</v>
      </c>
      <c r="G51" s="255">
        <f>VLOOKUP(A51,'Odhad BD'!$A$7:$M$692,2,FALSE)</f>
        <v>17.34</v>
      </c>
      <c r="H51" s="138">
        <f>VLOOKUP(A51,'Odhad BD'!$A$7:$M$692,3,FALSE)</f>
        <v>23.7</v>
      </c>
      <c r="J51" s="255">
        <f>VLOOKUP(A51,'Odhad BD'!$A$7:$M$692,8,FALSE)</f>
        <v>12.86</v>
      </c>
      <c r="K51" s="138">
        <f>VLOOKUP(A51,'Odhad BD'!$A$7:$M$692,9,FALSE)</f>
        <v>10.61</v>
      </c>
    </row>
    <row r="52" spans="1:11" ht="29" x14ac:dyDescent="0.35">
      <c r="A52" s="247" t="s">
        <v>77</v>
      </c>
      <c r="B52" s="247" t="s">
        <v>960</v>
      </c>
      <c r="C52" s="248">
        <v>28</v>
      </c>
      <c r="D52" s="248">
        <v>24</v>
      </c>
      <c r="E52" s="139">
        <v>1.31</v>
      </c>
      <c r="F52" s="139">
        <v>1.3</v>
      </c>
      <c r="G52" s="255">
        <f>VLOOKUP(A52,'Odhad BD'!$A$7:$M$692,2,FALSE)</f>
        <v>30.09</v>
      </c>
      <c r="H52" s="138">
        <f>VLOOKUP(A52,'Odhad BD'!$A$7:$M$692,3,FALSE)</f>
        <v>30.96</v>
      </c>
      <c r="J52" s="255">
        <f>VLOOKUP(A52,'Odhad BD'!$A$7:$M$692,8,FALSE)</f>
        <v>21.740000000000002</v>
      </c>
      <c r="K52" s="138">
        <f>VLOOKUP(A52,'Odhad BD'!$A$7:$M$692,9,FALSE)</f>
        <v>19.310000000000002</v>
      </c>
    </row>
    <row r="53" spans="1:11" ht="29" x14ac:dyDescent="0.35">
      <c r="A53" s="247" t="s">
        <v>309</v>
      </c>
      <c r="B53" s="247" t="s">
        <v>960</v>
      </c>
      <c r="C53" s="248">
        <v>28</v>
      </c>
      <c r="D53" s="248">
        <v>34</v>
      </c>
      <c r="E53" s="139">
        <v>1.38</v>
      </c>
      <c r="F53" s="139">
        <v>1.35</v>
      </c>
      <c r="G53" s="255">
        <f>VLOOKUP(A53,'Odhad BD'!$A$7:$M$692,2,FALSE)</f>
        <v>18.09</v>
      </c>
      <c r="H53" s="138">
        <f>VLOOKUP(A53,'Odhad BD'!$A$7:$M$692,3,FALSE)</f>
        <v>21.85</v>
      </c>
      <c r="J53" s="255">
        <f>VLOOKUP(A53,'Odhad BD'!$A$7:$M$692,8,FALSE)</f>
        <v>18.240000000000002</v>
      </c>
      <c r="K53" s="138">
        <f>VLOOKUP(A53,'Odhad BD'!$A$7:$M$692,9,FALSE)</f>
        <v>16.419999999999998</v>
      </c>
    </row>
    <row r="54" spans="1:11" ht="29" x14ac:dyDescent="0.35">
      <c r="A54" s="247" t="s">
        <v>292</v>
      </c>
      <c r="B54" s="247" t="s">
        <v>960</v>
      </c>
      <c r="C54" s="248">
        <v>30</v>
      </c>
      <c r="D54" s="248">
        <v>14</v>
      </c>
      <c r="E54" s="139">
        <f>VLOOKUP(A54,'Odhad BD'!$A$7:$M$692,13,FALSE)</f>
        <v>1.36</v>
      </c>
      <c r="F54" s="139">
        <f>VLOOKUP(A54,'Odhad BD'!$A$7:$M$692,11,FALSE)</f>
        <v>1.34</v>
      </c>
      <c r="G54" s="255">
        <f>VLOOKUP(A54,'Odhad BD'!$A$7:$M$692,2,FALSE)</f>
        <v>18.7</v>
      </c>
      <c r="H54" s="138">
        <f>VLOOKUP(A54,'Odhad BD'!$A$7:$M$692,3,FALSE)</f>
        <v>23.23</v>
      </c>
      <c r="J54" s="255">
        <f>VLOOKUP(A54,'Odhad BD'!$A$7:$M$692,8,FALSE)</f>
        <v>13.5</v>
      </c>
      <c r="K54" s="138">
        <f>VLOOKUP(A54,'Odhad BD'!$A$7:$M$692,9,FALSE)</f>
        <v>12.4</v>
      </c>
    </row>
    <row r="55" spans="1:11" ht="29" x14ac:dyDescent="0.35">
      <c r="A55" s="247" t="s">
        <v>314</v>
      </c>
      <c r="B55" s="247" t="s">
        <v>960</v>
      </c>
      <c r="C55" s="248">
        <v>30</v>
      </c>
      <c r="D55" s="248">
        <v>18</v>
      </c>
      <c r="E55" s="139">
        <f>VLOOKUP(A55,'Odhad BD'!$A$7:$M$692,13,FALSE)</f>
        <v>1.38</v>
      </c>
      <c r="F55" s="139">
        <f>VLOOKUP(A55,'Odhad BD'!$A$7:$M$692,11,FALSE)</f>
        <v>1.37</v>
      </c>
      <c r="G55" s="255">
        <f>VLOOKUP(A55,'Odhad BD'!$A$7:$M$692,2,FALSE)</f>
        <v>20.079999999999998</v>
      </c>
      <c r="H55" s="138">
        <f>VLOOKUP(A55,'Odhad BD'!$A$7:$M$692,3,FALSE)</f>
        <v>20.3</v>
      </c>
      <c r="J55" s="255">
        <f>VLOOKUP(A55,'Odhad BD'!$A$7:$M$692,8,FALSE)</f>
        <v>24.1</v>
      </c>
      <c r="K55" s="138">
        <f>VLOOKUP(A55,'Odhad BD'!$A$7:$M$692,9,FALSE)</f>
        <v>27.53</v>
      </c>
    </row>
    <row r="56" spans="1:11" ht="29" x14ac:dyDescent="0.35">
      <c r="A56" s="247" t="s">
        <v>80</v>
      </c>
      <c r="B56" s="247" t="s">
        <v>960</v>
      </c>
      <c r="C56" s="248">
        <v>30</v>
      </c>
      <c r="D56" s="248">
        <v>32</v>
      </c>
      <c r="E56" s="139">
        <v>1.5</v>
      </c>
      <c r="F56" s="139">
        <v>1.52</v>
      </c>
      <c r="G56" s="255">
        <f>VLOOKUP(A56,'Odhad BD'!$A$7:$M$692,2,FALSE)</f>
        <v>13.99</v>
      </c>
      <c r="H56" s="138">
        <f>VLOOKUP(A56,'Odhad BD'!$A$7:$M$692,3,FALSE)</f>
        <v>14.05</v>
      </c>
      <c r="J56" s="255">
        <f>VLOOKUP(A56,'Odhad BD'!$A$7:$M$692,8,FALSE)</f>
        <v>61.1</v>
      </c>
      <c r="K56" s="138">
        <f>VLOOKUP(A56,'Odhad BD'!$A$7:$M$692,9,FALSE)</f>
        <v>69.19</v>
      </c>
    </row>
    <row r="57" spans="1:11" ht="29" x14ac:dyDescent="0.35">
      <c r="A57" s="247" t="s">
        <v>294</v>
      </c>
      <c r="B57" s="247" t="s">
        <v>960</v>
      </c>
      <c r="C57" s="248">
        <v>32</v>
      </c>
      <c r="D57" s="248">
        <v>31</v>
      </c>
      <c r="E57" s="139">
        <v>1.38</v>
      </c>
      <c r="F57" s="139">
        <v>1.35</v>
      </c>
      <c r="G57" s="255">
        <f>VLOOKUP(A57,'Odhad BD'!$A$7:$M$692,2,FALSE)</f>
        <v>19.05</v>
      </c>
      <c r="H57" s="138">
        <f>VLOOKUP(A57,'Odhad BD'!$A$7:$M$692,3,FALSE)</f>
        <v>22.43</v>
      </c>
      <c r="J57" s="255">
        <f>VLOOKUP(A57,'Odhad BD'!$A$7:$M$692,8,FALSE)</f>
        <v>20.100000000000001</v>
      </c>
      <c r="K57" s="138">
        <f>VLOOKUP(A57,'Odhad BD'!$A$7:$M$692,9,FALSE)</f>
        <v>17.34</v>
      </c>
    </row>
    <row r="58" spans="1:11" ht="29" x14ac:dyDescent="0.35">
      <c r="A58" s="247" t="s">
        <v>626</v>
      </c>
      <c r="B58" s="247" t="s">
        <v>961</v>
      </c>
      <c r="C58" s="248">
        <v>14</v>
      </c>
      <c r="D58" s="248">
        <v>46</v>
      </c>
      <c r="E58" s="139">
        <f>VLOOKUP(A58,'Odhad BD'!$A$7:$M$692,13,FALSE)</f>
        <v>1.44</v>
      </c>
      <c r="F58" s="139">
        <f>VLOOKUP(A58,'Odhad BD'!$A$7:$M$692,11,FALSE)</f>
        <v>1.41</v>
      </c>
      <c r="G58" s="255">
        <f>VLOOKUP(A58,'Odhad BD'!$A$7:$M$692,2,FALSE)</f>
        <v>14.16</v>
      </c>
      <c r="H58" s="138">
        <f>VLOOKUP(A58,'Odhad BD'!$A$7:$M$692,3,FALSE)</f>
        <v>14.73</v>
      </c>
      <c r="J58" s="255">
        <f>VLOOKUP(A58,'Odhad BD'!$A$7:$M$692,8,FALSE)</f>
        <v>16.96</v>
      </c>
      <c r="K58" s="138">
        <f>VLOOKUP(A58,'Odhad BD'!$A$7:$M$692,9,FALSE)</f>
        <v>12.82</v>
      </c>
    </row>
    <row r="59" spans="1:11" ht="29" x14ac:dyDescent="0.35">
      <c r="A59" s="247" t="s">
        <v>639</v>
      </c>
      <c r="B59" s="247" t="s">
        <v>961</v>
      </c>
      <c r="C59" s="248">
        <v>22</v>
      </c>
      <c r="D59" s="248">
        <v>12</v>
      </c>
      <c r="E59" s="139">
        <f>VLOOKUP(A59,'Odhad BD'!$A$7:$M$692,13,FALSE)</f>
        <v>1.49</v>
      </c>
      <c r="F59" s="139">
        <f>VLOOKUP(A59,'Odhad BD'!$A$7:$M$692,11,FALSE)</f>
        <v>1.4</v>
      </c>
      <c r="G59" s="255">
        <f>VLOOKUP(A59,'Odhad BD'!$A$7:$M$692,2,FALSE)</f>
        <v>16.63</v>
      </c>
      <c r="H59" s="138">
        <f>VLOOKUP(A59,'Odhad BD'!$A$7:$M$692,3,FALSE)</f>
        <v>30.94</v>
      </c>
      <c r="J59" s="255">
        <f>VLOOKUP(A59,'Odhad BD'!$A$7:$M$692,8,FALSE)</f>
        <v>52.86</v>
      </c>
      <c r="K59" s="138">
        <f>VLOOKUP(A59,'Odhad BD'!$A$7:$M$692,9,FALSE)</f>
        <v>45.46</v>
      </c>
    </row>
    <row r="60" spans="1:11" ht="29" x14ac:dyDescent="0.35">
      <c r="A60" s="247" t="s">
        <v>614</v>
      </c>
      <c r="B60" s="247" t="s">
        <v>961</v>
      </c>
      <c r="C60" s="248">
        <v>22</v>
      </c>
      <c r="D60" s="248">
        <v>26</v>
      </c>
      <c r="E60" s="139">
        <v>1.38</v>
      </c>
      <c r="F60" s="139">
        <v>1.34</v>
      </c>
      <c r="G60" s="255">
        <f>VLOOKUP(A60,'Odhad BD'!$A$7:$M$692,2,FALSE)</f>
        <v>22.4</v>
      </c>
      <c r="H60" s="138">
        <f>VLOOKUP(A60,'Odhad BD'!$A$7:$M$692,3,FALSE)</f>
        <v>27.6</v>
      </c>
      <c r="J60" s="255">
        <f>VLOOKUP(A60,'Odhad BD'!$A$7:$M$692,8,FALSE)</f>
        <v>31.13</v>
      </c>
      <c r="K60" s="138">
        <f>VLOOKUP(A60,'Odhad BD'!$A$7:$M$692,9,FALSE)</f>
        <v>31.419999999999998</v>
      </c>
    </row>
    <row r="61" spans="1:11" ht="29" x14ac:dyDescent="0.35">
      <c r="A61" s="247" t="s">
        <v>661</v>
      </c>
      <c r="B61" s="247" t="s">
        <v>961</v>
      </c>
      <c r="C61" s="248">
        <v>22</v>
      </c>
      <c r="D61" s="248">
        <v>76</v>
      </c>
      <c r="E61" s="139">
        <f>VLOOKUP(A61,'Odhad BD'!$A$7:$M$692,13,FALSE)</f>
        <v>1.48</v>
      </c>
      <c r="F61" s="139">
        <f>VLOOKUP(A61,'Odhad BD'!$A$7:$M$692,11,FALSE)</f>
        <v>1.48</v>
      </c>
      <c r="G61" s="255">
        <f>VLOOKUP(A61,'Odhad BD'!$A$7:$M$692,2,FALSE)</f>
        <v>10.96</v>
      </c>
      <c r="H61" s="138">
        <f>VLOOKUP(A61,'Odhad BD'!$A$7:$M$692,3,FALSE)</f>
        <v>10.61</v>
      </c>
      <c r="J61" s="255">
        <f>VLOOKUP(A61,'Odhad BD'!$A$7:$M$692,8,FALSE)</f>
        <v>35.050000000000004</v>
      </c>
      <c r="K61" s="138">
        <f>VLOOKUP(A61,'Odhad BD'!$A$7:$M$692,9,FALSE)</f>
        <v>38.549999999999997</v>
      </c>
    </row>
    <row r="62" spans="1:11" ht="29" x14ac:dyDescent="0.35">
      <c r="A62" s="247" t="s">
        <v>586</v>
      </c>
      <c r="B62" s="247" t="s">
        <v>961</v>
      </c>
      <c r="C62" s="248">
        <v>23</v>
      </c>
      <c r="D62" s="248">
        <v>12</v>
      </c>
      <c r="E62" s="139">
        <v>1.55</v>
      </c>
      <c r="F62" s="139">
        <v>1.49</v>
      </c>
      <c r="G62" s="255">
        <f>VLOOKUP(A62,'Odhad BD'!$A$7:$M$692,2,FALSE)</f>
        <v>9.3699999999999992</v>
      </c>
      <c r="H62" s="138">
        <f>VLOOKUP(A62,'Odhad BD'!$A$7:$M$692,3,FALSE)</f>
        <v>14.11</v>
      </c>
      <c r="J62" s="255">
        <f>VLOOKUP(A62,'Odhad BD'!$A$7:$M$692,8,FALSE)</f>
        <v>53.42</v>
      </c>
      <c r="K62" s="138">
        <f>VLOOKUP(A62,'Odhad BD'!$A$7:$M$692,9,FALSE)</f>
        <v>57.15</v>
      </c>
    </row>
    <row r="63" spans="1:11" ht="29" x14ac:dyDescent="0.35">
      <c r="A63" s="247" t="s">
        <v>638</v>
      </c>
      <c r="B63" s="247" t="s">
        <v>961</v>
      </c>
      <c r="C63" s="248">
        <v>24</v>
      </c>
      <c r="D63" s="248">
        <v>20</v>
      </c>
      <c r="E63" s="139">
        <v>1.55</v>
      </c>
      <c r="F63" s="139">
        <v>1.58</v>
      </c>
      <c r="G63" s="255">
        <f>VLOOKUP(A63,'Odhad BD'!$A$7:$M$692,2,FALSE)</f>
        <v>12.38</v>
      </c>
      <c r="H63" s="138">
        <f>VLOOKUP(A63,'Odhad BD'!$A$7:$M$692,3,FALSE)</f>
        <v>10.72</v>
      </c>
      <c r="J63" s="255">
        <f>VLOOKUP(A63,'Odhad BD'!$A$7:$M$692,8,FALSE)</f>
        <v>76.300000000000011</v>
      </c>
      <c r="K63" s="138">
        <f>VLOOKUP(A63,'Odhad BD'!$A$7:$M$692,9,FALSE)</f>
        <v>82.56</v>
      </c>
    </row>
    <row r="64" spans="1:11" ht="29" x14ac:dyDescent="0.35">
      <c r="A64" s="247" t="s">
        <v>584</v>
      </c>
      <c r="B64" s="247" t="s">
        <v>961</v>
      </c>
      <c r="C64" s="248">
        <v>24</v>
      </c>
      <c r="D64" s="248">
        <v>26</v>
      </c>
      <c r="E64" s="139">
        <f>VLOOKUP(A64,'Odhad BD'!$A$7:$M$692,13,FALSE)</f>
        <v>1.43</v>
      </c>
      <c r="F64" s="139">
        <f>VLOOKUP(A64,'Odhad BD'!$A$7:$M$692,11,FALSE)</f>
        <v>1.42</v>
      </c>
      <c r="G64" s="255">
        <f>VLOOKUP(A64,'Odhad BD'!$A$7:$M$692,2,FALSE)</f>
        <v>12.7</v>
      </c>
      <c r="H64" s="138">
        <f>VLOOKUP(A64,'Odhad BD'!$A$7:$M$692,3,FALSE)</f>
        <v>15.39</v>
      </c>
      <c r="J64" s="255">
        <f>VLOOKUP(A64,'Odhad BD'!$A$7:$M$692,8,FALSE)</f>
        <v>19.32</v>
      </c>
      <c r="K64" s="138">
        <f>VLOOKUP(A64,'Odhad BD'!$A$7:$M$692,9,FALSE)</f>
        <v>19.89</v>
      </c>
    </row>
    <row r="65" spans="1:11" ht="29" x14ac:dyDescent="0.35">
      <c r="A65" s="247" t="s">
        <v>640</v>
      </c>
      <c r="B65" s="247" t="s">
        <v>961</v>
      </c>
      <c r="C65" s="248">
        <v>25</v>
      </c>
      <c r="D65" s="248">
        <v>33</v>
      </c>
      <c r="E65" s="139">
        <f>VLOOKUP(A65,'Odhad BD'!$A$7:$M$692,13,FALSE)</f>
        <v>1.53</v>
      </c>
      <c r="F65" s="139">
        <f>VLOOKUP(A65,'Odhad BD'!$A$7:$M$692,11,FALSE)</f>
        <v>1.63</v>
      </c>
      <c r="G65" s="255">
        <f>VLOOKUP(A65,'Odhad BD'!$A$7:$M$692,2,FALSE)</f>
        <v>11.7</v>
      </c>
      <c r="H65" s="138">
        <f>VLOOKUP(A65,'Odhad BD'!$A$7:$M$692,3,FALSE)</f>
        <v>10.16</v>
      </c>
      <c r="J65" s="255">
        <f>VLOOKUP(A65,'Odhad BD'!$A$7:$M$692,8,FALSE)</f>
        <v>73.28</v>
      </c>
      <c r="K65" s="138">
        <f>VLOOKUP(A65,'Odhad BD'!$A$7:$M$692,9,FALSE)</f>
        <v>79.680000000000007</v>
      </c>
    </row>
    <row r="66" spans="1:11" ht="29" x14ac:dyDescent="0.35">
      <c r="A66" s="247" t="s">
        <v>628</v>
      </c>
      <c r="B66" s="247" t="s">
        <v>961</v>
      </c>
      <c r="C66" s="248">
        <v>28</v>
      </c>
      <c r="D66" s="248">
        <v>26</v>
      </c>
      <c r="E66" s="139">
        <v>1.55</v>
      </c>
      <c r="F66" s="139">
        <v>1.38</v>
      </c>
      <c r="G66" s="255">
        <f>VLOOKUP(A66,'Odhad BD'!$A$7:$M$692,2,FALSE)</f>
        <v>29.08</v>
      </c>
      <c r="H66" s="138">
        <f>VLOOKUP(A66,'Odhad BD'!$A$7:$M$692,3,FALSE)</f>
        <v>25.1</v>
      </c>
      <c r="J66" s="255">
        <f>VLOOKUP(A66,'Odhad BD'!$A$7:$M$692,8,FALSE)</f>
        <v>38.11</v>
      </c>
      <c r="K66" s="138">
        <f>VLOOKUP(A66,'Odhad BD'!$A$7:$M$692,9,FALSE)</f>
        <v>42.04</v>
      </c>
    </row>
    <row r="67" spans="1:11" ht="29" x14ac:dyDescent="0.35">
      <c r="A67" s="247" t="s">
        <v>604</v>
      </c>
      <c r="B67" s="247" t="s">
        <v>961</v>
      </c>
      <c r="C67" s="248">
        <v>30</v>
      </c>
      <c r="D67" s="248">
        <v>34</v>
      </c>
      <c r="E67" s="139">
        <v>1.23</v>
      </c>
      <c r="F67" s="139">
        <v>1.22</v>
      </c>
      <c r="G67" s="255">
        <f>VLOOKUP(A67,'Odhad BD'!$A$7:$M$692,2,FALSE)</f>
        <v>50.57</v>
      </c>
      <c r="H67" s="138">
        <f>VLOOKUP(A67,'Odhad BD'!$A$7:$M$692,3,FALSE)</f>
        <v>52.75</v>
      </c>
      <c r="J67" s="255">
        <f>VLOOKUP(A67,'Odhad BD'!$A$7:$M$692,8,FALSE)</f>
        <v>19.899999999999999</v>
      </c>
      <c r="K67" s="138">
        <f>VLOOKUP(A67,'Odhad BD'!$A$7:$M$692,9,FALSE)</f>
        <v>19.25</v>
      </c>
    </row>
    <row r="68" spans="1:11" ht="29" x14ac:dyDescent="0.35">
      <c r="A68" s="247" t="s">
        <v>625</v>
      </c>
      <c r="B68" s="247" t="s">
        <v>961</v>
      </c>
      <c r="C68" s="248">
        <v>31</v>
      </c>
      <c r="D68" s="248">
        <v>23</v>
      </c>
      <c r="E68" s="139">
        <v>1.39</v>
      </c>
      <c r="F68" s="139">
        <v>1.32</v>
      </c>
      <c r="G68" s="255">
        <f>VLOOKUP(A68,'Odhad BD'!$A$7:$M$692,2,FALSE)</f>
        <v>18.36</v>
      </c>
      <c r="H68" s="138">
        <f>VLOOKUP(A68,'Odhad BD'!$A$7:$M$692,3,FALSE)</f>
        <v>27.86</v>
      </c>
      <c r="J68" s="255">
        <f>VLOOKUP(A68,'Odhad BD'!$A$7:$M$692,8,FALSE)</f>
        <v>22</v>
      </c>
      <c r="K68" s="138">
        <f>VLOOKUP(A68,'Odhad BD'!$A$7:$M$692,9,FALSE)</f>
        <v>18.559999999999999</v>
      </c>
    </row>
    <row r="69" spans="1:11" ht="29" x14ac:dyDescent="0.35">
      <c r="A69" s="247" t="s">
        <v>627</v>
      </c>
      <c r="B69" s="247" t="s">
        <v>961</v>
      </c>
      <c r="C69" s="248">
        <v>32</v>
      </c>
      <c r="D69" s="248">
        <v>17</v>
      </c>
      <c r="E69" s="139">
        <f>VLOOKUP(A69,'Odhad BD'!$A$7:$M$692,13,FALSE)</f>
        <v>1.39</v>
      </c>
      <c r="F69" s="139">
        <f>VLOOKUP(A69,'Odhad BD'!$A$7:$M$692,11,FALSE)</f>
        <v>1.28</v>
      </c>
      <c r="G69" s="255">
        <f>VLOOKUP(A69,'Odhad BD'!$A$7:$M$692,2,FALSE)</f>
        <v>18.13</v>
      </c>
      <c r="H69" s="138">
        <f>VLOOKUP(A69,'Odhad BD'!$A$7:$M$692,3,FALSE)</f>
        <v>26.87</v>
      </c>
      <c r="J69" s="255">
        <f>VLOOKUP(A69,'Odhad BD'!$A$7:$M$692,8,FALSE)</f>
        <v>22</v>
      </c>
      <c r="K69" s="138">
        <f>VLOOKUP(A69,'Odhad BD'!$A$7:$M$692,9,FALSE)</f>
        <v>17.75</v>
      </c>
    </row>
    <row r="70" spans="1:11" ht="29" x14ac:dyDescent="0.35">
      <c r="A70" s="247" t="s">
        <v>624</v>
      </c>
      <c r="B70" s="247" t="s">
        <v>961</v>
      </c>
      <c r="C70" s="248">
        <v>33</v>
      </c>
      <c r="D70" s="248">
        <v>18</v>
      </c>
      <c r="E70" s="139">
        <f>VLOOKUP(A70,'Odhad BD'!$A$7:$M$692,13,FALSE)</f>
        <v>1.41</v>
      </c>
      <c r="F70" s="139">
        <f>VLOOKUP(A70,'Odhad BD'!$A$7:$M$692,11,FALSE)</f>
        <v>1.31</v>
      </c>
      <c r="G70" s="255">
        <f>VLOOKUP(A70,'Odhad BD'!$A$7:$M$692,2,FALSE)</f>
        <v>13.64</v>
      </c>
      <c r="H70" s="138">
        <f>VLOOKUP(A70,'Odhad BD'!$A$7:$M$692,3,FALSE)</f>
        <v>20.41</v>
      </c>
      <c r="J70" s="255">
        <f>VLOOKUP(A70,'Odhad BD'!$A$7:$M$692,8,FALSE)</f>
        <v>13.8</v>
      </c>
      <c r="K70" s="138">
        <f>VLOOKUP(A70,'Odhad BD'!$A$7:$M$692,9,FALSE)</f>
        <v>9.66</v>
      </c>
    </row>
    <row r="71" spans="1:11" ht="29" x14ac:dyDescent="0.35">
      <c r="A71" s="247" t="s">
        <v>642</v>
      </c>
      <c r="B71" s="247" t="s">
        <v>962</v>
      </c>
      <c r="C71" s="248">
        <v>20</v>
      </c>
      <c r="D71" s="248">
        <v>26</v>
      </c>
      <c r="E71" s="139">
        <v>1.61</v>
      </c>
      <c r="F71" s="139">
        <v>1.62</v>
      </c>
      <c r="G71" s="255">
        <f>VLOOKUP(A71,'Odhad BD'!$A$7:$M$692,2,FALSE)</f>
        <v>8.0500000000000007</v>
      </c>
      <c r="H71" s="138">
        <f>VLOOKUP(A71,'Odhad BD'!$A$7:$M$692,3,FALSE)</f>
        <v>8.34</v>
      </c>
      <c r="J71" s="255">
        <f>VLOOKUP(A71,'Odhad BD'!$A$7:$M$692,8,FALSE)</f>
        <v>76.81</v>
      </c>
      <c r="K71" s="138">
        <f>VLOOKUP(A71,'Odhad BD'!$A$7:$M$692,9,FALSE)</f>
        <v>78.97</v>
      </c>
    </row>
    <row r="72" spans="1:11" ht="29" x14ac:dyDescent="0.35">
      <c r="A72" s="247" t="s">
        <v>653</v>
      </c>
      <c r="B72" s="247" t="s">
        <v>962</v>
      </c>
      <c r="C72" s="248">
        <v>20</v>
      </c>
      <c r="D72" s="248">
        <v>40</v>
      </c>
      <c r="E72" s="139">
        <f>VLOOKUP(A72,'Odhad BD'!$A$7:$M$692,13,FALSE)</f>
        <v>1.47</v>
      </c>
      <c r="F72" s="139">
        <f>VLOOKUP(A72,'Odhad BD'!$A$7:$M$692,11,FALSE)</f>
        <v>1.45</v>
      </c>
      <c r="G72" s="255">
        <f>VLOOKUP(A72,'Odhad BD'!$A$7:$M$692,2,FALSE)</f>
        <v>11.96</v>
      </c>
      <c r="H72" s="138">
        <f>VLOOKUP(A72,'Odhad BD'!$A$7:$M$692,3,FALSE)</f>
        <v>13.05</v>
      </c>
      <c r="J72" s="255">
        <f>VLOOKUP(A72,'Odhad BD'!$A$7:$M$692,8,FALSE)</f>
        <v>27.43</v>
      </c>
      <c r="K72" s="138">
        <f>VLOOKUP(A72,'Odhad BD'!$A$7:$M$692,9,FALSE)</f>
        <v>27.07</v>
      </c>
    </row>
    <row r="73" spans="1:11" ht="29" x14ac:dyDescent="0.35">
      <c r="A73" s="247" t="s">
        <v>594</v>
      </c>
      <c r="B73" s="247" t="s">
        <v>962</v>
      </c>
      <c r="C73" s="248">
        <v>21</v>
      </c>
      <c r="D73" s="248">
        <v>39</v>
      </c>
      <c r="E73" s="139">
        <f>VLOOKUP(A73,'Odhad BD'!$A$7:$M$692,13,FALSE)</f>
        <v>1.43</v>
      </c>
      <c r="F73" s="139">
        <f>VLOOKUP(A73,'Odhad BD'!$A$7:$M$692,11,FALSE)</f>
        <v>1.44</v>
      </c>
      <c r="G73" s="255">
        <f>VLOOKUP(A73,'Odhad BD'!$A$7:$M$692,2,FALSE)</f>
        <v>17.899999999999999</v>
      </c>
      <c r="H73" s="138">
        <f>VLOOKUP(A73,'Odhad BD'!$A$7:$M$692,3,FALSE)</f>
        <v>17.77</v>
      </c>
      <c r="J73" s="255">
        <f>VLOOKUP(A73,'Odhad BD'!$A$7:$M$692,8,FALSE)</f>
        <v>48.93</v>
      </c>
      <c r="K73" s="138">
        <f>VLOOKUP(A73,'Odhad BD'!$A$7:$M$692,9,FALSE)</f>
        <v>53.739999999999995</v>
      </c>
    </row>
    <row r="74" spans="1:11" ht="29" x14ac:dyDescent="0.35">
      <c r="A74" s="247" t="s">
        <v>605</v>
      </c>
      <c r="B74" s="247" t="s">
        <v>962</v>
      </c>
      <c r="C74" s="248">
        <v>22</v>
      </c>
      <c r="D74" s="248">
        <v>18</v>
      </c>
      <c r="E74" s="139">
        <v>1.34</v>
      </c>
      <c r="F74" s="139">
        <v>1.29</v>
      </c>
      <c r="G74" s="255">
        <f>VLOOKUP(A74,'Odhad BD'!$A$7:$M$692,2,FALSE)</f>
        <v>32.71</v>
      </c>
      <c r="H74" s="138">
        <f>VLOOKUP(A74,'Odhad BD'!$A$7:$M$692,3,FALSE)</f>
        <v>40.770000000000003</v>
      </c>
      <c r="J74" s="255">
        <f>VLOOKUP(A74,'Odhad BD'!$A$7:$M$692,8,FALSE)</f>
        <v>44.31</v>
      </c>
      <c r="K74" s="138">
        <f>VLOOKUP(A74,'Odhad BD'!$A$7:$M$692,9,FALSE)</f>
        <v>35.980000000000004</v>
      </c>
    </row>
    <row r="75" spans="1:11" ht="29" x14ac:dyDescent="0.35">
      <c r="A75" s="247" t="s">
        <v>671</v>
      </c>
      <c r="B75" s="247" t="s">
        <v>962</v>
      </c>
      <c r="C75" s="248">
        <v>22</v>
      </c>
      <c r="D75" s="248">
        <v>24</v>
      </c>
      <c r="E75" s="139">
        <f>VLOOKUP(A75,'Odhad BD'!$A$7:$M$692,13,FALSE)</f>
        <v>1.42</v>
      </c>
      <c r="F75" s="139">
        <f>VLOOKUP(A75,'Odhad BD'!$A$7:$M$692,11,FALSE)</f>
        <v>1.33</v>
      </c>
      <c r="G75" s="255">
        <f>VLOOKUP(A75,'Odhad BD'!$A$7:$M$692,2,FALSE)</f>
        <v>16.43</v>
      </c>
      <c r="H75" s="138">
        <f>VLOOKUP(A75,'Odhad BD'!$A$7:$M$692,3,FALSE)</f>
        <v>21.29</v>
      </c>
      <c r="J75" s="255">
        <f>VLOOKUP(A75,'Odhad BD'!$A$7:$M$692,8,FALSE)</f>
        <v>17.579999999999998</v>
      </c>
      <c r="K75" s="138">
        <f>VLOOKUP(A75,'Odhad BD'!$A$7:$M$692,9,FALSE)</f>
        <v>14.84</v>
      </c>
    </row>
    <row r="76" spans="1:11" ht="29" x14ac:dyDescent="0.35">
      <c r="A76" s="247" t="s">
        <v>654</v>
      </c>
      <c r="B76" s="247" t="s">
        <v>962</v>
      </c>
      <c r="C76" s="248">
        <v>23</v>
      </c>
      <c r="D76" s="248">
        <v>17</v>
      </c>
      <c r="E76" s="139">
        <f>VLOOKUP(A76,'Odhad BD'!$A$7:$M$692,13,FALSE)</f>
        <v>1.36</v>
      </c>
      <c r="F76" s="139">
        <f>VLOOKUP(A76,'Odhad BD'!$A$7:$M$692,11,FALSE)</f>
        <v>1.3</v>
      </c>
      <c r="G76" s="255">
        <f>VLOOKUP(A76,'Odhad BD'!$A$7:$M$692,2,FALSE)</f>
        <v>21.39</v>
      </c>
      <c r="H76" s="138">
        <f>VLOOKUP(A76,'Odhad BD'!$A$7:$M$692,3,FALSE)</f>
        <v>24.3</v>
      </c>
      <c r="J76" s="255">
        <f>VLOOKUP(A76,'Odhad BD'!$A$7:$M$692,8,FALSE)</f>
        <v>11.62</v>
      </c>
      <c r="K76" s="138">
        <f>VLOOKUP(A76,'Odhad BD'!$A$7:$M$692,9,FALSE)</f>
        <v>10.680000000000001</v>
      </c>
    </row>
    <row r="77" spans="1:11" ht="29" x14ac:dyDescent="0.35">
      <c r="A77" s="247" t="s">
        <v>641</v>
      </c>
      <c r="B77" s="247" t="s">
        <v>962</v>
      </c>
      <c r="C77" s="248">
        <v>24</v>
      </c>
      <c r="D77" s="248">
        <v>12</v>
      </c>
      <c r="E77" s="139">
        <f>VLOOKUP(A77,'Odhad BD'!$A$7:$M$692,13,FALSE)</f>
        <v>1.58</v>
      </c>
      <c r="F77" s="139">
        <f>VLOOKUP(A77,'Odhad BD'!$A$7:$M$692,11,FALSE)</f>
        <v>1.67</v>
      </c>
      <c r="G77" s="255">
        <f>VLOOKUP(A77,'Odhad BD'!$A$7:$M$692,2,FALSE)</f>
        <v>8.83</v>
      </c>
      <c r="H77" s="138">
        <f>VLOOKUP(A77,'Odhad BD'!$A$7:$M$692,3,FALSE)</f>
        <v>7.58</v>
      </c>
      <c r="J77" s="255">
        <f>VLOOKUP(A77,'Odhad BD'!$A$7:$M$692,8,FALSE)</f>
        <v>76.7</v>
      </c>
      <c r="K77" s="138">
        <f>VLOOKUP(A77,'Odhad BD'!$A$7:$M$692,9,FALSE)</f>
        <v>82.82</v>
      </c>
    </row>
    <row r="78" spans="1:11" ht="29" x14ac:dyDescent="0.35">
      <c r="A78" s="247" t="s">
        <v>623</v>
      </c>
      <c r="B78" s="247" t="s">
        <v>962</v>
      </c>
      <c r="C78" s="248">
        <v>24</v>
      </c>
      <c r="D78" s="248">
        <v>14</v>
      </c>
      <c r="E78" s="139">
        <f>VLOOKUP(A78,'Odhad BD'!$A$7:$M$692,13,FALSE)</f>
        <v>1.37</v>
      </c>
      <c r="F78" s="139">
        <f>VLOOKUP(A78,'Odhad BD'!$A$7:$M$692,11,FALSE)</f>
        <v>1.41</v>
      </c>
      <c r="G78" s="255">
        <f>VLOOKUP(A78,'Odhad BD'!$A$7:$M$692,2,FALSE)</f>
        <v>20.5</v>
      </c>
      <c r="H78" s="138">
        <f>VLOOKUP(A78,'Odhad BD'!$A$7:$M$692,3,FALSE)</f>
        <v>19.260000000000002</v>
      </c>
      <c r="J78" s="255">
        <f>VLOOKUP(A78,'Odhad BD'!$A$7:$M$692,8,FALSE)</f>
        <v>34.47</v>
      </c>
      <c r="K78" s="138">
        <f>VLOOKUP(A78,'Odhad BD'!$A$7:$M$692,9,FALSE)</f>
        <v>50.01</v>
      </c>
    </row>
    <row r="79" spans="1:11" ht="29" x14ac:dyDescent="0.35">
      <c r="A79" s="247" t="s">
        <v>634</v>
      </c>
      <c r="B79" s="247" t="s">
        <v>962</v>
      </c>
      <c r="C79" s="248">
        <v>24</v>
      </c>
      <c r="D79" s="248">
        <v>14</v>
      </c>
      <c r="E79" s="139">
        <f>VLOOKUP(A79,'Odhad BD'!$A$7:$M$692,13,FALSE)</f>
        <v>1.43</v>
      </c>
      <c r="F79" s="139">
        <f>VLOOKUP(A79,'Odhad BD'!$A$7:$M$692,11,FALSE)</f>
        <v>1.43</v>
      </c>
      <c r="G79" s="255">
        <f>VLOOKUP(A79,'Odhad BD'!$A$7:$M$692,2,FALSE)</f>
        <v>12.58</v>
      </c>
      <c r="H79" s="138">
        <f>VLOOKUP(A79,'Odhad BD'!$A$7:$M$692,3,FALSE)</f>
        <v>18.62</v>
      </c>
      <c r="J79" s="255">
        <f>VLOOKUP(A79,'Odhad BD'!$A$7:$M$692,8,FALSE)</f>
        <v>13.32</v>
      </c>
      <c r="K79" s="138">
        <f>VLOOKUP(A79,'Odhad BD'!$A$7:$M$692,9,FALSE)</f>
        <v>12.129999999999999</v>
      </c>
    </row>
    <row r="80" spans="1:11" ht="29" x14ac:dyDescent="0.35">
      <c r="A80" s="247" t="s">
        <v>585</v>
      </c>
      <c r="B80" s="247" t="s">
        <v>962</v>
      </c>
      <c r="C80" s="248">
        <v>24</v>
      </c>
      <c r="D80" s="248">
        <v>14</v>
      </c>
      <c r="E80" s="139">
        <v>1.59</v>
      </c>
      <c r="F80" s="139">
        <v>1.55</v>
      </c>
      <c r="G80" s="255">
        <f>VLOOKUP(A80,'Odhad BD'!$A$7:$M$692,2,FALSE)</f>
        <v>8.3000000000000007</v>
      </c>
      <c r="H80" s="138">
        <f>VLOOKUP(A80,'Odhad BD'!$A$7:$M$692,3,FALSE)</f>
        <v>11.86</v>
      </c>
      <c r="J80" s="255">
        <f>VLOOKUP(A80,'Odhad BD'!$A$7:$M$692,8,FALSE)</f>
        <v>66.12</v>
      </c>
      <c r="K80" s="138">
        <f>VLOOKUP(A80,'Odhad BD'!$A$7:$M$692,9,FALSE)</f>
        <v>73.02</v>
      </c>
    </row>
    <row r="81" spans="1:11" ht="29" x14ac:dyDescent="0.35">
      <c r="A81" s="247" t="s">
        <v>663</v>
      </c>
      <c r="B81" s="247" t="s">
        <v>962</v>
      </c>
      <c r="C81" s="248">
        <v>24</v>
      </c>
      <c r="D81" s="248">
        <v>16</v>
      </c>
      <c r="E81" s="139">
        <v>1.28</v>
      </c>
      <c r="F81" s="139">
        <v>1.26</v>
      </c>
      <c r="G81" s="255">
        <f>VLOOKUP(A81,'Odhad BD'!$A$7:$M$692,2,FALSE)</f>
        <v>42.19</v>
      </c>
      <c r="H81" s="138">
        <f>VLOOKUP(A81,'Odhad BD'!$A$7:$M$692,3,FALSE)</f>
        <v>42.83</v>
      </c>
      <c r="J81" s="255">
        <f>VLOOKUP(A81,'Odhad BD'!$A$7:$M$692,8,FALSE)</f>
        <v>27.78</v>
      </c>
      <c r="K81" s="138">
        <f>VLOOKUP(A81,'Odhad BD'!$A$7:$M$692,9,FALSE)</f>
        <v>21.48</v>
      </c>
    </row>
    <row r="82" spans="1:11" ht="29" x14ac:dyDescent="0.35">
      <c r="A82" s="247" t="s">
        <v>664</v>
      </c>
      <c r="B82" s="247" t="s">
        <v>962</v>
      </c>
      <c r="C82" s="248">
        <v>24</v>
      </c>
      <c r="D82" s="248">
        <v>16</v>
      </c>
      <c r="E82" s="139">
        <v>1.24</v>
      </c>
      <c r="F82" s="139">
        <v>1.26</v>
      </c>
      <c r="G82" s="255">
        <f>VLOOKUP(A82,'Odhad BD'!$A$7:$M$692,2,FALSE)</f>
        <v>47.67</v>
      </c>
      <c r="H82" s="138">
        <f>VLOOKUP(A82,'Odhad BD'!$A$7:$M$692,3,FALSE)</f>
        <v>44.25</v>
      </c>
      <c r="J82" s="255">
        <f>VLOOKUP(A82,'Odhad BD'!$A$7:$M$692,8,FALSE)</f>
        <v>19.66</v>
      </c>
      <c r="K82" s="138">
        <f>VLOOKUP(A82,'Odhad BD'!$A$7:$M$692,9,FALSE)</f>
        <v>21.65</v>
      </c>
    </row>
    <row r="83" spans="1:11" ht="29" x14ac:dyDescent="0.35">
      <c r="A83" s="247" t="s">
        <v>662</v>
      </c>
      <c r="B83" s="247" t="s">
        <v>962</v>
      </c>
      <c r="C83" s="248">
        <v>25</v>
      </c>
      <c r="D83" s="248">
        <v>17</v>
      </c>
      <c r="E83" s="139">
        <f>VLOOKUP(A83,'Odhad BD'!$A$7:$M$692,13,FALSE)</f>
        <v>1.47</v>
      </c>
      <c r="F83" s="139">
        <f>VLOOKUP(A83,'Odhad BD'!$A$7:$M$692,11,FALSE)</f>
        <v>1.41</v>
      </c>
      <c r="G83" s="255">
        <f>VLOOKUP(A83,'Odhad BD'!$A$7:$M$692,2,FALSE)</f>
        <v>13.35</v>
      </c>
      <c r="H83" s="138">
        <f>VLOOKUP(A83,'Odhad BD'!$A$7:$M$692,3,FALSE)</f>
        <v>14.65</v>
      </c>
      <c r="J83" s="255">
        <f>VLOOKUP(A83,'Odhad BD'!$A$7:$M$692,8,FALSE)</f>
        <v>37.56</v>
      </c>
      <c r="K83" s="138">
        <f>VLOOKUP(A83,'Odhad BD'!$A$7:$M$692,9,FALSE)</f>
        <v>33.96</v>
      </c>
    </row>
    <row r="84" spans="1:11" ht="29" x14ac:dyDescent="0.35">
      <c r="A84" s="247" t="s">
        <v>635</v>
      </c>
      <c r="B84" s="247" t="s">
        <v>962</v>
      </c>
      <c r="C84" s="248">
        <v>25</v>
      </c>
      <c r="D84" s="248">
        <v>19</v>
      </c>
      <c r="E84" s="139">
        <v>1.38</v>
      </c>
      <c r="F84" s="139">
        <v>1.36</v>
      </c>
      <c r="G84" s="255">
        <f>VLOOKUP(A84,'Odhad BD'!$A$7:$M$692,2,FALSE)</f>
        <v>25.8</v>
      </c>
      <c r="H84" s="138">
        <f>VLOOKUP(A84,'Odhad BD'!$A$7:$M$692,3,FALSE)</f>
        <v>30.2</v>
      </c>
      <c r="J84" s="255">
        <f>VLOOKUP(A84,'Odhad BD'!$A$7:$M$692,8,FALSE)</f>
        <v>47.15</v>
      </c>
      <c r="K84" s="138">
        <f>VLOOKUP(A84,'Odhad BD'!$A$7:$M$692,9,FALSE)</f>
        <v>46.53</v>
      </c>
    </row>
    <row r="85" spans="1:11" ht="29" x14ac:dyDescent="0.35">
      <c r="A85" s="247" t="s">
        <v>622</v>
      </c>
      <c r="B85" s="247" t="s">
        <v>962</v>
      </c>
      <c r="C85" s="248">
        <v>26</v>
      </c>
      <c r="D85" s="248">
        <v>18</v>
      </c>
      <c r="E85" s="139">
        <f>VLOOKUP(A85,'Odhad BD'!$A$7:$M$692,13,FALSE)</f>
        <v>1.44</v>
      </c>
      <c r="F85" s="139">
        <f>VLOOKUP(A85,'Odhad BD'!$A$7:$M$692,11,FALSE)</f>
        <v>1.42</v>
      </c>
      <c r="G85" s="255">
        <f>VLOOKUP(A85,'Odhad BD'!$A$7:$M$692,2,FALSE)</f>
        <v>12.64</v>
      </c>
      <c r="H85" s="138">
        <f>VLOOKUP(A85,'Odhad BD'!$A$7:$M$692,3,FALSE)</f>
        <v>14.41</v>
      </c>
      <c r="J85" s="255">
        <f>VLOOKUP(A85,'Odhad BD'!$A$7:$M$692,8,FALSE)</f>
        <v>16.54</v>
      </c>
      <c r="K85" s="138">
        <f>VLOOKUP(A85,'Odhad BD'!$A$7:$M$692,9,FALSE)</f>
        <v>14.870000000000001</v>
      </c>
    </row>
    <row r="86" spans="1:11" ht="29" x14ac:dyDescent="0.35">
      <c r="A86" s="247" t="s">
        <v>632</v>
      </c>
      <c r="B86" s="247" t="s">
        <v>962</v>
      </c>
      <c r="C86" s="248">
        <v>26</v>
      </c>
      <c r="D86" s="248">
        <v>18</v>
      </c>
      <c r="E86" s="139">
        <f>VLOOKUP(A86,'Odhad BD'!$A$7:$M$692,13,FALSE)</f>
        <v>1.43</v>
      </c>
      <c r="F86" s="139">
        <f>VLOOKUP(A86,'Odhad BD'!$A$7:$M$692,11,FALSE)</f>
        <v>1.43</v>
      </c>
      <c r="G86" s="255">
        <f>VLOOKUP(A86,'Odhad BD'!$A$7:$M$692,2,FALSE)</f>
        <v>12.35</v>
      </c>
      <c r="H86" s="138">
        <f>VLOOKUP(A86,'Odhad BD'!$A$7:$M$692,3,FALSE)</f>
        <v>14.87</v>
      </c>
      <c r="J86" s="255">
        <f>VLOOKUP(A86,'Odhad BD'!$A$7:$M$692,8,FALSE)</f>
        <v>14.459999999999999</v>
      </c>
      <c r="K86" s="138">
        <f>VLOOKUP(A86,'Odhad BD'!$A$7:$M$692,9,FALSE)</f>
        <v>14.290000000000001</v>
      </c>
    </row>
    <row r="87" spans="1:11" ht="29" x14ac:dyDescent="0.35">
      <c r="A87" s="247" t="s">
        <v>655</v>
      </c>
      <c r="B87" s="247" t="s">
        <v>962</v>
      </c>
      <c r="C87" s="248">
        <v>26</v>
      </c>
      <c r="D87" s="248">
        <v>24</v>
      </c>
      <c r="E87" s="139">
        <f>VLOOKUP(A87,'Odhad BD'!$A$7:$M$692,13,FALSE)</f>
        <v>1.59</v>
      </c>
      <c r="F87" s="139">
        <f>VLOOKUP(A87,'Odhad BD'!$A$7:$M$692,11,FALSE)</f>
        <v>1.51</v>
      </c>
      <c r="G87" s="255">
        <f>VLOOKUP(A87,'Odhad BD'!$A$7:$M$692,2,FALSE)</f>
        <v>6.15</v>
      </c>
      <c r="H87" s="138">
        <f>VLOOKUP(A87,'Odhad BD'!$A$7:$M$692,3,FALSE)</f>
        <v>7.59</v>
      </c>
      <c r="J87" s="255">
        <f>VLOOKUP(A87,'Odhad BD'!$A$7:$M$692,8,FALSE)</f>
        <v>39.800000000000004</v>
      </c>
      <c r="K87" s="138">
        <f>VLOOKUP(A87,'Odhad BD'!$A$7:$M$692,9,FALSE)</f>
        <v>37.54</v>
      </c>
    </row>
    <row r="88" spans="1:11" ht="29" x14ac:dyDescent="0.35">
      <c r="A88" s="247" t="s">
        <v>588</v>
      </c>
      <c r="B88" s="247" t="s">
        <v>962</v>
      </c>
      <c r="C88" s="248">
        <v>26</v>
      </c>
      <c r="D88" s="248">
        <v>32</v>
      </c>
      <c r="E88" s="139">
        <f>VLOOKUP(A88,'Odhad BD'!$A$7:$M$692,13,FALSE)</f>
        <v>1.37</v>
      </c>
      <c r="F88" s="139">
        <f>VLOOKUP(A88,'Odhad BD'!$A$7:$M$692,11,FALSE)</f>
        <v>1.31</v>
      </c>
      <c r="G88" s="255">
        <f>VLOOKUP(A88,'Odhad BD'!$A$7:$M$692,2,FALSE)</f>
        <v>19.91</v>
      </c>
      <c r="H88" s="138">
        <f>VLOOKUP(A88,'Odhad BD'!$A$7:$M$692,3,FALSE)</f>
        <v>23.15</v>
      </c>
      <c r="J88" s="255">
        <f>VLOOKUP(A88,'Odhad BD'!$A$7:$M$692,8,FALSE)</f>
        <v>12.440000000000001</v>
      </c>
      <c r="K88" s="138">
        <f>VLOOKUP(A88,'Odhad BD'!$A$7:$M$692,9,FALSE)</f>
        <v>11.569999999999999</v>
      </c>
    </row>
    <row r="89" spans="1:11" ht="29" x14ac:dyDescent="0.35">
      <c r="A89" s="247" t="s">
        <v>602</v>
      </c>
      <c r="B89" s="247" t="s">
        <v>962</v>
      </c>
      <c r="C89" s="248">
        <v>26</v>
      </c>
      <c r="D89" s="248">
        <v>35</v>
      </c>
      <c r="E89" s="139">
        <v>1.24</v>
      </c>
      <c r="F89" s="139">
        <v>1.21</v>
      </c>
      <c r="G89" s="255">
        <f>VLOOKUP(A89,'Odhad BD'!$A$7:$M$692,2,FALSE)</f>
        <v>49.43</v>
      </c>
      <c r="H89" s="138">
        <f>VLOOKUP(A89,'Odhad BD'!$A$7:$M$692,3,FALSE)</f>
        <v>52.47</v>
      </c>
      <c r="J89" s="255">
        <f>VLOOKUP(A89,'Odhad BD'!$A$7:$M$692,8,FALSE)</f>
        <v>19.079999999999998</v>
      </c>
      <c r="K89" s="138">
        <f>VLOOKUP(A89,'Odhad BD'!$A$7:$M$692,9,FALSE)</f>
        <v>13.129999999999999</v>
      </c>
    </row>
    <row r="90" spans="1:11" ht="29" x14ac:dyDescent="0.35">
      <c r="A90" s="247" t="s">
        <v>601</v>
      </c>
      <c r="B90" s="247" t="s">
        <v>962</v>
      </c>
      <c r="C90" s="248">
        <v>27</v>
      </c>
      <c r="D90" s="248">
        <v>17</v>
      </c>
      <c r="E90" s="139">
        <v>1.55</v>
      </c>
      <c r="F90" s="139">
        <v>1.48</v>
      </c>
      <c r="G90" s="255">
        <f>VLOOKUP(A90,'Odhad BD'!$A$7:$M$692,2,FALSE)</f>
        <v>10.19</v>
      </c>
      <c r="H90" s="138">
        <f>VLOOKUP(A90,'Odhad BD'!$A$7:$M$692,3,FALSE)</f>
        <v>15.83</v>
      </c>
      <c r="J90" s="255">
        <f>VLOOKUP(A90,'Odhad BD'!$A$7:$M$692,8,FALSE)</f>
        <v>62.94</v>
      </c>
      <c r="K90" s="138">
        <f>VLOOKUP(A90,'Odhad BD'!$A$7:$M$692,9,FALSE)</f>
        <v>59.39</v>
      </c>
    </row>
    <row r="91" spans="1:11" ht="29" x14ac:dyDescent="0.35">
      <c r="A91" s="247" t="s">
        <v>603</v>
      </c>
      <c r="B91" s="247" t="s">
        <v>962</v>
      </c>
      <c r="C91" s="248">
        <v>27</v>
      </c>
      <c r="D91" s="248">
        <v>43</v>
      </c>
      <c r="E91" s="139">
        <v>1.29</v>
      </c>
      <c r="F91" s="139">
        <v>1.22</v>
      </c>
      <c r="G91" s="255">
        <f>VLOOKUP(A91,'Odhad BD'!$A$7:$M$692,2,FALSE)</f>
        <v>38.69</v>
      </c>
      <c r="H91" s="138">
        <f>VLOOKUP(A91,'Odhad BD'!$A$7:$M$692,3,FALSE)</f>
        <v>52.57</v>
      </c>
      <c r="J91" s="255">
        <f>VLOOKUP(A91,'Odhad BD'!$A$7:$M$692,8,FALSE)</f>
        <v>29.5</v>
      </c>
      <c r="K91" s="138">
        <f>VLOOKUP(A91,'Odhad BD'!$A$7:$M$692,9,FALSE)</f>
        <v>18.700000000000003</v>
      </c>
    </row>
    <row r="92" spans="1:11" ht="29" x14ac:dyDescent="0.35">
      <c r="A92" s="247" t="s">
        <v>672</v>
      </c>
      <c r="B92" s="247" t="s">
        <v>962</v>
      </c>
      <c r="C92" s="248">
        <v>28</v>
      </c>
      <c r="D92" s="248">
        <v>18</v>
      </c>
      <c r="E92" s="139">
        <f>VLOOKUP(A92,'Odhad BD'!$A$7:$M$692,13,FALSE)</f>
        <v>1.44</v>
      </c>
      <c r="F92" s="139">
        <f>VLOOKUP(A92,'Odhad BD'!$A$7:$M$692,11,FALSE)</f>
        <v>1.43</v>
      </c>
      <c r="G92" s="255">
        <f>VLOOKUP(A92,'Odhad BD'!$A$7:$M$692,2,FALSE)</f>
        <v>12.53</v>
      </c>
      <c r="H92" s="138">
        <f>VLOOKUP(A92,'Odhad BD'!$A$7:$M$692,3,FALSE)</f>
        <v>16.04</v>
      </c>
      <c r="J92" s="255">
        <f>VLOOKUP(A92,'Odhad BD'!$A$7:$M$692,8,FALSE)</f>
        <v>21.32</v>
      </c>
      <c r="K92" s="138">
        <f>VLOOKUP(A92,'Odhad BD'!$A$7:$M$692,9,FALSE)</f>
        <v>18.2</v>
      </c>
    </row>
    <row r="93" spans="1:11" ht="29" x14ac:dyDescent="0.35">
      <c r="A93" s="247" t="s">
        <v>652</v>
      </c>
      <c r="B93" s="247" t="s">
        <v>962</v>
      </c>
      <c r="C93" s="248">
        <v>28</v>
      </c>
      <c r="D93" s="248">
        <v>20</v>
      </c>
      <c r="E93" s="139">
        <v>1.4</v>
      </c>
      <c r="F93" s="139">
        <v>1.37</v>
      </c>
      <c r="G93" s="255">
        <f>VLOOKUP(A93,'Odhad BD'!$A$7:$M$692,2,FALSE)</f>
        <v>21.69</v>
      </c>
      <c r="H93" s="138">
        <f>VLOOKUP(A93,'Odhad BD'!$A$7:$M$692,3,FALSE)</f>
        <v>21.69</v>
      </c>
      <c r="J93" s="255">
        <f>VLOOKUP(A93,'Odhad BD'!$A$7:$M$692,8,FALSE)</f>
        <v>40.770000000000003</v>
      </c>
      <c r="K93" s="138">
        <f>VLOOKUP(A93,'Odhad BD'!$A$7:$M$692,9,FALSE)</f>
        <v>30.05</v>
      </c>
    </row>
    <row r="94" spans="1:11" ht="29" x14ac:dyDescent="0.35">
      <c r="A94" s="247" t="s">
        <v>595</v>
      </c>
      <c r="B94" s="247" t="s">
        <v>962</v>
      </c>
      <c r="C94" s="248">
        <v>28</v>
      </c>
      <c r="D94" s="248">
        <v>20</v>
      </c>
      <c r="E94" s="139">
        <f>VLOOKUP(A94,'Odhad BD'!$A$7:$M$692,13,FALSE)</f>
        <v>1.45</v>
      </c>
      <c r="F94" s="139">
        <f>VLOOKUP(A94,'Odhad BD'!$A$7:$M$692,11,FALSE)</f>
        <v>1.4</v>
      </c>
      <c r="G94" s="255">
        <f>VLOOKUP(A94,'Odhad BD'!$A$7:$M$692,2,FALSE)</f>
        <v>11.4</v>
      </c>
      <c r="H94" s="138">
        <f>VLOOKUP(A94,'Odhad BD'!$A$7:$M$692,3,FALSE)</f>
        <v>16.45</v>
      </c>
      <c r="J94" s="255">
        <f>VLOOKUP(A94,'Odhad BD'!$A$7:$M$692,8,FALSE)</f>
        <v>15.01</v>
      </c>
      <c r="K94" s="138">
        <f>VLOOKUP(A94,'Odhad BD'!$A$7:$M$692,9,FALSE)</f>
        <v>13.629999999999999</v>
      </c>
    </row>
    <row r="95" spans="1:11" ht="29" x14ac:dyDescent="0.35">
      <c r="A95" s="247" t="s">
        <v>596</v>
      </c>
      <c r="B95" s="247" t="s">
        <v>962</v>
      </c>
      <c r="C95" s="248">
        <v>30</v>
      </c>
      <c r="D95" s="248">
        <v>18</v>
      </c>
      <c r="E95" s="139">
        <v>1.36</v>
      </c>
      <c r="F95" s="139">
        <v>1.31</v>
      </c>
      <c r="G95" s="255">
        <f>VLOOKUP(A95,'Odhad BD'!$A$7:$M$692,2,FALSE)</f>
        <v>20.079999999999998</v>
      </c>
      <c r="H95" s="138">
        <f>VLOOKUP(A95,'Odhad BD'!$A$7:$M$692,3,FALSE)</f>
        <v>26.18</v>
      </c>
      <c r="J95" s="255">
        <f>VLOOKUP(A95,'Odhad BD'!$A$7:$M$692,8,FALSE)</f>
        <v>13.7</v>
      </c>
      <c r="K95" s="138">
        <f>VLOOKUP(A95,'Odhad BD'!$A$7:$M$692,9,FALSE)</f>
        <v>12.38</v>
      </c>
    </row>
    <row r="96" spans="1:11" ht="29" x14ac:dyDescent="0.35">
      <c r="A96" s="247" t="s">
        <v>597</v>
      </c>
      <c r="B96" s="247" t="s">
        <v>962</v>
      </c>
      <c r="C96" s="248">
        <v>30</v>
      </c>
      <c r="D96" s="248">
        <v>20</v>
      </c>
      <c r="E96" s="139">
        <v>1.62</v>
      </c>
      <c r="F96" s="139">
        <v>1.62</v>
      </c>
      <c r="G96" s="255">
        <f>VLOOKUP(A96,'Odhad BD'!$A$7:$M$692,2,FALSE)</f>
        <v>6.74</v>
      </c>
      <c r="H96" s="138">
        <f>VLOOKUP(A96,'Odhad BD'!$A$7:$M$692,3,FALSE)</f>
        <v>6.76</v>
      </c>
      <c r="J96" s="255">
        <f>VLOOKUP(A96,'Odhad BD'!$A$7:$M$692,8,FALSE)</f>
        <v>70.960000000000008</v>
      </c>
      <c r="K96" s="138">
        <f>VLOOKUP(A96,'Odhad BD'!$A$7:$M$692,9,FALSE)</f>
        <v>72.900000000000006</v>
      </c>
    </row>
    <row r="97" spans="1:11" ht="29" x14ac:dyDescent="0.35">
      <c r="A97" s="247" t="s">
        <v>665</v>
      </c>
      <c r="B97" s="247" t="s">
        <v>962</v>
      </c>
      <c r="C97" s="248">
        <v>30</v>
      </c>
      <c r="D97" s="248">
        <v>22</v>
      </c>
      <c r="E97" s="139">
        <v>1.32</v>
      </c>
      <c r="F97" s="139">
        <v>1.33</v>
      </c>
      <c r="G97" s="255">
        <f>VLOOKUP(A97,'Odhad BD'!$A$7:$M$692,2,FALSE)</f>
        <v>34.69</v>
      </c>
      <c r="H97" s="138">
        <f>VLOOKUP(A97,'Odhad BD'!$A$7:$M$692,3,FALSE)</f>
        <v>32.42</v>
      </c>
      <c r="J97" s="255">
        <f>VLOOKUP(A97,'Odhad BD'!$A$7:$M$692,8,FALSE)</f>
        <v>34.6</v>
      </c>
      <c r="K97" s="138">
        <f>VLOOKUP(A97,'Odhad BD'!$A$7:$M$692,9,FALSE)</f>
        <v>36.630000000000003</v>
      </c>
    </row>
    <row r="98" spans="1:11" ht="29" x14ac:dyDescent="0.35">
      <c r="A98" s="247" t="s">
        <v>636</v>
      </c>
      <c r="B98" s="247" t="s">
        <v>962</v>
      </c>
      <c r="C98" s="248">
        <v>30</v>
      </c>
      <c r="D98" s="248">
        <v>30</v>
      </c>
      <c r="E98" s="139">
        <v>1.29</v>
      </c>
      <c r="F98" s="139">
        <v>1.25</v>
      </c>
      <c r="G98" s="255">
        <f>VLOOKUP(A98,'Odhad BD'!$A$7:$M$692,2,FALSE)</f>
        <v>34.81</v>
      </c>
      <c r="H98" s="138">
        <f>VLOOKUP(A98,'Odhad BD'!$A$7:$M$692,3,FALSE)</f>
        <v>43.2</v>
      </c>
      <c r="J98" s="255">
        <f>VLOOKUP(A98,'Odhad BD'!$A$7:$M$692,8,FALSE)</f>
        <v>20</v>
      </c>
      <c r="K98" s="138">
        <f>VLOOKUP(A98,'Odhad BD'!$A$7:$M$692,9,FALSE)</f>
        <v>15.25</v>
      </c>
    </row>
    <row r="99" spans="1:11" ht="29" x14ac:dyDescent="0.35">
      <c r="A99" s="247" t="s">
        <v>656</v>
      </c>
      <c r="B99" s="247" t="s">
        <v>962</v>
      </c>
      <c r="C99" s="248">
        <v>30</v>
      </c>
      <c r="D99" s="248">
        <v>50</v>
      </c>
      <c r="E99" s="139">
        <f>VLOOKUP(A99,'Odhad BD'!$A$7:$M$692,13,FALSE)</f>
        <v>1.56</v>
      </c>
      <c r="F99" s="139">
        <f>VLOOKUP(A99,'Odhad BD'!$A$7:$M$692,11,FALSE)</f>
        <v>1.4</v>
      </c>
      <c r="G99" s="255">
        <f>VLOOKUP(A99,'Odhad BD'!$A$7:$M$692,2,FALSE)</f>
        <v>8.58</v>
      </c>
      <c r="H99" s="138">
        <f>VLOOKUP(A99,'Odhad BD'!$A$7:$M$692,3,FALSE)</f>
        <v>17.670000000000002</v>
      </c>
      <c r="J99" s="255">
        <f>VLOOKUP(A99,'Odhad BD'!$A$7:$M$692,8,FALSE)</f>
        <v>51.8</v>
      </c>
      <c r="K99" s="138">
        <f>VLOOKUP(A99,'Odhad BD'!$A$7:$M$692,9,FALSE)</f>
        <v>55.5</v>
      </c>
    </row>
    <row r="100" spans="1:11" ht="29" x14ac:dyDescent="0.35">
      <c r="A100" s="247" t="s">
        <v>583</v>
      </c>
      <c r="B100" s="247" t="s">
        <v>962</v>
      </c>
      <c r="C100" s="248">
        <v>31</v>
      </c>
      <c r="D100" s="248">
        <v>25</v>
      </c>
      <c r="E100" s="139">
        <v>1.55</v>
      </c>
      <c r="F100" s="139">
        <v>1.55</v>
      </c>
      <c r="G100" s="255">
        <f>VLOOKUP(A100,'Odhad BD'!$A$7:$M$692,2,FALSE)</f>
        <v>9.15</v>
      </c>
      <c r="H100" s="138">
        <f>VLOOKUP(A100,'Odhad BD'!$A$7:$M$692,3,FALSE)</f>
        <v>9.77</v>
      </c>
      <c r="J100" s="255">
        <f>VLOOKUP(A100,'Odhad BD'!$A$7:$M$692,8,FALSE)</f>
        <v>54.8</v>
      </c>
      <c r="K100" s="138">
        <f>VLOOKUP(A100,'Odhad BD'!$A$7:$M$692,9,FALSE)</f>
        <v>58.53</v>
      </c>
    </row>
    <row r="101" spans="1:11" ht="29" x14ac:dyDescent="0.35">
      <c r="A101" s="247" t="s">
        <v>629</v>
      </c>
      <c r="B101" s="247" t="s">
        <v>962</v>
      </c>
      <c r="C101" s="248">
        <v>32</v>
      </c>
      <c r="D101" s="248">
        <v>14</v>
      </c>
      <c r="E101" s="139">
        <v>1.66</v>
      </c>
      <c r="F101" s="139">
        <v>1.69</v>
      </c>
      <c r="G101" s="255">
        <f>VLOOKUP(A101,'Odhad BD'!$A$7:$M$692,2,FALSE)</f>
        <v>6</v>
      </c>
      <c r="H101" s="138">
        <f>VLOOKUP(A101,'Odhad BD'!$A$7:$M$692,3,FALSE)</f>
        <v>5.26</v>
      </c>
      <c r="J101" s="255">
        <f>VLOOKUP(A101,'Odhad BD'!$A$7:$M$692,8,FALSE)</f>
        <v>78.5</v>
      </c>
      <c r="K101" s="138">
        <f>VLOOKUP(A101,'Odhad BD'!$A$7:$M$692,9,FALSE)</f>
        <v>81.91</v>
      </c>
    </row>
    <row r="102" spans="1:11" ht="29" x14ac:dyDescent="0.35">
      <c r="A102" s="247" t="s">
        <v>637</v>
      </c>
      <c r="B102" s="247" t="s">
        <v>962</v>
      </c>
      <c r="C102" s="248">
        <v>32</v>
      </c>
      <c r="D102" s="248">
        <v>32</v>
      </c>
      <c r="E102" s="139">
        <f>VLOOKUP(A102,'Odhad BD'!$A$7:$M$692,13,FALSE)</f>
        <v>1.38</v>
      </c>
      <c r="F102" s="139">
        <f>VLOOKUP(A102,'Odhad BD'!$A$7:$M$692,11,FALSE)</f>
        <v>1.4</v>
      </c>
      <c r="G102" s="255">
        <f>VLOOKUP(A102,'Odhad BD'!$A$7:$M$692,2,FALSE)</f>
        <v>16.75</v>
      </c>
      <c r="H102" s="138">
        <f>VLOOKUP(A102,'Odhad BD'!$A$7:$M$692,3,FALSE)</f>
        <v>16.93</v>
      </c>
      <c r="J102" s="255">
        <f>VLOOKUP(A102,'Odhad BD'!$A$7:$M$692,8,FALSE)</f>
        <v>12.3</v>
      </c>
      <c r="K102" s="138">
        <f>VLOOKUP(A102,'Odhad BD'!$A$7:$M$692,9,FALSE)</f>
        <v>12.47</v>
      </c>
    </row>
    <row r="103" spans="1:11" ht="29" x14ac:dyDescent="0.35">
      <c r="A103" s="247" t="s">
        <v>633</v>
      </c>
      <c r="B103" s="247" t="s">
        <v>962</v>
      </c>
      <c r="C103" s="248">
        <v>34</v>
      </c>
      <c r="D103" s="248">
        <v>18</v>
      </c>
      <c r="E103" s="139">
        <f>VLOOKUP(A103,'Odhad BD'!$A$7:$M$692,13,FALSE)</f>
        <v>1.43</v>
      </c>
      <c r="F103" s="139">
        <f>VLOOKUP(A103,'Odhad BD'!$A$7:$M$692,11,FALSE)</f>
        <v>1.39</v>
      </c>
      <c r="G103" s="255">
        <f>VLOOKUP(A103,'Odhad BD'!$A$7:$M$692,2,FALSE)</f>
        <v>12.72</v>
      </c>
      <c r="H103" s="138">
        <f>VLOOKUP(A103,'Odhad BD'!$A$7:$M$692,3,FALSE)</f>
        <v>16.03</v>
      </c>
      <c r="J103" s="255">
        <f>VLOOKUP(A103,'Odhad BD'!$A$7:$M$692,8,FALSE)</f>
        <v>14.700000000000001</v>
      </c>
      <c r="K103" s="138">
        <f>VLOOKUP(A103,'Odhad BD'!$A$7:$M$692,9,FALSE)</f>
        <v>13.459999999999999</v>
      </c>
    </row>
    <row r="104" spans="1:11" x14ac:dyDescent="0.35">
      <c r="A104" s="247" t="s">
        <v>525</v>
      </c>
      <c r="B104" s="247" t="s">
        <v>963</v>
      </c>
      <c r="C104" s="248">
        <v>14</v>
      </c>
      <c r="D104" s="248">
        <v>18</v>
      </c>
      <c r="E104" s="139">
        <f>VLOOKUP(A104,'Odhad BD'!$A$7:$M$692,13,FALSE)</f>
        <v>1.36</v>
      </c>
      <c r="F104" s="139">
        <f>VLOOKUP(A104,'Odhad BD'!$A$7:$M$692,11,FALSE)</f>
        <v>1.33</v>
      </c>
      <c r="G104" s="255">
        <f>VLOOKUP(A104,'Odhad BD'!$A$7:$M$692,2,FALSE)</f>
        <v>26.04</v>
      </c>
      <c r="H104" s="138">
        <f>VLOOKUP(A104,'Odhad BD'!$A$7:$M$692,3,FALSE)</f>
        <v>26.94</v>
      </c>
      <c r="J104" s="255">
        <f>VLOOKUP(A104,'Odhad BD'!$A$7:$M$692,8,FALSE)</f>
        <v>26.64</v>
      </c>
      <c r="K104" s="138">
        <f>VLOOKUP(A104,'Odhad BD'!$A$7:$M$692,9,FALSE)</f>
        <v>25.92</v>
      </c>
    </row>
    <row r="105" spans="1:11" x14ac:dyDescent="0.35">
      <c r="A105" s="247" t="s">
        <v>112</v>
      </c>
      <c r="B105" s="247" t="s">
        <v>963</v>
      </c>
      <c r="C105" s="248">
        <v>14</v>
      </c>
      <c r="D105" s="248">
        <v>24</v>
      </c>
      <c r="E105" s="139">
        <f>VLOOKUP(A105,'Odhad BD'!$A$7:$M$692,13,FALSE)</f>
        <v>1.62</v>
      </c>
      <c r="F105" s="139">
        <f>VLOOKUP(A105,'Odhad BD'!$A$7:$M$692,11,FALSE)</f>
        <v>1.56</v>
      </c>
      <c r="G105" s="255">
        <f>VLOOKUP(A105,'Odhad BD'!$A$7:$M$692,2,FALSE)</f>
        <v>6.85</v>
      </c>
      <c r="H105" s="138">
        <f>VLOOKUP(A105,'Odhad BD'!$A$7:$M$692,3,FALSE)</f>
        <v>9.6</v>
      </c>
      <c r="J105" s="255">
        <f>VLOOKUP(A105,'Odhad BD'!$A$7:$M$692,8,FALSE)</f>
        <v>54.019999999999996</v>
      </c>
      <c r="K105" s="138">
        <f>VLOOKUP(A105,'Odhad BD'!$A$7:$M$692,9,FALSE)</f>
        <v>54.940000000000005</v>
      </c>
    </row>
    <row r="106" spans="1:11" x14ac:dyDescent="0.35">
      <c r="A106" s="247" t="s">
        <v>562</v>
      </c>
      <c r="B106" s="247" t="s">
        <v>963</v>
      </c>
      <c r="C106" s="248">
        <v>16</v>
      </c>
      <c r="D106" s="248">
        <v>16</v>
      </c>
      <c r="E106" s="139">
        <f>VLOOKUP(A106,'Odhad BD'!$A$7:$M$692,13,FALSE)</f>
        <v>1.49</v>
      </c>
      <c r="F106" s="139">
        <f>VLOOKUP(A106,'Odhad BD'!$A$7:$M$692,11,FALSE)</f>
        <v>1.51</v>
      </c>
      <c r="G106" s="255">
        <f>VLOOKUP(A106,'Odhad BD'!$A$7:$M$692,2,FALSE)</f>
        <v>13.37</v>
      </c>
      <c r="H106" s="138">
        <f>VLOOKUP(A106,'Odhad BD'!$A$7:$M$692,3,FALSE)</f>
        <v>13.6</v>
      </c>
      <c r="J106" s="255">
        <f>VLOOKUP(A106,'Odhad BD'!$A$7:$M$692,8,FALSE)</f>
        <v>51.31</v>
      </c>
      <c r="K106" s="138">
        <f>VLOOKUP(A106,'Odhad BD'!$A$7:$M$692,9,FALSE)</f>
        <v>50.91</v>
      </c>
    </row>
    <row r="107" spans="1:11" x14ac:dyDescent="0.35">
      <c r="A107" s="247" t="s">
        <v>549</v>
      </c>
      <c r="B107" s="247" t="s">
        <v>963</v>
      </c>
      <c r="C107" s="248">
        <v>16</v>
      </c>
      <c r="D107" s="248">
        <v>24</v>
      </c>
      <c r="E107" s="139">
        <f>VLOOKUP(A107,'Odhad BD'!$A$7:$M$692,13,FALSE)</f>
        <v>1.53</v>
      </c>
      <c r="F107" s="139">
        <f>VLOOKUP(A107,'Odhad BD'!$A$7:$M$692,11,FALSE)</f>
        <v>1.4</v>
      </c>
      <c r="G107" s="255">
        <f>VLOOKUP(A107,'Odhad BD'!$A$7:$M$692,2,FALSE)</f>
        <v>16.309999999999999</v>
      </c>
      <c r="H107" s="138">
        <f>VLOOKUP(A107,'Odhad BD'!$A$7:$M$692,3,FALSE)</f>
        <v>19.87</v>
      </c>
      <c r="J107" s="255">
        <f>VLOOKUP(A107,'Odhad BD'!$A$7:$M$692,8,FALSE)</f>
        <v>51.24</v>
      </c>
      <c r="K107" s="138">
        <f>VLOOKUP(A107,'Odhad BD'!$A$7:$M$692,9,FALSE)</f>
        <v>50.34</v>
      </c>
    </row>
    <row r="108" spans="1:11" x14ac:dyDescent="0.35">
      <c r="A108" s="247" t="s">
        <v>119</v>
      </c>
      <c r="B108" s="247" t="s">
        <v>963</v>
      </c>
      <c r="C108" s="248">
        <v>16</v>
      </c>
      <c r="D108" s="248">
        <v>24</v>
      </c>
      <c r="E108" s="139">
        <v>1.49</v>
      </c>
      <c r="F108" s="139">
        <v>1.47</v>
      </c>
      <c r="G108" s="255">
        <f>VLOOKUP(A108,'Odhad BD'!$A$7:$M$692,2,FALSE)</f>
        <v>14.37</v>
      </c>
      <c r="H108" s="138">
        <f>VLOOKUP(A108,'Odhad BD'!$A$7:$M$692,3,FALSE)</f>
        <v>17.420000000000002</v>
      </c>
      <c r="J108" s="255">
        <f>VLOOKUP(A108,'Odhad BD'!$A$7:$M$692,8,FALSE)</f>
        <v>56.72</v>
      </c>
      <c r="K108" s="138">
        <f>VLOOKUP(A108,'Odhad BD'!$A$7:$M$692,9,FALSE)</f>
        <v>57.87</v>
      </c>
    </row>
    <row r="109" spans="1:11" x14ac:dyDescent="0.35">
      <c r="A109" s="247" t="s">
        <v>126</v>
      </c>
      <c r="B109" s="247" t="s">
        <v>963</v>
      </c>
      <c r="C109" s="248">
        <v>16</v>
      </c>
      <c r="D109" s="248">
        <v>29</v>
      </c>
      <c r="E109" s="139">
        <v>1.48</v>
      </c>
      <c r="F109" s="139">
        <v>1.46</v>
      </c>
      <c r="G109" s="255">
        <f>VLOOKUP(A109,'Odhad BD'!$A$7:$M$692,2,FALSE)</f>
        <v>9.17</v>
      </c>
      <c r="H109" s="138">
        <f>VLOOKUP(A109,'Odhad BD'!$A$7:$M$692,3,FALSE)</f>
        <v>10.029999999999999</v>
      </c>
      <c r="J109" s="255">
        <f>VLOOKUP(A109,'Odhad BD'!$A$7:$M$692,8,FALSE)</f>
        <v>16.38</v>
      </c>
      <c r="K109" s="138">
        <f>VLOOKUP(A109,'Odhad BD'!$A$7:$M$692,9,FALSE)</f>
        <v>13.969999999999999</v>
      </c>
    </row>
    <row r="110" spans="1:11" x14ac:dyDescent="0.35">
      <c r="A110" s="247" t="s">
        <v>526</v>
      </c>
      <c r="B110" s="247" t="s">
        <v>963</v>
      </c>
      <c r="C110" s="248">
        <v>18</v>
      </c>
      <c r="D110" s="248">
        <v>20</v>
      </c>
      <c r="E110" s="139">
        <v>1.54</v>
      </c>
      <c r="F110" s="139">
        <v>1.58</v>
      </c>
      <c r="G110" s="255">
        <f>VLOOKUP(A110,'Odhad BD'!$A$7:$M$692,2,FALSE)</f>
        <v>9.64</v>
      </c>
      <c r="H110" s="138">
        <f>VLOOKUP(A110,'Odhad BD'!$A$7:$M$692,3,FALSE)</f>
        <v>6.18</v>
      </c>
      <c r="J110" s="255">
        <f>VLOOKUP(A110,'Odhad BD'!$A$7:$M$692,8,FALSE)</f>
        <v>58.260000000000005</v>
      </c>
      <c r="K110" s="138">
        <f>VLOOKUP(A110,'Odhad BD'!$A$7:$M$692,9,FALSE)</f>
        <v>37.97</v>
      </c>
    </row>
    <row r="111" spans="1:11" x14ac:dyDescent="0.35">
      <c r="A111" s="247" t="s">
        <v>122</v>
      </c>
      <c r="B111" s="247" t="s">
        <v>963</v>
      </c>
      <c r="C111" s="248">
        <v>18</v>
      </c>
      <c r="D111" s="248">
        <v>21</v>
      </c>
      <c r="E111" s="139">
        <v>1.36</v>
      </c>
      <c r="F111" s="139">
        <v>1.36</v>
      </c>
      <c r="G111" s="255">
        <f>VLOOKUP(A111,'Odhad BD'!$A$7:$M$692,2,FALSE)</f>
        <v>25.18</v>
      </c>
      <c r="H111" s="138">
        <f>VLOOKUP(A111,'Odhad BD'!$A$7:$M$692,3,FALSE)</f>
        <v>24.51</v>
      </c>
      <c r="J111" s="255">
        <f>VLOOKUP(A111,'Odhad BD'!$A$7:$M$692,8,FALSE)</f>
        <v>31.87</v>
      </c>
      <c r="K111" s="138">
        <f>VLOOKUP(A111,'Odhad BD'!$A$7:$M$692,9,FALSE)</f>
        <v>34.85</v>
      </c>
    </row>
    <row r="112" spans="1:11" x14ac:dyDescent="0.35">
      <c r="A112" s="247" t="s">
        <v>120</v>
      </c>
      <c r="B112" s="247" t="s">
        <v>963</v>
      </c>
      <c r="C112" s="248">
        <v>18</v>
      </c>
      <c r="D112" s="248">
        <v>22</v>
      </c>
      <c r="E112" s="139">
        <v>1.5</v>
      </c>
      <c r="F112" s="139">
        <v>1.49</v>
      </c>
      <c r="G112" s="255">
        <f>VLOOKUP(A112,'Odhad BD'!$A$7:$M$692,2,FALSE)</f>
        <v>9.93</v>
      </c>
      <c r="H112" s="138">
        <f>VLOOKUP(A112,'Odhad BD'!$A$7:$M$692,3,FALSE)</f>
        <v>10.85</v>
      </c>
      <c r="J112" s="255">
        <f>VLOOKUP(A112,'Odhad BD'!$A$7:$M$692,8,FALSE)</f>
        <v>35</v>
      </c>
      <c r="K112" s="138">
        <f>VLOOKUP(A112,'Odhad BD'!$A$7:$M$692,9,FALSE)</f>
        <v>36.58</v>
      </c>
    </row>
    <row r="113" spans="1:11" x14ac:dyDescent="0.35">
      <c r="A113" s="247" t="s">
        <v>553</v>
      </c>
      <c r="B113" s="247" t="s">
        <v>963</v>
      </c>
      <c r="C113" s="248">
        <v>18</v>
      </c>
      <c r="D113" s="248">
        <v>25</v>
      </c>
      <c r="E113" s="139">
        <v>1.53</v>
      </c>
      <c r="F113" s="139">
        <v>1.53</v>
      </c>
      <c r="G113" s="255">
        <f>VLOOKUP(A113,'Odhad BD'!$A$7:$M$692,2,FALSE)</f>
        <v>10.4</v>
      </c>
      <c r="H113" s="138">
        <f>VLOOKUP(A113,'Odhad BD'!$A$7:$M$692,3,FALSE)</f>
        <v>9.7799999999999994</v>
      </c>
      <c r="J113" s="255">
        <f>VLOOKUP(A113,'Odhad BD'!$A$7:$M$692,8,FALSE)</f>
        <v>51.91</v>
      </c>
      <c r="K113" s="138">
        <f>VLOOKUP(A113,'Odhad BD'!$A$7:$M$692,9,FALSE)</f>
        <v>52.67</v>
      </c>
    </row>
    <row r="114" spans="1:11" x14ac:dyDescent="0.35">
      <c r="A114" s="247" t="s">
        <v>550</v>
      </c>
      <c r="B114" s="247" t="s">
        <v>963</v>
      </c>
      <c r="C114" s="248">
        <v>18</v>
      </c>
      <c r="D114" s="248">
        <v>32</v>
      </c>
      <c r="E114" s="139">
        <f>VLOOKUP(A114,'Odhad BD'!$A$7:$M$692,13,FALSE)</f>
        <v>1.58</v>
      </c>
      <c r="F114" s="139">
        <f>VLOOKUP(A114,'Odhad BD'!$A$7:$M$692,11,FALSE)</f>
        <v>1.59</v>
      </c>
      <c r="G114" s="255">
        <f>VLOOKUP(A114,'Odhad BD'!$A$7:$M$692,2,FALSE)</f>
        <v>8.33</v>
      </c>
      <c r="H114" s="138">
        <f>VLOOKUP(A114,'Odhad BD'!$A$7:$M$692,3,FALSE)</f>
        <v>8.06</v>
      </c>
      <c r="J114" s="255">
        <f>VLOOKUP(A114,'Odhad BD'!$A$7:$M$692,8,FALSE)</f>
        <v>61.6</v>
      </c>
      <c r="K114" s="138">
        <f>VLOOKUP(A114,'Odhad BD'!$A$7:$M$692,9,FALSE)</f>
        <v>65.740000000000009</v>
      </c>
    </row>
    <row r="115" spans="1:11" x14ac:dyDescent="0.35">
      <c r="A115" s="247" t="s">
        <v>555</v>
      </c>
      <c r="B115" s="247" t="s">
        <v>963</v>
      </c>
      <c r="C115" s="248">
        <v>18</v>
      </c>
      <c r="D115" s="248">
        <v>32</v>
      </c>
      <c r="E115" s="139">
        <v>1.54</v>
      </c>
      <c r="F115" s="139">
        <v>1.52</v>
      </c>
      <c r="G115" s="255">
        <f>VLOOKUP(A115,'Odhad BD'!$A$7:$M$692,2,FALSE)</f>
        <v>8.0500000000000007</v>
      </c>
      <c r="H115" s="138">
        <f>VLOOKUP(A115,'Odhad BD'!$A$7:$M$692,3,FALSE)</f>
        <v>9.4700000000000006</v>
      </c>
      <c r="J115" s="255">
        <f>VLOOKUP(A115,'Odhad BD'!$A$7:$M$692,8,FALSE)</f>
        <v>41.49</v>
      </c>
      <c r="K115" s="138">
        <f>VLOOKUP(A115,'Odhad BD'!$A$7:$M$692,9,FALSE)</f>
        <v>36.22</v>
      </c>
    </row>
    <row r="116" spans="1:11" x14ac:dyDescent="0.35">
      <c r="A116" s="247" t="s">
        <v>116</v>
      </c>
      <c r="B116" s="247" t="s">
        <v>963</v>
      </c>
      <c r="C116" s="248">
        <v>18</v>
      </c>
      <c r="D116" s="248">
        <v>37</v>
      </c>
      <c r="E116" s="139">
        <v>1.38</v>
      </c>
      <c r="F116" s="139">
        <v>1.33</v>
      </c>
      <c r="G116" s="255">
        <f>VLOOKUP(A116,'Odhad BD'!$A$7:$M$692,2,FALSE)</f>
        <v>22.24</v>
      </c>
      <c r="H116" s="138">
        <f>VLOOKUP(A116,'Odhad BD'!$A$7:$M$692,3,FALSE)</f>
        <v>27.44</v>
      </c>
      <c r="J116" s="255">
        <f>VLOOKUP(A116,'Odhad BD'!$A$7:$M$692,8,FALSE)</f>
        <v>31.14</v>
      </c>
      <c r="K116" s="138">
        <f>VLOOKUP(A116,'Odhad BD'!$A$7:$M$692,9,FALSE)</f>
        <v>25</v>
      </c>
    </row>
    <row r="117" spans="1:11" x14ac:dyDescent="0.35">
      <c r="A117" s="247" t="s">
        <v>542</v>
      </c>
      <c r="B117" s="247" t="s">
        <v>963</v>
      </c>
      <c r="C117" s="248">
        <v>18</v>
      </c>
      <c r="D117" s="248">
        <v>42</v>
      </c>
      <c r="E117" s="139">
        <v>1.44</v>
      </c>
      <c r="F117" s="139">
        <v>1.44</v>
      </c>
      <c r="G117" s="255">
        <f>VLOOKUP(A117,'Odhad BD'!$A$7:$M$692,2,FALSE)</f>
        <v>12.7</v>
      </c>
      <c r="H117" s="138">
        <f>VLOOKUP(A117,'Odhad BD'!$A$7:$M$692,3,FALSE)</f>
        <v>13.28</v>
      </c>
      <c r="J117" s="255">
        <f>VLOOKUP(A117,'Odhad BD'!$A$7:$M$692,8,FALSE)</f>
        <v>25.8</v>
      </c>
      <c r="K117" s="138">
        <f>VLOOKUP(A117,'Odhad BD'!$A$7:$M$692,9,FALSE)</f>
        <v>24.75</v>
      </c>
    </row>
    <row r="118" spans="1:11" x14ac:dyDescent="0.35">
      <c r="A118" s="247" t="s">
        <v>565</v>
      </c>
      <c r="B118" s="247" t="s">
        <v>963</v>
      </c>
      <c r="C118" s="248">
        <v>19</v>
      </c>
      <c r="D118" s="248">
        <v>16</v>
      </c>
      <c r="E118" s="139">
        <v>1.44</v>
      </c>
      <c r="F118" s="139">
        <v>1.41</v>
      </c>
      <c r="G118" s="255">
        <f>VLOOKUP(A118,'Odhad BD'!$A$7:$M$692,2,FALSE)</f>
        <v>13.94</v>
      </c>
      <c r="H118" s="138">
        <f>VLOOKUP(A118,'Odhad BD'!$A$7:$M$692,3,FALSE)</f>
        <v>17.440000000000001</v>
      </c>
      <c r="J118" s="255">
        <f>VLOOKUP(A118,'Odhad BD'!$A$7:$M$692,8,FALSE)</f>
        <v>31.299999999999997</v>
      </c>
      <c r="K118" s="138">
        <f>VLOOKUP(A118,'Odhad BD'!$A$7:$M$692,9,FALSE)</f>
        <v>28.200000000000003</v>
      </c>
    </row>
    <row r="119" spans="1:11" x14ac:dyDescent="0.35">
      <c r="A119" s="247" t="s">
        <v>124</v>
      </c>
      <c r="B119" s="247" t="s">
        <v>963</v>
      </c>
      <c r="C119" s="248">
        <v>19</v>
      </c>
      <c r="D119" s="248">
        <v>19</v>
      </c>
      <c r="E119" s="139">
        <f>VLOOKUP(A119,'Odhad BD'!$A$7:$M$692,13,FALSE)</f>
        <v>1.61</v>
      </c>
      <c r="F119" s="139">
        <f>VLOOKUP(A119,'Odhad BD'!$A$7:$M$692,11,FALSE)</f>
        <v>1.69</v>
      </c>
      <c r="G119" s="255">
        <f>VLOOKUP(A119,'Odhad BD'!$A$7:$M$692,2,FALSE)</f>
        <v>6.44</v>
      </c>
      <c r="H119" s="138">
        <f>VLOOKUP(A119,'Odhad BD'!$A$7:$M$692,3,FALSE)</f>
        <v>6.19</v>
      </c>
      <c r="J119" s="255">
        <f>VLOOKUP(A119,'Odhad BD'!$A$7:$M$692,8,FALSE)</f>
        <v>70.19</v>
      </c>
      <c r="K119" s="138">
        <f>VLOOKUP(A119,'Odhad BD'!$A$7:$M$692,9,FALSE)</f>
        <v>74.849999999999994</v>
      </c>
    </row>
    <row r="120" spans="1:11" x14ac:dyDescent="0.35">
      <c r="A120" s="247" t="s">
        <v>537</v>
      </c>
      <c r="B120" s="247" t="s">
        <v>963</v>
      </c>
      <c r="C120" s="248">
        <v>19</v>
      </c>
      <c r="D120" s="248">
        <v>25</v>
      </c>
      <c r="E120" s="139">
        <v>1.63</v>
      </c>
      <c r="F120" s="139">
        <v>1.64</v>
      </c>
      <c r="G120" s="255">
        <f>VLOOKUP(A120,'Odhad BD'!$A$7:$M$692,2,FALSE)</f>
        <v>6.59</v>
      </c>
      <c r="H120" s="138">
        <f>VLOOKUP(A120,'Odhad BD'!$A$7:$M$692,3,FALSE)</f>
        <v>4.87</v>
      </c>
      <c r="J120" s="255">
        <f>VLOOKUP(A120,'Odhad BD'!$A$7:$M$692,8,FALSE)</f>
        <v>75.7</v>
      </c>
      <c r="K120" s="138">
        <f>VLOOKUP(A120,'Odhad BD'!$A$7:$M$692,9,FALSE)</f>
        <v>56.24</v>
      </c>
    </row>
    <row r="121" spans="1:11" x14ac:dyDescent="0.35">
      <c r="A121" s="247" t="s">
        <v>111</v>
      </c>
      <c r="B121" s="247" t="s">
        <v>963</v>
      </c>
      <c r="C121" s="248">
        <v>19</v>
      </c>
      <c r="D121" s="248">
        <v>25</v>
      </c>
      <c r="E121" s="139">
        <v>1.67</v>
      </c>
      <c r="F121" s="139">
        <v>1.67</v>
      </c>
      <c r="G121" s="255">
        <f>VLOOKUP(A121,'Odhad BD'!$A$7:$M$692,2,FALSE)</f>
        <v>4.62</v>
      </c>
      <c r="H121" s="138">
        <f>VLOOKUP(A121,'Odhad BD'!$A$7:$M$692,3,FALSE)</f>
        <v>4.67</v>
      </c>
      <c r="J121" s="255">
        <f>VLOOKUP(A121,'Odhad BD'!$A$7:$M$692,8,FALSE)</f>
        <v>72.550000000000011</v>
      </c>
      <c r="K121" s="138">
        <f>VLOOKUP(A121,'Odhad BD'!$A$7:$M$692,9,FALSE)</f>
        <v>72.430000000000007</v>
      </c>
    </row>
    <row r="122" spans="1:11" x14ac:dyDescent="0.35">
      <c r="A122" s="247" t="s">
        <v>129</v>
      </c>
      <c r="B122" s="247" t="s">
        <v>963</v>
      </c>
      <c r="C122" s="248">
        <v>19</v>
      </c>
      <c r="D122" s="248">
        <v>40</v>
      </c>
      <c r="E122" s="139">
        <v>1.53</v>
      </c>
      <c r="F122" s="139">
        <v>1.52</v>
      </c>
      <c r="G122" s="255">
        <f>VLOOKUP(A122,'Odhad BD'!$A$7:$M$692,2,FALSE)</f>
        <v>10.09</v>
      </c>
      <c r="H122" s="138">
        <f>VLOOKUP(A122,'Odhad BD'!$A$7:$M$692,3,FALSE)</f>
        <v>9.91</v>
      </c>
      <c r="J122" s="255">
        <f>VLOOKUP(A122,'Odhad BD'!$A$7:$M$692,8,FALSE)</f>
        <v>49.34</v>
      </c>
      <c r="K122" s="138">
        <f>VLOOKUP(A122,'Odhad BD'!$A$7:$M$692,9,FALSE)</f>
        <v>47.71</v>
      </c>
    </row>
    <row r="123" spans="1:11" x14ac:dyDescent="0.35">
      <c r="A123" s="247" t="s">
        <v>535</v>
      </c>
      <c r="B123" s="247" t="s">
        <v>963</v>
      </c>
      <c r="C123" s="248">
        <v>20</v>
      </c>
      <c r="D123" s="248">
        <v>8</v>
      </c>
      <c r="E123" s="139">
        <f>VLOOKUP(A123,'Odhad BD'!$A$7:$M$692,13,FALSE)</f>
        <v>1.36</v>
      </c>
      <c r="F123" s="139">
        <f>VLOOKUP(A123,'Odhad BD'!$A$7:$M$692,11,FALSE)</f>
        <v>1.35</v>
      </c>
      <c r="G123" s="255">
        <f>VLOOKUP(A123,'Odhad BD'!$A$7:$M$692,2,FALSE)</f>
        <v>27.56</v>
      </c>
      <c r="H123" s="138">
        <f>VLOOKUP(A123,'Odhad BD'!$A$7:$M$692,3,FALSE)</f>
        <v>28</v>
      </c>
      <c r="J123" s="255">
        <f>VLOOKUP(A123,'Odhad BD'!$A$7:$M$692,8,FALSE)</f>
        <v>34.22</v>
      </c>
      <c r="K123" s="138">
        <f>VLOOKUP(A123,'Odhad BD'!$A$7:$M$692,9,FALSE)</f>
        <v>37.22</v>
      </c>
    </row>
    <row r="124" spans="1:11" x14ac:dyDescent="0.35">
      <c r="A124" s="247" t="s">
        <v>529</v>
      </c>
      <c r="B124" s="247" t="s">
        <v>963</v>
      </c>
      <c r="C124" s="248">
        <v>20</v>
      </c>
      <c r="D124" s="248">
        <v>15</v>
      </c>
      <c r="E124" s="139">
        <v>1.62</v>
      </c>
      <c r="F124" s="139">
        <v>1.62</v>
      </c>
      <c r="G124" s="255">
        <f>VLOOKUP(A124,'Odhad BD'!$A$7:$M$692,2,FALSE)</f>
        <v>6.97</v>
      </c>
      <c r="H124" s="138">
        <f>VLOOKUP(A124,'Odhad BD'!$A$7:$M$692,3,FALSE)</f>
        <v>7.09</v>
      </c>
      <c r="J124" s="255">
        <f>VLOOKUP(A124,'Odhad BD'!$A$7:$M$692,8,FALSE)</f>
        <v>67.59</v>
      </c>
      <c r="K124" s="138">
        <f>VLOOKUP(A124,'Odhad BD'!$A$7:$M$692,9,FALSE)</f>
        <v>69.490000000000009</v>
      </c>
    </row>
    <row r="125" spans="1:11" x14ac:dyDescent="0.35">
      <c r="A125" s="247" t="s">
        <v>118</v>
      </c>
      <c r="B125" s="247" t="s">
        <v>963</v>
      </c>
      <c r="C125" s="248">
        <v>20</v>
      </c>
      <c r="D125" s="248">
        <v>15</v>
      </c>
      <c r="E125" s="139">
        <v>1.51</v>
      </c>
      <c r="F125" s="139">
        <v>1.48</v>
      </c>
      <c r="G125" s="255">
        <f>VLOOKUP(A125,'Odhad BD'!$A$7:$M$692,2,FALSE)</f>
        <v>12.74</v>
      </c>
      <c r="H125" s="138">
        <f>VLOOKUP(A125,'Odhad BD'!$A$7:$M$692,3,FALSE)</f>
        <v>15.76</v>
      </c>
      <c r="J125" s="255">
        <f>VLOOKUP(A125,'Odhad BD'!$A$7:$M$692,8,FALSE)</f>
        <v>58.599999999999994</v>
      </c>
      <c r="K125" s="138">
        <f>VLOOKUP(A125,'Odhad BD'!$A$7:$M$692,9,FALSE)</f>
        <v>60.4</v>
      </c>
    </row>
    <row r="126" spans="1:11" x14ac:dyDescent="0.35">
      <c r="A126" s="247" t="s">
        <v>522</v>
      </c>
      <c r="B126" s="247" t="s">
        <v>963</v>
      </c>
      <c r="C126" s="248">
        <v>20</v>
      </c>
      <c r="D126" s="248">
        <v>16</v>
      </c>
      <c r="E126" s="139">
        <v>1.47</v>
      </c>
      <c r="F126" s="139">
        <v>1.39</v>
      </c>
      <c r="G126" s="255">
        <f>VLOOKUP(A126,'Odhad BD'!$A$7:$M$692,2,FALSE)</f>
        <v>13.45</v>
      </c>
      <c r="H126" s="138">
        <f>VLOOKUP(A126,'Odhad BD'!$A$7:$M$692,3,FALSE)</f>
        <v>21.24</v>
      </c>
      <c r="J126" s="255">
        <f>VLOOKUP(A126,'Odhad BD'!$A$7:$M$692,8,FALSE)</f>
        <v>40.46</v>
      </c>
      <c r="K126" s="138">
        <f>VLOOKUP(A126,'Odhad BD'!$A$7:$M$692,9,FALSE)</f>
        <v>33.14</v>
      </c>
    </row>
    <row r="127" spans="1:11" x14ac:dyDescent="0.35">
      <c r="A127" s="247" t="s">
        <v>545</v>
      </c>
      <c r="B127" s="247" t="s">
        <v>963</v>
      </c>
      <c r="C127" s="248">
        <v>20</v>
      </c>
      <c r="D127" s="248">
        <v>18</v>
      </c>
      <c r="E127" s="139">
        <v>1.51</v>
      </c>
      <c r="F127" s="139">
        <v>1.44</v>
      </c>
      <c r="G127" s="255">
        <f>VLOOKUP(A127,'Odhad BD'!$A$7:$M$692,2,FALSE)</f>
        <v>10.92</v>
      </c>
      <c r="H127" s="138">
        <f>VLOOKUP(A127,'Odhad BD'!$A$7:$M$692,3,FALSE)</f>
        <v>16.62</v>
      </c>
      <c r="J127" s="255">
        <f>VLOOKUP(A127,'Odhad BD'!$A$7:$M$692,8,FALSE)</f>
        <v>48.7</v>
      </c>
      <c r="K127" s="138">
        <f>VLOOKUP(A127,'Odhad BD'!$A$7:$M$692,9,FALSE)</f>
        <v>47.379999999999995</v>
      </c>
    </row>
    <row r="128" spans="1:11" x14ac:dyDescent="0.35">
      <c r="A128" s="247" t="s">
        <v>539</v>
      </c>
      <c r="B128" s="247" t="s">
        <v>963</v>
      </c>
      <c r="C128" s="248">
        <v>20</v>
      </c>
      <c r="D128" s="248">
        <v>18</v>
      </c>
      <c r="E128" s="139">
        <v>1.48</v>
      </c>
      <c r="F128" s="139">
        <v>1.42</v>
      </c>
      <c r="G128" s="255">
        <f>VLOOKUP(A128,'Odhad BD'!$A$7:$M$692,2,FALSE)</f>
        <v>14.29</v>
      </c>
      <c r="H128" s="138">
        <f>VLOOKUP(A128,'Odhad BD'!$A$7:$M$692,3,FALSE)</f>
        <v>18.649999999999999</v>
      </c>
      <c r="J128" s="255">
        <f>VLOOKUP(A128,'Odhad BD'!$A$7:$M$692,8,FALSE)</f>
        <v>49.269999999999996</v>
      </c>
      <c r="K128" s="138">
        <f>VLOOKUP(A128,'Odhad BD'!$A$7:$M$692,9,FALSE)</f>
        <v>42.71</v>
      </c>
    </row>
    <row r="129" spans="1:11" x14ac:dyDescent="0.35">
      <c r="A129" s="247" t="s">
        <v>559</v>
      </c>
      <c r="B129" s="247" t="s">
        <v>963</v>
      </c>
      <c r="C129" s="248">
        <v>20</v>
      </c>
      <c r="D129" s="248">
        <v>20</v>
      </c>
      <c r="E129" s="139">
        <v>1.44</v>
      </c>
      <c r="F129" s="139">
        <v>1.38</v>
      </c>
      <c r="G129" s="255">
        <f>VLOOKUP(A129,'Odhad BD'!$A$7:$M$692,2,FALSE)</f>
        <v>13.37</v>
      </c>
      <c r="H129" s="138">
        <f>VLOOKUP(A129,'Odhad BD'!$A$7:$M$692,3,FALSE)</f>
        <v>19.32</v>
      </c>
      <c r="J129" s="255">
        <f>VLOOKUP(A129,'Odhad BD'!$A$7:$M$692,8,FALSE)</f>
        <v>24.83</v>
      </c>
      <c r="K129" s="138">
        <f>VLOOKUP(A129,'Odhad BD'!$A$7:$M$692,9,FALSE)</f>
        <v>22.29</v>
      </c>
    </row>
    <row r="130" spans="1:11" x14ac:dyDescent="0.35">
      <c r="A130" s="247" t="s">
        <v>540</v>
      </c>
      <c r="B130" s="247" t="s">
        <v>963</v>
      </c>
      <c r="C130" s="248">
        <v>20</v>
      </c>
      <c r="D130" s="248">
        <v>20</v>
      </c>
      <c r="E130" s="139">
        <v>1.42</v>
      </c>
      <c r="F130" s="139">
        <v>1.38</v>
      </c>
      <c r="G130" s="255">
        <f>VLOOKUP(A130,'Odhad BD'!$A$7:$M$692,2,FALSE)</f>
        <v>15.76</v>
      </c>
      <c r="H130" s="138">
        <f>VLOOKUP(A130,'Odhad BD'!$A$7:$M$692,3,FALSE)</f>
        <v>21.21</v>
      </c>
      <c r="J130" s="255">
        <f>VLOOKUP(A130,'Odhad BD'!$A$7:$M$692,8,FALSE)</f>
        <v>31.37</v>
      </c>
      <c r="K130" s="138">
        <f>VLOOKUP(A130,'Odhad BD'!$A$7:$M$692,9,FALSE)</f>
        <v>27.65</v>
      </c>
    </row>
    <row r="131" spans="1:11" x14ac:dyDescent="0.35">
      <c r="A131" s="247" t="s">
        <v>533</v>
      </c>
      <c r="B131" s="247" t="s">
        <v>963</v>
      </c>
      <c r="C131" s="248">
        <v>20</v>
      </c>
      <c r="D131" s="248">
        <v>22</v>
      </c>
      <c r="E131" s="139">
        <v>1.42</v>
      </c>
      <c r="F131" s="139">
        <v>1.47</v>
      </c>
      <c r="G131" s="255">
        <f>VLOOKUP(A131,'Odhad BD'!$A$7:$M$692,2,FALSE)</f>
        <v>20.94</v>
      </c>
      <c r="H131" s="138">
        <f>VLOOKUP(A131,'Odhad BD'!$A$7:$M$692,3,FALSE)</f>
        <v>17.420000000000002</v>
      </c>
      <c r="J131" s="255">
        <f>VLOOKUP(A131,'Odhad BD'!$A$7:$M$692,8,FALSE)</f>
        <v>52.569999999999993</v>
      </c>
      <c r="K131" s="138">
        <f>VLOOKUP(A131,'Odhad BD'!$A$7:$M$692,9,FALSE)</f>
        <v>58.14</v>
      </c>
    </row>
    <row r="132" spans="1:11" x14ac:dyDescent="0.35">
      <c r="A132" s="247" t="s">
        <v>507</v>
      </c>
      <c r="B132" s="247" t="s">
        <v>963</v>
      </c>
      <c r="C132" s="248">
        <v>20</v>
      </c>
      <c r="D132" s="248">
        <v>23</v>
      </c>
      <c r="E132" s="139">
        <v>1.46</v>
      </c>
      <c r="F132" s="139">
        <v>1.41</v>
      </c>
      <c r="G132" s="255">
        <f>VLOOKUP(A132,'Odhad BD'!$A$7:$M$692,2,FALSE)</f>
        <v>14.78</v>
      </c>
      <c r="H132" s="138">
        <f>VLOOKUP(A132,'Odhad BD'!$A$7:$M$692,3,FALSE)</f>
        <v>19.72</v>
      </c>
      <c r="J132" s="255">
        <f>VLOOKUP(A132,'Odhad BD'!$A$7:$M$692,8,FALSE)</f>
        <v>43.16</v>
      </c>
      <c r="K132" s="138">
        <f>VLOOKUP(A132,'Odhad BD'!$A$7:$M$692,9,FALSE)</f>
        <v>39.120000000000005</v>
      </c>
    </row>
    <row r="133" spans="1:11" x14ac:dyDescent="0.35">
      <c r="A133" s="247" t="s">
        <v>123</v>
      </c>
      <c r="B133" s="247" t="s">
        <v>963</v>
      </c>
      <c r="C133" s="248">
        <v>20</v>
      </c>
      <c r="D133" s="248">
        <v>24</v>
      </c>
      <c r="E133" s="139">
        <v>1.48</v>
      </c>
      <c r="F133" s="139">
        <v>1.45</v>
      </c>
      <c r="G133" s="255">
        <f>VLOOKUP(A133,'Odhad BD'!$A$7:$M$692,2,FALSE)</f>
        <v>13.22</v>
      </c>
      <c r="H133" s="138">
        <f>VLOOKUP(A133,'Odhad BD'!$A$7:$M$692,3,FALSE)</f>
        <v>15.22</v>
      </c>
      <c r="J133" s="255">
        <f>VLOOKUP(A133,'Odhad BD'!$A$7:$M$692,8,FALSE)</f>
        <v>43.099999999999994</v>
      </c>
      <c r="K133" s="138">
        <f>VLOOKUP(A133,'Odhad BD'!$A$7:$M$692,9,FALSE)</f>
        <v>37.980000000000004</v>
      </c>
    </row>
    <row r="134" spans="1:11" x14ac:dyDescent="0.35">
      <c r="A134" s="247" t="s">
        <v>534</v>
      </c>
      <c r="B134" s="247" t="s">
        <v>963</v>
      </c>
      <c r="C134" s="248">
        <v>20</v>
      </c>
      <c r="D134" s="248">
        <v>24</v>
      </c>
      <c r="E134" s="139">
        <v>1.67</v>
      </c>
      <c r="F134" s="139">
        <v>1.67</v>
      </c>
      <c r="G134" s="255">
        <f>VLOOKUP(A134,'Odhad BD'!$A$7:$M$692,2,FALSE)</f>
        <v>5.43</v>
      </c>
      <c r="H134" s="138">
        <f>VLOOKUP(A134,'Odhad BD'!$A$7:$M$692,3,FALSE)</f>
        <v>5.39</v>
      </c>
      <c r="J134" s="255">
        <f>VLOOKUP(A134,'Odhad BD'!$A$7:$M$692,8,FALSE)</f>
        <v>71.289999999999992</v>
      </c>
      <c r="K134" s="138">
        <f>VLOOKUP(A134,'Odhad BD'!$A$7:$M$692,9,FALSE)</f>
        <v>72.39</v>
      </c>
    </row>
    <row r="135" spans="1:11" x14ac:dyDescent="0.35">
      <c r="A135" s="247" t="s">
        <v>524</v>
      </c>
      <c r="B135" s="247" t="s">
        <v>963</v>
      </c>
      <c r="C135" s="248">
        <v>20</v>
      </c>
      <c r="D135" s="248">
        <v>25</v>
      </c>
      <c r="E135" s="139">
        <v>1.46</v>
      </c>
      <c r="F135" s="139">
        <v>1.43</v>
      </c>
      <c r="G135" s="255">
        <f>VLOOKUP(A135,'Odhad BD'!$A$7:$M$692,2,FALSE)</f>
        <v>16.02</v>
      </c>
      <c r="H135" s="138">
        <f>VLOOKUP(A135,'Odhad BD'!$A$7:$M$692,3,FALSE)</f>
        <v>19.329999999999998</v>
      </c>
      <c r="J135" s="255">
        <f>VLOOKUP(A135,'Odhad BD'!$A$7:$M$692,8,FALSE)</f>
        <v>49.19</v>
      </c>
      <c r="K135" s="138">
        <f>VLOOKUP(A135,'Odhad BD'!$A$7:$M$692,9,FALSE)</f>
        <v>47.480000000000004</v>
      </c>
    </row>
    <row r="136" spans="1:11" x14ac:dyDescent="0.35">
      <c r="A136" s="247" t="s">
        <v>554</v>
      </c>
      <c r="B136" s="247" t="s">
        <v>963</v>
      </c>
      <c r="C136" s="248">
        <v>20</v>
      </c>
      <c r="D136" s="248">
        <v>30</v>
      </c>
      <c r="E136" s="139">
        <v>1.47</v>
      </c>
      <c r="F136" s="139">
        <v>1.46</v>
      </c>
      <c r="G136" s="255">
        <f>VLOOKUP(A136,'Odhad BD'!$A$7:$M$692,2,FALSE)</f>
        <v>10.69</v>
      </c>
      <c r="H136" s="138">
        <f>VLOOKUP(A136,'Odhad BD'!$A$7:$M$692,3,FALSE)</f>
        <v>11.32</v>
      </c>
      <c r="J136" s="255">
        <f>VLOOKUP(A136,'Odhad BD'!$A$7:$M$692,8,FALSE)</f>
        <v>26.630000000000003</v>
      </c>
      <c r="K136" s="138">
        <f>VLOOKUP(A136,'Odhad BD'!$A$7:$M$692,9,FALSE)</f>
        <v>23.46</v>
      </c>
    </row>
    <row r="137" spans="1:11" x14ac:dyDescent="0.35">
      <c r="A137" s="247" t="s">
        <v>560</v>
      </c>
      <c r="B137" s="247" t="s">
        <v>963</v>
      </c>
      <c r="C137" s="248">
        <v>20</v>
      </c>
      <c r="D137" s="248">
        <v>40</v>
      </c>
      <c r="E137" s="139">
        <v>1.53</v>
      </c>
      <c r="F137" s="139">
        <v>1.54</v>
      </c>
      <c r="G137" s="255">
        <f>VLOOKUP(A137,'Odhad BD'!$A$7:$M$692,2,FALSE)</f>
        <v>8.98</v>
      </c>
      <c r="H137" s="138">
        <f>VLOOKUP(A137,'Odhad BD'!$A$7:$M$692,3,FALSE)</f>
        <v>8.69</v>
      </c>
      <c r="J137" s="255">
        <f>VLOOKUP(A137,'Odhad BD'!$A$7:$M$692,8,FALSE)</f>
        <v>43.93</v>
      </c>
      <c r="K137" s="138">
        <f>VLOOKUP(A137,'Odhad BD'!$A$7:$M$692,9,FALSE)</f>
        <v>47.870000000000005</v>
      </c>
    </row>
    <row r="138" spans="1:11" x14ac:dyDescent="0.35">
      <c r="A138" s="247" t="s">
        <v>556</v>
      </c>
      <c r="B138" s="247" t="s">
        <v>963</v>
      </c>
      <c r="C138" s="248">
        <v>20</v>
      </c>
      <c r="D138" s="248">
        <v>40</v>
      </c>
      <c r="E138" s="139">
        <v>1.49</v>
      </c>
      <c r="F138" s="139">
        <v>1.45</v>
      </c>
      <c r="G138" s="255">
        <f>VLOOKUP(A138,'Odhad BD'!$A$7:$M$692,2,FALSE)</f>
        <v>10.34</v>
      </c>
      <c r="H138" s="138">
        <f>VLOOKUP(A138,'Odhad BD'!$A$7:$M$692,3,FALSE)</f>
        <v>11.99</v>
      </c>
      <c r="J138" s="255">
        <f>VLOOKUP(A138,'Odhad BD'!$A$7:$M$692,8,FALSE)</f>
        <v>28.200000000000003</v>
      </c>
      <c r="K138" s="138">
        <f>VLOOKUP(A138,'Odhad BD'!$A$7:$M$692,9,FALSE)</f>
        <v>22.200000000000003</v>
      </c>
    </row>
    <row r="139" spans="1:11" x14ac:dyDescent="0.35">
      <c r="A139" s="247" t="s">
        <v>128</v>
      </c>
      <c r="B139" s="247" t="s">
        <v>963</v>
      </c>
      <c r="C139" s="248">
        <v>20</v>
      </c>
      <c r="D139" s="248">
        <v>40</v>
      </c>
      <c r="E139" s="139">
        <f>VLOOKUP(A139,'Odhad BD'!$A$7:$M$692,13,FALSE)</f>
        <v>1.52</v>
      </c>
      <c r="F139" s="139">
        <f>VLOOKUP(A139,'Odhad BD'!$A$7:$M$692,11,FALSE)</f>
        <v>1.51</v>
      </c>
      <c r="G139" s="255">
        <f>VLOOKUP(A139,'Odhad BD'!$A$7:$M$692,2,FALSE)</f>
        <v>10.57</v>
      </c>
      <c r="H139" s="138">
        <f>VLOOKUP(A139,'Odhad BD'!$A$7:$M$692,3,FALSE)</f>
        <v>10.61</v>
      </c>
      <c r="J139" s="255">
        <f>VLOOKUP(A139,'Odhad BD'!$A$7:$M$692,8,FALSE)</f>
        <v>56.2</v>
      </c>
      <c r="K139" s="138">
        <f>VLOOKUP(A139,'Odhad BD'!$A$7:$M$692,9,FALSE)</f>
        <v>59.900000000000006</v>
      </c>
    </row>
    <row r="140" spans="1:11" x14ac:dyDescent="0.35">
      <c r="A140" s="247" t="s">
        <v>543</v>
      </c>
      <c r="B140" s="247" t="s">
        <v>963</v>
      </c>
      <c r="C140" s="248">
        <v>20</v>
      </c>
      <c r="D140" s="248">
        <v>40</v>
      </c>
      <c r="E140" s="139">
        <v>1.54</v>
      </c>
      <c r="F140" s="139">
        <v>1.53</v>
      </c>
      <c r="G140" s="255">
        <f>VLOOKUP(A140,'Odhad BD'!$A$7:$M$692,2,FALSE)</f>
        <v>9.08</v>
      </c>
      <c r="H140" s="138">
        <f>VLOOKUP(A140,'Odhad BD'!$A$7:$M$692,3,FALSE)</f>
        <v>9.81</v>
      </c>
      <c r="J140" s="255">
        <f>VLOOKUP(A140,'Odhad BD'!$A$7:$M$692,8,FALSE)</f>
        <v>46.64</v>
      </c>
      <c r="K140" s="138">
        <f>VLOOKUP(A140,'Odhad BD'!$A$7:$M$692,9,FALSE)</f>
        <v>49.96</v>
      </c>
    </row>
    <row r="141" spans="1:11" x14ac:dyDescent="0.35">
      <c r="A141" s="247" t="s">
        <v>564</v>
      </c>
      <c r="B141" s="247" t="s">
        <v>963</v>
      </c>
      <c r="C141" s="248">
        <v>21</v>
      </c>
      <c r="D141" s="248">
        <v>19</v>
      </c>
      <c r="E141" s="139">
        <v>1.44</v>
      </c>
      <c r="F141" s="139">
        <v>1.41</v>
      </c>
      <c r="G141" s="255">
        <f>VLOOKUP(A141,'Odhad BD'!$A$7:$M$692,2,FALSE)</f>
        <v>14.14</v>
      </c>
      <c r="H141" s="138">
        <f>VLOOKUP(A141,'Odhad BD'!$A$7:$M$692,3,FALSE)</f>
        <v>15.94</v>
      </c>
      <c r="J141" s="255">
        <f>VLOOKUP(A141,'Odhad BD'!$A$7:$M$692,8,FALSE)</f>
        <v>28</v>
      </c>
      <c r="K141" s="138">
        <f>VLOOKUP(A141,'Odhad BD'!$A$7:$M$692,9,FALSE)</f>
        <v>27.479999999999997</v>
      </c>
    </row>
    <row r="142" spans="1:11" x14ac:dyDescent="0.35">
      <c r="A142" s="247" t="s">
        <v>115</v>
      </c>
      <c r="B142" s="247" t="s">
        <v>963</v>
      </c>
      <c r="C142" s="248">
        <v>21</v>
      </c>
      <c r="D142" s="248">
        <v>21</v>
      </c>
      <c r="E142" s="139">
        <v>1.46</v>
      </c>
      <c r="F142" s="139">
        <v>1.47</v>
      </c>
      <c r="G142" s="255">
        <f>VLOOKUP(A142,'Odhad BD'!$A$7:$M$692,2,FALSE)</f>
        <v>14.72</v>
      </c>
      <c r="H142" s="138">
        <f>VLOOKUP(A142,'Odhad BD'!$A$7:$M$692,3,FALSE)</f>
        <v>15.06</v>
      </c>
      <c r="J142" s="255">
        <f>VLOOKUP(A142,'Odhad BD'!$A$7:$M$692,8,FALSE)</f>
        <v>46.55</v>
      </c>
      <c r="K142" s="138">
        <f>VLOOKUP(A142,'Odhad BD'!$A$7:$M$692,9,FALSE)</f>
        <v>48.66</v>
      </c>
    </row>
    <row r="143" spans="1:11" x14ac:dyDescent="0.35">
      <c r="A143" s="247" t="s">
        <v>551</v>
      </c>
      <c r="B143" s="247" t="s">
        <v>963</v>
      </c>
      <c r="C143" s="248">
        <v>21</v>
      </c>
      <c r="D143" s="248">
        <v>24</v>
      </c>
      <c r="E143" s="139">
        <v>1.49</v>
      </c>
      <c r="F143" s="139">
        <v>1.52</v>
      </c>
      <c r="G143" s="255">
        <f>VLOOKUP(A143,'Odhad BD'!$A$7:$M$692,2,FALSE)</f>
        <v>11.24</v>
      </c>
      <c r="H143" s="138">
        <f>VLOOKUP(A143,'Odhad BD'!$A$7:$M$692,3,FALSE)</f>
        <v>8.17</v>
      </c>
      <c r="J143" s="255">
        <f>VLOOKUP(A143,'Odhad BD'!$A$7:$M$692,8,FALSE)</f>
        <v>39.57</v>
      </c>
      <c r="K143" s="138">
        <f>VLOOKUP(A143,'Odhad BD'!$A$7:$M$692,9,FALSE)</f>
        <v>28.79</v>
      </c>
    </row>
    <row r="144" spans="1:11" x14ac:dyDescent="0.35">
      <c r="A144" s="247" t="s">
        <v>548</v>
      </c>
      <c r="B144" s="247" t="s">
        <v>963</v>
      </c>
      <c r="C144" s="248">
        <v>21</v>
      </c>
      <c r="D144" s="248">
        <v>24</v>
      </c>
      <c r="E144" s="139">
        <v>1.47</v>
      </c>
      <c r="F144" s="139">
        <v>1.4</v>
      </c>
      <c r="G144" s="255">
        <f>VLOOKUP(A144,'Odhad BD'!$A$7:$M$692,2,FALSE)</f>
        <v>14.45</v>
      </c>
      <c r="H144" s="138">
        <f>VLOOKUP(A144,'Odhad BD'!$A$7:$M$692,3,FALSE)</f>
        <v>21.92</v>
      </c>
      <c r="J144" s="255">
        <f>VLOOKUP(A144,'Odhad BD'!$A$7:$M$692,8,FALSE)</f>
        <v>47.11</v>
      </c>
      <c r="K144" s="138">
        <f>VLOOKUP(A144,'Odhad BD'!$A$7:$M$692,9,FALSE)</f>
        <v>46.03</v>
      </c>
    </row>
    <row r="145" spans="1:11" x14ac:dyDescent="0.35">
      <c r="A145" s="247" t="s">
        <v>538</v>
      </c>
      <c r="B145" s="247" t="s">
        <v>963</v>
      </c>
      <c r="C145" s="248">
        <v>22</v>
      </c>
      <c r="D145" s="248">
        <v>17</v>
      </c>
      <c r="E145" s="139">
        <v>1.43</v>
      </c>
      <c r="F145" s="139">
        <v>1.41</v>
      </c>
      <c r="G145" s="255">
        <f>VLOOKUP(A145,'Odhad BD'!$A$7:$M$692,2,FALSE)</f>
        <v>16.79</v>
      </c>
      <c r="H145" s="138">
        <f>VLOOKUP(A145,'Odhad BD'!$A$7:$M$692,3,FALSE)</f>
        <v>20.92</v>
      </c>
      <c r="J145" s="255">
        <f>VLOOKUP(A145,'Odhad BD'!$A$7:$M$692,8,FALSE)</f>
        <v>40.97</v>
      </c>
      <c r="K145" s="138">
        <f>VLOOKUP(A145,'Odhad BD'!$A$7:$M$692,9,FALSE)</f>
        <v>43.42</v>
      </c>
    </row>
    <row r="146" spans="1:11" x14ac:dyDescent="0.35">
      <c r="A146" s="247" t="s">
        <v>528</v>
      </c>
      <c r="B146" s="247" t="s">
        <v>963</v>
      </c>
      <c r="C146" s="248">
        <v>22</v>
      </c>
      <c r="D146" s="248">
        <v>18</v>
      </c>
      <c r="E146" s="139">
        <v>1.55</v>
      </c>
      <c r="F146" s="139">
        <v>1.58</v>
      </c>
      <c r="G146" s="255">
        <f>VLOOKUP(A146,'Odhad BD'!$A$7:$M$692,2,FALSE)</f>
        <v>8.11</v>
      </c>
      <c r="H146" s="138">
        <f>VLOOKUP(A146,'Odhad BD'!$A$7:$M$692,3,FALSE)</f>
        <v>7.39</v>
      </c>
      <c r="J146" s="255">
        <f>VLOOKUP(A146,'Odhad BD'!$A$7:$M$692,8,FALSE)</f>
        <v>45.54</v>
      </c>
      <c r="K146" s="138">
        <f>VLOOKUP(A146,'Odhad BD'!$A$7:$M$692,9,FALSE)</f>
        <v>49.5</v>
      </c>
    </row>
    <row r="147" spans="1:11" x14ac:dyDescent="0.35">
      <c r="A147" s="247" t="s">
        <v>561</v>
      </c>
      <c r="B147" s="247" t="s">
        <v>963</v>
      </c>
      <c r="C147" s="248">
        <v>22</v>
      </c>
      <c r="D147" s="248">
        <v>20</v>
      </c>
      <c r="E147" s="139">
        <v>1.47</v>
      </c>
      <c r="F147" s="139">
        <v>1.41</v>
      </c>
      <c r="G147" s="255">
        <f>VLOOKUP(A147,'Odhad BD'!$A$7:$M$692,2,FALSE)</f>
        <v>14.65</v>
      </c>
      <c r="H147" s="138">
        <f>VLOOKUP(A147,'Odhad BD'!$A$7:$M$692,3,FALSE)</f>
        <v>21.72</v>
      </c>
      <c r="J147" s="255">
        <f>VLOOKUP(A147,'Odhad BD'!$A$7:$M$692,8,FALSE)</f>
        <v>52.56</v>
      </c>
      <c r="K147" s="138">
        <f>VLOOKUP(A147,'Odhad BD'!$A$7:$M$692,9,FALSE)</f>
        <v>50.46</v>
      </c>
    </row>
    <row r="148" spans="1:11" x14ac:dyDescent="0.35">
      <c r="A148" s="247" t="s">
        <v>523</v>
      </c>
      <c r="B148" s="247" t="s">
        <v>963</v>
      </c>
      <c r="C148" s="248">
        <v>22</v>
      </c>
      <c r="D148" s="248">
        <v>22</v>
      </c>
      <c r="E148" s="139">
        <v>1.44</v>
      </c>
      <c r="F148" s="139">
        <v>1.41</v>
      </c>
      <c r="G148" s="255">
        <f>VLOOKUP(A148,'Odhad BD'!$A$7:$M$692,2,FALSE)</f>
        <v>15.73</v>
      </c>
      <c r="H148" s="138">
        <f>VLOOKUP(A148,'Odhad BD'!$A$7:$M$692,3,FALSE)</f>
        <v>20.48</v>
      </c>
      <c r="J148" s="255">
        <f>VLOOKUP(A148,'Odhad BD'!$A$7:$M$692,8,FALSE)</f>
        <v>39.58</v>
      </c>
      <c r="K148" s="138">
        <f>VLOOKUP(A148,'Odhad BD'!$A$7:$M$692,9,FALSE)</f>
        <v>41.25</v>
      </c>
    </row>
    <row r="149" spans="1:11" x14ac:dyDescent="0.35">
      <c r="A149" s="247" t="s">
        <v>536</v>
      </c>
      <c r="B149" s="247" t="s">
        <v>963</v>
      </c>
      <c r="C149" s="248">
        <v>22</v>
      </c>
      <c r="D149" s="248">
        <v>26</v>
      </c>
      <c r="E149" s="139">
        <v>1.61</v>
      </c>
      <c r="F149" s="139">
        <v>1.61</v>
      </c>
      <c r="G149" s="255">
        <f>VLOOKUP(A149,'Odhad BD'!$A$7:$M$692,2,FALSE)</f>
        <v>8.2899999999999991</v>
      </c>
      <c r="H149" s="138">
        <f>VLOOKUP(A149,'Odhad BD'!$A$7:$M$692,3,FALSE)</f>
        <v>7.64</v>
      </c>
      <c r="J149" s="255">
        <f>VLOOKUP(A149,'Odhad BD'!$A$7:$M$692,8,FALSE)</f>
        <v>74.37</v>
      </c>
      <c r="K149" s="138">
        <f>VLOOKUP(A149,'Odhad BD'!$A$7:$M$692,9,FALSE)</f>
        <v>77.88</v>
      </c>
    </row>
    <row r="150" spans="1:11" x14ac:dyDescent="0.35">
      <c r="A150" s="247" t="s">
        <v>552</v>
      </c>
      <c r="B150" s="247" t="s">
        <v>963</v>
      </c>
      <c r="C150" s="248">
        <v>22</v>
      </c>
      <c r="D150" s="248">
        <v>28</v>
      </c>
      <c r="E150" s="139">
        <v>1.5</v>
      </c>
      <c r="F150" s="139">
        <v>1.49</v>
      </c>
      <c r="G150" s="255">
        <f>VLOOKUP(A150,'Odhad BD'!$A$7:$M$692,2,FALSE)</f>
        <v>13.96</v>
      </c>
      <c r="H150" s="138">
        <f>VLOOKUP(A150,'Odhad BD'!$A$7:$M$692,3,FALSE)</f>
        <v>15.04</v>
      </c>
      <c r="J150" s="255">
        <f>VLOOKUP(A150,'Odhad BD'!$A$7:$M$692,8,FALSE)</f>
        <v>58.510000000000005</v>
      </c>
      <c r="K150" s="138">
        <f>VLOOKUP(A150,'Odhad BD'!$A$7:$M$692,9,FALSE)</f>
        <v>63.34</v>
      </c>
    </row>
    <row r="151" spans="1:11" x14ac:dyDescent="0.35">
      <c r="A151" s="247" t="s">
        <v>530</v>
      </c>
      <c r="B151" s="247" t="s">
        <v>963</v>
      </c>
      <c r="C151" s="248">
        <v>23</v>
      </c>
      <c r="D151" s="248">
        <v>13</v>
      </c>
      <c r="E151" s="139">
        <v>1.58</v>
      </c>
      <c r="F151" s="139">
        <v>1.61</v>
      </c>
      <c r="G151" s="255">
        <f>VLOOKUP(A151,'Odhad BD'!$A$7:$M$692,2,FALSE)</f>
        <v>8.18</v>
      </c>
      <c r="H151" s="138">
        <f>VLOOKUP(A151,'Odhad BD'!$A$7:$M$692,3,FALSE)</f>
        <v>7.52</v>
      </c>
      <c r="J151" s="255">
        <f>VLOOKUP(A151,'Odhad BD'!$A$7:$M$692,8,FALSE)</f>
        <v>68.349999999999994</v>
      </c>
      <c r="K151" s="138">
        <f>VLOOKUP(A151,'Odhad BD'!$A$7:$M$692,9,FALSE)</f>
        <v>73.53</v>
      </c>
    </row>
    <row r="152" spans="1:11" x14ac:dyDescent="0.35">
      <c r="A152" s="247" t="s">
        <v>546</v>
      </c>
      <c r="B152" s="247" t="s">
        <v>963</v>
      </c>
      <c r="C152" s="248">
        <v>23</v>
      </c>
      <c r="D152" s="248">
        <v>17</v>
      </c>
      <c r="E152" s="139">
        <v>1.44</v>
      </c>
      <c r="F152" s="139">
        <v>1.39</v>
      </c>
      <c r="G152" s="255">
        <f>VLOOKUP(A152,'Odhad BD'!$A$7:$M$692,2,FALSE)</f>
        <v>16.66</v>
      </c>
      <c r="H152" s="138">
        <f>VLOOKUP(A152,'Odhad BD'!$A$7:$M$692,3,FALSE)</f>
        <v>22.24</v>
      </c>
      <c r="J152" s="255">
        <f>VLOOKUP(A152,'Odhad BD'!$A$7:$M$692,8,FALSE)</f>
        <v>42.76</v>
      </c>
      <c r="K152" s="138">
        <f>VLOOKUP(A152,'Odhad BD'!$A$7:$M$692,9,FALSE)</f>
        <v>36.79</v>
      </c>
    </row>
    <row r="153" spans="1:11" x14ac:dyDescent="0.35">
      <c r="A153" s="247" t="s">
        <v>558</v>
      </c>
      <c r="B153" s="247" t="s">
        <v>963</v>
      </c>
      <c r="C153" s="248">
        <v>23</v>
      </c>
      <c r="D153" s="248">
        <v>19</v>
      </c>
      <c r="E153" s="139">
        <v>1.67</v>
      </c>
      <c r="F153" s="139">
        <v>1.68</v>
      </c>
      <c r="G153" s="255">
        <f>VLOOKUP(A153,'Odhad BD'!$A$7:$M$692,2,FALSE)</f>
        <v>6.44</v>
      </c>
      <c r="H153" s="138">
        <f>VLOOKUP(A153,'Odhad BD'!$A$7:$M$692,3,FALSE)</f>
        <v>4.32</v>
      </c>
      <c r="J153" s="255">
        <f>VLOOKUP(A153,'Odhad BD'!$A$7:$M$692,8,FALSE)</f>
        <v>83.41</v>
      </c>
      <c r="K153" s="138">
        <f>VLOOKUP(A153,'Odhad BD'!$A$7:$M$692,9,FALSE)</f>
        <v>59.9</v>
      </c>
    </row>
    <row r="154" spans="1:11" x14ac:dyDescent="0.35">
      <c r="A154" s="247" t="s">
        <v>563</v>
      </c>
      <c r="B154" s="247" t="s">
        <v>963</v>
      </c>
      <c r="C154" s="248">
        <v>23</v>
      </c>
      <c r="D154" s="248">
        <v>19</v>
      </c>
      <c r="E154" s="139">
        <v>1.48</v>
      </c>
      <c r="F154" s="139">
        <v>1.47</v>
      </c>
      <c r="G154" s="255">
        <f>VLOOKUP(A154,'Odhad BD'!$A$7:$M$692,2,FALSE)</f>
        <v>14.59</v>
      </c>
      <c r="H154" s="138">
        <f>VLOOKUP(A154,'Odhad BD'!$A$7:$M$692,3,FALSE)</f>
        <v>15.4</v>
      </c>
      <c r="J154" s="255">
        <f>VLOOKUP(A154,'Odhad BD'!$A$7:$M$692,8,FALSE)</f>
        <v>53.980000000000004</v>
      </c>
      <c r="K154" s="138">
        <f>VLOOKUP(A154,'Odhad BD'!$A$7:$M$692,9,FALSE)</f>
        <v>51.8</v>
      </c>
    </row>
    <row r="155" spans="1:11" x14ac:dyDescent="0.35">
      <c r="A155" s="247" t="s">
        <v>532</v>
      </c>
      <c r="B155" s="247" t="s">
        <v>963</v>
      </c>
      <c r="C155" s="248">
        <v>23</v>
      </c>
      <c r="D155" s="248">
        <v>25</v>
      </c>
      <c r="E155" s="139">
        <f>VLOOKUP(A155,'Odhad BD'!$A$7:$M$692,13,FALSE)</f>
        <v>1.48</v>
      </c>
      <c r="F155" s="139">
        <f>VLOOKUP(A155,'Odhad BD'!$A$7:$M$692,11,FALSE)</f>
        <v>1.45</v>
      </c>
      <c r="G155" s="255">
        <f>VLOOKUP(A155,'Odhad BD'!$A$7:$M$692,2,FALSE)</f>
        <v>13.74</v>
      </c>
      <c r="H155" s="138">
        <f>VLOOKUP(A155,'Odhad BD'!$A$7:$M$692,3,FALSE)</f>
        <v>14.46</v>
      </c>
      <c r="J155" s="255">
        <f>VLOOKUP(A155,'Odhad BD'!$A$7:$M$692,8,FALSE)</f>
        <v>41.83</v>
      </c>
      <c r="K155" s="138">
        <f>VLOOKUP(A155,'Odhad BD'!$A$7:$M$692,9,FALSE)</f>
        <v>40.57</v>
      </c>
    </row>
    <row r="156" spans="1:11" x14ac:dyDescent="0.35">
      <c r="A156" s="247" t="s">
        <v>121</v>
      </c>
      <c r="B156" s="247" t="s">
        <v>963</v>
      </c>
      <c r="C156" s="248">
        <v>23</v>
      </c>
      <c r="D156" s="248">
        <v>25</v>
      </c>
      <c r="E156" s="139">
        <v>1.65</v>
      </c>
      <c r="F156" s="139">
        <v>1.69</v>
      </c>
      <c r="G156" s="255">
        <f>VLOOKUP(A156,'Odhad BD'!$A$7:$M$692,2,FALSE)</f>
        <v>6.16</v>
      </c>
      <c r="H156" s="138">
        <f>VLOOKUP(A156,'Odhad BD'!$A$7:$M$692,3,FALSE)</f>
        <v>5.21</v>
      </c>
      <c r="J156" s="255">
        <f>VLOOKUP(A156,'Odhad BD'!$A$7:$M$692,8,FALSE)</f>
        <v>75.59</v>
      </c>
      <c r="K156" s="138">
        <f>VLOOKUP(A156,'Odhad BD'!$A$7:$M$692,9,FALSE)</f>
        <v>81.300000000000011</v>
      </c>
    </row>
    <row r="157" spans="1:11" x14ac:dyDescent="0.35">
      <c r="A157" s="247" t="s">
        <v>113</v>
      </c>
      <c r="B157" s="247" t="s">
        <v>963</v>
      </c>
      <c r="C157" s="248">
        <v>23</v>
      </c>
      <c r="D157" s="248">
        <v>26</v>
      </c>
      <c r="E157" s="139">
        <v>1.51</v>
      </c>
      <c r="F157" s="139">
        <v>1.51</v>
      </c>
      <c r="G157" s="255">
        <f>VLOOKUP(A157,'Odhad BD'!$A$7:$M$692,2,FALSE)</f>
        <v>12.23</v>
      </c>
      <c r="H157" s="138">
        <f>VLOOKUP(A157,'Odhad BD'!$A$7:$M$692,3,FALSE)</f>
        <v>11.62</v>
      </c>
      <c r="J157" s="255">
        <f>VLOOKUP(A157,'Odhad BD'!$A$7:$M$692,8,FALSE)</f>
        <v>51.760000000000005</v>
      </c>
      <c r="K157" s="138">
        <f>VLOOKUP(A157,'Odhad BD'!$A$7:$M$692,9,FALSE)</f>
        <v>54.010000000000005</v>
      </c>
    </row>
    <row r="158" spans="1:11" x14ac:dyDescent="0.35">
      <c r="A158" s="247" t="s">
        <v>541</v>
      </c>
      <c r="B158" s="247" t="s">
        <v>963</v>
      </c>
      <c r="C158" s="248">
        <v>23</v>
      </c>
      <c r="D158" s="248">
        <v>27</v>
      </c>
      <c r="E158" s="139">
        <v>1.5</v>
      </c>
      <c r="F158" s="139">
        <v>1.5</v>
      </c>
      <c r="G158" s="255">
        <f>VLOOKUP(A158,'Odhad BD'!$A$7:$M$692,2,FALSE)</f>
        <v>12.16</v>
      </c>
      <c r="H158" s="138">
        <f>VLOOKUP(A158,'Odhad BD'!$A$7:$M$692,3,FALSE)</f>
        <v>12.38</v>
      </c>
      <c r="J158" s="255">
        <f>VLOOKUP(A158,'Odhad BD'!$A$7:$M$692,8,FALSE)</f>
        <v>48</v>
      </c>
      <c r="K158" s="138">
        <f>VLOOKUP(A158,'Odhad BD'!$A$7:$M$692,9,FALSE)</f>
        <v>49.650000000000006</v>
      </c>
    </row>
    <row r="159" spans="1:11" x14ac:dyDescent="0.35">
      <c r="A159" s="247" t="s">
        <v>547</v>
      </c>
      <c r="B159" s="247" t="s">
        <v>963</v>
      </c>
      <c r="C159" s="248">
        <v>23</v>
      </c>
      <c r="D159" s="248">
        <v>29</v>
      </c>
      <c r="E159" s="139">
        <v>1.47</v>
      </c>
      <c r="F159" s="139">
        <v>1.41</v>
      </c>
      <c r="G159" s="255">
        <f>VLOOKUP(A159,'Odhad BD'!$A$7:$M$692,2,FALSE)</f>
        <v>12.38</v>
      </c>
      <c r="H159" s="138">
        <f>VLOOKUP(A159,'Odhad BD'!$A$7:$M$692,3,FALSE)</f>
        <v>16.940000000000001</v>
      </c>
      <c r="J159" s="255">
        <f>VLOOKUP(A159,'Odhad BD'!$A$7:$M$692,8,FALSE)</f>
        <v>32.46</v>
      </c>
      <c r="K159" s="138">
        <f>VLOOKUP(A159,'Odhad BD'!$A$7:$M$692,9,FALSE)</f>
        <v>29.11</v>
      </c>
    </row>
    <row r="160" spans="1:11" x14ac:dyDescent="0.35">
      <c r="A160" s="247" t="s">
        <v>109</v>
      </c>
      <c r="B160" s="247" t="s">
        <v>963</v>
      </c>
      <c r="C160" s="248">
        <v>23</v>
      </c>
      <c r="D160" s="248">
        <v>37</v>
      </c>
      <c r="E160" s="139">
        <f>VLOOKUP(A160,'Odhad BD'!$A$7:$M$692,13,FALSE)</f>
        <v>1.57</v>
      </c>
      <c r="F160" s="139">
        <f>VLOOKUP(A160,'Odhad BD'!$A$7:$M$692,11,FALSE)</f>
        <v>1.31</v>
      </c>
      <c r="G160" s="255">
        <f>VLOOKUP(A160,'Odhad BD'!$A$7:$M$692,2,FALSE)</f>
        <v>12.89</v>
      </c>
      <c r="H160" s="138">
        <f>VLOOKUP(A160,'Odhad BD'!$A$7:$M$692,3,FALSE)</f>
        <v>22.24</v>
      </c>
      <c r="J160" s="255">
        <f>VLOOKUP(A160,'Odhad BD'!$A$7:$M$692,8,FALSE)</f>
        <v>41.67</v>
      </c>
      <c r="K160" s="138">
        <f>VLOOKUP(A160,'Odhad BD'!$A$7:$M$692,9,FALSE)</f>
        <v>33.74</v>
      </c>
    </row>
    <row r="161" spans="1:11" x14ac:dyDescent="0.35">
      <c r="A161" s="247" t="s">
        <v>108</v>
      </c>
      <c r="B161" s="247" t="s">
        <v>963</v>
      </c>
      <c r="C161" s="248">
        <v>23</v>
      </c>
      <c r="D161" s="248">
        <v>42</v>
      </c>
      <c r="E161" s="139">
        <v>1.55</v>
      </c>
      <c r="F161" s="139">
        <v>1.57</v>
      </c>
      <c r="G161" s="255">
        <f>VLOOKUP(A161,'Odhad BD'!$A$7:$M$692,2,FALSE)</f>
        <v>8.7200000000000006</v>
      </c>
      <c r="H161" s="138">
        <f>VLOOKUP(A161,'Odhad BD'!$A$7:$M$692,3,FALSE)</f>
        <v>8.02</v>
      </c>
      <c r="J161" s="255">
        <f>VLOOKUP(A161,'Odhad BD'!$A$7:$M$692,8,FALSE)</f>
        <v>54.17</v>
      </c>
      <c r="K161" s="138">
        <f>VLOOKUP(A161,'Odhad BD'!$A$7:$M$692,9,FALSE)</f>
        <v>54.79</v>
      </c>
    </row>
    <row r="162" spans="1:11" x14ac:dyDescent="0.35">
      <c r="A162" s="247" t="s">
        <v>114</v>
      </c>
      <c r="B162" s="247" t="s">
        <v>963</v>
      </c>
      <c r="C162" s="248">
        <v>24</v>
      </c>
      <c r="D162" s="248">
        <v>14</v>
      </c>
      <c r="E162" s="139">
        <v>1.42</v>
      </c>
      <c r="F162" s="139">
        <v>1.35</v>
      </c>
      <c r="G162" s="255">
        <f>VLOOKUP(A162,'Odhad BD'!$A$7:$M$692,2,FALSE)</f>
        <v>18.77</v>
      </c>
      <c r="H162" s="138">
        <f>VLOOKUP(A162,'Odhad BD'!$A$7:$M$692,3,FALSE)</f>
        <v>27.01</v>
      </c>
      <c r="J162" s="255">
        <f>VLOOKUP(A162,'Odhad BD'!$A$7:$M$692,8,FALSE)</f>
        <v>41.3</v>
      </c>
      <c r="K162" s="138">
        <f>VLOOKUP(A162,'Odhad BD'!$A$7:$M$692,9,FALSE)</f>
        <v>33.69</v>
      </c>
    </row>
    <row r="163" spans="1:11" x14ac:dyDescent="0.35">
      <c r="A163" s="247" t="s">
        <v>527</v>
      </c>
      <c r="B163" s="247" t="s">
        <v>963</v>
      </c>
      <c r="C163" s="248">
        <v>24</v>
      </c>
      <c r="D163" s="248">
        <v>21</v>
      </c>
      <c r="E163" s="139">
        <f>VLOOKUP(A163,'Odhad BD'!$A$7:$M$692,13,FALSE)</f>
        <v>1.43</v>
      </c>
      <c r="F163" s="139">
        <f>VLOOKUP(A163,'Odhad BD'!$A$7:$M$692,11,FALSE)</f>
        <v>1.46</v>
      </c>
      <c r="G163" s="255">
        <f>VLOOKUP(A163,'Odhad BD'!$A$7:$M$692,2,FALSE)</f>
        <v>13.11</v>
      </c>
      <c r="H163" s="138">
        <f>VLOOKUP(A163,'Odhad BD'!$A$7:$M$692,3,FALSE)</f>
        <v>16.28</v>
      </c>
      <c r="J163" s="255">
        <f>VLOOKUP(A163,'Odhad BD'!$A$7:$M$692,8,FALSE)</f>
        <v>21.880000000000003</v>
      </c>
      <c r="K163" s="138">
        <f>VLOOKUP(A163,'Odhad BD'!$A$7:$M$692,9,FALSE)</f>
        <v>26.39</v>
      </c>
    </row>
    <row r="164" spans="1:11" x14ac:dyDescent="0.35">
      <c r="A164" s="247" t="s">
        <v>521</v>
      </c>
      <c r="B164" s="247" t="s">
        <v>963</v>
      </c>
      <c r="C164" s="248">
        <v>24</v>
      </c>
      <c r="D164" s="248">
        <v>22</v>
      </c>
      <c r="E164" s="139">
        <v>1.51</v>
      </c>
      <c r="F164" s="139">
        <v>1.51</v>
      </c>
      <c r="G164" s="255">
        <f>VLOOKUP(A164,'Odhad BD'!$A$7:$M$692,2,FALSE)</f>
        <v>9.9499999999999993</v>
      </c>
      <c r="H164" s="138">
        <f>VLOOKUP(A164,'Odhad BD'!$A$7:$M$692,3,FALSE)</f>
        <v>9.92</v>
      </c>
      <c r="J164" s="255">
        <f>VLOOKUP(A164,'Odhad BD'!$A$7:$M$692,8,FALSE)</f>
        <v>40.65</v>
      </c>
      <c r="K164" s="138">
        <f>VLOOKUP(A164,'Odhad BD'!$A$7:$M$692,9,FALSE)</f>
        <v>38.96</v>
      </c>
    </row>
    <row r="165" spans="1:11" x14ac:dyDescent="0.35">
      <c r="A165" s="247" t="s">
        <v>531</v>
      </c>
      <c r="B165" s="247" t="s">
        <v>963</v>
      </c>
      <c r="C165" s="248">
        <v>24</v>
      </c>
      <c r="D165" s="248">
        <v>26</v>
      </c>
      <c r="E165" s="139">
        <v>1.49</v>
      </c>
      <c r="F165" s="139">
        <v>1.45</v>
      </c>
      <c r="G165" s="255">
        <f>VLOOKUP(A165,'Odhad BD'!$A$7:$M$692,2,FALSE)</f>
        <v>10.93</v>
      </c>
      <c r="H165" s="138">
        <f>VLOOKUP(A165,'Odhad BD'!$A$7:$M$692,3,FALSE)</f>
        <v>14.21</v>
      </c>
      <c r="J165" s="255">
        <f>VLOOKUP(A165,'Odhad BD'!$A$7:$M$692,8,FALSE)</f>
        <v>34.68</v>
      </c>
      <c r="K165" s="138">
        <f>VLOOKUP(A165,'Odhad BD'!$A$7:$M$692,9,FALSE)</f>
        <v>37.43</v>
      </c>
    </row>
    <row r="166" spans="1:11" x14ac:dyDescent="0.35">
      <c r="A166" s="247" t="s">
        <v>125</v>
      </c>
      <c r="B166" s="247" t="s">
        <v>964</v>
      </c>
      <c r="C166" s="248">
        <v>24</v>
      </c>
      <c r="D166" s="248">
        <v>32</v>
      </c>
      <c r="E166" s="139">
        <v>1.58</v>
      </c>
      <c r="F166" s="139">
        <v>1.58</v>
      </c>
      <c r="G166" s="255">
        <f>VLOOKUP(A166,'Odhad BD'!$A$7:$M$692,2,FALSE)</f>
        <v>8.86</v>
      </c>
      <c r="H166" s="138">
        <f>VLOOKUP(A166,'Odhad BD'!$A$7:$M$692,3,FALSE)</f>
        <v>9.18</v>
      </c>
      <c r="J166" s="255">
        <f>VLOOKUP(A166,'Odhad BD'!$A$7:$M$692,8,FALSE)</f>
        <v>67.5</v>
      </c>
      <c r="K166" s="138">
        <f>VLOOKUP(A166,'Odhad BD'!$A$7:$M$692,9,FALSE)</f>
        <v>66.900000000000006</v>
      </c>
    </row>
    <row r="167" spans="1:11" x14ac:dyDescent="0.35">
      <c r="A167" s="247" t="s">
        <v>110</v>
      </c>
      <c r="B167" s="247" t="s">
        <v>963</v>
      </c>
      <c r="C167" s="248">
        <v>25</v>
      </c>
      <c r="D167" s="248">
        <v>20</v>
      </c>
      <c r="E167" s="139">
        <v>1.62</v>
      </c>
      <c r="F167" s="139">
        <v>1.63</v>
      </c>
      <c r="G167" s="255">
        <f>VLOOKUP(A167,'Odhad BD'!$A$7:$M$692,2,FALSE)</f>
        <v>7.45</v>
      </c>
      <c r="H167" s="138">
        <f>VLOOKUP(A167,'Odhad BD'!$A$7:$M$692,3,FALSE)</f>
        <v>7.21</v>
      </c>
      <c r="J167" s="255">
        <f>VLOOKUP(A167,'Odhad BD'!$A$7:$M$692,8,FALSE)</f>
        <v>73.349999999999994</v>
      </c>
      <c r="K167" s="138">
        <f>VLOOKUP(A167,'Odhad BD'!$A$7:$M$692,9,FALSE)</f>
        <v>75.47</v>
      </c>
    </row>
    <row r="168" spans="1:11" x14ac:dyDescent="0.35">
      <c r="A168" s="247" t="s">
        <v>117</v>
      </c>
      <c r="B168" s="247" t="s">
        <v>963</v>
      </c>
      <c r="C168" s="248">
        <v>25</v>
      </c>
      <c r="D168" s="248">
        <v>30</v>
      </c>
      <c r="E168" s="139">
        <v>1.54</v>
      </c>
      <c r="F168" s="139">
        <v>1.51</v>
      </c>
      <c r="G168" s="255">
        <f>VLOOKUP(A168,'Odhad BD'!$A$7:$M$692,2,FALSE)</f>
        <v>9.08</v>
      </c>
      <c r="H168" s="138">
        <f>VLOOKUP(A168,'Odhad BD'!$A$7:$M$692,3,FALSE)</f>
        <v>10.92</v>
      </c>
      <c r="J168" s="255">
        <f>VLOOKUP(A168,'Odhad BD'!$A$7:$M$692,8,FALSE)</f>
        <v>47.39</v>
      </c>
      <c r="K168" s="138">
        <f>VLOOKUP(A168,'Odhad BD'!$A$7:$M$692,9,FALSE)</f>
        <v>47.61</v>
      </c>
    </row>
    <row r="169" spans="1:11" x14ac:dyDescent="0.35">
      <c r="A169" s="247" t="s">
        <v>544</v>
      </c>
      <c r="B169" s="247" t="s">
        <v>963</v>
      </c>
      <c r="C169" s="248">
        <v>26</v>
      </c>
      <c r="D169" s="248">
        <v>22</v>
      </c>
      <c r="E169" s="139">
        <v>1.47</v>
      </c>
      <c r="F169" s="139">
        <v>1.45</v>
      </c>
      <c r="G169" s="255">
        <f>VLOOKUP(A169,'Odhad BD'!$A$7:$M$692,2,FALSE)</f>
        <v>12.67</v>
      </c>
      <c r="H169" s="138">
        <f>VLOOKUP(A169,'Odhad BD'!$A$7:$M$692,3,FALSE)</f>
        <v>15.11</v>
      </c>
      <c r="J169" s="255">
        <f>VLOOKUP(A169,'Odhad BD'!$A$7:$M$692,8,FALSE)</f>
        <v>42.44</v>
      </c>
      <c r="K169" s="138">
        <f>VLOOKUP(A169,'Odhad BD'!$A$7:$M$692,9,FALSE)</f>
        <v>42.44</v>
      </c>
    </row>
    <row r="170" spans="1:11" x14ac:dyDescent="0.35">
      <c r="A170" s="247" t="s">
        <v>127</v>
      </c>
      <c r="B170" s="247" t="s">
        <v>963</v>
      </c>
      <c r="C170" s="248">
        <v>26</v>
      </c>
      <c r="D170" s="248">
        <v>24</v>
      </c>
      <c r="E170" s="139">
        <v>1.53</v>
      </c>
      <c r="F170" s="139">
        <v>1.48</v>
      </c>
      <c r="G170" s="255">
        <f>VLOOKUP(A170,'Odhad BD'!$A$7:$M$692,2,FALSE)</f>
        <v>9.6300000000000008</v>
      </c>
      <c r="H170" s="138">
        <f>VLOOKUP(A170,'Odhad BD'!$A$7:$M$692,3,FALSE)</f>
        <v>13.42</v>
      </c>
      <c r="J170" s="255">
        <f>VLOOKUP(A170,'Odhad BD'!$A$7:$M$692,8,FALSE)</f>
        <v>48.879999999999995</v>
      </c>
      <c r="K170" s="138">
        <f>VLOOKUP(A170,'Odhad BD'!$A$7:$M$692,9,FALSE)</f>
        <v>43.3</v>
      </c>
    </row>
    <row r="171" spans="1:11" x14ac:dyDescent="0.35">
      <c r="A171" s="247" t="s">
        <v>557</v>
      </c>
      <c r="B171" s="247" t="s">
        <v>963</v>
      </c>
      <c r="C171" s="248">
        <v>30</v>
      </c>
      <c r="D171" s="248">
        <v>20</v>
      </c>
      <c r="E171" s="139">
        <v>1.5</v>
      </c>
      <c r="F171" s="139">
        <v>1.52</v>
      </c>
      <c r="G171" s="255">
        <f>VLOOKUP(A171,'Odhad BD'!$A$7:$M$692,2,FALSE)</f>
        <v>9.9600000000000009</v>
      </c>
      <c r="H171" s="138">
        <f>VLOOKUP(A171,'Odhad BD'!$A$7:$M$692,3,FALSE)</f>
        <v>8.98</v>
      </c>
      <c r="J171" s="255">
        <f>VLOOKUP(A171,'Odhad BD'!$A$7:$M$692,8,FALSE)</f>
        <v>35.900000000000006</v>
      </c>
      <c r="K171" s="138">
        <f>VLOOKUP(A171,'Odhad BD'!$A$7:$M$692,9,FALSE)</f>
        <v>39.1</v>
      </c>
    </row>
    <row r="172" spans="1:11" x14ac:dyDescent="0.35">
      <c r="A172" s="247"/>
      <c r="B172" s="247"/>
      <c r="C172" s="248"/>
      <c r="D172" s="248"/>
    </row>
    <row r="173" spans="1:11" x14ac:dyDescent="0.35">
      <c r="A173" s="247"/>
      <c r="B173" s="247"/>
      <c r="C173" s="248"/>
      <c r="D173" s="248"/>
    </row>
    <row r="174" spans="1:11" x14ac:dyDescent="0.35">
      <c r="A174" s="247"/>
      <c r="B174" s="247"/>
      <c r="C174" s="248"/>
      <c r="D174" s="248"/>
    </row>
    <row r="175" spans="1:11" x14ac:dyDescent="0.35">
      <c r="A175" s="247"/>
      <c r="B175" s="247"/>
      <c r="C175" s="248"/>
      <c r="D175" s="248"/>
    </row>
    <row r="176" spans="1:11" x14ac:dyDescent="0.35">
      <c r="A176" s="247"/>
      <c r="B176" s="247"/>
      <c r="C176" s="248"/>
      <c r="D176" s="248"/>
    </row>
    <row r="177" spans="1:4" x14ac:dyDescent="0.35">
      <c r="A177" s="247"/>
      <c r="B177" s="247"/>
      <c r="C177" s="248"/>
      <c r="D177" s="248"/>
    </row>
    <row r="178" spans="1:4" x14ac:dyDescent="0.35">
      <c r="A178" s="247"/>
      <c r="B178" s="247"/>
      <c r="C178" s="248"/>
      <c r="D178" s="248"/>
    </row>
    <row r="179" spans="1:4" x14ac:dyDescent="0.35">
      <c r="A179" s="247"/>
      <c r="B179" s="247"/>
      <c r="C179" s="248"/>
      <c r="D179" s="248"/>
    </row>
    <row r="180" spans="1:4" x14ac:dyDescent="0.35">
      <c r="A180" s="247"/>
      <c r="B180" s="247"/>
      <c r="C180" s="248"/>
      <c r="D180" s="248"/>
    </row>
    <row r="181" spans="1:4" x14ac:dyDescent="0.35">
      <c r="A181" s="247"/>
      <c r="B181" s="247"/>
      <c r="C181" s="248"/>
      <c r="D181" s="248"/>
    </row>
    <row r="182" spans="1:4" x14ac:dyDescent="0.35">
      <c r="A182" s="247"/>
      <c r="B182" s="247"/>
      <c r="C182" s="248"/>
      <c r="D182" s="248"/>
    </row>
    <row r="183" spans="1:4" x14ac:dyDescent="0.35">
      <c r="A183" s="247"/>
      <c r="B183" s="247"/>
      <c r="C183" s="248"/>
      <c r="D183" s="248"/>
    </row>
    <row r="184" spans="1:4" x14ac:dyDescent="0.35">
      <c r="A184" s="247"/>
      <c r="B184" s="247"/>
      <c r="C184" s="248"/>
      <c r="D184" s="248"/>
    </row>
    <row r="185" spans="1:4" x14ac:dyDescent="0.35">
      <c r="A185" s="247"/>
      <c r="B185" s="247"/>
      <c r="C185" s="248"/>
      <c r="D185" s="249"/>
    </row>
    <row r="186" spans="1:4" x14ac:dyDescent="0.35">
      <c r="A186" s="247"/>
      <c r="B186" s="247"/>
      <c r="C186" s="248"/>
      <c r="D186" s="248"/>
    </row>
    <row r="187" spans="1:4" x14ac:dyDescent="0.35">
      <c r="A187" s="247"/>
      <c r="B187" s="247"/>
      <c r="C187" s="248"/>
      <c r="D187" s="248"/>
    </row>
    <row r="188" spans="1:4" x14ac:dyDescent="0.35">
      <c r="A188" s="247"/>
      <c r="B188" s="247"/>
      <c r="C188" s="248"/>
      <c r="D188" s="248"/>
    </row>
    <row r="189" spans="1:4" x14ac:dyDescent="0.35">
      <c r="A189" s="247"/>
      <c r="B189" s="247"/>
      <c r="C189" s="248"/>
      <c r="D189" s="248"/>
    </row>
    <row r="190" spans="1:4" x14ac:dyDescent="0.35">
      <c r="A190" s="247"/>
      <c r="B190" s="247"/>
      <c r="C190" s="248"/>
      <c r="D190" s="248"/>
    </row>
    <row r="191" spans="1:4" x14ac:dyDescent="0.35">
      <c r="A191" s="247"/>
      <c r="B191" s="247"/>
      <c r="C191" s="248"/>
      <c r="D191" s="248"/>
    </row>
    <row r="192" spans="1:4" x14ac:dyDescent="0.35">
      <c r="A192" s="247"/>
      <c r="B192" s="247"/>
      <c r="C192" s="248"/>
      <c r="D192" s="248"/>
    </row>
    <row r="193" spans="1:4" x14ac:dyDescent="0.35">
      <c r="A193" s="247"/>
      <c r="B193" s="247"/>
      <c r="C193" s="248"/>
      <c r="D193" s="248"/>
    </row>
    <row r="194" spans="1:4" x14ac:dyDescent="0.35">
      <c r="A194" s="247"/>
      <c r="B194" s="247"/>
      <c r="C194" s="248"/>
      <c r="D194" s="248"/>
    </row>
    <row r="195" spans="1:4" x14ac:dyDescent="0.35">
      <c r="A195" s="247"/>
      <c r="B195" s="247"/>
      <c r="C195" s="248"/>
      <c r="D195" s="248"/>
    </row>
    <row r="196" spans="1:4" x14ac:dyDescent="0.35">
      <c r="A196" s="247"/>
      <c r="B196" s="247"/>
      <c r="C196" s="248"/>
      <c r="D196" s="248"/>
    </row>
    <row r="197" spans="1:4" x14ac:dyDescent="0.35">
      <c r="A197" s="247"/>
      <c r="B197" s="247"/>
      <c r="C197" s="248"/>
      <c r="D197" s="248"/>
    </row>
    <row r="198" spans="1:4" x14ac:dyDescent="0.35">
      <c r="A198" s="247"/>
      <c r="B198" s="247"/>
      <c r="C198" s="248"/>
      <c r="D198" s="248"/>
    </row>
    <row r="199" spans="1:4" x14ac:dyDescent="0.35">
      <c r="A199" s="247"/>
      <c r="B199" s="247"/>
      <c r="C199" s="248"/>
      <c r="D199" s="248"/>
    </row>
    <row r="200" spans="1:4" x14ac:dyDescent="0.35">
      <c r="A200" s="247"/>
      <c r="B200" s="247"/>
      <c r="C200" s="248"/>
      <c r="D200" s="248"/>
    </row>
    <row r="201" spans="1:4" x14ac:dyDescent="0.35">
      <c r="A201" s="247"/>
      <c r="B201" s="247"/>
      <c r="C201" s="248"/>
      <c r="D201" s="248"/>
    </row>
    <row r="202" spans="1:4" x14ac:dyDescent="0.35">
      <c r="A202" s="247"/>
      <c r="B202" s="247"/>
      <c r="C202" s="248"/>
      <c r="D202" s="248"/>
    </row>
    <row r="203" spans="1:4" x14ac:dyDescent="0.35">
      <c r="A203" s="247"/>
      <c r="B203" s="247"/>
      <c r="C203" s="248"/>
      <c r="D203" s="248"/>
    </row>
    <row r="204" spans="1:4" x14ac:dyDescent="0.35">
      <c r="A204" s="247"/>
      <c r="B204" s="247"/>
      <c r="C204" s="248"/>
      <c r="D204" s="248"/>
    </row>
    <row r="205" spans="1:4" x14ac:dyDescent="0.35">
      <c r="A205" s="247"/>
      <c r="B205" s="247"/>
      <c r="C205" s="248"/>
      <c r="D205" s="248"/>
    </row>
    <row r="206" spans="1:4" x14ac:dyDescent="0.35">
      <c r="A206" s="247"/>
      <c r="B206" s="247"/>
      <c r="C206" s="248"/>
      <c r="D206" s="248"/>
    </row>
    <row r="207" spans="1:4" x14ac:dyDescent="0.35">
      <c r="A207" s="247"/>
      <c r="B207" s="247"/>
      <c r="C207" s="248"/>
      <c r="D207" s="248"/>
    </row>
    <row r="208" spans="1:4" x14ac:dyDescent="0.35">
      <c r="A208" s="247"/>
      <c r="B208" s="247"/>
      <c r="C208" s="248"/>
      <c r="D208" s="248"/>
    </row>
    <row r="209" spans="1:4" x14ac:dyDescent="0.35">
      <c r="A209" s="247"/>
      <c r="B209" s="247"/>
      <c r="C209" s="248"/>
      <c r="D209" s="248"/>
    </row>
    <row r="210" spans="1:4" x14ac:dyDescent="0.35">
      <c r="A210" s="247"/>
      <c r="B210" s="247"/>
      <c r="C210" s="248"/>
      <c r="D210" s="248"/>
    </row>
    <row r="211" spans="1:4" x14ac:dyDescent="0.35">
      <c r="A211" s="247"/>
      <c r="B211" s="247"/>
      <c r="C211" s="248"/>
      <c r="D211" s="248"/>
    </row>
    <row r="212" spans="1:4" x14ac:dyDescent="0.35">
      <c r="A212" s="247"/>
      <c r="B212" s="247"/>
      <c r="C212" s="248"/>
      <c r="D212" s="248"/>
    </row>
    <row r="213" spans="1:4" x14ac:dyDescent="0.35">
      <c r="A213" s="247"/>
      <c r="B213" s="247"/>
      <c r="C213" s="248"/>
      <c r="D213" s="248"/>
    </row>
    <row r="214" spans="1:4" x14ac:dyDescent="0.35">
      <c r="A214" s="247"/>
      <c r="B214" s="247"/>
      <c r="C214" s="248"/>
      <c r="D214" s="248"/>
    </row>
    <row r="215" spans="1:4" x14ac:dyDescent="0.35">
      <c r="A215" s="247"/>
      <c r="B215" s="247"/>
      <c r="C215" s="248"/>
      <c r="D215" s="248"/>
    </row>
    <row r="216" spans="1:4" x14ac:dyDescent="0.35">
      <c r="A216" s="247"/>
      <c r="B216" s="247"/>
      <c r="C216" s="248"/>
      <c r="D216" s="248"/>
    </row>
    <row r="217" spans="1:4" x14ac:dyDescent="0.35">
      <c r="A217" s="247"/>
      <c r="B217" s="247"/>
      <c r="C217" s="248"/>
      <c r="D217" s="248"/>
    </row>
    <row r="218" spans="1:4" x14ac:dyDescent="0.35">
      <c r="A218" s="247"/>
      <c r="B218" s="247"/>
      <c r="C218" s="248"/>
      <c r="D218" s="248"/>
    </row>
    <row r="219" spans="1:4" x14ac:dyDescent="0.35">
      <c r="A219" s="247"/>
      <c r="B219" s="247"/>
      <c r="C219" s="248"/>
      <c r="D219" s="248"/>
    </row>
    <row r="220" spans="1:4" x14ac:dyDescent="0.35">
      <c r="A220" s="247"/>
      <c r="B220" s="247"/>
      <c r="C220" s="248"/>
      <c r="D220" s="248"/>
    </row>
    <row r="221" spans="1:4" x14ac:dyDescent="0.35">
      <c r="A221" s="247"/>
      <c r="B221" s="247"/>
      <c r="C221" s="248"/>
      <c r="D221" s="248"/>
    </row>
    <row r="222" spans="1:4" x14ac:dyDescent="0.35">
      <c r="A222" s="247"/>
      <c r="B222" s="247"/>
      <c r="C222" s="248"/>
      <c r="D222" s="248"/>
    </row>
    <row r="223" spans="1:4" x14ac:dyDescent="0.35">
      <c r="A223" s="247"/>
      <c r="B223" s="247"/>
      <c r="C223" s="248"/>
      <c r="D223" s="248"/>
    </row>
    <row r="224" spans="1:4" x14ac:dyDescent="0.35">
      <c r="A224" s="247"/>
      <c r="B224" s="247"/>
      <c r="C224" s="248"/>
      <c r="D224" s="248"/>
    </row>
    <row r="225" spans="1:4" x14ac:dyDescent="0.35">
      <c r="A225" s="247"/>
      <c r="B225" s="247"/>
      <c r="C225" s="248"/>
      <c r="D225" s="248"/>
    </row>
    <row r="226" spans="1:4" x14ac:dyDescent="0.35">
      <c r="A226" s="247"/>
      <c r="B226" s="247"/>
      <c r="C226" s="248"/>
      <c r="D226" s="248"/>
    </row>
    <row r="227" spans="1:4" x14ac:dyDescent="0.35">
      <c r="A227" s="247"/>
      <c r="B227" s="247"/>
      <c r="C227" s="248"/>
      <c r="D227" s="248"/>
    </row>
  </sheetData>
  <sheetProtection algorithmName="SHA-512" hashValue="1aEb3e65QO4CWF7UPzz48AorY8eLLaP7guRSufFsKvtPDbp3LKp3PjfrjRJuJUBMIEfuDjuUsVbEouX3YJj4/Q==" saltValue="0fPbSpN/7snia9UZuHQBOw==" spinCount="100000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14"/>
  <dimension ref="A1:AA692"/>
  <sheetViews>
    <sheetView zoomScale="130" zoomScaleNormal="130" workbookViewId="0"/>
  </sheetViews>
  <sheetFormatPr defaultRowHeight="14.5" x14ac:dyDescent="0.35"/>
  <cols>
    <col min="1" max="1" width="5.26953125" style="10" customWidth="1"/>
    <col min="2" max="2" width="11.7265625" style="8" customWidth="1"/>
    <col min="3" max="3" width="7.26953125" style="8" bestFit="1" customWidth="1"/>
    <col min="4" max="5" width="6.453125" style="8" bestFit="1" customWidth="1"/>
    <col min="6" max="7" width="4.81640625" style="8" bestFit="1" customWidth="1"/>
    <col min="8" max="9" width="12" style="8" customWidth="1"/>
    <col min="10" max="11" width="13.7265625" style="8" bestFit="1" customWidth="1"/>
    <col min="12" max="12" width="11.81640625" bestFit="1" customWidth="1"/>
    <col min="13" max="13" width="12.453125" customWidth="1"/>
    <col min="14" max="14" width="9.7265625" bestFit="1" customWidth="1"/>
    <col min="16" max="16" width="10.453125" customWidth="1"/>
    <col min="18" max="18" width="15.54296875" bestFit="1" customWidth="1"/>
    <col min="22" max="22" width="16.81640625" customWidth="1"/>
  </cols>
  <sheetData>
    <row r="1" spans="1:27" s="139" customFormat="1" x14ac:dyDescent="0.35">
      <c r="A1" s="10"/>
      <c r="B1" s="8"/>
      <c r="C1" s="8"/>
      <c r="D1" s="8"/>
      <c r="E1" s="8"/>
      <c r="F1" s="8"/>
      <c r="G1" s="8"/>
      <c r="H1" s="8"/>
      <c r="I1" s="8"/>
      <c r="J1" s="8"/>
      <c r="K1" s="8" t="s">
        <v>920</v>
      </c>
      <c r="L1" s="139">
        <f>COUNT(L7:L692)</f>
        <v>1</v>
      </c>
      <c r="M1" s="139" t="s">
        <v>920</v>
      </c>
      <c r="N1" s="139">
        <v>686</v>
      </c>
      <c r="O1" s="139" t="s">
        <v>921</v>
      </c>
      <c r="P1" s="139">
        <f>SUM(L7:L692)</f>
        <v>1.58</v>
      </c>
      <c r="R1" s="139" t="s">
        <v>923</v>
      </c>
      <c r="S1" s="139">
        <f>N1-SUM(M7:M692)</f>
        <v>315.57</v>
      </c>
      <c r="U1" s="139" t="s">
        <v>922</v>
      </c>
      <c r="V1" s="139">
        <f>P1/S1</f>
        <v>5.0068130684158829E-3</v>
      </c>
    </row>
    <row r="2" spans="1:27" s="139" customFormat="1" ht="15.5" x14ac:dyDescent="0.35">
      <c r="A2" s="10"/>
      <c r="B2" s="161" t="s">
        <v>933</v>
      </c>
      <c r="C2" s="8"/>
      <c r="D2" s="8"/>
      <c r="E2" s="8"/>
      <c r="F2" s="8"/>
      <c r="G2" s="8"/>
      <c r="H2" s="8"/>
      <c r="I2" s="8"/>
      <c r="J2" s="8"/>
      <c r="K2" s="8" t="s">
        <v>924</v>
      </c>
      <c r="L2" s="139">
        <v>10</v>
      </c>
    </row>
    <row r="3" spans="1:27" s="139" customFormat="1" x14ac:dyDescent="0.35">
      <c r="A3" s="10"/>
      <c r="B3" s="8"/>
      <c r="C3" s="8"/>
      <c r="D3" s="8"/>
      <c r="E3" s="8"/>
      <c r="F3" s="8"/>
      <c r="G3" s="8"/>
      <c r="H3" s="8"/>
      <c r="I3" s="8"/>
      <c r="J3" s="8"/>
      <c r="K3" s="8" t="s">
        <v>930</v>
      </c>
      <c r="L3" s="139">
        <v>20</v>
      </c>
    </row>
    <row r="4" spans="1:27" s="139" customFormat="1" x14ac:dyDescent="0.35">
      <c r="A4" s="10"/>
      <c r="B4" s="8"/>
      <c r="C4" s="8"/>
      <c r="D4" s="8"/>
      <c r="E4" s="8"/>
      <c r="F4" s="8"/>
      <c r="G4" s="8"/>
      <c r="H4" s="8"/>
      <c r="I4" s="8"/>
      <c r="J4" s="8"/>
      <c r="K4" s="8" t="s">
        <v>926</v>
      </c>
      <c r="L4" s="139">
        <v>80</v>
      </c>
    </row>
    <row r="5" spans="1:27" x14ac:dyDescent="0.35">
      <c r="B5" s="491" t="s">
        <v>688</v>
      </c>
      <c r="C5" s="491"/>
      <c r="D5" s="492" t="s">
        <v>690</v>
      </c>
      <c r="E5" s="493"/>
      <c r="F5" s="493"/>
      <c r="G5" s="494"/>
      <c r="H5" s="158" t="s">
        <v>919</v>
      </c>
      <c r="I5" s="158"/>
      <c r="K5" s="8" t="s">
        <v>930</v>
      </c>
      <c r="L5">
        <v>100</v>
      </c>
    </row>
    <row r="6" spans="1:27" x14ac:dyDescent="0.35">
      <c r="A6" s="12" t="s">
        <v>687</v>
      </c>
      <c r="B6" s="68" t="s">
        <v>812</v>
      </c>
      <c r="C6" s="69" t="s">
        <v>813</v>
      </c>
      <c r="D6" s="68" t="s">
        <v>818</v>
      </c>
      <c r="E6" s="69" t="s">
        <v>819</v>
      </c>
      <c r="F6" s="68" t="s">
        <v>820</v>
      </c>
      <c r="G6" s="69" t="s">
        <v>821</v>
      </c>
      <c r="H6" s="69"/>
      <c r="I6" s="69"/>
      <c r="J6" s="68" t="s">
        <v>874</v>
      </c>
      <c r="K6" s="69" t="s">
        <v>875</v>
      </c>
      <c r="L6" s="157"/>
      <c r="M6" s="159" t="s">
        <v>931</v>
      </c>
      <c r="N6" s="160" t="s">
        <v>929</v>
      </c>
      <c r="O6" s="160" t="s">
        <v>932</v>
      </c>
      <c r="P6" s="160"/>
      <c r="S6" s="139" t="s">
        <v>924</v>
      </c>
      <c r="T6" s="139" t="s">
        <v>925</v>
      </c>
      <c r="U6" s="139" t="s">
        <v>926</v>
      </c>
      <c r="V6" s="139" t="s">
        <v>927</v>
      </c>
      <c r="W6" s="139" t="s">
        <v>928</v>
      </c>
    </row>
    <row r="7" spans="1:27" x14ac:dyDescent="0.35">
      <c r="A7" s="14" t="s">
        <v>522</v>
      </c>
      <c r="B7" s="4">
        <v>13.45</v>
      </c>
      <c r="C7" s="4">
        <v>21.24</v>
      </c>
      <c r="D7" s="4">
        <v>14.13</v>
      </c>
      <c r="E7" s="4">
        <v>13.27</v>
      </c>
      <c r="F7" s="4">
        <v>26.33</v>
      </c>
      <c r="G7" s="4">
        <v>19.87</v>
      </c>
      <c r="H7" s="4">
        <f t="shared" ref="H7:I11" si="0">D7+F7</f>
        <v>40.46</v>
      </c>
      <c r="I7" s="4">
        <f t="shared" si="0"/>
        <v>33.14</v>
      </c>
      <c r="J7" s="4"/>
      <c r="K7" s="4">
        <v>0</v>
      </c>
      <c r="L7" s="139" t="str">
        <f t="shared" ref="L7:L70" si="1">IF(AND($B7&lt;L$3,$B7&gt;L$2,$H7&lt;L$5,$H7&gt;L$4),$J7," ")</f>
        <v xml:space="preserve"> </v>
      </c>
      <c r="M7" s="139" t="s">
        <v>867</v>
      </c>
      <c r="N7" s="139">
        <v>1.52</v>
      </c>
      <c r="O7" s="139">
        <f>IF(M7=" ",N7,M7)</f>
        <v>1.52</v>
      </c>
      <c r="P7" s="139" t="str">
        <f t="shared" ref="P7:P70" si="2">IF(M7&gt;0,M7," ")</f>
        <v xml:space="preserve"> </v>
      </c>
      <c r="Q7" s="139"/>
      <c r="R7" s="139"/>
      <c r="X7" s="139" t="str">
        <f t="shared" ref="X7:AA21" si="3">IF(AND($B7&lt;X$3,$B7&gt;X$2,$H7&lt;X$5,$H7&gt;X$4),$J7," ")</f>
        <v xml:space="preserve"> </v>
      </c>
      <c r="Y7" s="139" t="str">
        <f t="shared" si="3"/>
        <v xml:space="preserve"> </v>
      </c>
      <c r="Z7" s="139" t="str">
        <f t="shared" si="3"/>
        <v xml:space="preserve"> </v>
      </c>
      <c r="AA7" s="139" t="str">
        <f t="shared" si="3"/>
        <v xml:space="preserve"> </v>
      </c>
    </row>
    <row r="8" spans="1:27" x14ac:dyDescent="0.35">
      <c r="A8" s="14" t="s">
        <v>523</v>
      </c>
      <c r="B8" s="4">
        <v>15.73</v>
      </c>
      <c r="C8" s="4">
        <v>20.48</v>
      </c>
      <c r="D8" s="4">
        <v>14.47</v>
      </c>
      <c r="E8" s="4">
        <v>15.75</v>
      </c>
      <c r="F8" s="4">
        <v>25.11</v>
      </c>
      <c r="G8" s="4">
        <v>25.5</v>
      </c>
      <c r="H8" s="4">
        <f t="shared" si="0"/>
        <v>39.58</v>
      </c>
      <c r="I8" s="4">
        <f t="shared" si="0"/>
        <v>41.25</v>
      </c>
      <c r="J8" s="4">
        <v>0</v>
      </c>
      <c r="K8" s="4">
        <v>0</v>
      </c>
      <c r="L8" s="139" t="str">
        <f t="shared" si="1"/>
        <v xml:space="preserve"> </v>
      </c>
      <c r="M8" s="139" t="s">
        <v>867</v>
      </c>
      <c r="N8" s="139">
        <v>1.49</v>
      </c>
      <c r="O8" s="139">
        <f t="shared" ref="O8:O71" si="4">IF(M8=" ",N8,M8)</f>
        <v>1.49</v>
      </c>
      <c r="P8" s="139" t="str">
        <f t="shared" si="2"/>
        <v xml:space="preserve"> </v>
      </c>
      <c r="Q8" s="139"/>
      <c r="R8" s="139"/>
      <c r="S8">
        <v>0</v>
      </c>
      <c r="T8">
        <v>10</v>
      </c>
      <c r="U8">
        <v>0</v>
      </c>
      <c r="V8">
        <v>60</v>
      </c>
      <c r="W8">
        <v>1.57</v>
      </c>
      <c r="X8" s="139" t="str">
        <f t="shared" si="3"/>
        <v xml:space="preserve"> </v>
      </c>
      <c r="Y8" s="139" t="str">
        <f t="shared" si="3"/>
        <v xml:space="preserve"> </v>
      </c>
      <c r="Z8" s="139" t="str">
        <f t="shared" si="3"/>
        <v xml:space="preserve"> </v>
      </c>
      <c r="AA8" s="139" t="str">
        <f t="shared" si="3"/>
        <v xml:space="preserve"> </v>
      </c>
    </row>
    <row r="9" spans="1:27" x14ac:dyDescent="0.35">
      <c r="A9" s="14" t="s">
        <v>538</v>
      </c>
      <c r="B9" s="4">
        <v>16.79</v>
      </c>
      <c r="C9" s="4">
        <v>20.92</v>
      </c>
      <c r="D9" s="4">
        <v>13.7</v>
      </c>
      <c r="E9" s="4">
        <v>13.46</v>
      </c>
      <c r="F9" s="4">
        <v>27.27</v>
      </c>
      <c r="G9" s="4">
        <v>29.96</v>
      </c>
      <c r="H9" s="4">
        <f t="shared" si="0"/>
        <v>40.97</v>
      </c>
      <c r="I9" s="4">
        <f t="shared" si="0"/>
        <v>43.42</v>
      </c>
      <c r="J9" s="4">
        <v>0</v>
      </c>
      <c r="K9" s="4">
        <v>0</v>
      </c>
      <c r="L9" s="139" t="str">
        <f t="shared" si="1"/>
        <v xml:space="preserve"> </v>
      </c>
      <c r="M9" s="139" t="s">
        <v>867</v>
      </c>
      <c r="N9" s="139">
        <v>1.52</v>
      </c>
      <c r="O9" s="139">
        <f t="shared" si="4"/>
        <v>1.52</v>
      </c>
      <c r="P9" s="139" t="str">
        <f t="shared" si="2"/>
        <v xml:space="preserve"> </v>
      </c>
      <c r="Q9" s="139"/>
      <c r="R9" s="139"/>
      <c r="S9">
        <v>0</v>
      </c>
      <c r="T9">
        <v>10</v>
      </c>
      <c r="U9">
        <v>60</v>
      </c>
      <c r="V9">
        <v>100</v>
      </c>
      <c r="W9">
        <v>1.61</v>
      </c>
      <c r="X9" s="139" t="str">
        <f t="shared" si="3"/>
        <v xml:space="preserve"> </v>
      </c>
      <c r="Y9" s="139" t="str">
        <f t="shared" si="3"/>
        <v xml:space="preserve"> </v>
      </c>
      <c r="Z9" s="139" t="str">
        <f t="shared" si="3"/>
        <v xml:space="preserve"> </v>
      </c>
      <c r="AA9" s="139" t="str">
        <f t="shared" si="3"/>
        <v xml:space="preserve"> </v>
      </c>
    </row>
    <row r="10" spans="1:27" x14ac:dyDescent="0.35">
      <c r="A10" s="14" t="s">
        <v>539</v>
      </c>
      <c r="B10" s="4">
        <v>14.29</v>
      </c>
      <c r="C10" s="4">
        <v>18.649999999999999</v>
      </c>
      <c r="D10" s="4">
        <v>22.7</v>
      </c>
      <c r="E10" s="4">
        <v>20.91</v>
      </c>
      <c r="F10" s="4">
        <v>26.57</v>
      </c>
      <c r="G10" s="4">
        <v>21.8</v>
      </c>
      <c r="H10" s="4">
        <f t="shared" si="0"/>
        <v>49.269999999999996</v>
      </c>
      <c r="I10" s="4">
        <f t="shared" si="0"/>
        <v>42.71</v>
      </c>
      <c r="J10" s="4">
        <v>0</v>
      </c>
      <c r="K10" s="4">
        <v>0</v>
      </c>
      <c r="L10" s="139" t="str">
        <f t="shared" si="1"/>
        <v xml:space="preserve"> </v>
      </c>
      <c r="M10" s="139" t="s">
        <v>867</v>
      </c>
      <c r="N10" s="139">
        <v>1.52</v>
      </c>
      <c r="O10" s="139">
        <f t="shared" si="4"/>
        <v>1.52</v>
      </c>
      <c r="P10" s="139" t="str">
        <f t="shared" si="2"/>
        <v xml:space="preserve"> </v>
      </c>
      <c r="Q10" s="139"/>
      <c r="R10" s="139"/>
      <c r="S10" s="139">
        <v>10</v>
      </c>
      <c r="T10" s="139">
        <v>20</v>
      </c>
      <c r="U10" s="139">
        <v>0</v>
      </c>
      <c r="V10" s="139">
        <v>20</v>
      </c>
      <c r="W10" s="139">
        <v>1.41</v>
      </c>
      <c r="X10" s="139" t="str">
        <f t="shared" si="3"/>
        <v xml:space="preserve"> </v>
      </c>
      <c r="Y10" s="139" t="str">
        <f t="shared" si="3"/>
        <v xml:space="preserve"> </v>
      </c>
      <c r="Z10" s="139" t="str">
        <f t="shared" si="3"/>
        <v xml:space="preserve"> </v>
      </c>
      <c r="AA10" s="139" t="str">
        <f t="shared" si="3"/>
        <v xml:space="preserve"> </v>
      </c>
    </row>
    <row r="11" spans="1:27" x14ac:dyDescent="0.35">
      <c r="A11" s="14" t="s">
        <v>559</v>
      </c>
      <c r="B11" s="4">
        <v>13.37</v>
      </c>
      <c r="C11" s="4">
        <v>19.32</v>
      </c>
      <c r="D11" s="4">
        <v>13.23</v>
      </c>
      <c r="E11" s="4">
        <v>12.6</v>
      </c>
      <c r="F11" s="4">
        <v>11.6</v>
      </c>
      <c r="G11" s="4">
        <v>9.69</v>
      </c>
      <c r="H11" s="4">
        <f t="shared" si="0"/>
        <v>24.83</v>
      </c>
      <c r="I11" s="4">
        <f t="shared" si="0"/>
        <v>22.29</v>
      </c>
      <c r="J11" s="4">
        <v>0</v>
      </c>
      <c r="K11" s="4">
        <v>0</v>
      </c>
      <c r="L11" s="139" t="str">
        <f t="shared" si="1"/>
        <v xml:space="preserve"> </v>
      </c>
      <c r="M11" s="139" t="s">
        <v>867</v>
      </c>
      <c r="N11" s="139">
        <v>1.49</v>
      </c>
      <c r="O11" s="139">
        <f t="shared" si="4"/>
        <v>1.49</v>
      </c>
      <c r="P11" s="139" t="str">
        <f t="shared" si="2"/>
        <v xml:space="preserve"> </v>
      </c>
      <c r="Q11" s="139"/>
      <c r="R11" s="139"/>
      <c r="S11" s="139">
        <v>10</v>
      </c>
      <c r="T11" s="139">
        <v>20</v>
      </c>
      <c r="U11" s="139">
        <v>20</v>
      </c>
      <c r="V11" s="139">
        <v>40</v>
      </c>
      <c r="W11" s="139">
        <v>1.49</v>
      </c>
      <c r="X11" s="139" t="str">
        <f t="shared" si="3"/>
        <v xml:space="preserve"> </v>
      </c>
      <c r="Y11" s="139" t="str">
        <f t="shared" si="3"/>
        <v xml:space="preserve"> </v>
      </c>
      <c r="Z11" s="139" t="str">
        <f t="shared" si="3"/>
        <v xml:space="preserve"> </v>
      </c>
      <c r="AA11" s="139" t="str">
        <f t="shared" si="3"/>
        <v xml:space="preserve"> </v>
      </c>
    </row>
    <row r="12" spans="1:27" x14ac:dyDescent="0.35">
      <c r="A12" s="14" t="s">
        <v>544</v>
      </c>
      <c r="B12" s="4">
        <v>12.67</v>
      </c>
      <c r="C12" s="4">
        <v>15.11</v>
      </c>
      <c r="D12" s="4">
        <v>21.42</v>
      </c>
      <c r="E12" s="4">
        <v>19.850000000000001</v>
      </c>
      <c r="F12" s="4" t="s">
        <v>867</v>
      </c>
      <c r="G12" s="4">
        <v>22.59</v>
      </c>
      <c r="H12" s="4">
        <v>42.44</v>
      </c>
      <c r="I12" s="4">
        <f t="shared" ref="I12:I75" si="5">E12+G12</f>
        <v>42.44</v>
      </c>
      <c r="J12" s="4">
        <v>0</v>
      </c>
      <c r="K12" s="4">
        <v>0</v>
      </c>
      <c r="L12" s="139" t="str">
        <f t="shared" si="1"/>
        <v xml:space="preserve"> </v>
      </c>
      <c r="M12" s="139" t="s">
        <v>867</v>
      </c>
      <c r="N12" s="139">
        <v>1.52</v>
      </c>
      <c r="O12" s="139">
        <f t="shared" si="4"/>
        <v>1.52</v>
      </c>
      <c r="P12" s="139" t="str">
        <f t="shared" si="2"/>
        <v xml:space="preserve"> </v>
      </c>
      <c r="Q12" s="139"/>
      <c r="R12" s="139"/>
      <c r="S12" s="139">
        <v>10</v>
      </c>
      <c r="T12" s="139">
        <v>20</v>
      </c>
      <c r="U12" s="139">
        <v>40</v>
      </c>
      <c r="V12" s="139">
        <v>100</v>
      </c>
      <c r="W12" s="139">
        <v>1.52</v>
      </c>
      <c r="X12" s="139" t="str">
        <f t="shared" si="3"/>
        <v xml:space="preserve"> </v>
      </c>
      <c r="Y12" s="139" t="str">
        <f t="shared" si="3"/>
        <v xml:space="preserve"> </v>
      </c>
      <c r="Z12" s="139" t="str">
        <f t="shared" si="3"/>
        <v xml:space="preserve"> </v>
      </c>
      <c r="AA12" s="139" t="str">
        <f t="shared" si="3"/>
        <v xml:space="preserve"> </v>
      </c>
    </row>
    <row r="13" spans="1:27" x14ac:dyDescent="0.35">
      <c r="A13" s="14" t="s">
        <v>521</v>
      </c>
      <c r="B13" s="4">
        <v>9.9499999999999993</v>
      </c>
      <c r="C13" s="4">
        <v>9.92</v>
      </c>
      <c r="D13" s="4">
        <v>13.45</v>
      </c>
      <c r="E13" s="4">
        <v>12.15</v>
      </c>
      <c r="F13" s="4">
        <v>27.2</v>
      </c>
      <c r="G13" s="4">
        <v>26.81</v>
      </c>
      <c r="H13" s="4">
        <f t="shared" ref="H13:H76" si="6">D13+F13</f>
        <v>40.65</v>
      </c>
      <c r="I13" s="4">
        <f t="shared" si="5"/>
        <v>38.96</v>
      </c>
      <c r="J13" s="4">
        <v>0</v>
      </c>
      <c r="K13" s="4">
        <v>0</v>
      </c>
      <c r="L13" s="139" t="str">
        <f t="shared" si="1"/>
        <v xml:space="preserve"> </v>
      </c>
      <c r="M13" s="139" t="s">
        <v>867</v>
      </c>
      <c r="N13" s="139">
        <v>1.57</v>
      </c>
      <c r="O13" s="139">
        <f t="shared" si="4"/>
        <v>1.57</v>
      </c>
      <c r="P13" s="139" t="str">
        <f t="shared" si="2"/>
        <v xml:space="preserve"> </v>
      </c>
      <c r="Q13" s="139"/>
      <c r="R13" s="139"/>
      <c r="S13" s="139">
        <v>20</v>
      </c>
      <c r="T13" s="139">
        <v>40</v>
      </c>
      <c r="U13" s="139">
        <v>0</v>
      </c>
      <c r="V13" s="139">
        <v>20</v>
      </c>
      <c r="W13" s="139">
        <v>1.32</v>
      </c>
      <c r="X13" s="139" t="str">
        <f t="shared" si="3"/>
        <v xml:space="preserve"> </v>
      </c>
      <c r="Y13" s="139" t="str">
        <f t="shared" si="3"/>
        <v xml:space="preserve"> </v>
      </c>
      <c r="Z13" s="139" t="str">
        <f t="shared" si="3"/>
        <v xml:space="preserve"> </v>
      </c>
      <c r="AA13" s="139" t="str">
        <f t="shared" si="3"/>
        <v xml:space="preserve"> </v>
      </c>
    </row>
    <row r="14" spans="1:27" x14ac:dyDescent="0.35">
      <c r="A14" s="14" t="s">
        <v>565</v>
      </c>
      <c r="B14" s="4">
        <v>13.94</v>
      </c>
      <c r="C14" s="4">
        <v>17.440000000000001</v>
      </c>
      <c r="D14" s="4">
        <v>14.51</v>
      </c>
      <c r="E14" s="4">
        <v>13.96</v>
      </c>
      <c r="F14" s="4">
        <v>16.79</v>
      </c>
      <c r="G14" s="4">
        <v>14.24</v>
      </c>
      <c r="H14" s="4">
        <f t="shared" si="6"/>
        <v>31.299999999999997</v>
      </c>
      <c r="I14" s="4">
        <f t="shared" si="5"/>
        <v>28.200000000000003</v>
      </c>
      <c r="J14" s="4">
        <v>0</v>
      </c>
      <c r="K14" s="4">
        <v>0</v>
      </c>
      <c r="L14" s="139" t="str">
        <f t="shared" si="1"/>
        <v xml:space="preserve"> </v>
      </c>
      <c r="M14" s="139" t="s">
        <v>867</v>
      </c>
      <c r="N14" s="139">
        <v>1.49</v>
      </c>
      <c r="O14" s="139">
        <f t="shared" si="4"/>
        <v>1.49</v>
      </c>
      <c r="P14" s="139" t="str">
        <f t="shared" si="2"/>
        <v xml:space="preserve"> </v>
      </c>
      <c r="Q14" s="139"/>
      <c r="R14" s="139"/>
      <c r="S14">
        <v>20</v>
      </c>
      <c r="T14">
        <v>40</v>
      </c>
      <c r="U14">
        <v>20</v>
      </c>
      <c r="V14">
        <v>40</v>
      </c>
      <c r="W14">
        <v>1.35</v>
      </c>
      <c r="X14" s="139" t="str">
        <f t="shared" si="3"/>
        <v xml:space="preserve"> </v>
      </c>
      <c r="Y14" s="139" t="str">
        <f t="shared" si="3"/>
        <v xml:space="preserve"> </v>
      </c>
      <c r="Z14" s="139" t="str">
        <f t="shared" si="3"/>
        <v xml:space="preserve"> </v>
      </c>
      <c r="AA14" s="139" t="str">
        <f t="shared" si="3"/>
        <v xml:space="preserve"> </v>
      </c>
    </row>
    <row r="15" spans="1:27" x14ac:dyDescent="0.35">
      <c r="A15" s="14" t="s">
        <v>545</v>
      </c>
      <c r="B15" s="4">
        <v>10.92</v>
      </c>
      <c r="C15" s="4">
        <v>16.62</v>
      </c>
      <c r="D15" s="4">
        <v>17.7</v>
      </c>
      <c r="E15" s="4">
        <v>16.73</v>
      </c>
      <c r="F15" s="4">
        <v>31</v>
      </c>
      <c r="G15" s="4">
        <v>30.65</v>
      </c>
      <c r="H15" s="4">
        <f t="shared" si="6"/>
        <v>48.7</v>
      </c>
      <c r="I15" s="4">
        <f t="shared" si="5"/>
        <v>47.379999999999995</v>
      </c>
      <c r="J15" s="4">
        <v>0</v>
      </c>
      <c r="K15" s="4">
        <v>0</v>
      </c>
      <c r="L15" s="139" t="str">
        <f t="shared" si="1"/>
        <v xml:space="preserve"> </v>
      </c>
      <c r="M15" s="139" t="s">
        <v>867</v>
      </c>
      <c r="N15" s="139">
        <v>1.52</v>
      </c>
      <c r="O15" s="139">
        <f t="shared" si="4"/>
        <v>1.52</v>
      </c>
      <c r="P15" s="139" t="str">
        <f t="shared" si="2"/>
        <v xml:space="preserve"> </v>
      </c>
      <c r="Q15" s="139"/>
      <c r="R15" s="139"/>
      <c r="S15" s="139">
        <v>20</v>
      </c>
      <c r="T15" s="139">
        <v>40</v>
      </c>
      <c r="U15" s="139">
        <v>40</v>
      </c>
      <c r="V15">
        <v>60</v>
      </c>
      <c r="W15">
        <v>1.41</v>
      </c>
      <c r="X15" s="139" t="str">
        <f t="shared" si="3"/>
        <v xml:space="preserve"> </v>
      </c>
      <c r="Y15" s="139" t="str">
        <f t="shared" si="3"/>
        <v xml:space="preserve"> </v>
      </c>
      <c r="Z15" s="139" t="str">
        <f t="shared" si="3"/>
        <v xml:space="preserve"> </v>
      </c>
      <c r="AA15" s="139" t="str">
        <f t="shared" si="3"/>
        <v xml:space="preserve"> </v>
      </c>
    </row>
    <row r="16" spans="1:27" x14ac:dyDescent="0.35">
      <c r="A16" s="14" t="s">
        <v>117</v>
      </c>
      <c r="B16" s="4">
        <v>9.08</v>
      </c>
      <c r="C16" s="4">
        <v>10.92</v>
      </c>
      <c r="D16" s="4">
        <v>30.77</v>
      </c>
      <c r="E16" s="4">
        <v>29.58</v>
      </c>
      <c r="F16" s="4">
        <v>16.62</v>
      </c>
      <c r="G16" s="4">
        <v>18.03</v>
      </c>
      <c r="H16" s="4">
        <f t="shared" si="6"/>
        <v>47.39</v>
      </c>
      <c r="I16" s="4">
        <f t="shared" si="5"/>
        <v>47.61</v>
      </c>
      <c r="J16" s="4">
        <v>0</v>
      </c>
      <c r="K16" s="4">
        <v>0</v>
      </c>
      <c r="L16" s="139" t="str">
        <f t="shared" si="1"/>
        <v xml:space="preserve"> </v>
      </c>
      <c r="M16" s="139" t="s">
        <v>867</v>
      </c>
      <c r="N16" s="139">
        <v>1.57</v>
      </c>
      <c r="O16" s="139">
        <f t="shared" si="4"/>
        <v>1.57</v>
      </c>
      <c r="P16" s="139" t="str">
        <f t="shared" si="2"/>
        <v xml:space="preserve"> </v>
      </c>
      <c r="Q16" s="139"/>
      <c r="R16" s="139"/>
      <c r="S16">
        <v>20</v>
      </c>
      <c r="T16">
        <v>40</v>
      </c>
      <c r="U16">
        <v>60</v>
      </c>
      <c r="V16">
        <v>100</v>
      </c>
      <c r="W16">
        <v>1.42</v>
      </c>
      <c r="X16" s="139" t="str">
        <f t="shared" si="3"/>
        <v xml:space="preserve"> </v>
      </c>
      <c r="Y16" s="139" t="str">
        <f t="shared" si="3"/>
        <v xml:space="preserve"> </v>
      </c>
      <c r="Z16" s="139" t="str">
        <f t="shared" si="3"/>
        <v xml:space="preserve"> </v>
      </c>
      <c r="AA16" s="139" t="str">
        <f t="shared" si="3"/>
        <v xml:space="preserve"> </v>
      </c>
    </row>
    <row r="17" spans="1:27" x14ac:dyDescent="0.35">
      <c r="A17" s="14" t="s">
        <v>546</v>
      </c>
      <c r="B17" s="4">
        <v>16.66</v>
      </c>
      <c r="C17" s="4">
        <v>22.24</v>
      </c>
      <c r="D17" s="4">
        <v>14.4</v>
      </c>
      <c r="E17" s="4">
        <v>12.67</v>
      </c>
      <c r="F17" s="4">
        <v>28.36</v>
      </c>
      <c r="G17" s="4">
        <v>24.12</v>
      </c>
      <c r="H17" s="4">
        <f t="shared" si="6"/>
        <v>42.76</v>
      </c>
      <c r="I17" s="4">
        <f t="shared" si="5"/>
        <v>36.79</v>
      </c>
      <c r="J17" s="4">
        <v>0</v>
      </c>
      <c r="K17" s="4">
        <v>0</v>
      </c>
      <c r="L17" s="139" t="str">
        <f t="shared" si="1"/>
        <v xml:space="preserve"> </v>
      </c>
      <c r="M17" s="139" t="s">
        <v>867</v>
      </c>
      <c r="N17" s="139">
        <v>1.52</v>
      </c>
      <c r="O17" s="139">
        <f t="shared" si="4"/>
        <v>1.52</v>
      </c>
      <c r="P17" s="139" t="str">
        <f t="shared" si="2"/>
        <v xml:space="preserve"> </v>
      </c>
      <c r="Q17" s="139"/>
      <c r="R17" s="139"/>
      <c r="S17" s="139">
        <v>40</v>
      </c>
      <c r="T17" s="139">
        <v>60</v>
      </c>
      <c r="U17" s="139">
        <v>0</v>
      </c>
      <c r="V17" s="139">
        <v>20</v>
      </c>
      <c r="W17" s="139">
        <v>1.22</v>
      </c>
      <c r="X17" s="139" t="str">
        <f t="shared" si="3"/>
        <v xml:space="preserve"> </v>
      </c>
      <c r="Y17" s="139" t="str">
        <f t="shared" si="3"/>
        <v xml:space="preserve"> </v>
      </c>
      <c r="Z17" s="139" t="str">
        <f t="shared" si="3"/>
        <v xml:space="preserve"> </v>
      </c>
      <c r="AA17" s="139" t="str">
        <f t="shared" si="3"/>
        <v xml:space="preserve"> </v>
      </c>
    </row>
    <row r="18" spans="1:27" x14ac:dyDescent="0.35">
      <c r="A18" s="14" t="s">
        <v>550</v>
      </c>
      <c r="B18" s="4">
        <v>8.33</v>
      </c>
      <c r="C18" s="4">
        <v>8.06</v>
      </c>
      <c r="D18" s="4">
        <v>15.18</v>
      </c>
      <c r="E18" s="4">
        <v>17.149999999999999</v>
      </c>
      <c r="F18" s="4">
        <v>46.42</v>
      </c>
      <c r="G18" s="4">
        <v>48.59</v>
      </c>
      <c r="H18" s="4">
        <f t="shared" si="6"/>
        <v>61.6</v>
      </c>
      <c r="I18" s="4">
        <f t="shared" si="5"/>
        <v>65.740000000000009</v>
      </c>
      <c r="J18" s="4">
        <v>1.58</v>
      </c>
      <c r="K18" s="4">
        <v>1.59</v>
      </c>
      <c r="L18" s="139" t="str">
        <f t="shared" si="1"/>
        <v xml:space="preserve"> </v>
      </c>
      <c r="M18" s="139">
        <v>1.58</v>
      </c>
      <c r="N18" s="139">
        <v>1.61</v>
      </c>
      <c r="O18" s="139">
        <f t="shared" si="4"/>
        <v>1.58</v>
      </c>
      <c r="P18" s="139">
        <f t="shared" si="2"/>
        <v>1.58</v>
      </c>
      <c r="Q18" s="139"/>
      <c r="R18" s="139"/>
      <c r="S18" s="139">
        <v>40</v>
      </c>
      <c r="T18" s="139">
        <v>60</v>
      </c>
      <c r="U18" s="139">
        <v>20</v>
      </c>
      <c r="V18" s="139">
        <v>100</v>
      </c>
      <c r="W18" s="139">
        <v>1.25</v>
      </c>
      <c r="X18" s="139" t="str">
        <f t="shared" si="3"/>
        <v xml:space="preserve"> </v>
      </c>
      <c r="Y18" s="139" t="str">
        <f t="shared" si="3"/>
        <v xml:space="preserve"> </v>
      </c>
      <c r="Z18" s="139" t="str">
        <f t="shared" si="3"/>
        <v xml:space="preserve"> </v>
      </c>
      <c r="AA18" s="139" t="str">
        <f t="shared" si="3"/>
        <v xml:space="preserve"> </v>
      </c>
    </row>
    <row r="19" spans="1:27" x14ac:dyDescent="0.35">
      <c r="A19" s="14" t="s">
        <v>529</v>
      </c>
      <c r="B19" s="4">
        <v>6.97</v>
      </c>
      <c r="C19" s="4">
        <v>7.09</v>
      </c>
      <c r="D19" s="4">
        <v>22.35</v>
      </c>
      <c r="E19" s="4">
        <v>23.4</v>
      </c>
      <c r="F19" s="4">
        <v>45.24</v>
      </c>
      <c r="G19" s="4">
        <v>46.09</v>
      </c>
      <c r="H19" s="4">
        <f t="shared" si="6"/>
        <v>67.59</v>
      </c>
      <c r="I19" s="4">
        <f t="shared" si="5"/>
        <v>69.490000000000009</v>
      </c>
      <c r="J19" s="4">
        <v>0</v>
      </c>
      <c r="K19" s="4">
        <v>0</v>
      </c>
      <c r="L19" s="139" t="str">
        <f t="shared" si="1"/>
        <v xml:space="preserve"> </v>
      </c>
      <c r="M19" s="139" t="s">
        <v>867</v>
      </c>
      <c r="N19" s="139">
        <v>1.61</v>
      </c>
      <c r="O19" s="139">
        <f t="shared" si="4"/>
        <v>1.61</v>
      </c>
      <c r="P19" s="139" t="str">
        <f t="shared" si="2"/>
        <v xml:space="preserve"> </v>
      </c>
      <c r="Q19" s="139"/>
      <c r="R19" s="139"/>
      <c r="X19" s="139" t="str">
        <f t="shared" si="3"/>
        <v xml:space="preserve"> </v>
      </c>
      <c r="Y19" s="139" t="str">
        <f t="shared" si="3"/>
        <v xml:space="preserve"> </v>
      </c>
      <c r="Z19" s="139" t="str">
        <f t="shared" si="3"/>
        <v xml:space="preserve"> </v>
      </c>
      <c r="AA19" s="139" t="str">
        <f t="shared" si="3"/>
        <v xml:space="preserve"> </v>
      </c>
    </row>
    <row r="20" spans="1:27" x14ac:dyDescent="0.35">
      <c r="A20" s="14" t="s">
        <v>108</v>
      </c>
      <c r="B20" s="4">
        <v>8.7200000000000006</v>
      </c>
      <c r="C20" s="4">
        <v>8.02</v>
      </c>
      <c r="D20" s="4">
        <v>14.73</v>
      </c>
      <c r="E20" s="4">
        <v>13.97</v>
      </c>
      <c r="F20" s="4">
        <v>39.44</v>
      </c>
      <c r="G20" s="4">
        <v>40.82</v>
      </c>
      <c r="H20" s="4">
        <f t="shared" si="6"/>
        <v>54.17</v>
      </c>
      <c r="I20" s="4">
        <f t="shared" si="5"/>
        <v>54.79</v>
      </c>
      <c r="J20" s="4">
        <v>0</v>
      </c>
      <c r="K20" s="4">
        <v>0</v>
      </c>
      <c r="L20" s="139" t="str">
        <f t="shared" si="1"/>
        <v xml:space="preserve"> </v>
      </c>
      <c r="M20" s="139" t="s">
        <v>867</v>
      </c>
      <c r="N20" s="139">
        <v>1.57</v>
      </c>
      <c r="O20" s="139">
        <f t="shared" si="4"/>
        <v>1.57</v>
      </c>
      <c r="P20" s="139" t="str">
        <f t="shared" si="2"/>
        <v xml:space="preserve"> </v>
      </c>
      <c r="Q20" s="139"/>
      <c r="R20" s="139"/>
      <c r="S20" s="139" t="str">
        <f t="shared" ref="S20:W21" si="7">IF(AND($B20&lt;S$3,$B20&gt;S$2,$H20&lt;S$5,$H20&gt;S$4),$J20," ")</f>
        <v xml:space="preserve"> </v>
      </c>
      <c r="T20" s="139" t="str">
        <f t="shared" si="7"/>
        <v xml:space="preserve"> </v>
      </c>
      <c r="U20" s="139" t="str">
        <f t="shared" si="7"/>
        <v xml:space="preserve"> </v>
      </c>
      <c r="V20" s="139" t="str">
        <f t="shared" si="7"/>
        <v xml:space="preserve"> </v>
      </c>
      <c r="W20" s="139" t="str">
        <f t="shared" si="7"/>
        <v xml:space="preserve"> </v>
      </c>
      <c r="X20" s="139" t="str">
        <f t="shared" si="3"/>
        <v xml:space="preserve"> </v>
      </c>
      <c r="Y20" s="139" t="str">
        <f t="shared" si="3"/>
        <v xml:space="preserve"> </v>
      </c>
      <c r="Z20" s="139" t="str">
        <f t="shared" si="3"/>
        <v xml:space="preserve"> </v>
      </c>
      <c r="AA20" s="139" t="str">
        <f t="shared" si="3"/>
        <v xml:space="preserve"> </v>
      </c>
    </row>
    <row r="21" spans="1:27" x14ac:dyDescent="0.35">
      <c r="A21" s="14" t="s">
        <v>111</v>
      </c>
      <c r="B21" s="4">
        <v>4.62</v>
      </c>
      <c r="C21" s="4">
        <v>4.67</v>
      </c>
      <c r="D21" s="4">
        <v>19.350000000000001</v>
      </c>
      <c r="E21" s="4">
        <v>20.010000000000002</v>
      </c>
      <c r="F21" s="4">
        <v>53.2</v>
      </c>
      <c r="G21" s="4">
        <v>52.42</v>
      </c>
      <c r="H21" s="4">
        <f t="shared" si="6"/>
        <v>72.550000000000011</v>
      </c>
      <c r="I21" s="4">
        <f t="shared" si="5"/>
        <v>72.430000000000007</v>
      </c>
      <c r="J21" s="4">
        <v>0</v>
      </c>
      <c r="K21" s="4">
        <v>0</v>
      </c>
      <c r="L21" s="139" t="str">
        <f t="shared" si="1"/>
        <v xml:space="preserve"> </v>
      </c>
      <c r="M21" s="139" t="s">
        <v>867</v>
      </c>
      <c r="N21" s="139">
        <v>1.61</v>
      </c>
      <c r="O21" s="139">
        <f t="shared" si="4"/>
        <v>1.61</v>
      </c>
      <c r="P21" s="139" t="str">
        <f t="shared" si="2"/>
        <v xml:space="preserve"> </v>
      </c>
      <c r="Q21" s="139"/>
      <c r="R21" s="139"/>
      <c r="S21" s="139" t="str">
        <f t="shared" si="7"/>
        <v xml:space="preserve"> </v>
      </c>
      <c r="T21" s="139" t="str">
        <f t="shared" si="7"/>
        <v xml:space="preserve"> </v>
      </c>
      <c r="U21" s="139" t="str">
        <f t="shared" si="7"/>
        <v xml:space="preserve"> </v>
      </c>
      <c r="V21" s="139" t="str">
        <f t="shared" si="7"/>
        <v xml:space="preserve"> </v>
      </c>
      <c r="W21" s="139" t="str">
        <f t="shared" si="7"/>
        <v xml:space="preserve"> </v>
      </c>
      <c r="X21" s="139" t="str">
        <f t="shared" si="3"/>
        <v xml:space="preserve"> </v>
      </c>
      <c r="Y21" s="139" t="str">
        <f t="shared" si="3"/>
        <v xml:space="preserve"> </v>
      </c>
      <c r="Z21" s="139" t="str">
        <f t="shared" si="3"/>
        <v xml:space="preserve"> </v>
      </c>
      <c r="AA21" s="139" t="str">
        <f t="shared" si="3"/>
        <v xml:space="preserve"> </v>
      </c>
    </row>
    <row r="22" spans="1:27" x14ac:dyDescent="0.35">
      <c r="A22" s="14" t="s">
        <v>124</v>
      </c>
      <c r="B22" s="4">
        <v>6.44</v>
      </c>
      <c r="C22" s="4">
        <v>6.19</v>
      </c>
      <c r="D22" s="4">
        <v>20.73</v>
      </c>
      <c r="E22" s="4">
        <v>18.940000000000001</v>
      </c>
      <c r="F22" s="4">
        <v>49.46</v>
      </c>
      <c r="G22" s="4">
        <v>55.91</v>
      </c>
      <c r="H22" s="4">
        <f t="shared" si="6"/>
        <v>70.19</v>
      </c>
      <c r="I22" s="4">
        <f t="shared" si="5"/>
        <v>74.849999999999994</v>
      </c>
      <c r="J22" s="4">
        <v>1.61</v>
      </c>
      <c r="K22" s="4">
        <v>1.69</v>
      </c>
      <c r="L22" s="139" t="str">
        <f t="shared" si="1"/>
        <v xml:space="preserve"> </v>
      </c>
      <c r="M22" s="139">
        <v>1.61</v>
      </c>
      <c r="N22" s="139">
        <v>1.61</v>
      </c>
      <c r="O22" s="139">
        <f t="shared" si="4"/>
        <v>1.61</v>
      </c>
      <c r="P22" s="139">
        <f t="shared" si="2"/>
        <v>1.61</v>
      </c>
      <c r="Q22" s="139"/>
      <c r="R22" s="139"/>
      <c r="S22" s="139"/>
      <c r="T22" s="139"/>
      <c r="U22" s="139"/>
      <c r="V22" s="139"/>
      <c r="W22" s="139"/>
      <c r="X22" s="139"/>
      <c r="Y22" s="139" t="str">
        <f t="shared" ref="Y22:AA28" si="8">IF(AND($B22&lt;Y$3,$B22&gt;Y$2,$H22&lt;Y$5,$H22&gt;Y$4),$J22," ")</f>
        <v xml:space="preserve"> </v>
      </c>
      <c r="Z22" s="139" t="str">
        <f t="shared" si="8"/>
        <v xml:space="preserve"> </v>
      </c>
      <c r="AA22" s="139" t="str">
        <f t="shared" si="8"/>
        <v xml:space="preserve"> </v>
      </c>
    </row>
    <row r="23" spans="1:27" x14ac:dyDescent="0.35">
      <c r="A23" s="14" t="s">
        <v>526</v>
      </c>
      <c r="B23" s="4">
        <v>9.64</v>
      </c>
      <c r="C23" s="4">
        <v>6.18</v>
      </c>
      <c r="D23" s="4">
        <v>28.96</v>
      </c>
      <c r="E23" s="4">
        <v>17.73</v>
      </c>
      <c r="F23" s="4">
        <v>29.3</v>
      </c>
      <c r="G23" s="4">
        <v>20.239999999999998</v>
      </c>
      <c r="H23" s="4">
        <f t="shared" si="6"/>
        <v>58.260000000000005</v>
      </c>
      <c r="I23" s="4">
        <f t="shared" si="5"/>
        <v>37.97</v>
      </c>
      <c r="J23" s="4">
        <v>0</v>
      </c>
      <c r="K23" s="4">
        <v>0</v>
      </c>
      <c r="L23" s="139" t="str">
        <f t="shared" si="1"/>
        <v xml:space="preserve"> </v>
      </c>
      <c r="M23" s="139" t="s">
        <v>867</v>
      </c>
      <c r="N23" s="139">
        <v>1.57</v>
      </c>
      <c r="O23" s="139">
        <f t="shared" si="4"/>
        <v>1.57</v>
      </c>
      <c r="P23" s="139" t="str">
        <f t="shared" si="2"/>
        <v xml:space="preserve"> </v>
      </c>
      <c r="Q23" s="139"/>
      <c r="R23" s="139"/>
      <c r="S23" s="139"/>
      <c r="T23" s="139"/>
      <c r="U23" s="139"/>
      <c r="V23" s="139"/>
      <c r="W23" s="139"/>
      <c r="X23" s="139"/>
      <c r="Y23" s="139" t="str">
        <f t="shared" si="8"/>
        <v xml:space="preserve"> </v>
      </c>
      <c r="Z23" s="139" t="str">
        <f t="shared" si="8"/>
        <v xml:space="preserve"> </v>
      </c>
      <c r="AA23" s="139" t="str">
        <f t="shared" si="8"/>
        <v xml:space="preserve"> </v>
      </c>
    </row>
    <row r="24" spans="1:27" x14ac:dyDescent="0.35">
      <c r="A24" s="14" t="s">
        <v>562</v>
      </c>
      <c r="B24" s="4">
        <v>13.37</v>
      </c>
      <c r="C24" s="4">
        <v>13.6</v>
      </c>
      <c r="D24" s="4">
        <v>24.8</v>
      </c>
      <c r="E24" s="4">
        <v>25.31</v>
      </c>
      <c r="F24" s="4">
        <v>26.51</v>
      </c>
      <c r="G24" s="4">
        <v>25.6</v>
      </c>
      <c r="H24" s="4">
        <f t="shared" si="6"/>
        <v>51.31</v>
      </c>
      <c r="I24" s="4">
        <f t="shared" si="5"/>
        <v>50.91</v>
      </c>
      <c r="J24" s="4">
        <v>1.49</v>
      </c>
      <c r="K24" s="4">
        <v>1.51</v>
      </c>
      <c r="L24" s="139" t="str">
        <f t="shared" si="1"/>
        <v xml:space="preserve"> </v>
      </c>
      <c r="M24" s="139">
        <v>1.49</v>
      </c>
      <c r="N24" s="139">
        <v>1.52</v>
      </c>
      <c r="O24" s="139">
        <f t="shared" si="4"/>
        <v>1.49</v>
      </c>
      <c r="P24" s="139">
        <f t="shared" si="2"/>
        <v>1.49</v>
      </c>
      <c r="Q24" s="139"/>
      <c r="R24" s="139"/>
      <c r="S24" s="139"/>
      <c r="T24" s="139"/>
      <c r="U24" s="139"/>
      <c r="V24" s="139"/>
      <c r="W24" s="139"/>
      <c r="X24" s="139"/>
      <c r="Y24" s="139" t="str">
        <f t="shared" si="8"/>
        <v xml:space="preserve"> </v>
      </c>
      <c r="Z24" s="139" t="str">
        <f t="shared" si="8"/>
        <v xml:space="preserve"> </v>
      </c>
      <c r="AA24" s="139" t="str">
        <f t="shared" si="8"/>
        <v xml:space="preserve"> </v>
      </c>
    </row>
    <row r="25" spans="1:27" x14ac:dyDescent="0.35">
      <c r="A25" s="14" t="s">
        <v>560</v>
      </c>
      <c r="B25" s="4">
        <v>8.98</v>
      </c>
      <c r="C25" s="4">
        <v>8.69</v>
      </c>
      <c r="D25" s="4">
        <v>18.68</v>
      </c>
      <c r="E25" s="4">
        <v>20.67</v>
      </c>
      <c r="F25" s="4">
        <v>25.25</v>
      </c>
      <c r="G25" s="4">
        <v>27.2</v>
      </c>
      <c r="H25" s="4">
        <f t="shared" si="6"/>
        <v>43.93</v>
      </c>
      <c r="I25" s="4">
        <f t="shared" si="5"/>
        <v>47.870000000000005</v>
      </c>
      <c r="J25" s="4">
        <v>0</v>
      </c>
      <c r="K25" s="4">
        <v>0</v>
      </c>
      <c r="L25" s="139" t="str">
        <f t="shared" si="1"/>
        <v xml:space="preserve"> </v>
      </c>
      <c r="M25" s="139" t="s">
        <v>867</v>
      </c>
      <c r="N25" s="139">
        <v>1.57</v>
      </c>
      <c r="O25" s="139">
        <f t="shared" si="4"/>
        <v>1.57</v>
      </c>
      <c r="P25" s="139" t="str">
        <f t="shared" si="2"/>
        <v xml:space="preserve"> </v>
      </c>
      <c r="Q25" s="139"/>
      <c r="R25" s="139"/>
      <c r="S25" s="139"/>
      <c r="T25" s="139"/>
      <c r="U25" s="139"/>
      <c r="V25" s="139"/>
      <c r="W25" s="139"/>
      <c r="X25" s="139"/>
      <c r="Y25" s="139" t="str">
        <f t="shared" si="8"/>
        <v xml:space="preserve"> </v>
      </c>
      <c r="Z25" s="139" t="str">
        <f t="shared" si="8"/>
        <v xml:space="preserve"> </v>
      </c>
      <c r="AA25" s="139" t="str">
        <f t="shared" si="8"/>
        <v xml:space="preserve"> </v>
      </c>
    </row>
    <row r="26" spans="1:27" x14ac:dyDescent="0.35">
      <c r="A26" s="14" t="s">
        <v>557</v>
      </c>
      <c r="B26" s="4">
        <v>9.9600000000000009</v>
      </c>
      <c r="C26" s="4">
        <v>8.98</v>
      </c>
      <c r="D26" s="4">
        <v>14.8</v>
      </c>
      <c r="E26" s="4">
        <v>16.96</v>
      </c>
      <c r="F26" s="4">
        <v>21.1</v>
      </c>
      <c r="G26" s="4">
        <v>22.14</v>
      </c>
      <c r="H26" s="4">
        <f t="shared" si="6"/>
        <v>35.900000000000006</v>
      </c>
      <c r="I26" s="4">
        <f t="shared" si="5"/>
        <v>39.1</v>
      </c>
      <c r="J26" s="4">
        <v>0</v>
      </c>
      <c r="K26" s="4">
        <v>0</v>
      </c>
      <c r="L26" s="139" t="str">
        <f t="shared" si="1"/>
        <v xml:space="preserve"> </v>
      </c>
      <c r="M26" s="139" t="s">
        <v>867</v>
      </c>
      <c r="N26" s="139">
        <v>1.57</v>
      </c>
      <c r="O26" s="139">
        <f t="shared" si="4"/>
        <v>1.57</v>
      </c>
      <c r="P26" s="139" t="str">
        <f t="shared" si="2"/>
        <v xml:space="preserve"> </v>
      </c>
      <c r="Q26" s="139"/>
      <c r="R26" s="139"/>
      <c r="S26" s="139"/>
      <c r="T26" s="139"/>
      <c r="U26" s="139"/>
      <c r="V26" s="139"/>
      <c r="W26" s="139"/>
      <c r="X26" s="139"/>
      <c r="Y26" s="139" t="str">
        <f t="shared" si="8"/>
        <v xml:space="preserve"> </v>
      </c>
      <c r="Z26" s="139" t="str">
        <f t="shared" si="8"/>
        <v xml:space="preserve"> </v>
      </c>
      <c r="AA26" s="139" t="str">
        <f t="shared" si="8"/>
        <v xml:space="preserve"> </v>
      </c>
    </row>
    <row r="27" spans="1:27" x14ac:dyDescent="0.35">
      <c r="A27" s="14" t="s">
        <v>120</v>
      </c>
      <c r="B27" s="4">
        <v>9.93</v>
      </c>
      <c r="C27" s="4">
        <v>10.85</v>
      </c>
      <c r="D27" s="4">
        <v>14.92</v>
      </c>
      <c r="E27" s="4">
        <v>17.34</v>
      </c>
      <c r="F27" s="4">
        <v>20.079999999999998</v>
      </c>
      <c r="G27" s="4">
        <v>19.239999999999998</v>
      </c>
      <c r="H27" s="4">
        <f t="shared" si="6"/>
        <v>35</v>
      </c>
      <c r="I27" s="4">
        <f t="shared" si="5"/>
        <v>36.58</v>
      </c>
      <c r="J27" s="4">
        <v>0</v>
      </c>
      <c r="K27" s="4">
        <v>0</v>
      </c>
      <c r="L27" s="139" t="str">
        <f t="shared" si="1"/>
        <v xml:space="preserve"> </v>
      </c>
      <c r="M27" s="139" t="s">
        <v>867</v>
      </c>
      <c r="N27" s="139">
        <v>1.57</v>
      </c>
      <c r="O27" s="139">
        <f t="shared" si="4"/>
        <v>1.57</v>
      </c>
      <c r="P27" s="139" t="str">
        <f t="shared" si="2"/>
        <v xml:space="preserve"> </v>
      </c>
      <c r="Q27" s="139"/>
      <c r="R27" s="139"/>
      <c r="S27" s="139" t="str">
        <f t="shared" ref="S27:X28" si="9">IF(AND($B27&lt;S$3,$B27&gt;S$2,$H27&lt;S$5,$H27&gt;S$4),$J27," ")</f>
        <v xml:space="preserve"> </v>
      </c>
      <c r="T27" s="139" t="str">
        <f t="shared" si="9"/>
        <v xml:space="preserve"> </v>
      </c>
      <c r="U27" s="139" t="str">
        <f t="shared" si="9"/>
        <v xml:space="preserve"> </v>
      </c>
      <c r="V27" s="139" t="str">
        <f t="shared" si="9"/>
        <v xml:space="preserve"> </v>
      </c>
      <c r="W27" s="139" t="str">
        <f t="shared" si="9"/>
        <v xml:space="preserve"> </v>
      </c>
      <c r="X27" s="139" t="str">
        <f t="shared" si="9"/>
        <v xml:space="preserve"> </v>
      </c>
      <c r="Y27" s="139" t="str">
        <f t="shared" si="8"/>
        <v xml:space="preserve"> </v>
      </c>
      <c r="Z27" s="139" t="str">
        <f t="shared" si="8"/>
        <v xml:space="preserve"> </v>
      </c>
      <c r="AA27" s="139" t="str">
        <f t="shared" si="8"/>
        <v xml:space="preserve"> </v>
      </c>
    </row>
    <row r="28" spans="1:27" x14ac:dyDescent="0.35">
      <c r="A28" s="14" t="s">
        <v>554</v>
      </c>
      <c r="B28" s="4">
        <v>10.69</v>
      </c>
      <c r="C28" s="4">
        <v>11.32</v>
      </c>
      <c r="D28" s="4">
        <v>18.03</v>
      </c>
      <c r="E28" s="4">
        <v>17.23</v>
      </c>
      <c r="F28" s="4">
        <v>8.6</v>
      </c>
      <c r="G28" s="4">
        <v>6.23</v>
      </c>
      <c r="H28" s="4">
        <f t="shared" si="6"/>
        <v>26.630000000000003</v>
      </c>
      <c r="I28" s="4">
        <f t="shared" si="5"/>
        <v>23.46</v>
      </c>
      <c r="J28" s="4">
        <v>0</v>
      </c>
      <c r="K28" s="4">
        <v>0</v>
      </c>
      <c r="L28" s="139" t="str">
        <f t="shared" si="1"/>
        <v xml:space="preserve"> </v>
      </c>
      <c r="M28" s="139" t="s">
        <v>867</v>
      </c>
      <c r="N28" s="139">
        <v>1.49</v>
      </c>
      <c r="O28" s="139">
        <f t="shared" si="4"/>
        <v>1.49</v>
      </c>
      <c r="P28" s="139" t="str">
        <f t="shared" si="2"/>
        <v xml:space="preserve"> </v>
      </c>
      <c r="Q28" s="139"/>
      <c r="R28" s="139"/>
      <c r="S28" s="139" t="str">
        <f t="shared" si="9"/>
        <v xml:space="preserve"> </v>
      </c>
      <c r="T28" s="139" t="str">
        <f t="shared" si="9"/>
        <v xml:space="preserve"> </v>
      </c>
      <c r="U28" s="139" t="str">
        <f t="shared" si="9"/>
        <v xml:space="preserve"> </v>
      </c>
      <c r="V28" s="139" t="str">
        <f t="shared" si="9"/>
        <v xml:space="preserve"> </v>
      </c>
      <c r="W28" s="139" t="str">
        <f t="shared" si="9"/>
        <v xml:space="preserve"> </v>
      </c>
      <c r="X28" s="139" t="str">
        <f t="shared" si="9"/>
        <v xml:space="preserve"> </v>
      </c>
      <c r="Y28" s="139" t="str">
        <f t="shared" si="8"/>
        <v xml:space="preserve"> </v>
      </c>
      <c r="Z28" s="139" t="str">
        <f t="shared" si="8"/>
        <v xml:space="preserve"> </v>
      </c>
      <c r="AA28" s="139" t="str">
        <f t="shared" si="8"/>
        <v xml:space="preserve"> </v>
      </c>
    </row>
    <row r="29" spans="1:27" x14ac:dyDescent="0.35">
      <c r="A29" s="14" t="s">
        <v>549</v>
      </c>
      <c r="B29" s="4">
        <v>16.309999999999999</v>
      </c>
      <c r="C29" s="4">
        <v>19.87</v>
      </c>
      <c r="D29" s="4">
        <v>36.96</v>
      </c>
      <c r="E29" s="4">
        <v>36.82</v>
      </c>
      <c r="F29" s="4">
        <v>14.28</v>
      </c>
      <c r="G29" s="4">
        <v>13.52</v>
      </c>
      <c r="H29" s="4">
        <f t="shared" si="6"/>
        <v>51.24</v>
      </c>
      <c r="I29" s="4">
        <f t="shared" si="5"/>
        <v>50.34</v>
      </c>
      <c r="J29" s="4">
        <v>1.53</v>
      </c>
      <c r="K29" s="4">
        <v>1.4</v>
      </c>
      <c r="L29" s="139" t="str">
        <f t="shared" si="1"/>
        <v xml:space="preserve"> </v>
      </c>
      <c r="M29" s="139">
        <v>1.53</v>
      </c>
      <c r="N29" s="139">
        <v>1.52</v>
      </c>
      <c r="O29" s="139">
        <f t="shared" si="4"/>
        <v>1.53</v>
      </c>
      <c r="P29" s="139">
        <f t="shared" si="2"/>
        <v>1.53</v>
      </c>
      <c r="Q29" s="139"/>
      <c r="R29" s="139"/>
      <c r="S29" s="139" t="str">
        <f t="shared" ref="S29:S55" si="10">IF(AND($B29&lt;S$3,$B29&gt;S$2,$H29&lt;S$5,$H29&gt;S$4),Q29," ")</f>
        <v xml:space="preserve"> </v>
      </c>
      <c r="T29" s="139" t="str">
        <f t="shared" ref="T29:T55" si="11">IF(AND($B29&lt;T$3,$B29&gt;T$2,$H29&lt;T$5,$H29&gt;T$4),R29," ")</f>
        <v xml:space="preserve"> </v>
      </c>
      <c r="U29" s="139" t="str">
        <f t="shared" ref="U29:U55" si="12">IF(AND($B29&lt;U$3,$B29&gt;U$2,$H29&lt;U$5,$H29&gt;U$4),S29," ")</f>
        <v xml:space="preserve"> </v>
      </c>
      <c r="V29" s="139" t="str">
        <f t="shared" ref="V29:V55" si="13">IF(AND($B29&lt;V$3,$B29&gt;V$2,$H29&lt;V$5,$H29&gt;V$4),T29," ")</f>
        <v xml:space="preserve"> </v>
      </c>
      <c r="W29" s="139" t="str">
        <f t="shared" ref="W29:W55" si="14">IF(AND($B29&lt;W$3,$B29&gt;W$2,$H29&lt;W$5,$H29&gt;W$4),U29," ")</f>
        <v xml:space="preserve"> </v>
      </c>
      <c r="X29" s="139" t="str">
        <f t="shared" ref="X29:X55" si="15">IF(AND($B29&lt;X$3,$B29&gt;X$2,$H29&lt;X$5,$H29&gt;X$4),V29," ")</f>
        <v xml:space="preserve"> </v>
      </c>
      <c r="Y29" s="139" t="str">
        <f t="shared" ref="Y29:Y55" si="16">IF(AND($B29&lt;Y$3,$B29&gt;Y$2,$H29&lt;Y$5,$H29&gt;Y$4),W29," ")</f>
        <v xml:space="preserve"> </v>
      </c>
      <c r="Z29" s="139" t="str">
        <f t="shared" ref="Z29:Z55" si="17">IF(AND($B29&lt;Z$3,$B29&gt;Z$2,$H29&lt;Z$5,$H29&gt;Z$4),X29," ")</f>
        <v xml:space="preserve"> </v>
      </c>
      <c r="AA29" s="139" t="str">
        <f t="shared" ref="AA29:AA55" si="18">IF(AND($B29&lt;AA$3,$B29&gt;AA$2,$H29&lt;AA$5,$H29&gt;AA$4),Y29," ")</f>
        <v xml:space="preserve"> </v>
      </c>
    </row>
    <row r="30" spans="1:27" x14ac:dyDescent="0.35">
      <c r="A30" s="14" t="s">
        <v>119</v>
      </c>
      <c r="B30" s="4">
        <v>14.37</v>
      </c>
      <c r="C30" s="4">
        <v>17.420000000000002</v>
      </c>
      <c r="D30" s="4">
        <v>23.98</v>
      </c>
      <c r="E30" s="4">
        <v>21.4</v>
      </c>
      <c r="F30" s="4">
        <v>32.74</v>
      </c>
      <c r="G30" s="4">
        <v>36.47</v>
      </c>
      <c r="H30" s="4">
        <f t="shared" si="6"/>
        <v>56.72</v>
      </c>
      <c r="I30" s="4">
        <f t="shared" si="5"/>
        <v>57.87</v>
      </c>
      <c r="J30" s="4">
        <v>0</v>
      </c>
      <c r="K30" s="4">
        <v>0</v>
      </c>
      <c r="L30" s="139" t="str">
        <f t="shared" si="1"/>
        <v xml:space="preserve"> </v>
      </c>
      <c r="M30" s="139" t="s">
        <v>867</v>
      </c>
      <c r="N30" s="139">
        <v>1.52</v>
      </c>
      <c r="O30" s="139">
        <f t="shared" si="4"/>
        <v>1.52</v>
      </c>
      <c r="P30" s="139" t="str">
        <f t="shared" si="2"/>
        <v xml:space="preserve"> </v>
      </c>
      <c r="Q30" s="139"/>
      <c r="R30" s="139"/>
      <c r="S30" s="139" t="str">
        <f t="shared" si="10"/>
        <v xml:space="preserve"> </v>
      </c>
      <c r="T30" s="139" t="str">
        <f t="shared" si="11"/>
        <v xml:space="preserve"> </v>
      </c>
      <c r="U30" s="139" t="str">
        <f t="shared" si="12"/>
        <v xml:space="preserve"> </v>
      </c>
      <c r="V30" s="139" t="str">
        <f t="shared" si="13"/>
        <v xml:space="preserve"> </v>
      </c>
      <c r="W30" s="139" t="str">
        <f t="shared" si="14"/>
        <v xml:space="preserve"> </v>
      </c>
      <c r="X30" s="139" t="str">
        <f t="shared" si="15"/>
        <v xml:space="preserve"> </v>
      </c>
      <c r="Y30" s="139" t="str">
        <f t="shared" si="16"/>
        <v xml:space="preserve"> </v>
      </c>
      <c r="Z30" s="139" t="str">
        <f t="shared" si="17"/>
        <v xml:space="preserve"> </v>
      </c>
      <c r="AA30" s="139" t="str">
        <f t="shared" si="18"/>
        <v xml:space="preserve"> </v>
      </c>
    </row>
    <row r="31" spans="1:27" x14ac:dyDescent="0.35">
      <c r="A31" s="14" t="s">
        <v>536</v>
      </c>
      <c r="B31" s="4">
        <v>8.2899999999999991</v>
      </c>
      <c r="C31" s="4">
        <v>7.64</v>
      </c>
      <c r="D31" s="4">
        <v>35.94</v>
      </c>
      <c r="E31" s="4">
        <v>26.85</v>
      </c>
      <c r="F31" s="4">
        <v>38.43</v>
      </c>
      <c r="G31" s="4">
        <v>51.03</v>
      </c>
      <c r="H31" s="4">
        <f t="shared" si="6"/>
        <v>74.37</v>
      </c>
      <c r="I31" s="4">
        <f t="shared" si="5"/>
        <v>77.88</v>
      </c>
      <c r="J31" s="4">
        <v>0</v>
      </c>
      <c r="K31" s="4">
        <v>0</v>
      </c>
      <c r="L31" s="139" t="str">
        <f t="shared" si="1"/>
        <v xml:space="preserve"> </v>
      </c>
      <c r="M31" s="139" t="s">
        <v>867</v>
      </c>
      <c r="N31" s="139">
        <v>1.61</v>
      </c>
      <c r="O31" s="139">
        <f t="shared" si="4"/>
        <v>1.61</v>
      </c>
      <c r="P31" s="139" t="str">
        <f t="shared" si="2"/>
        <v xml:space="preserve"> </v>
      </c>
      <c r="Q31" s="139"/>
      <c r="R31" s="139"/>
      <c r="S31" s="139" t="str">
        <f t="shared" si="10"/>
        <v xml:space="preserve"> </v>
      </c>
      <c r="T31" s="139" t="str">
        <f t="shared" si="11"/>
        <v xml:space="preserve"> </v>
      </c>
      <c r="U31" s="139" t="str">
        <f t="shared" si="12"/>
        <v xml:space="preserve"> </v>
      </c>
      <c r="V31" s="139" t="str">
        <f t="shared" si="13"/>
        <v xml:space="preserve"> </v>
      </c>
      <c r="W31" s="139" t="str">
        <f t="shared" si="14"/>
        <v xml:space="preserve"> </v>
      </c>
      <c r="X31" s="139" t="str">
        <f t="shared" si="15"/>
        <v xml:space="preserve"> </v>
      </c>
      <c r="Y31" s="139" t="str">
        <f t="shared" si="16"/>
        <v xml:space="preserve"> </v>
      </c>
      <c r="Z31" s="139" t="str">
        <f t="shared" si="17"/>
        <v xml:space="preserve"> </v>
      </c>
      <c r="AA31" s="139" t="str">
        <f t="shared" si="18"/>
        <v xml:space="preserve"> </v>
      </c>
    </row>
    <row r="32" spans="1:27" x14ac:dyDescent="0.35">
      <c r="A32" s="14" t="s">
        <v>537</v>
      </c>
      <c r="B32" s="4">
        <v>6.59</v>
      </c>
      <c r="C32" s="4">
        <v>4.87</v>
      </c>
      <c r="D32" s="4">
        <v>16.93</v>
      </c>
      <c r="E32" s="4">
        <v>11.22</v>
      </c>
      <c r="F32" s="4">
        <v>58.77</v>
      </c>
      <c r="G32" s="4">
        <v>45.02</v>
      </c>
      <c r="H32" s="4">
        <f t="shared" si="6"/>
        <v>75.7</v>
      </c>
      <c r="I32" s="4">
        <f t="shared" si="5"/>
        <v>56.24</v>
      </c>
      <c r="J32" s="4">
        <v>0</v>
      </c>
      <c r="K32" s="4">
        <v>0</v>
      </c>
      <c r="L32" s="139" t="str">
        <f t="shared" si="1"/>
        <v xml:space="preserve"> </v>
      </c>
      <c r="M32" s="139" t="s">
        <v>867</v>
      </c>
      <c r="N32" s="139">
        <v>1.61</v>
      </c>
      <c r="O32" s="139">
        <f t="shared" si="4"/>
        <v>1.61</v>
      </c>
      <c r="P32" s="139" t="str">
        <f t="shared" si="2"/>
        <v xml:space="preserve"> </v>
      </c>
      <c r="Q32" s="139"/>
      <c r="R32" s="139"/>
      <c r="S32" s="139" t="str">
        <f t="shared" si="10"/>
        <v xml:space="preserve"> </v>
      </c>
      <c r="T32" s="139" t="str">
        <f t="shared" si="11"/>
        <v xml:space="preserve"> </v>
      </c>
      <c r="U32" s="139" t="str">
        <f t="shared" si="12"/>
        <v xml:space="preserve"> </v>
      </c>
      <c r="V32" s="139" t="str">
        <f t="shared" si="13"/>
        <v xml:space="preserve"> </v>
      </c>
      <c r="W32" s="139" t="str">
        <f t="shared" si="14"/>
        <v xml:space="preserve"> </v>
      </c>
      <c r="X32" s="139" t="str">
        <f t="shared" si="15"/>
        <v xml:space="preserve"> </v>
      </c>
      <c r="Y32" s="139" t="str">
        <f t="shared" si="16"/>
        <v xml:space="preserve"> </v>
      </c>
      <c r="Z32" s="139" t="str">
        <f t="shared" si="17"/>
        <v xml:space="preserve"> </v>
      </c>
      <c r="AA32" s="139" t="str">
        <f t="shared" si="18"/>
        <v xml:space="preserve"> </v>
      </c>
    </row>
    <row r="33" spans="1:27" x14ac:dyDescent="0.35">
      <c r="A33" s="14" t="s">
        <v>129</v>
      </c>
      <c r="B33" s="4">
        <v>10.09</v>
      </c>
      <c r="C33" s="4">
        <v>9.91</v>
      </c>
      <c r="D33" s="4">
        <v>13.96</v>
      </c>
      <c r="E33" s="4">
        <v>13.65</v>
      </c>
      <c r="F33" s="4">
        <v>35.380000000000003</v>
      </c>
      <c r="G33" s="4">
        <v>34.06</v>
      </c>
      <c r="H33" s="4">
        <f t="shared" si="6"/>
        <v>49.34</v>
      </c>
      <c r="I33" s="4">
        <f t="shared" si="5"/>
        <v>47.71</v>
      </c>
      <c r="J33" s="4">
        <v>0</v>
      </c>
      <c r="K33" s="4">
        <v>0</v>
      </c>
      <c r="L33" s="139" t="str">
        <f t="shared" si="1"/>
        <v xml:space="preserve"> </v>
      </c>
      <c r="M33" s="139" t="s">
        <v>867</v>
      </c>
      <c r="N33" s="139">
        <v>1.52</v>
      </c>
      <c r="O33" s="139">
        <f t="shared" si="4"/>
        <v>1.52</v>
      </c>
      <c r="P33" s="139" t="str">
        <f t="shared" si="2"/>
        <v xml:space="preserve"> </v>
      </c>
      <c r="Q33" s="139"/>
      <c r="R33" s="139"/>
      <c r="S33" s="139" t="str">
        <f t="shared" si="10"/>
        <v xml:space="preserve"> </v>
      </c>
      <c r="T33" s="139" t="str">
        <f t="shared" si="11"/>
        <v xml:space="preserve"> </v>
      </c>
      <c r="U33" s="139" t="str">
        <f t="shared" si="12"/>
        <v xml:space="preserve"> </v>
      </c>
      <c r="V33" s="139" t="str">
        <f t="shared" si="13"/>
        <v xml:space="preserve"> </v>
      </c>
      <c r="W33" s="139" t="str">
        <f t="shared" si="14"/>
        <v xml:space="preserve"> </v>
      </c>
      <c r="X33" s="139" t="str">
        <f t="shared" si="15"/>
        <v xml:space="preserve"> </v>
      </c>
      <c r="Y33" s="139" t="str">
        <f t="shared" si="16"/>
        <v xml:space="preserve"> </v>
      </c>
      <c r="Z33" s="139" t="str">
        <f t="shared" si="17"/>
        <v xml:space="preserve"> </v>
      </c>
      <c r="AA33" s="139" t="str">
        <f t="shared" si="18"/>
        <v xml:space="preserve"> </v>
      </c>
    </row>
    <row r="34" spans="1:27" x14ac:dyDescent="0.35">
      <c r="A34" s="14" t="s">
        <v>123</v>
      </c>
      <c r="B34" s="4">
        <v>13.22</v>
      </c>
      <c r="C34" s="4">
        <v>15.22</v>
      </c>
      <c r="D34" s="4">
        <v>28.31</v>
      </c>
      <c r="E34" s="4">
        <v>23.41</v>
      </c>
      <c r="F34" s="4">
        <v>14.79</v>
      </c>
      <c r="G34" s="4">
        <v>14.57</v>
      </c>
      <c r="H34" s="4">
        <f t="shared" si="6"/>
        <v>43.099999999999994</v>
      </c>
      <c r="I34" s="4">
        <f t="shared" si="5"/>
        <v>37.980000000000004</v>
      </c>
      <c r="J34" s="4">
        <v>0</v>
      </c>
      <c r="K34" s="4">
        <v>0</v>
      </c>
      <c r="L34" s="139" t="str">
        <f t="shared" si="1"/>
        <v xml:space="preserve"> </v>
      </c>
      <c r="M34" s="139" t="s">
        <v>867</v>
      </c>
      <c r="N34" s="139">
        <v>1.52</v>
      </c>
      <c r="O34" s="139">
        <f t="shared" si="4"/>
        <v>1.52</v>
      </c>
      <c r="P34" s="139" t="str">
        <f t="shared" si="2"/>
        <v xml:space="preserve"> </v>
      </c>
      <c r="Q34" s="139"/>
      <c r="R34" s="139"/>
      <c r="S34" s="139" t="str">
        <f t="shared" si="10"/>
        <v xml:space="preserve"> </v>
      </c>
      <c r="T34" s="139" t="str">
        <f t="shared" si="11"/>
        <v xml:space="preserve"> </v>
      </c>
      <c r="U34" s="139" t="str">
        <f t="shared" si="12"/>
        <v xml:space="preserve"> </v>
      </c>
      <c r="V34" s="139" t="str">
        <f t="shared" si="13"/>
        <v xml:space="preserve"> </v>
      </c>
      <c r="W34" s="139" t="str">
        <f t="shared" si="14"/>
        <v xml:space="preserve"> </v>
      </c>
      <c r="X34" s="139" t="str">
        <f t="shared" si="15"/>
        <v xml:space="preserve"> </v>
      </c>
      <c r="Y34" s="139" t="str">
        <f t="shared" si="16"/>
        <v xml:space="preserve"> </v>
      </c>
      <c r="Z34" s="139" t="str">
        <f t="shared" si="17"/>
        <v xml:space="preserve"> </v>
      </c>
      <c r="AA34" s="139" t="str">
        <f t="shared" si="18"/>
        <v xml:space="preserve"> </v>
      </c>
    </row>
    <row r="35" spans="1:27" x14ac:dyDescent="0.35">
      <c r="A35" s="14" t="s">
        <v>553</v>
      </c>
      <c r="B35" s="4">
        <v>10.4</v>
      </c>
      <c r="C35" s="4">
        <v>9.7799999999999994</v>
      </c>
      <c r="D35" s="4">
        <v>24.92</v>
      </c>
      <c r="E35" s="4">
        <v>25.01</v>
      </c>
      <c r="F35" s="4">
        <v>26.99</v>
      </c>
      <c r="G35" s="4">
        <v>27.66</v>
      </c>
      <c r="H35" s="4">
        <f t="shared" si="6"/>
        <v>51.91</v>
      </c>
      <c r="I35" s="4">
        <f t="shared" si="5"/>
        <v>52.67</v>
      </c>
      <c r="J35" s="4">
        <v>0</v>
      </c>
      <c r="K35" s="4">
        <v>0</v>
      </c>
      <c r="L35" s="139" t="str">
        <f t="shared" si="1"/>
        <v xml:space="preserve"> </v>
      </c>
      <c r="M35" s="139" t="s">
        <v>867</v>
      </c>
      <c r="N35" s="139">
        <v>1.52</v>
      </c>
      <c r="O35" s="139">
        <f t="shared" si="4"/>
        <v>1.52</v>
      </c>
      <c r="P35" s="139" t="str">
        <f t="shared" si="2"/>
        <v xml:space="preserve"> </v>
      </c>
      <c r="Q35" s="139"/>
      <c r="R35" s="139"/>
      <c r="S35" s="139" t="str">
        <f t="shared" si="10"/>
        <v xml:space="preserve"> </v>
      </c>
      <c r="T35" s="139" t="str">
        <f t="shared" si="11"/>
        <v xml:space="preserve"> </v>
      </c>
      <c r="U35" s="139" t="str">
        <f t="shared" si="12"/>
        <v xml:space="preserve"> </v>
      </c>
      <c r="V35" s="139" t="str">
        <f t="shared" si="13"/>
        <v xml:space="preserve"> </v>
      </c>
      <c r="W35" s="139" t="str">
        <f t="shared" si="14"/>
        <v xml:space="preserve"> </v>
      </c>
      <c r="X35" s="139" t="str">
        <f t="shared" si="15"/>
        <v xml:space="preserve"> </v>
      </c>
      <c r="Y35" s="139" t="str">
        <f t="shared" si="16"/>
        <v xml:space="preserve"> </v>
      </c>
      <c r="Z35" s="139" t="str">
        <f t="shared" si="17"/>
        <v xml:space="preserve"> </v>
      </c>
      <c r="AA35" s="139" t="str">
        <f t="shared" si="18"/>
        <v xml:space="preserve"> </v>
      </c>
    </row>
    <row r="36" spans="1:27" x14ac:dyDescent="0.35">
      <c r="A36" s="14" t="s">
        <v>528</v>
      </c>
      <c r="B36" s="4">
        <v>8.11</v>
      </c>
      <c r="C36" s="4">
        <v>7.39</v>
      </c>
      <c r="D36" s="4">
        <v>20.21</v>
      </c>
      <c r="E36" s="4">
        <v>18.829999999999998</v>
      </c>
      <c r="F36" s="4">
        <v>25.33</v>
      </c>
      <c r="G36" s="4">
        <v>30.67</v>
      </c>
      <c r="H36" s="4">
        <f t="shared" si="6"/>
        <v>45.54</v>
      </c>
      <c r="I36" s="4">
        <f t="shared" si="5"/>
        <v>49.5</v>
      </c>
      <c r="J36" s="4">
        <v>0</v>
      </c>
      <c r="K36" s="4">
        <v>0</v>
      </c>
      <c r="L36" s="139" t="str">
        <f t="shared" si="1"/>
        <v xml:space="preserve"> </v>
      </c>
      <c r="M36" s="139" t="s">
        <v>867</v>
      </c>
      <c r="N36" s="139">
        <v>1.57</v>
      </c>
      <c r="O36" s="139">
        <f t="shared" si="4"/>
        <v>1.57</v>
      </c>
      <c r="P36" s="139" t="str">
        <f t="shared" si="2"/>
        <v xml:space="preserve"> </v>
      </c>
      <c r="Q36" s="139"/>
      <c r="R36" s="139"/>
      <c r="S36" s="139" t="str">
        <f t="shared" si="10"/>
        <v xml:space="preserve"> </v>
      </c>
      <c r="T36" s="139" t="str">
        <f t="shared" si="11"/>
        <v xml:space="preserve"> </v>
      </c>
      <c r="U36" s="139" t="str">
        <f t="shared" si="12"/>
        <v xml:space="preserve"> </v>
      </c>
      <c r="V36" s="139" t="str">
        <f t="shared" si="13"/>
        <v xml:space="preserve"> </v>
      </c>
      <c r="W36" s="139" t="str">
        <f t="shared" si="14"/>
        <v xml:space="preserve"> </v>
      </c>
      <c r="X36" s="139" t="str">
        <f t="shared" si="15"/>
        <v xml:space="preserve"> </v>
      </c>
      <c r="Y36" s="139" t="str">
        <f t="shared" si="16"/>
        <v xml:space="preserve"> </v>
      </c>
      <c r="Z36" s="139" t="str">
        <f t="shared" si="17"/>
        <v xml:space="preserve"> </v>
      </c>
      <c r="AA36" s="139" t="str">
        <f t="shared" si="18"/>
        <v xml:space="preserve"> </v>
      </c>
    </row>
    <row r="37" spans="1:27" x14ac:dyDescent="0.35">
      <c r="A37" s="14" t="s">
        <v>541</v>
      </c>
      <c r="B37" s="4">
        <v>12.16</v>
      </c>
      <c r="C37" s="4">
        <v>12.38</v>
      </c>
      <c r="D37" s="4">
        <v>23.09</v>
      </c>
      <c r="E37" s="4">
        <v>22.1</v>
      </c>
      <c r="F37" s="4">
        <v>24.91</v>
      </c>
      <c r="G37" s="4">
        <v>27.55</v>
      </c>
      <c r="H37" s="4">
        <f t="shared" si="6"/>
        <v>48</v>
      </c>
      <c r="I37" s="4">
        <f t="shared" si="5"/>
        <v>49.650000000000006</v>
      </c>
      <c r="J37" s="4">
        <v>0</v>
      </c>
      <c r="K37" s="4">
        <v>0</v>
      </c>
      <c r="L37" s="139" t="str">
        <f t="shared" si="1"/>
        <v xml:space="preserve"> </v>
      </c>
      <c r="M37" s="139" t="s">
        <v>867</v>
      </c>
      <c r="N37" s="139">
        <v>1.52</v>
      </c>
      <c r="O37" s="139">
        <f t="shared" si="4"/>
        <v>1.52</v>
      </c>
      <c r="P37" s="139" t="str">
        <f t="shared" si="2"/>
        <v xml:space="preserve"> </v>
      </c>
      <c r="Q37" s="139"/>
      <c r="R37" s="139"/>
      <c r="S37" s="139" t="str">
        <f t="shared" si="10"/>
        <v xml:space="preserve"> </v>
      </c>
      <c r="T37" s="139" t="str">
        <f t="shared" si="11"/>
        <v xml:space="preserve"> </v>
      </c>
      <c r="U37" s="139" t="str">
        <f t="shared" si="12"/>
        <v xml:space="preserve"> </v>
      </c>
      <c r="V37" s="139" t="str">
        <f t="shared" si="13"/>
        <v xml:space="preserve"> </v>
      </c>
      <c r="W37" s="139" t="str">
        <f t="shared" si="14"/>
        <v xml:space="preserve"> </v>
      </c>
      <c r="X37" s="139" t="str">
        <f t="shared" si="15"/>
        <v xml:space="preserve"> </v>
      </c>
      <c r="Y37" s="139" t="str">
        <f t="shared" si="16"/>
        <v xml:space="preserve"> </v>
      </c>
      <c r="Z37" s="139" t="str">
        <f t="shared" si="17"/>
        <v xml:space="preserve"> </v>
      </c>
      <c r="AA37" s="139" t="str">
        <f t="shared" si="18"/>
        <v xml:space="preserve"> </v>
      </c>
    </row>
    <row r="38" spans="1:27" x14ac:dyDescent="0.35">
      <c r="A38" s="14" t="s">
        <v>540</v>
      </c>
      <c r="B38" s="4">
        <v>15.76</v>
      </c>
      <c r="C38" s="4">
        <v>21.21</v>
      </c>
      <c r="D38" s="4">
        <v>11.55</v>
      </c>
      <c r="E38" s="4">
        <v>10.51</v>
      </c>
      <c r="F38" s="4">
        <v>19.82</v>
      </c>
      <c r="G38" s="4">
        <v>17.14</v>
      </c>
      <c r="H38" s="4">
        <f t="shared" si="6"/>
        <v>31.37</v>
      </c>
      <c r="I38" s="4">
        <f t="shared" si="5"/>
        <v>27.65</v>
      </c>
      <c r="J38" s="4">
        <v>0</v>
      </c>
      <c r="K38" s="4">
        <v>0</v>
      </c>
      <c r="L38" s="139" t="str">
        <f t="shared" si="1"/>
        <v xml:space="preserve"> </v>
      </c>
      <c r="M38" s="139" t="s">
        <v>867</v>
      </c>
      <c r="N38" s="139">
        <v>1.49</v>
      </c>
      <c r="O38" s="139">
        <f t="shared" si="4"/>
        <v>1.49</v>
      </c>
      <c r="P38" s="139" t="str">
        <f t="shared" si="2"/>
        <v xml:space="preserve"> </v>
      </c>
      <c r="Q38" s="139"/>
      <c r="R38" s="139"/>
      <c r="S38" s="139" t="str">
        <f t="shared" si="10"/>
        <v xml:space="preserve"> </v>
      </c>
      <c r="T38" s="139" t="str">
        <f t="shared" si="11"/>
        <v xml:space="preserve"> </v>
      </c>
      <c r="U38" s="139" t="str">
        <f t="shared" si="12"/>
        <v xml:space="preserve"> </v>
      </c>
      <c r="V38" s="139" t="str">
        <f t="shared" si="13"/>
        <v xml:space="preserve"> </v>
      </c>
      <c r="W38" s="139" t="str">
        <f t="shared" si="14"/>
        <v xml:space="preserve"> </v>
      </c>
      <c r="X38" s="139" t="str">
        <f t="shared" si="15"/>
        <v xml:space="preserve"> </v>
      </c>
      <c r="Y38" s="139" t="str">
        <f t="shared" si="16"/>
        <v xml:space="preserve"> </v>
      </c>
      <c r="Z38" s="139" t="str">
        <f t="shared" si="17"/>
        <v xml:space="preserve"> </v>
      </c>
      <c r="AA38" s="139" t="str">
        <f t="shared" si="18"/>
        <v xml:space="preserve"> </v>
      </c>
    </row>
    <row r="39" spans="1:27" x14ac:dyDescent="0.35">
      <c r="A39" s="14" t="s">
        <v>542</v>
      </c>
      <c r="B39" s="4">
        <v>12.7</v>
      </c>
      <c r="C39" s="4">
        <v>13.28</v>
      </c>
      <c r="D39" s="4">
        <v>8.3000000000000007</v>
      </c>
      <c r="E39" s="4">
        <v>8.4499999999999993</v>
      </c>
      <c r="F39" s="4">
        <v>17.5</v>
      </c>
      <c r="G39" s="4">
        <v>16.3</v>
      </c>
      <c r="H39" s="4">
        <f t="shared" si="6"/>
        <v>25.8</v>
      </c>
      <c r="I39" s="4">
        <f t="shared" si="5"/>
        <v>24.75</v>
      </c>
      <c r="J39" s="4">
        <v>0</v>
      </c>
      <c r="K39" s="4">
        <v>0</v>
      </c>
      <c r="L39" s="139" t="str">
        <f t="shared" si="1"/>
        <v xml:space="preserve"> </v>
      </c>
      <c r="M39" s="139" t="s">
        <v>867</v>
      </c>
      <c r="N39" s="139">
        <v>1.49</v>
      </c>
      <c r="O39" s="139">
        <f t="shared" si="4"/>
        <v>1.49</v>
      </c>
      <c r="P39" s="139" t="str">
        <f t="shared" si="2"/>
        <v xml:space="preserve"> </v>
      </c>
      <c r="Q39" s="139"/>
      <c r="R39" s="139"/>
      <c r="S39" s="139" t="str">
        <f t="shared" si="10"/>
        <v xml:space="preserve"> </v>
      </c>
      <c r="T39" s="139" t="str">
        <f t="shared" si="11"/>
        <v xml:space="preserve"> </v>
      </c>
      <c r="U39" s="139" t="str">
        <f t="shared" si="12"/>
        <v xml:space="preserve"> </v>
      </c>
      <c r="V39" s="139" t="str">
        <f t="shared" si="13"/>
        <v xml:space="preserve"> </v>
      </c>
      <c r="W39" s="139" t="str">
        <f t="shared" si="14"/>
        <v xml:space="preserve"> </v>
      </c>
      <c r="X39" s="139" t="str">
        <f t="shared" si="15"/>
        <v xml:space="preserve"> </v>
      </c>
      <c r="Y39" s="139" t="str">
        <f t="shared" si="16"/>
        <v xml:space="preserve"> </v>
      </c>
      <c r="Z39" s="139" t="str">
        <f t="shared" si="17"/>
        <v xml:space="preserve"> </v>
      </c>
      <c r="AA39" s="139" t="str">
        <f t="shared" si="18"/>
        <v xml:space="preserve"> </v>
      </c>
    </row>
    <row r="40" spans="1:27" x14ac:dyDescent="0.35">
      <c r="A40" s="14" t="s">
        <v>118</v>
      </c>
      <c r="B40" s="4">
        <v>12.74</v>
      </c>
      <c r="C40" s="4">
        <v>15.76</v>
      </c>
      <c r="D40" s="4">
        <v>23.27</v>
      </c>
      <c r="E40" s="4">
        <v>22.93</v>
      </c>
      <c r="F40" s="4">
        <v>35.33</v>
      </c>
      <c r="G40" s="4">
        <v>37.47</v>
      </c>
      <c r="H40" s="4">
        <f t="shared" si="6"/>
        <v>58.599999999999994</v>
      </c>
      <c r="I40" s="4">
        <f t="shared" si="5"/>
        <v>60.4</v>
      </c>
      <c r="J40" s="4">
        <v>0</v>
      </c>
      <c r="K40" s="4">
        <v>0</v>
      </c>
      <c r="L40" s="139" t="str">
        <f t="shared" si="1"/>
        <v xml:space="preserve"> </v>
      </c>
      <c r="M40" s="139" t="s">
        <v>867</v>
      </c>
      <c r="N40" s="139">
        <v>1.52</v>
      </c>
      <c r="O40" s="139">
        <f t="shared" si="4"/>
        <v>1.52</v>
      </c>
      <c r="P40" s="139" t="str">
        <f t="shared" si="2"/>
        <v xml:space="preserve"> </v>
      </c>
      <c r="Q40" s="139"/>
      <c r="R40" s="139"/>
      <c r="S40" s="139" t="str">
        <f t="shared" si="10"/>
        <v xml:space="preserve"> </v>
      </c>
      <c r="T40" s="139" t="str">
        <f t="shared" si="11"/>
        <v xml:space="preserve"> </v>
      </c>
      <c r="U40" s="139" t="str">
        <f t="shared" si="12"/>
        <v xml:space="preserve"> </v>
      </c>
      <c r="V40" s="139" t="str">
        <f t="shared" si="13"/>
        <v xml:space="preserve"> </v>
      </c>
      <c r="W40" s="139" t="str">
        <f t="shared" si="14"/>
        <v xml:space="preserve"> </v>
      </c>
      <c r="X40" s="139" t="str">
        <f t="shared" si="15"/>
        <v xml:space="preserve"> </v>
      </c>
      <c r="Y40" s="139" t="str">
        <f t="shared" si="16"/>
        <v xml:space="preserve"> </v>
      </c>
      <c r="Z40" s="139" t="str">
        <f t="shared" si="17"/>
        <v xml:space="preserve"> </v>
      </c>
      <c r="AA40" s="139" t="str">
        <f t="shared" si="18"/>
        <v xml:space="preserve"> </v>
      </c>
    </row>
    <row r="41" spans="1:27" x14ac:dyDescent="0.35">
      <c r="A41" s="14" t="s">
        <v>535</v>
      </c>
      <c r="B41" s="4">
        <v>27.56</v>
      </c>
      <c r="C41" s="4">
        <v>28</v>
      </c>
      <c r="D41" s="4">
        <v>18.420000000000002</v>
      </c>
      <c r="E41" s="4">
        <v>19.12</v>
      </c>
      <c r="F41" s="4">
        <v>15.8</v>
      </c>
      <c r="G41" s="4">
        <v>18.100000000000001</v>
      </c>
      <c r="H41" s="4">
        <f t="shared" si="6"/>
        <v>34.22</v>
      </c>
      <c r="I41" s="4">
        <f t="shared" si="5"/>
        <v>37.22</v>
      </c>
      <c r="J41" s="4">
        <v>1.36</v>
      </c>
      <c r="K41" s="4">
        <v>1.35</v>
      </c>
      <c r="L41" s="139" t="str">
        <f t="shared" si="1"/>
        <v xml:space="preserve"> </v>
      </c>
      <c r="M41" s="139">
        <v>1.36</v>
      </c>
      <c r="N41" s="139">
        <v>1.35</v>
      </c>
      <c r="O41" s="139">
        <f t="shared" si="4"/>
        <v>1.36</v>
      </c>
      <c r="P41" s="139">
        <f t="shared" si="2"/>
        <v>1.36</v>
      </c>
      <c r="Q41" s="139"/>
      <c r="R41" s="139"/>
      <c r="S41" s="139" t="str">
        <f t="shared" si="10"/>
        <v xml:space="preserve"> </v>
      </c>
      <c r="T41" s="139" t="str">
        <f t="shared" si="11"/>
        <v xml:space="preserve"> </v>
      </c>
      <c r="U41" s="139" t="str">
        <f t="shared" si="12"/>
        <v xml:space="preserve"> </v>
      </c>
      <c r="V41" s="139" t="str">
        <f t="shared" si="13"/>
        <v xml:space="preserve"> </v>
      </c>
      <c r="W41" s="139" t="str">
        <f t="shared" si="14"/>
        <v xml:space="preserve"> </v>
      </c>
      <c r="X41" s="139" t="str">
        <f t="shared" si="15"/>
        <v xml:space="preserve"> </v>
      </c>
      <c r="Y41" s="139" t="str">
        <f t="shared" si="16"/>
        <v xml:space="preserve"> </v>
      </c>
      <c r="Z41" s="139" t="str">
        <f t="shared" si="17"/>
        <v xml:space="preserve"> </v>
      </c>
      <c r="AA41" s="139" t="str">
        <f t="shared" si="18"/>
        <v xml:space="preserve"> </v>
      </c>
    </row>
    <row r="42" spans="1:27" x14ac:dyDescent="0.35">
      <c r="A42" s="14" t="s">
        <v>525</v>
      </c>
      <c r="B42" s="4">
        <v>26.04</v>
      </c>
      <c r="C42" s="4">
        <v>26.94</v>
      </c>
      <c r="D42" s="4">
        <v>17.11</v>
      </c>
      <c r="E42" s="4">
        <v>16.64</v>
      </c>
      <c r="F42" s="4">
        <v>9.5299999999999994</v>
      </c>
      <c r="G42" s="4">
        <v>9.2799999999999994</v>
      </c>
      <c r="H42" s="4">
        <f t="shared" si="6"/>
        <v>26.64</v>
      </c>
      <c r="I42" s="4">
        <f t="shared" si="5"/>
        <v>25.92</v>
      </c>
      <c r="J42" s="4">
        <v>1.36</v>
      </c>
      <c r="K42" s="4">
        <v>1.33</v>
      </c>
      <c r="L42" s="139" t="str">
        <f t="shared" si="1"/>
        <v xml:space="preserve"> </v>
      </c>
      <c r="M42" s="139">
        <v>1.36</v>
      </c>
      <c r="N42" s="139">
        <v>1.35</v>
      </c>
      <c r="O42" s="139">
        <f t="shared" si="4"/>
        <v>1.36</v>
      </c>
      <c r="P42" s="139">
        <f t="shared" si="2"/>
        <v>1.36</v>
      </c>
      <c r="Q42" s="139"/>
      <c r="R42" s="139"/>
      <c r="S42" s="139" t="str">
        <f t="shared" si="10"/>
        <v xml:space="preserve"> </v>
      </c>
      <c r="T42" s="139" t="str">
        <f t="shared" si="11"/>
        <v xml:space="preserve"> </v>
      </c>
      <c r="U42" s="139" t="str">
        <f t="shared" si="12"/>
        <v xml:space="preserve"> </v>
      </c>
      <c r="V42" s="139" t="str">
        <f t="shared" si="13"/>
        <v xml:space="preserve"> </v>
      </c>
      <c r="W42" s="139" t="str">
        <f t="shared" si="14"/>
        <v xml:space="preserve"> </v>
      </c>
      <c r="X42" s="139" t="str">
        <f t="shared" si="15"/>
        <v xml:space="preserve"> </v>
      </c>
      <c r="Y42" s="139" t="str">
        <f t="shared" si="16"/>
        <v xml:space="preserve"> </v>
      </c>
      <c r="Z42" s="139" t="str">
        <f t="shared" si="17"/>
        <v xml:space="preserve"> </v>
      </c>
      <c r="AA42" s="139" t="str">
        <f t="shared" si="18"/>
        <v xml:space="preserve"> </v>
      </c>
    </row>
    <row r="43" spans="1:27" x14ac:dyDescent="0.35">
      <c r="A43" s="14" t="s">
        <v>524</v>
      </c>
      <c r="B43" s="4">
        <v>16.02</v>
      </c>
      <c r="C43" s="4">
        <v>19.329999999999998</v>
      </c>
      <c r="D43" s="4">
        <v>18.920000000000002</v>
      </c>
      <c r="E43" s="4">
        <v>18.84</v>
      </c>
      <c r="F43" s="4">
        <v>30.27</v>
      </c>
      <c r="G43" s="4">
        <v>28.64</v>
      </c>
      <c r="H43" s="4">
        <f t="shared" si="6"/>
        <v>49.19</v>
      </c>
      <c r="I43" s="4">
        <f t="shared" si="5"/>
        <v>47.480000000000004</v>
      </c>
      <c r="J43" s="4">
        <v>0</v>
      </c>
      <c r="K43" s="4">
        <v>0</v>
      </c>
      <c r="L43" s="139" t="str">
        <f t="shared" si="1"/>
        <v xml:space="preserve"> </v>
      </c>
      <c r="M43" s="139" t="s">
        <v>867</v>
      </c>
      <c r="N43" s="139">
        <v>1.52</v>
      </c>
      <c r="O43" s="139">
        <f t="shared" si="4"/>
        <v>1.52</v>
      </c>
      <c r="P43" s="139" t="str">
        <f t="shared" si="2"/>
        <v xml:space="preserve"> </v>
      </c>
      <c r="Q43" s="139"/>
      <c r="R43" s="139"/>
      <c r="S43" s="139" t="str">
        <f t="shared" si="10"/>
        <v xml:space="preserve"> </v>
      </c>
      <c r="T43" s="139" t="str">
        <f t="shared" si="11"/>
        <v xml:space="preserve"> </v>
      </c>
      <c r="U43" s="139" t="str">
        <f t="shared" si="12"/>
        <v xml:space="preserve"> </v>
      </c>
      <c r="V43" s="139" t="str">
        <f t="shared" si="13"/>
        <v xml:space="preserve"> </v>
      </c>
      <c r="W43" s="139" t="str">
        <f t="shared" si="14"/>
        <v xml:space="preserve"> </v>
      </c>
      <c r="X43" s="139" t="str">
        <f t="shared" si="15"/>
        <v xml:space="preserve"> </v>
      </c>
      <c r="Y43" s="139" t="str">
        <f t="shared" si="16"/>
        <v xml:space="preserve"> </v>
      </c>
      <c r="Z43" s="139" t="str">
        <f t="shared" si="17"/>
        <v xml:space="preserve"> </v>
      </c>
      <c r="AA43" s="139" t="str">
        <f t="shared" si="18"/>
        <v xml:space="preserve"> </v>
      </c>
    </row>
    <row r="44" spans="1:27" x14ac:dyDescent="0.35">
      <c r="A44" s="14" t="s">
        <v>534</v>
      </c>
      <c r="B44" s="4">
        <v>5.43</v>
      </c>
      <c r="C44" s="4">
        <v>5.39</v>
      </c>
      <c r="D44" s="4">
        <v>19.22</v>
      </c>
      <c r="E44" s="4">
        <v>18.739999999999998</v>
      </c>
      <c r="F44" s="4">
        <v>52.07</v>
      </c>
      <c r="G44" s="4">
        <v>53.65</v>
      </c>
      <c r="H44" s="4">
        <f t="shared" si="6"/>
        <v>71.289999999999992</v>
      </c>
      <c r="I44" s="4">
        <f t="shared" si="5"/>
        <v>72.39</v>
      </c>
      <c r="J44" s="4">
        <v>0</v>
      </c>
      <c r="K44" s="4">
        <v>0</v>
      </c>
      <c r="L44" s="139" t="str">
        <f t="shared" si="1"/>
        <v xml:space="preserve"> </v>
      </c>
      <c r="M44" s="139" t="s">
        <v>867</v>
      </c>
      <c r="N44" s="139">
        <v>1.61</v>
      </c>
      <c r="O44" s="139">
        <f t="shared" si="4"/>
        <v>1.61</v>
      </c>
      <c r="P44" s="139" t="str">
        <f t="shared" si="2"/>
        <v xml:space="preserve"> </v>
      </c>
      <c r="Q44" s="139"/>
      <c r="R44" s="139"/>
      <c r="S44" s="139" t="str">
        <f t="shared" si="10"/>
        <v xml:space="preserve"> </v>
      </c>
      <c r="T44" s="139" t="str">
        <f t="shared" si="11"/>
        <v xml:space="preserve"> </v>
      </c>
      <c r="U44" s="139" t="str">
        <f t="shared" si="12"/>
        <v xml:space="preserve"> </v>
      </c>
      <c r="V44" s="139" t="str">
        <f t="shared" si="13"/>
        <v xml:space="preserve"> </v>
      </c>
      <c r="W44" s="139" t="str">
        <f t="shared" si="14"/>
        <v xml:space="preserve"> </v>
      </c>
      <c r="X44" s="139" t="str">
        <f t="shared" si="15"/>
        <v xml:space="preserve"> </v>
      </c>
      <c r="Y44" s="139" t="str">
        <f t="shared" si="16"/>
        <v xml:space="preserve"> </v>
      </c>
      <c r="Z44" s="139" t="str">
        <f t="shared" si="17"/>
        <v xml:space="preserve"> </v>
      </c>
      <c r="AA44" s="139" t="str">
        <f t="shared" si="18"/>
        <v xml:space="preserve"> </v>
      </c>
    </row>
    <row r="45" spans="1:27" x14ac:dyDescent="0.35">
      <c r="A45" s="14" t="s">
        <v>128</v>
      </c>
      <c r="B45" s="4">
        <v>10.57</v>
      </c>
      <c r="C45" s="4">
        <v>10.61</v>
      </c>
      <c r="D45" s="4">
        <v>16.78</v>
      </c>
      <c r="E45" s="4">
        <v>15.77</v>
      </c>
      <c r="F45" s="4">
        <v>39.42</v>
      </c>
      <c r="G45" s="4">
        <v>44.13</v>
      </c>
      <c r="H45" s="4">
        <f t="shared" si="6"/>
        <v>56.2</v>
      </c>
      <c r="I45" s="4">
        <f t="shared" si="5"/>
        <v>59.900000000000006</v>
      </c>
      <c r="J45" s="4">
        <v>1.52</v>
      </c>
      <c r="K45" s="4">
        <v>1.51</v>
      </c>
      <c r="L45" s="139" t="str">
        <f t="shared" si="1"/>
        <v xml:space="preserve"> </v>
      </c>
      <c r="M45" s="139">
        <v>1.52</v>
      </c>
      <c r="N45" s="139">
        <v>1.52</v>
      </c>
      <c r="O45" s="139">
        <f t="shared" si="4"/>
        <v>1.52</v>
      </c>
      <c r="P45" s="139">
        <f t="shared" si="2"/>
        <v>1.52</v>
      </c>
      <c r="Q45" s="139"/>
      <c r="R45" s="139"/>
      <c r="S45" s="139" t="str">
        <f t="shared" si="10"/>
        <v xml:space="preserve"> </v>
      </c>
      <c r="T45" s="139" t="str">
        <f t="shared" si="11"/>
        <v xml:space="preserve"> </v>
      </c>
      <c r="U45" s="139" t="str">
        <f t="shared" si="12"/>
        <v xml:space="preserve"> </v>
      </c>
      <c r="V45" s="139" t="str">
        <f t="shared" si="13"/>
        <v xml:space="preserve"> </v>
      </c>
      <c r="W45" s="139" t="str">
        <f t="shared" si="14"/>
        <v xml:space="preserve"> </v>
      </c>
      <c r="X45" s="139" t="str">
        <f t="shared" si="15"/>
        <v xml:space="preserve"> </v>
      </c>
      <c r="Y45" s="139" t="str">
        <f t="shared" si="16"/>
        <v xml:space="preserve"> </v>
      </c>
      <c r="Z45" s="139" t="str">
        <f t="shared" si="17"/>
        <v xml:space="preserve"> </v>
      </c>
      <c r="AA45" s="139" t="str">
        <f t="shared" si="18"/>
        <v xml:space="preserve"> </v>
      </c>
    </row>
    <row r="46" spans="1:27" x14ac:dyDescent="0.35">
      <c r="A46" s="14" t="s">
        <v>543</v>
      </c>
      <c r="B46" s="4">
        <v>9.08</v>
      </c>
      <c r="C46" s="4">
        <v>9.81</v>
      </c>
      <c r="D46" s="4">
        <v>22.77</v>
      </c>
      <c r="E46" s="4">
        <v>22.73</v>
      </c>
      <c r="F46" s="4">
        <v>23.87</v>
      </c>
      <c r="G46" s="4">
        <v>27.23</v>
      </c>
      <c r="H46" s="4">
        <f t="shared" si="6"/>
        <v>46.64</v>
      </c>
      <c r="I46" s="4">
        <f t="shared" si="5"/>
        <v>49.96</v>
      </c>
      <c r="J46" s="4">
        <v>0</v>
      </c>
      <c r="K46" s="4">
        <v>0</v>
      </c>
      <c r="L46" s="139" t="str">
        <f t="shared" si="1"/>
        <v xml:space="preserve"> </v>
      </c>
      <c r="M46" s="139" t="s">
        <v>867</v>
      </c>
      <c r="N46" s="139">
        <v>1.57</v>
      </c>
      <c r="O46" s="139">
        <f t="shared" si="4"/>
        <v>1.57</v>
      </c>
      <c r="P46" s="139" t="str">
        <f t="shared" si="2"/>
        <v xml:space="preserve"> </v>
      </c>
      <c r="Q46" s="139"/>
      <c r="R46" s="139"/>
      <c r="S46" s="139" t="str">
        <f t="shared" si="10"/>
        <v xml:space="preserve"> </v>
      </c>
      <c r="T46" s="139" t="str">
        <f t="shared" si="11"/>
        <v xml:space="preserve"> </v>
      </c>
      <c r="U46" s="139" t="str">
        <f t="shared" si="12"/>
        <v xml:space="preserve"> </v>
      </c>
      <c r="V46" s="139" t="str">
        <f t="shared" si="13"/>
        <v xml:space="preserve"> </v>
      </c>
      <c r="W46" s="139" t="str">
        <f t="shared" si="14"/>
        <v xml:space="preserve"> </v>
      </c>
      <c r="X46" s="139" t="str">
        <f t="shared" si="15"/>
        <v xml:space="preserve"> </v>
      </c>
      <c r="Y46" s="139" t="str">
        <f t="shared" si="16"/>
        <v xml:space="preserve"> </v>
      </c>
      <c r="Z46" s="139" t="str">
        <f t="shared" si="17"/>
        <v xml:space="preserve"> </v>
      </c>
      <c r="AA46" s="139" t="str">
        <f t="shared" si="18"/>
        <v xml:space="preserve"> </v>
      </c>
    </row>
    <row r="47" spans="1:27" x14ac:dyDescent="0.35">
      <c r="A47" s="14" t="s">
        <v>561</v>
      </c>
      <c r="B47" s="4">
        <v>14.65</v>
      </c>
      <c r="C47" s="4">
        <v>21.72</v>
      </c>
      <c r="D47" s="4">
        <v>27.14</v>
      </c>
      <c r="E47" s="4">
        <v>25.42</v>
      </c>
      <c r="F47" s="4">
        <v>25.42</v>
      </c>
      <c r="G47" s="4">
        <v>25.04</v>
      </c>
      <c r="H47" s="4">
        <f t="shared" si="6"/>
        <v>52.56</v>
      </c>
      <c r="I47" s="4">
        <f t="shared" si="5"/>
        <v>50.46</v>
      </c>
      <c r="J47" s="4">
        <v>0</v>
      </c>
      <c r="K47" s="4">
        <v>0</v>
      </c>
      <c r="L47" s="139" t="str">
        <f t="shared" si="1"/>
        <v xml:space="preserve"> </v>
      </c>
      <c r="M47" s="139" t="s">
        <v>867</v>
      </c>
      <c r="N47" s="139">
        <v>1.52</v>
      </c>
      <c r="O47" s="139">
        <f t="shared" si="4"/>
        <v>1.52</v>
      </c>
      <c r="P47" s="139" t="str">
        <f t="shared" si="2"/>
        <v xml:space="preserve"> </v>
      </c>
      <c r="Q47" s="139"/>
      <c r="R47" s="139"/>
      <c r="S47" s="139" t="str">
        <f t="shared" si="10"/>
        <v xml:space="preserve"> </v>
      </c>
      <c r="T47" s="139" t="str">
        <f t="shared" si="11"/>
        <v xml:space="preserve"> </v>
      </c>
      <c r="U47" s="139" t="str">
        <f t="shared" si="12"/>
        <v xml:space="preserve"> </v>
      </c>
      <c r="V47" s="139" t="str">
        <f t="shared" si="13"/>
        <v xml:space="preserve"> </v>
      </c>
      <c r="W47" s="139" t="str">
        <f t="shared" si="14"/>
        <v xml:space="preserve"> </v>
      </c>
      <c r="X47" s="139" t="str">
        <f t="shared" si="15"/>
        <v xml:space="preserve"> </v>
      </c>
      <c r="Y47" s="139" t="str">
        <f t="shared" si="16"/>
        <v xml:space="preserve"> </v>
      </c>
      <c r="Z47" s="139" t="str">
        <f t="shared" si="17"/>
        <v xml:space="preserve"> </v>
      </c>
      <c r="AA47" s="139" t="str">
        <f t="shared" si="18"/>
        <v xml:space="preserve"> </v>
      </c>
    </row>
    <row r="48" spans="1:27" x14ac:dyDescent="0.35">
      <c r="A48" s="14" t="s">
        <v>127</v>
      </c>
      <c r="B48" s="4">
        <v>9.6300000000000008</v>
      </c>
      <c r="C48" s="4">
        <v>13.42</v>
      </c>
      <c r="D48" s="4">
        <v>23.34</v>
      </c>
      <c r="E48" s="4">
        <v>19.57</v>
      </c>
      <c r="F48" s="4">
        <v>25.54</v>
      </c>
      <c r="G48" s="4">
        <v>23.73</v>
      </c>
      <c r="H48" s="4">
        <f t="shared" si="6"/>
        <v>48.879999999999995</v>
      </c>
      <c r="I48" s="4">
        <f t="shared" si="5"/>
        <v>43.3</v>
      </c>
      <c r="J48" s="4">
        <v>0</v>
      </c>
      <c r="K48" s="4">
        <v>0</v>
      </c>
      <c r="L48" s="139" t="str">
        <f t="shared" si="1"/>
        <v xml:space="preserve"> </v>
      </c>
      <c r="M48" s="139" t="s">
        <v>867</v>
      </c>
      <c r="N48" s="139">
        <v>1.57</v>
      </c>
      <c r="O48" s="139">
        <f t="shared" si="4"/>
        <v>1.57</v>
      </c>
      <c r="P48" s="139" t="str">
        <f t="shared" si="2"/>
        <v xml:space="preserve"> </v>
      </c>
      <c r="Q48" s="139"/>
      <c r="R48" s="139"/>
      <c r="S48" s="139" t="str">
        <f t="shared" si="10"/>
        <v xml:space="preserve"> </v>
      </c>
      <c r="T48" s="139" t="str">
        <f t="shared" si="11"/>
        <v xml:space="preserve"> </v>
      </c>
      <c r="U48" s="139" t="str">
        <f t="shared" si="12"/>
        <v xml:space="preserve"> </v>
      </c>
      <c r="V48" s="139" t="str">
        <f t="shared" si="13"/>
        <v xml:space="preserve"> </v>
      </c>
      <c r="W48" s="139" t="str">
        <f t="shared" si="14"/>
        <v xml:space="preserve"> </v>
      </c>
      <c r="X48" s="139" t="str">
        <f t="shared" si="15"/>
        <v xml:space="preserve"> </v>
      </c>
      <c r="Y48" s="139" t="str">
        <f t="shared" si="16"/>
        <v xml:space="preserve"> </v>
      </c>
      <c r="Z48" s="139" t="str">
        <f t="shared" si="17"/>
        <v xml:space="preserve"> </v>
      </c>
      <c r="AA48" s="139" t="str">
        <f t="shared" si="18"/>
        <v xml:space="preserve"> </v>
      </c>
    </row>
    <row r="49" spans="1:27" x14ac:dyDescent="0.35">
      <c r="A49" s="14" t="s">
        <v>564</v>
      </c>
      <c r="B49" s="4">
        <v>14.14</v>
      </c>
      <c r="C49" s="4">
        <v>15.94</v>
      </c>
      <c r="D49" s="4">
        <v>15.68</v>
      </c>
      <c r="E49" s="4">
        <v>15.37</v>
      </c>
      <c r="F49" s="4">
        <v>12.32</v>
      </c>
      <c r="G49" s="4">
        <v>12.11</v>
      </c>
      <c r="H49" s="4">
        <f t="shared" si="6"/>
        <v>28</v>
      </c>
      <c r="I49" s="4">
        <f t="shared" si="5"/>
        <v>27.479999999999997</v>
      </c>
      <c r="J49" s="4">
        <v>0</v>
      </c>
      <c r="K49" s="4">
        <v>0</v>
      </c>
      <c r="L49" s="139" t="str">
        <f t="shared" si="1"/>
        <v xml:space="preserve"> </v>
      </c>
      <c r="M49" s="139" t="s">
        <v>867</v>
      </c>
      <c r="N49" s="139">
        <v>1.49</v>
      </c>
      <c r="O49" s="139">
        <f t="shared" si="4"/>
        <v>1.49</v>
      </c>
      <c r="P49" s="139" t="str">
        <f t="shared" si="2"/>
        <v xml:space="preserve"> </v>
      </c>
      <c r="Q49" s="139"/>
      <c r="R49" s="139"/>
      <c r="S49" s="139" t="str">
        <f t="shared" si="10"/>
        <v xml:space="preserve"> </v>
      </c>
      <c r="T49" s="139" t="str">
        <f t="shared" si="11"/>
        <v xml:space="preserve"> </v>
      </c>
      <c r="U49" s="139" t="str">
        <f t="shared" si="12"/>
        <v xml:space="preserve"> </v>
      </c>
      <c r="V49" s="139" t="str">
        <f t="shared" si="13"/>
        <v xml:space="preserve"> </v>
      </c>
      <c r="W49" s="139" t="str">
        <f t="shared" si="14"/>
        <v xml:space="preserve"> </v>
      </c>
      <c r="X49" s="139" t="str">
        <f t="shared" si="15"/>
        <v xml:space="preserve"> </v>
      </c>
      <c r="Y49" s="139" t="str">
        <f t="shared" si="16"/>
        <v xml:space="preserve"> </v>
      </c>
      <c r="Z49" s="139" t="str">
        <f t="shared" si="17"/>
        <v xml:space="preserve"> </v>
      </c>
      <c r="AA49" s="139" t="str">
        <f t="shared" si="18"/>
        <v xml:space="preserve"> </v>
      </c>
    </row>
    <row r="50" spans="1:27" x14ac:dyDescent="0.35">
      <c r="A50" s="14" t="s">
        <v>122</v>
      </c>
      <c r="B50" s="4">
        <v>25.18</v>
      </c>
      <c r="C50" s="4">
        <v>24.51</v>
      </c>
      <c r="D50" s="4">
        <v>13.96</v>
      </c>
      <c r="E50" s="4">
        <v>15.51</v>
      </c>
      <c r="F50" s="4">
        <v>17.91</v>
      </c>
      <c r="G50" s="4">
        <v>19.34</v>
      </c>
      <c r="H50" s="4">
        <f t="shared" si="6"/>
        <v>31.87</v>
      </c>
      <c r="I50" s="4">
        <f t="shared" si="5"/>
        <v>34.85</v>
      </c>
      <c r="J50" s="4">
        <v>0</v>
      </c>
      <c r="K50" s="4">
        <v>0</v>
      </c>
      <c r="L50" s="139" t="str">
        <f t="shared" si="1"/>
        <v xml:space="preserve"> </v>
      </c>
      <c r="M50" s="139" t="s">
        <v>867</v>
      </c>
      <c r="N50" s="139">
        <v>1.35</v>
      </c>
      <c r="O50" s="139">
        <f t="shared" si="4"/>
        <v>1.35</v>
      </c>
      <c r="P50" s="139" t="str">
        <f t="shared" si="2"/>
        <v xml:space="preserve"> </v>
      </c>
      <c r="Q50" s="139"/>
      <c r="R50" s="139"/>
      <c r="S50" s="139" t="str">
        <f t="shared" si="10"/>
        <v xml:space="preserve"> </v>
      </c>
      <c r="T50" s="139" t="str">
        <f t="shared" si="11"/>
        <v xml:space="preserve"> </v>
      </c>
      <c r="U50" s="139" t="str">
        <f t="shared" si="12"/>
        <v xml:space="preserve"> </v>
      </c>
      <c r="V50" s="139" t="str">
        <f t="shared" si="13"/>
        <v xml:space="preserve"> </v>
      </c>
      <c r="W50" s="139" t="str">
        <f t="shared" si="14"/>
        <v xml:space="preserve"> </v>
      </c>
      <c r="X50" s="139" t="str">
        <f t="shared" si="15"/>
        <v xml:space="preserve"> </v>
      </c>
      <c r="Y50" s="139" t="str">
        <f t="shared" si="16"/>
        <v xml:space="preserve"> </v>
      </c>
      <c r="Z50" s="139" t="str">
        <f t="shared" si="17"/>
        <v xml:space="preserve"> </v>
      </c>
      <c r="AA50" s="139" t="str">
        <f t="shared" si="18"/>
        <v xml:space="preserve"> </v>
      </c>
    </row>
    <row r="51" spans="1:27" x14ac:dyDescent="0.35">
      <c r="A51" s="14" t="s">
        <v>555</v>
      </c>
      <c r="B51" s="4">
        <v>8.0500000000000007</v>
      </c>
      <c r="C51" s="4">
        <v>9.4700000000000006</v>
      </c>
      <c r="D51" s="4">
        <v>30.59</v>
      </c>
      <c r="E51" s="4">
        <v>27.57</v>
      </c>
      <c r="F51" s="4">
        <v>10.9</v>
      </c>
      <c r="G51" s="4">
        <v>8.65</v>
      </c>
      <c r="H51" s="4">
        <f t="shared" si="6"/>
        <v>41.49</v>
      </c>
      <c r="I51" s="4">
        <f t="shared" si="5"/>
        <v>36.22</v>
      </c>
      <c r="J51" s="4">
        <v>0</v>
      </c>
      <c r="K51" s="4">
        <v>0</v>
      </c>
      <c r="L51" s="139" t="str">
        <f t="shared" si="1"/>
        <v xml:space="preserve"> </v>
      </c>
      <c r="M51" s="139" t="s">
        <v>867</v>
      </c>
      <c r="N51" s="139">
        <v>1.57</v>
      </c>
      <c r="O51" s="139">
        <f t="shared" si="4"/>
        <v>1.57</v>
      </c>
      <c r="P51" s="139" t="str">
        <f t="shared" si="2"/>
        <v xml:space="preserve"> </v>
      </c>
      <c r="Q51" s="139"/>
      <c r="R51" s="139"/>
      <c r="S51" s="139" t="str">
        <f t="shared" si="10"/>
        <v xml:space="preserve"> </v>
      </c>
      <c r="T51" s="139" t="str">
        <f t="shared" si="11"/>
        <v xml:space="preserve"> </v>
      </c>
      <c r="U51" s="139" t="str">
        <f t="shared" si="12"/>
        <v xml:space="preserve"> </v>
      </c>
      <c r="V51" s="139" t="str">
        <f t="shared" si="13"/>
        <v xml:space="preserve"> </v>
      </c>
      <c r="W51" s="139" t="str">
        <f t="shared" si="14"/>
        <v xml:space="preserve"> </v>
      </c>
      <c r="X51" s="139" t="str">
        <f t="shared" si="15"/>
        <v xml:space="preserve"> </v>
      </c>
      <c r="Y51" s="139" t="str">
        <f t="shared" si="16"/>
        <v xml:space="preserve"> </v>
      </c>
      <c r="Z51" s="139" t="str">
        <f t="shared" si="17"/>
        <v xml:space="preserve"> </v>
      </c>
      <c r="AA51" s="139" t="str">
        <f t="shared" si="18"/>
        <v xml:space="preserve"> </v>
      </c>
    </row>
    <row r="52" spans="1:27" x14ac:dyDescent="0.35">
      <c r="A52" s="14" t="s">
        <v>126</v>
      </c>
      <c r="B52" s="4">
        <v>9.17</v>
      </c>
      <c r="C52" s="4">
        <v>10.029999999999999</v>
      </c>
      <c r="D52" s="4">
        <v>13.9</v>
      </c>
      <c r="E52" s="4">
        <v>11.78</v>
      </c>
      <c r="F52" s="4">
        <v>2.48</v>
      </c>
      <c r="G52" s="4">
        <v>2.19</v>
      </c>
      <c r="H52" s="4">
        <f t="shared" si="6"/>
        <v>16.38</v>
      </c>
      <c r="I52" s="4">
        <f t="shared" si="5"/>
        <v>13.969999999999999</v>
      </c>
      <c r="J52" s="4">
        <v>0</v>
      </c>
      <c r="K52" s="4">
        <v>0</v>
      </c>
      <c r="L52" s="139" t="str">
        <f t="shared" si="1"/>
        <v xml:space="preserve"> </v>
      </c>
      <c r="M52" s="139" t="s">
        <v>867</v>
      </c>
      <c r="N52" s="139">
        <v>1.57</v>
      </c>
      <c r="O52" s="139">
        <f t="shared" si="4"/>
        <v>1.57</v>
      </c>
      <c r="P52" s="139" t="str">
        <f t="shared" si="2"/>
        <v xml:space="preserve"> </v>
      </c>
      <c r="Q52" s="139"/>
      <c r="R52" s="139"/>
      <c r="S52" s="139" t="str">
        <f t="shared" si="10"/>
        <v xml:space="preserve"> </v>
      </c>
      <c r="T52" s="139" t="str">
        <f t="shared" si="11"/>
        <v xml:space="preserve"> </v>
      </c>
      <c r="U52" s="139" t="str">
        <f t="shared" si="12"/>
        <v xml:space="preserve"> </v>
      </c>
      <c r="V52" s="139" t="str">
        <f t="shared" si="13"/>
        <v xml:space="preserve"> </v>
      </c>
      <c r="W52" s="139" t="str">
        <f t="shared" si="14"/>
        <v xml:space="preserve"> </v>
      </c>
      <c r="X52" s="139" t="str">
        <f t="shared" si="15"/>
        <v xml:space="preserve"> </v>
      </c>
      <c r="Y52" s="139" t="str">
        <f t="shared" si="16"/>
        <v xml:space="preserve"> </v>
      </c>
      <c r="Z52" s="139" t="str">
        <f t="shared" si="17"/>
        <v xml:space="preserve"> </v>
      </c>
      <c r="AA52" s="139" t="str">
        <f t="shared" si="18"/>
        <v xml:space="preserve"> </v>
      </c>
    </row>
    <row r="53" spans="1:27" x14ac:dyDescent="0.35">
      <c r="A53" s="14" t="s">
        <v>531</v>
      </c>
      <c r="B53" s="4">
        <v>10.93</v>
      </c>
      <c r="C53" s="4">
        <v>14.21</v>
      </c>
      <c r="D53" s="4">
        <v>26.06</v>
      </c>
      <c r="E53" s="4">
        <v>28.3</v>
      </c>
      <c r="F53" s="4">
        <v>8.6199999999999992</v>
      </c>
      <c r="G53" s="4">
        <v>9.1300000000000008</v>
      </c>
      <c r="H53" s="4">
        <f t="shared" si="6"/>
        <v>34.68</v>
      </c>
      <c r="I53" s="4">
        <f t="shared" si="5"/>
        <v>37.43</v>
      </c>
      <c r="J53" s="4">
        <v>0</v>
      </c>
      <c r="K53" s="4">
        <v>0</v>
      </c>
      <c r="L53" s="139" t="str">
        <f t="shared" si="1"/>
        <v xml:space="preserve"> </v>
      </c>
      <c r="M53" s="139" t="s">
        <v>867</v>
      </c>
      <c r="N53" s="139">
        <v>1.49</v>
      </c>
      <c r="O53" s="139">
        <f t="shared" si="4"/>
        <v>1.49</v>
      </c>
      <c r="P53" s="139" t="str">
        <f t="shared" si="2"/>
        <v xml:space="preserve"> </v>
      </c>
      <c r="Q53" s="139"/>
      <c r="R53" s="139"/>
      <c r="S53" s="139" t="str">
        <f t="shared" si="10"/>
        <v xml:space="preserve"> </v>
      </c>
      <c r="T53" s="139" t="str">
        <f t="shared" si="11"/>
        <v xml:space="preserve"> </v>
      </c>
      <c r="U53" s="139" t="str">
        <f t="shared" si="12"/>
        <v xml:space="preserve"> </v>
      </c>
      <c r="V53" s="139" t="str">
        <f t="shared" si="13"/>
        <v xml:space="preserve"> </v>
      </c>
      <c r="W53" s="139" t="str">
        <f t="shared" si="14"/>
        <v xml:space="preserve"> </v>
      </c>
      <c r="X53" s="139" t="str">
        <f t="shared" si="15"/>
        <v xml:space="preserve"> </v>
      </c>
      <c r="Y53" s="139" t="str">
        <f t="shared" si="16"/>
        <v xml:space="preserve"> </v>
      </c>
      <c r="Z53" s="139" t="str">
        <f t="shared" si="17"/>
        <v xml:space="preserve"> </v>
      </c>
      <c r="AA53" s="139" t="str">
        <f t="shared" si="18"/>
        <v xml:space="preserve"> </v>
      </c>
    </row>
    <row r="54" spans="1:27" x14ac:dyDescent="0.35">
      <c r="A54" s="14" t="s">
        <v>116</v>
      </c>
      <c r="B54" s="4">
        <v>22.24</v>
      </c>
      <c r="C54" s="4">
        <v>27.44</v>
      </c>
      <c r="D54" s="4">
        <v>21.04</v>
      </c>
      <c r="E54" s="4">
        <v>19.100000000000001</v>
      </c>
      <c r="F54" s="4">
        <v>10.1</v>
      </c>
      <c r="G54" s="4">
        <v>5.9</v>
      </c>
      <c r="H54" s="4">
        <f t="shared" si="6"/>
        <v>31.14</v>
      </c>
      <c r="I54" s="4">
        <f t="shared" si="5"/>
        <v>25</v>
      </c>
      <c r="J54" s="4">
        <v>0</v>
      </c>
      <c r="K54" s="4">
        <v>0</v>
      </c>
      <c r="L54" s="139" t="str">
        <f t="shared" si="1"/>
        <v xml:space="preserve"> </v>
      </c>
      <c r="M54" s="139" t="s">
        <v>867</v>
      </c>
      <c r="N54" s="139">
        <v>1.35</v>
      </c>
      <c r="O54" s="139">
        <f t="shared" si="4"/>
        <v>1.35</v>
      </c>
      <c r="P54" s="139" t="str">
        <f t="shared" si="2"/>
        <v xml:space="preserve"> </v>
      </c>
      <c r="Q54" s="139"/>
      <c r="R54" s="139"/>
      <c r="S54" s="139" t="str">
        <f t="shared" si="10"/>
        <v xml:space="preserve"> </v>
      </c>
      <c r="T54" s="139" t="str">
        <f t="shared" si="11"/>
        <v xml:space="preserve"> </v>
      </c>
      <c r="U54" s="139" t="str">
        <f t="shared" si="12"/>
        <v xml:space="preserve"> </v>
      </c>
      <c r="V54" s="139" t="str">
        <f t="shared" si="13"/>
        <v xml:space="preserve"> </v>
      </c>
      <c r="W54" s="139" t="str">
        <f t="shared" si="14"/>
        <v xml:space="preserve"> </v>
      </c>
      <c r="X54" s="139" t="str">
        <f t="shared" si="15"/>
        <v xml:space="preserve"> </v>
      </c>
      <c r="Y54" s="139" t="str">
        <f t="shared" si="16"/>
        <v xml:space="preserve"> </v>
      </c>
      <c r="Z54" s="139" t="str">
        <f t="shared" si="17"/>
        <v xml:space="preserve"> </v>
      </c>
      <c r="AA54" s="139" t="str">
        <f t="shared" si="18"/>
        <v xml:space="preserve"> </v>
      </c>
    </row>
    <row r="55" spans="1:27" x14ac:dyDescent="0.35">
      <c r="A55" s="14" t="s">
        <v>556</v>
      </c>
      <c r="B55" s="4">
        <v>10.34</v>
      </c>
      <c r="C55" s="4">
        <v>11.99</v>
      </c>
      <c r="D55" s="4">
        <v>15.97</v>
      </c>
      <c r="E55" s="4">
        <v>13.73</v>
      </c>
      <c r="F55" s="4">
        <v>12.23</v>
      </c>
      <c r="G55" s="4">
        <v>8.4700000000000006</v>
      </c>
      <c r="H55" s="4">
        <f t="shared" si="6"/>
        <v>28.200000000000003</v>
      </c>
      <c r="I55" s="4">
        <f t="shared" si="5"/>
        <v>22.200000000000003</v>
      </c>
      <c r="J55" s="4">
        <v>0</v>
      </c>
      <c r="K55" s="4">
        <v>0</v>
      </c>
      <c r="L55" s="139" t="str">
        <f t="shared" si="1"/>
        <v xml:space="preserve"> </v>
      </c>
      <c r="M55" s="139" t="s">
        <v>867</v>
      </c>
      <c r="N55" s="139">
        <v>1.49</v>
      </c>
      <c r="O55" s="139">
        <f t="shared" si="4"/>
        <v>1.49</v>
      </c>
      <c r="P55" s="139" t="str">
        <f t="shared" si="2"/>
        <v xml:space="preserve"> </v>
      </c>
      <c r="Q55" s="139"/>
      <c r="R55" s="139"/>
      <c r="S55" s="139" t="str">
        <f t="shared" si="10"/>
        <v xml:space="preserve"> </v>
      </c>
      <c r="T55" s="139" t="str">
        <f t="shared" si="11"/>
        <v xml:space="preserve"> </v>
      </c>
      <c r="U55" s="139" t="str">
        <f t="shared" si="12"/>
        <v xml:space="preserve"> </v>
      </c>
      <c r="V55" s="139" t="str">
        <f t="shared" si="13"/>
        <v xml:space="preserve"> </v>
      </c>
      <c r="W55" s="139" t="str">
        <f t="shared" si="14"/>
        <v xml:space="preserve"> </v>
      </c>
      <c r="X55" s="139" t="str">
        <f t="shared" si="15"/>
        <v xml:space="preserve"> </v>
      </c>
      <c r="Y55" s="139" t="str">
        <f t="shared" si="16"/>
        <v xml:space="preserve"> </v>
      </c>
      <c r="Z55" s="139" t="str">
        <f t="shared" si="17"/>
        <v xml:space="preserve"> </v>
      </c>
      <c r="AA55" s="139" t="str">
        <f t="shared" si="18"/>
        <v xml:space="preserve"> </v>
      </c>
    </row>
    <row r="56" spans="1:27" x14ac:dyDescent="0.35">
      <c r="A56" s="14" t="s">
        <v>112</v>
      </c>
      <c r="B56" s="4">
        <v>6.85</v>
      </c>
      <c r="C56" s="4">
        <v>9.6</v>
      </c>
      <c r="D56" s="4">
        <v>38.79</v>
      </c>
      <c r="E56" s="4">
        <v>41.52</v>
      </c>
      <c r="F56" s="4">
        <v>15.23</v>
      </c>
      <c r="G56" s="4">
        <v>13.42</v>
      </c>
      <c r="H56" s="4">
        <f t="shared" si="6"/>
        <v>54.019999999999996</v>
      </c>
      <c r="I56" s="4">
        <f t="shared" si="5"/>
        <v>54.940000000000005</v>
      </c>
      <c r="J56" s="4">
        <v>1.62</v>
      </c>
      <c r="K56" s="4">
        <v>1.56</v>
      </c>
      <c r="L56" s="139" t="str">
        <f t="shared" si="1"/>
        <v xml:space="preserve"> </v>
      </c>
      <c r="M56" s="139">
        <v>1.62</v>
      </c>
      <c r="N56" s="139">
        <v>1.57</v>
      </c>
      <c r="O56" s="139">
        <f t="shared" si="4"/>
        <v>1.62</v>
      </c>
      <c r="P56" s="139">
        <f t="shared" si="2"/>
        <v>1.62</v>
      </c>
    </row>
    <row r="57" spans="1:27" x14ac:dyDescent="0.35">
      <c r="A57" s="14" t="s">
        <v>449</v>
      </c>
      <c r="B57" s="4">
        <v>19.010000000000002</v>
      </c>
      <c r="C57" s="4">
        <v>20.350000000000001</v>
      </c>
      <c r="D57" s="4">
        <v>12.2</v>
      </c>
      <c r="E57" s="4">
        <v>15</v>
      </c>
      <c r="F57" s="4">
        <v>5.5</v>
      </c>
      <c r="G57" s="4">
        <v>3.4</v>
      </c>
      <c r="H57" s="4">
        <f t="shared" si="6"/>
        <v>17.7</v>
      </c>
      <c r="I57" s="4">
        <f t="shared" si="5"/>
        <v>18.399999999999999</v>
      </c>
      <c r="J57" s="4">
        <v>0</v>
      </c>
      <c r="K57" s="4">
        <v>0</v>
      </c>
      <c r="L57" s="139" t="str">
        <f t="shared" si="1"/>
        <v xml:space="preserve"> </v>
      </c>
      <c r="M57" s="139" t="s">
        <v>867</v>
      </c>
      <c r="N57">
        <v>1.41</v>
      </c>
      <c r="O57" s="139">
        <f t="shared" si="4"/>
        <v>1.41</v>
      </c>
      <c r="P57" s="139" t="str">
        <f t="shared" si="2"/>
        <v xml:space="preserve"> </v>
      </c>
    </row>
    <row r="58" spans="1:27" x14ac:dyDescent="0.35">
      <c r="A58" s="14" t="s">
        <v>463</v>
      </c>
      <c r="B58" s="4">
        <v>18.850000000000001</v>
      </c>
      <c r="C58" s="4">
        <v>22.61</v>
      </c>
      <c r="D58" s="4">
        <v>14.92</v>
      </c>
      <c r="E58" s="4">
        <v>14.13</v>
      </c>
      <c r="F58" s="4">
        <v>18.829999999999998</v>
      </c>
      <c r="G58" s="4">
        <v>18.89</v>
      </c>
      <c r="H58" s="4">
        <f t="shared" si="6"/>
        <v>33.75</v>
      </c>
      <c r="I58" s="4">
        <f t="shared" si="5"/>
        <v>33.020000000000003</v>
      </c>
      <c r="J58" s="4">
        <v>1.42</v>
      </c>
      <c r="K58" s="4">
        <v>1.37</v>
      </c>
      <c r="L58" s="139" t="str">
        <f t="shared" si="1"/>
        <v xml:space="preserve"> </v>
      </c>
      <c r="M58" s="139">
        <v>1.42</v>
      </c>
      <c r="N58" s="139">
        <v>1.49</v>
      </c>
      <c r="O58" s="139">
        <f t="shared" si="4"/>
        <v>1.42</v>
      </c>
      <c r="P58" s="139">
        <f t="shared" si="2"/>
        <v>1.42</v>
      </c>
    </row>
    <row r="59" spans="1:27" x14ac:dyDescent="0.35">
      <c r="A59" s="14" t="s">
        <v>464</v>
      </c>
      <c r="B59" s="4">
        <v>31.32</v>
      </c>
      <c r="C59" s="4">
        <v>31.85</v>
      </c>
      <c r="D59" s="4">
        <v>4.6100000000000003</v>
      </c>
      <c r="E59" s="4">
        <v>5.41</v>
      </c>
      <c r="F59" s="4">
        <v>2.11</v>
      </c>
      <c r="G59" s="4">
        <v>1.51</v>
      </c>
      <c r="H59" s="4">
        <f t="shared" si="6"/>
        <v>6.7200000000000006</v>
      </c>
      <c r="I59" s="4">
        <f t="shared" si="5"/>
        <v>6.92</v>
      </c>
      <c r="J59" s="4">
        <v>1.28</v>
      </c>
      <c r="K59" s="4">
        <v>1.27</v>
      </c>
      <c r="L59" s="139" t="str">
        <f t="shared" si="1"/>
        <v xml:space="preserve"> </v>
      </c>
      <c r="M59" s="139">
        <v>1.28</v>
      </c>
      <c r="N59">
        <v>1.32</v>
      </c>
      <c r="O59" s="139">
        <f t="shared" si="4"/>
        <v>1.28</v>
      </c>
      <c r="P59" s="139">
        <f t="shared" si="2"/>
        <v>1.28</v>
      </c>
    </row>
    <row r="60" spans="1:27" x14ac:dyDescent="0.35">
      <c r="A60" s="14" t="s">
        <v>466</v>
      </c>
      <c r="B60" s="4">
        <v>24.68</v>
      </c>
      <c r="C60" s="4">
        <v>46.57</v>
      </c>
      <c r="D60" s="4">
        <v>9.8000000000000007</v>
      </c>
      <c r="E60" s="4">
        <v>7.71</v>
      </c>
      <c r="F60" s="4">
        <v>2.7</v>
      </c>
      <c r="G60" s="4">
        <v>5.09</v>
      </c>
      <c r="H60" s="4">
        <f t="shared" si="6"/>
        <v>12.5</v>
      </c>
      <c r="I60" s="4">
        <f t="shared" si="5"/>
        <v>12.8</v>
      </c>
      <c r="J60" s="4">
        <v>1.21</v>
      </c>
      <c r="K60" s="4">
        <v>1.22</v>
      </c>
      <c r="L60" s="139" t="str">
        <f t="shared" si="1"/>
        <v xml:space="preserve"> </v>
      </c>
      <c r="M60" s="139">
        <v>1.21</v>
      </c>
      <c r="N60" s="139">
        <v>1.32</v>
      </c>
      <c r="O60" s="139">
        <f t="shared" si="4"/>
        <v>1.21</v>
      </c>
      <c r="P60" s="139">
        <f t="shared" si="2"/>
        <v>1.21</v>
      </c>
    </row>
    <row r="61" spans="1:27" x14ac:dyDescent="0.35">
      <c r="A61" s="14" t="s">
        <v>465</v>
      </c>
      <c r="B61" s="4">
        <v>25.48</v>
      </c>
      <c r="C61" s="4">
        <v>26.23</v>
      </c>
      <c r="D61" s="4">
        <v>17.170000000000002</v>
      </c>
      <c r="E61" s="4">
        <v>14.13</v>
      </c>
      <c r="F61" s="4">
        <v>11.76</v>
      </c>
      <c r="G61" s="4">
        <v>12.18</v>
      </c>
      <c r="H61" s="4">
        <f t="shared" si="6"/>
        <v>28.93</v>
      </c>
      <c r="I61" s="4">
        <f t="shared" si="5"/>
        <v>26.310000000000002</v>
      </c>
      <c r="J61" s="4">
        <v>1.35</v>
      </c>
      <c r="K61" s="4">
        <v>1.33</v>
      </c>
      <c r="L61" s="139" t="str">
        <f t="shared" si="1"/>
        <v xml:space="preserve"> </v>
      </c>
      <c r="M61" s="139">
        <v>1.35</v>
      </c>
      <c r="N61" s="139">
        <v>1.35</v>
      </c>
      <c r="O61" s="139">
        <f t="shared" si="4"/>
        <v>1.35</v>
      </c>
      <c r="P61" s="139">
        <f t="shared" si="2"/>
        <v>1.35</v>
      </c>
    </row>
    <row r="62" spans="1:27" x14ac:dyDescent="0.35">
      <c r="A62" s="14" t="s">
        <v>570</v>
      </c>
      <c r="B62" s="4">
        <v>32.76</v>
      </c>
      <c r="C62" s="4">
        <v>36.18</v>
      </c>
      <c r="D62" s="4">
        <v>11.24</v>
      </c>
      <c r="E62" s="4">
        <v>9.81</v>
      </c>
      <c r="F62" s="4">
        <v>24.06</v>
      </c>
      <c r="G62" s="4">
        <v>24.85</v>
      </c>
      <c r="H62" s="4">
        <f t="shared" si="6"/>
        <v>35.299999999999997</v>
      </c>
      <c r="I62" s="4">
        <f t="shared" si="5"/>
        <v>34.660000000000004</v>
      </c>
      <c r="J62" s="4">
        <v>1.33</v>
      </c>
      <c r="K62" s="4">
        <v>1.32</v>
      </c>
      <c r="L62" s="139" t="str">
        <f t="shared" si="1"/>
        <v xml:space="preserve"> </v>
      </c>
      <c r="M62" s="139">
        <v>1.33</v>
      </c>
      <c r="N62" s="139">
        <v>1.35</v>
      </c>
      <c r="O62" s="139">
        <f t="shared" si="4"/>
        <v>1.33</v>
      </c>
      <c r="P62" s="139">
        <f t="shared" si="2"/>
        <v>1.33</v>
      </c>
    </row>
    <row r="63" spans="1:27" x14ac:dyDescent="0.35">
      <c r="A63" s="14" t="s">
        <v>461</v>
      </c>
      <c r="B63" s="4">
        <v>32.21</v>
      </c>
      <c r="C63" s="4">
        <v>29.51</v>
      </c>
      <c r="D63" s="4">
        <v>13.23</v>
      </c>
      <c r="E63" s="4">
        <v>14.5</v>
      </c>
      <c r="F63" s="4">
        <v>18.91</v>
      </c>
      <c r="G63" s="4">
        <v>22.6</v>
      </c>
      <c r="H63" s="4">
        <f t="shared" si="6"/>
        <v>32.14</v>
      </c>
      <c r="I63" s="4">
        <f t="shared" si="5"/>
        <v>37.1</v>
      </c>
      <c r="J63" s="4">
        <v>1.32</v>
      </c>
      <c r="K63" s="4">
        <v>1.35</v>
      </c>
      <c r="L63" s="139" t="str">
        <f t="shared" si="1"/>
        <v xml:space="preserve"> </v>
      </c>
      <c r="M63" s="139">
        <v>1.32</v>
      </c>
      <c r="N63" s="139">
        <v>1.35</v>
      </c>
      <c r="O63" s="139">
        <f t="shared" si="4"/>
        <v>1.32</v>
      </c>
      <c r="P63" s="139">
        <f t="shared" si="2"/>
        <v>1.32</v>
      </c>
    </row>
    <row r="64" spans="1:27" x14ac:dyDescent="0.35">
      <c r="A64" s="14" t="s">
        <v>455</v>
      </c>
      <c r="B64" s="4">
        <v>21.46</v>
      </c>
      <c r="C64" s="4">
        <v>26.33</v>
      </c>
      <c r="D64" s="4">
        <v>13.3</v>
      </c>
      <c r="E64" s="4">
        <v>10.69</v>
      </c>
      <c r="F64" s="4">
        <v>6.3</v>
      </c>
      <c r="G64" s="4">
        <v>3.58</v>
      </c>
      <c r="H64" s="4">
        <f t="shared" si="6"/>
        <v>19.600000000000001</v>
      </c>
      <c r="I64" s="4">
        <f t="shared" si="5"/>
        <v>14.27</v>
      </c>
      <c r="J64" s="4">
        <v>1.35</v>
      </c>
      <c r="K64" s="4">
        <v>1.29</v>
      </c>
      <c r="L64" s="139" t="str">
        <f t="shared" si="1"/>
        <v xml:space="preserve"> </v>
      </c>
      <c r="M64" s="139">
        <v>1.35</v>
      </c>
      <c r="N64" s="139">
        <v>1.32</v>
      </c>
      <c r="O64" s="139">
        <f t="shared" si="4"/>
        <v>1.35</v>
      </c>
      <c r="P64" s="139">
        <f t="shared" si="2"/>
        <v>1.35</v>
      </c>
    </row>
    <row r="65" spans="1:16" x14ac:dyDescent="0.35">
      <c r="A65" s="14" t="s">
        <v>459</v>
      </c>
      <c r="B65" s="4">
        <v>27.86</v>
      </c>
      <c r="C65" s="4">
        <v>30.91</v>
      </c>
      <c r="D65" s="4">
        <v>12.04</v>
      </c>
      <c r="E65" s="4">
        <v>9.36</v>
      </c>
      <c r="F65" s="4">
        <v>1.1599999999999999</v>
      </c>
      <c r="G65" s="4">
        <v>1.34</v>
      </c>
      <c r="H65" s="4">
        <f t="shared" si="6"/>
        <v>13.2</v>
      </c>
      <c r="I65" s="4">
        <f t="shared" si="5"/>
        <v>10.7</v>
      </c>
      <c r="J65" s="4">
        <v>1.32</v>
      </c>
      <c r="K65" s="4">
        <v>1.28</v>
      </c>
      <c r="L65" s="139" t="str">
        <f t="shared" si="1"/>
        <v xml:space="preserve"> </v>
      </c>
      <c r="M65" s="139">
        <v>1.32</v>
      </c>
      <c r="N65" s="139">
        <v>1.32</v>
      </c>
      <c r="O65" s="139">
        <f t="shared" si="4"/>
        <v>1.32</v>
      </c>
      <c r="P65" s="139">
        <f t="shared" si="2"/>
        <v>1.32</v>
      </c>
    </row>
    <row r="66" spans="1:16" x14ac:dyDescent="0.35">
      <c r="A66" s="14" t="s">
        <v>446</v>
      </c>
      <c r="B66" s="4">
        <v>18.38</v>
      </c>
      <c r="C66" s="4">
        <v>17.96</v>
      </c>
      <c r="D66" s="4">
        <v>23.32</v>
      </c>
      <c r="E66" s="4">
        <v>20.75</v>
      </c>
      <c r="F66" s="4">
        <v>11.25</v>
      </c>
      <c r="G66" s="4">
        <v>9.5500000000000007</v>
      </c>
      <c r="H66" s="4">
        <f t="shared" si="6"/>
        <v>34.57</v>
      </c>
      <c r="I66" s="4">
        <f t="shared" si="5"/>
        <v>30.3</v>
      </c>
      <c r="J66" s="4">
        <v>0</v>
      </c>
      <c r="K66" s="4">
        <v>0</v>
      </c>
      <c r="L66" s="139" t="str">
        <f t="shared" si="1"/>
        <v xml:space="preserve"> </v>
      </c>
      <c r="M66" s="139" t="s">
        <v>867</v>
      </c>
      <c r="N66" s="139">
        <v>1.49</v>
      </c>
      <c r="O66" s="139">
        <f t="shared" si="4"/>
        <v>1.49</v>
      </c>
      <c r="P66" s="139" t="str">
        <f t="shared" si="2"/>
        <v xml:space="preserve"> </v>
      </c>
    </row>
    <row r="67" spans="1:16" x14ac:dyDescent="0.35">
      <c r="A67" s="14" t="s">
        <v>469</v>
      </c>
      <c r="B67" s="4">
        <v>23.07</v>
      </c>
      <c r="C67" s="4">
        <v>28.48</v>
      </c>
      <c r="D67" s="4">
        <v>7</v>
      </c>
      <c r="E67" s="4">
        <v>7.75</v>
      </c>
      <c r="F67" s="4">
        <v>2.6</v>
      </c>
      <c r="G67" s="4">
        <v>1.6</v>
      </c>
      <c r="H67" s="4">
        <f t="shared" si="6"/>
        <v>9.6</v>
      </c>
      <c r="I67" s="4">
        <f t="shared" si="5"/>
        <v>9.35</v>
      </c>
      <c r="J67" s="4">
        <v>1.33</v>
      </c>
      <c r="K67" s="4">
        <v>1.27</v>
      </c>
      <c r="L67" s="139" t="str">
        <f t="shared" si="1"/>
        <v xml:space="preserve"> </v>
      </c>
      <c r="M67" s="139">
        <v>1.33</v>
      </c>
      <c r="N67" s="139">
        <v>1.32</v>
      </c>
      <c r="O67" s="139">
        <f t="shared" si="4"/>
        <v>1.33</v>
      </c>
      <c r="P67" s="139">
        <f t="shared" si="2"/>
        <v>1.33</v>
      </c>
    </row>
    <row r="68" spans="1:16" x14ac:dyDescent="0.35">
      <c r="A68" s="14" t="s">
        <v>445</v>
      </c>
      <c r="B68" s="4">
        <v>28.53</v>
      </c>
      <c r="C68" s="4">
        <v>30.8</v>
      </c>
      <c r="D68" s="4">
        <v>12.83</v>
      </c>
      <c r="E68" s="4">
        <v>12.06</v>
      </c>
      <c r="F68" s="4">
        <v>2.52</v>
      </c>
      <c r="G68" s="4">
        <v>1.79</v>
      </c>
      <c r="H68" s="4">
        <f t="shared" si="6"/>
        <v>15.35</v>
      </c>
      <c r="I68" s="4">
        <f t="shared" si="5"/>
        <v>13.850000000000001</v>
      </c>
      <c r="J68" s="4">
        <v>1.3</v>
      </c>
      <c r="K68" s="4">
        <v>1.27</v>
      </c>
      <c r="L68" s="139" t="str">
        <f t="shared" si="1"/>
        <v xml:space="preserve"> </v>
      </c>
      <c r="M68" s="139">
        <v>1.3</v>
      </c>
      <c r="N68" s="139">
        <v>1.32</v>
      </c>
      <c r="O68" s="139">
        <f t="shared" si="4"/>
        <v>1.3</v>
      </c>
      <c r="P68" s="139">
        <f t="shared" si="2"/>
        <v>1.3</v>
      </c>
    </row>
    <row r="69" spans="1:16" x14ac:dyDescent="0.35">
      <c r="A69" s="14" t="s">
        <v>678</v>
      </c>
      <c r="B69" s="4">
        <v>20.66</v>
      </c>
      <c r="C69" s="4">
        <v>26</v>
      </c>
      <c r="D69" s="4">
        <v>9</v>
      </c>
      <c r="E69" s="4">
        <v>6.86</v>
      </c>
      <c r="F69" s="4">
        <v>2.7</v>
      </c>
      <c r="G69" s="4">
        <v>6.46</v>
      </c>
      <c r="H69" s="4">
        <f t="shared" si="6"/>
        <v>11.7</v>
      </c>
      <c r="I69" s="4">
        <f t="shared" si="5"/>
        <v>13.32</v>
      </c>
      <c r="J69" s="4">
        <v>0</v>
      </c>
      <c r="K69" s="4">
        <v>0</v>
      </c>
      <c r="L69" s="139" t="str">
        <f t="shared" si="1"/>
        <v xml:space="preserve"> </v>
      </c>
      <c r="M69" s="139" t="s">
        <v>867</v>
      </c>
      <c r="N69" s="139">
        <v>1.32</v>
      </c>
      <c r="O69" s="139">
        <f t="shared" si="4"/>
        <v>1.32</v>
      </c>
      <c r="P69" s="139" t="str">
        <f t="shared" si="2"/>
        <v xml:space="preserve"> </v>
      </c>
    </row>
    <row r="70" spans="1:16" x14ac:dyDescent="0.35">
      <c r="A70" s="14" t="s">
        <v>670</v>
      </c>
      <c r="B70" s="4">
        <v>24.11</v>
      </c>
      <c r="C70" s="4">
        <v>27.77</v>
      </c>
      <c r="D70" s="4">
        <v>9.1999999999999993</v>
      </c>
      <c r="E70" s="4">
        <v>8.4</v>
      </c>
      <c r="F70" s="4">
        <v>2.4</v>
      </c>
      <c r="G70" s="4">
        <v>2.0699999999999998</v>
      </c>
      <c r="H70" s="4">
        <f t="shared" si="6"/>
        <v>11.6</v>
      </c>
      <c r="I70" s="4">
        <f t="shared" si="5"/>
        <v>10.47</v>
      </c>
      <c r="J70" s="4">
        <v>0</v>
      </c>
      <c r="K70" s="4">
        <v>0</v>
      </c>
      <c r="L70" s="139" t="str">
        <f t="shared" si="1"/>
        <v xml:space="preserve"> </v>
      </c>
      <c r="M70" s="139" t="s">
        <v>867</v>
      </c>
      <c r="N70" s="139">
        <v>1.32</v>
      </c>
      <c r="O70" s="139">
        <f t="shared" si="4"/>
        <v>1.32</v>
      </c>
      <c r="P70" s="139" t="str">
        <f t="shared" si="2"/>
        <v xml:space="preserve"> </v>
      </c>
    </row>
    <row r="71" spans="1:16" x14ac:dyDescent="0.35">
      <c r="A71" s="14" t="s">
        <v>679</v>
      </c>
      <c r="B71" s="4">
        <v>20.75</v>
      </c>
      <c r="C71" s="4">
        <v>25.16</v>
      </c>
      <c r="D71" s="4">
        <v>12.3</v>
      </c>
      <c r="E71" s="4">
        <v>12.27</v>
      </c>
      <c r="F71" s="4">
        <v>13.24</v>
      </c>
      <c r="G71" s="4">
        <v>13.42</v>
      </c>
      <c r="H71" s="4">
        <f t="shared" si="6"/>
        <v>25.54</v>
      </c>
      <c r="I71" s="4">
        <f t="shared" si="5"/>
        <v>25.689999999999998</v>
      </c>
      <c r="J71" s="4">
        <v>0</v>
      </c>
      <c r="K71" s="4">
        <v>0</v>
      </c>
      <c r="L71" s="139" t="str">
        <f t="shared" ref="L71:L134" si="19">IF(AND($B71&lt;L$3,$B71&gt;L$2,$H71&lt;L$5,$H71&gt;L$4),$J71," ")</f>
        <v xml:space="preserve"> </v>
      </c>
      <c r="M71" s="139" t="s">
        <v>867</v>
      </c>
      <c r="N71" s="139">
        <v>1.35</v>
      </c>
      <c r="O71" s="139">
        <f t="shared" si="4"/>
        <v>1.35</v>
      </c>
      <c r="P71" s="139" t="str">
        <f t="shared" ref="P71:P134" si="20">IF(M71&gt;0,M71," ")</f>
        <v xml:space="preserve"> </v>
      </c>
    </row>
    <row r="72" spans="1:16" x14ac:dyDescent="0.35">
      <c r="A72" s="14" t="s">
        <v>683</v>
      </c>
      <c r="B72" s="4">
        <v>13.63</v>
      </c>
      <c r="C72" s="4">
        <v>16.73</v>
      </c>
      <c r="D72" s="4">
        <v>10.72</v>
      </c>
      <c r="E72" s="4">
        <v>9.84</v>
      </c>
      <c r="F72" s="4">
        <v>1.82</v>
      </c>
      <c r="G72" s="4">
        <v>1.55</v>
      </c>
      <c r="H72" s="4">
        <f t="shared" si="6"/>
        <v>12.540000000000001</v>
      </c>
      <c r="I72" s="4">
        <f t="shared" si="5"/>
        <v>11.39</v>
      </c>
      <c r="J72" s="4">
        <v>1.43</v>
      </c>
      <c r="K72" s="4">
        <v>1.4</v>
      </c>
      <c r="L72" s="139" t="str">
        <f t="shared" si="19"/>
        <v xml:space="preserve"> </v>
      </c>
      <c r="M72" s="139">
        <v>1.43</v>
      </c>
      <c r="N72" s="139">
        <v>1.41</v>
      </c>
      <c r="O72" s="139">
        <f t="shared" ref="O72:O135" si="21">IF(M72=" ",N72,M72)</f>
        <v>1.43</v>
      </c>
      <c r="P72" s="139">
        <f t="shared" si="20"/>
        <v>1.43</v>
      </c>
    </row>
    <row r="73" spans="1:16" x14ac:dyDescent="0.35">
      <c r="A73" s="14" t="s">
        <v>682</v>
      </c>
      <c r="B73" s="4">
        <v>18.82</v>
      </c>
      <c r="C73" s="4">
        <v>23.52</v>
      </c>
      <c r="D73" s="4">
        <v>13.8</v>
      </c>
      <c r="E73" s="4">
        <v>11.83</v>
      </c>
      <c r="F73" s="4">
        <v>2.5</v>
      </c>
      <c r="G73" s="4">
        <v>3.38</v>
      </c>
      <c r="H73" s="4">
        <f t="shared" si="6"/>
        <v>16.3</v>
      </c>
      <c r="I73" s="4">
        <f t="shared" si="5"/>
        <v>15.21</v>
      </c>
      <c r="J73" s="4">
        <v>0</v>
      </c>
      <c r="K73" s="4">
        <v>0</v>
      </c>
      <c r="L73" s="139" t="str">
        <f t="shared" si="19"/>
        <v xml:space="preserve"> </v>
      </c>
      <c r="M73" s="139" t="s">
        <v>867</v>
      </c>
      <c r="N73" s="139">
        <v>1.41</v>
      </c>
      <c r="O73" s="139">
        <f t="shared" si="21"/>
        <v>1.41</v>
      </c>
      <c r="P73" s="139" t="str">
        <f t="shared" si="20"/>
        <v xml:space="preserve"> </v>
      </c>
    </row>
    <row r="74" spans="1:16" x14ac:dyDescent="0.35">
      <c r="A74" s="14" t="s">
        <v>668</v>
      </c>
      <c r="B74" s="4">
        <v>12.15</v>
      </c>
      <c r="C74" s="4">
        <v>18.05</v>
      </c>
      <c r="D74" s="4">
        <v>18.03</v>
      </c>
      <c r="E74" s="4">
        <v>17.600000000000001</v>
      </c>
      <c r="F74" s="4">
        <v>11.8</v>
      </c>
      <c r="G74" s="4">
        <v>11.37</v>
      </c>
      <c r="H74" s="4">
        <f t="shared" si="6"/>
        <v>29.830000000000002</v>
      </c>
      <c r="I74" s="4">
        <f t="shared" si="5"/>
        <v>28.97</v>
      </c>
      <c r="J74" s="4">
        <v>0</v>
      </c>
      <c r="K74" s="4">
        <v>0</v>
      </c>
      <c r="L74" s="139" t="str">
        <f t="shared" si="19"/>
        <v xml:space="preserve"> </v>
      </c>
      <c r="M74" s="139" t="s">
        <v>867</v>
      </c>
      <c r="N74" s="139">
        <v>1.49</v>
      </c>
      <c r="O74" s="139">
        <f t="shared" si="21"/>
        <v>1.49</v>
      </c>
      <c r="P74" s="139" t="str">
        <f t="shared" si="20"/>
        <v xml:space="preserve"> </v>
      </c>
    </row>
    <row r="75" spans="1:16" x14ac:dyDescent="0.35">
      <c r="A75" s="14" t="s">
        <v>660</v>
      </c>
      <c r="B75" s="4">
        <v>8.81</v>
      </c>
      <c r="C75" s="4">
        <v>12.54</v>
      </c>
      <c r="D75" s="4">
        <v>15.57</v>
      </c>
      <c r="E75" s="4">
        <v>14.27</v>
      </c>
      <c r="F75" s="4">
        <v>6.73</v>
      </c>
      <c r="G75" s="4">
        <v>7.54</v>
      </c>
      <c r="H75" s="4">
        <f t="shared" si="6"/>
        <v>22.3</v>
      </c>
      <c r="I75" s="4">
        <f t="shared" si="5"/>
        <v>21.81</v>
      </c>
      <c r="J75" s="4">
        <v>0</v>
      </c>
      <c r="K75" s="4">
        <v>0</v>
      </c>
      <c r="L75" s="139" t="str">
        <f t="shared" si="19"/>
        <v xml:space="preserve"> </v>
      </c>
      <c r="M75" s="139" t="s">
        <v>867</v>
      </c>
      <c r="N75" s="139">
        <v>1.57</v>
      </c>
      <c r="O75" s="139">
        <f t="shared" si="21"/>
        <v>1.57</v>
      </c>
      <c r="P75" s="139" t="str">
        <f t="shared" si="20"/>
        <v xml:space="preserve"> </v>
      </c>
    </row>
    <row r="76" spans="1:16" x14ac:dyDescent="0.35">
      <c r="A76" s="14" t="s">
        <v>666</v>
      </c>
      <c r="B76" s="4">
        <v>14.15</v>
      </c>
      <c r="C76" s="4">
        <v>15.23</v>
      </c>
      <c r="D76" s="4">
        <v>10.1</v>
      </c>
      <c r="E76" s="4">
        <v>10.41</v>
      </c>
      <c r="F76" s="4">
        <v>5.65</v>
      </c>
      <c r="G76" s="4">
        <v>5.55</v>
      </c>
      <c r="H76" s="4">
        <f t="shared" si="6"/>
        <v>15.75</v>
      </c>
      <c r="I76" s="4">
        <f t="shared" ref="I76:I139" si="22">E76+G76</f>
        <v>15.96</v>
      </c>
      <c r="J76" s="4">
        <v>0</v>
      </c>
      <c r="K76" s="4">
        <v>0</v>
      </c>
      <c r="L76" s="139" t="str">
        <f t="shared" si="19"/>
        <v xml:space="preserve"> </v>
      </c>
      <c r="M76" s="139" t="s">
        <v>867</v>
      </c>
      <c r="N76" s="139">
        <v>1.41</v>
      </c>
      <c r="O76" s="139">
        <f t="shared" si="21"/>
        <v>1.41</v>
      </c>
      <c r="P76" s="139" t="str">
        <f t="shared" si="20"/>
        <v xml:space="preserve"> </v>
      </c>
    </row>
    <row r="77" spans="1:16" x14ac:dyDescent="0.35">
      <c r="A77" s="14" t="s">
        <v>677</v>
      </c>
      <c r="B77" s="4">
        <v>13.79</v>
      </c>
      <c r="C77" s="4">
        <v>17.59</v>
      </c>
      <c r="D77" s="4">
        <v>11.38</v>
      </c>
      <c r="E77" s="4">
        <v>10.14</v>
      </c>
      <c r="F77" s="4">
        <v>3.97</v>
      </c>
      <c r="G77" s="4">
        <v>3.66</v>
      </c>
      <c r="H77" s="4">
        <f t="shared" ref="H77:H140" si="23">D77+F77</f>
        <v>15.350000000000001</v>
      </c>
      <c r="I77" s="4">
        <f t="shared" si="22"/>
        <v>13.8</v>
      </c>
      <c r="J77" s="4">
        <v>0</v>
      </c>
      <c r="K77" s="4">
        <v>0</v>
      </c>
      <c r="L77" s="139" t="str">
        <f t="shared" si="19"/>
        <v xml:space="preserve"> </v>
      </c>
      <c r="M77" s="139" t="s">
        <v>867</v>
      </c>
      <c r="N77" s="139">
        <v>1.41</v>
      </c>
      <c r="O77" s="139">
        <f t="shared" si="21"/>
        <v>1.41</v>
      </c>
      <c r="P77" s="139" t="str">
        <f t="shared" si="20"/>
        <v xml:space="preserve"> </v>
      </c>
    </row>
    <row r="78" spans="1:16" x14ac:dyDescent="0.35">
      <c r="A78" s="14" t="s">
        <v>680</v>
      </c>
      <c r="B78" s="4">
        <v>10.79</v>
      </c>
      <c r="C78" s="4">
        <v>13.65</v>
      </c>
      <c r="D78" s="4">
        <v>25.38</v>
      </c>
      <c r="E78" s="4">
        <v>17.170000000000002</v>
      </c>
      <c r="F78" s="4">
        <v>10.3</v>
      </c>
      <c r="G78" s="4">
        <v>9.7100000000000009</v>
      </c>
      <c r="H78" s="4">
        <f t="shared" si="23"/>
        <v>35.68</v>
      </c>
      <c r="I78" s="4">
        <f t="shared" si="22"/>
        <v>26.880000000000003</v>
      </c>
      <c r="J78" s="4">
        <v>1.51</v>
      </c>
      <c r="K78" s="4">
        <v>1.41</v>
      </c>
      <c r="L78" s="139" t="str">
        <f t="shared" si="19"/>
        <v xml:space="preserve"> </v>
      </c>
      <c r="M78" s="139">
        <v>1.51</v>
      </c>
      <c r="N78" s="139">
        <v>1.49</v>
      </c>
      <c r="O78" s="139">
        <f t="shared" si="21"/>
        <v>1.51</v>
      </c>
      <c r="P78" s="139">
        <f t="shared" si="20"/>
        <v>1.51</v>
      </c>
    </row>
    <row r="79" spans="1:16" x14ac:dyDescent="0.35">
      <c r="A79" s="14" t="s">
        <v>681</v>
      </c>
      <c r="B79" s="4">
        <v>11.22</v>
      </c>
      <c r="C79" s="4">
        <v>11.85</v>
      </c>
      <c r="D79" s="4">
        <v>20</v>
      </c>
      <c r="E79" s="4">
        <v>16.73</v>
      </c>
      <c r="F79" s="4">
        <v>39.44</v>
      </c>
      <c r="G79" s="4">
        <v>36.35</v>
      </c>
      <c r="H79" s="4">
        <f t="shared" si="23"/>
        <v>59.44</v>
      </c>
      <c r="I79" s="4">
        <f t="shared" si="22"/>
        <v>53.08</v>
      </c>
      <c r="J79" s="4">
        <v>1.54</v>
      </c>
      <c r="K79" s="4">
        <v>1.48</v>
      </c>
      <c r="L79" s="139" t="str">
        <f t="shared" si="19"/>
        <v xml:space="preserve"> </v>
      </c>
      <c r="M79" s="139">
        <v>1.54</v>
      </c>
      <c r="N79" s="139">
        <v>1.52</v>
      </c>
      <c r="O79" s="139">
        <f t="shared" si="21"/>
        <v>1.54</v>
      </c>
      <c r="P79" s="139">
        <f t="shared" si="20"/>
        <v>1.54</v>
      </c>
    </row>
    <row r="80" spans="1:16" x14ac:dyDescent="0.35">
      <c r="A80" s="14" t="s">
        <v>139</v>
      </c>
      <c r="B80" s="4">
        <v>11.16</v>
      </c>
      <c r="C80" s="4">
        <v>11.59</v>
      </c>
      <c r="D80" s="4">
        <v>15.14</v>
      </c>
      <c r="E80" s="4">
        <v>15.88</v>
      </c>
      <c r="F80" s="4">
        <v>34.369999999999997</v>
      </c>
      <c r="G80" s="4">
        <v>37.58</v>
      </c>
      <c r="H80" s="4">
        <f t="shared" si="23"/>
        <v>49.51</v>
      </c>
      <c r="I80" s="4">
        <f t="shared" si="22"/>
        <v>53.46</v>
      </c>
      <c r="J80" s="4">
        <v>0</v>
      </c>
      <c r="K80" s="4">
        <v>0</v>
      </c>
      <c r="L80" s="139" t="str">
        <f t="shared" si="19"/>
        <v xml:space="preserve"> </v>
      </c>
      <c r="M80" s="139" t="s">
        <v>867</v>
      </c>
      <c r="N80" s="139">
        <v>1.52</v>
      </c>
      <c r="O80" s="139">
        <f t="shared" si="21"/>
        <v>1.52</v>
      </c>
      <c r="P80" s="139" t="str">
        <f t="shared" si="20"/>
        <v xml:space="preserve"> </v>
      </c>
    </row>
    <row r="81" spans="1:16" x14ac:dyDescent="0.35">
      <c r="A81" s="14" t="s">
        <v>667</v>
      </c>
      <c r="B81" s="4">
        <v>8.17</v>
      </c>
      <c r="C81" s="4">
        <v>8.09</v>
      </c>
      <c r="D81" s="4">
        <v>18.73</v>
      </c>
      <c r="E81" s="4">
        <v>19.32</v>
      </c>
      <c r="F81" s="4">
        <v>37.020000000000003</v>
      </c>
      <c r="G81" s="4">
        <v>48.33</v>
      </c>
      <c r="H81" s="4">
        <f t="shared" si="23"/>
        <v>55.75</v>
      </c>
      <c r="I81" s="4">
        <f t="shared" si="22"/>
        <v>67.650000000000006</v>
      </c>
      <c r="J81" s="4">
        <v>1.56</v>
      </c>
      <c r="K81" s="4">
        <v>1.62</v>
      </c>
      <c r="L81" s="139" t="str">
        <f t="shared" si="19"/>
        <v xml:space="preserve"> </v>
      </c>
      <c r="M81" s="139">
        <v>1.56</v>
      </c>
      <c r="N81" s="139">
        <v>1.57</v>
      </c>
      <c r="O81" s="139">
        <f t="shared" si="21"/>
        <v>1.56</v>
      </c>
      <c r="P81" s="139">
        <f t="shared" si="20"/>
        <v>1.56</v>
      </c>
    </row>
    <row r="82" spans="1:16" x14ac:dyDescent="0.35">
      <c r="A82" s="14" t="s">
        <v>659</v>
      </c>
      <c r="B82" s="4">
        <v>6.02</v>
      </c>
      <c r="C82" s="4">
        <v>6.57</v>
      </c>
      <c r="D82" s="4">
        <v>16.829999999999998</v>
      </c>
      <c r="E82" s="4">
        <v>15.16</v>
      </c>
      <c r="F82" s="4">
        <v>6.4</v>
      </c>
      <c r="G82" s="4">
        <v>5.94</v>
      </c>
      <c r="H82" s="4">
        <f t="shared" si="23"/>
        <v>23.229999999999997</v>
      </c>
      <c r="I82" s="4">
        <f t="shared" si="22"/>
        <v>21.1</v>
      </c>
      <c r="J82" s="4">
        <v>0</v>
      </c>
      <c r="K82" s="4">
        <v>0</v>
      </c>
      <c r="L82" s="139" t="str">
        <f t="shared" si="19"/>
        <v xml:space="preserve"> </v>
      </c>
      <c r="M82" s="139" t="s">
        <v>867</v>
      </c>
      <c r="N82" s="139">
        <v>1.57</v>
      </c>
      <c r="O82" s="139">
        <f t="shared" si="21"/>
        <v>1.57</v>
      </c>
      <c r="P82" s="139" t="str">
        <f t="shared" si="20"/>
        <v xml:space="preserve"> </v>
      </c>
    </row>
    <row r="83" spans="1:16" x14ac:dyDescent="0.35">
      <c r="A83" s="14" t="s">
        <v>451</v>
      </c>
      <c r="B83" s="4">
        <v>18.12</v>
      </c>
      <c r="C83" s="4">
        <v>18.73</v>
      </c>
      <c r="D83" s="4">
        <v>20.37</v>
      </c>
      <c r="E83" s="4">
        <v>21.18</v>
      </c>
      <c r="F83" s="4">
        <v>22.09</v>
      </c>
      <c r="G83" s="4">
        <v>28.3</v>
      </c>
      <c r="H83" s="4">
        <f t="shared" si="23"/>
        <v>42.46</v>
      </c>
      <c r="I83" s="4">
        <f t="shared" si="22"/>
        <v>49.480000000000004</v>
      </c>
      <c r="J83" s="4">
        <v>1.43</v>
      </c>
      <c r="K83" s="4">
        <v>1.42</v>
      </c>
      <c r="L83" s="139" t="str">
        <f t="shared" si="19"/>
        <v xml:space="preserve"> </v>
      </c>
      <c r="M83" s="139">
        <v>1.43</v>
      </c>
      <c r="N83" s="139">
        <v>1.52</v>
      </c>
      <c r="O83" s="139">
        <f t="shared" si="21"/>
        <v>1.43</v>
      </c>
      <c r="P83" s="139">
        <f t="shared" si="20"/>
        <v>1.43</v>
      </c>
    </row>
    <row r="84" spans="1:16" x14ac:dyDescent="0.35">
      <c r="A84" s="14" t="s">
        <v>684</v>
      </c>
      <c r="B84" s="4">
        <v>16.38</v>
      </c>
      <c r="C84" s="4">
        <v>18.54</v>
      </c>
      <c r="D84" s="4">
        <v>20.52</v>
      </c>
      <c r="E84" s="4">
        <v>18.239999999999998</v>
      </c>
      <c r="F84" s="4">
        <v>26.74</v>
      </c>
      <c r="G84" s="4">
        <v>33.31</v>
      </c>
      <c r="H84" s="4">
        <f t="shared" si="23"/>
        <v>47.26</v>
      </c>
      <c r="I84" s="4">
        <f t="shared" si="22"/>
        <v>51.55</v>
      </c>
      <c r="J84" s="4">
        <v>1.48</v>
      </c>
      <c r="K84" s="4">
        <v>1.4</v>
      </c>
      <c r="L84" s="139" t="str">
        <f t="shared" si="19"/>
        <v xml:space="preserve"> </v>
      </c>
      <c r="M84" s="139">
        <v>1.48</v>
      </c>
      <c r="N84" s="139">
        <v>1.52</v>
      </c>
      <c r="O84" s="139">
        <f t="shared" si="21"/>
        <v>1.48</v>
      </c>
      <c r="P84" s="139">
        <f t="shared" si="20"/>
        <v>1.48</v>
      </c>
    </row>
    <row r="85" spans="1:16" x14ac:dyDescent="0.35">
      <c r="A85" s="14" t="s">
        <v>686</v>
      </c>
      <c r="B85" s="4">
        <v>15.7</v>
      </c>
      <c r="C85" s="4">
        <v>16.579999999999998</v>
      </c>
      <c r="D85" s="4">
        <v>13.77</v>
      </c>
      <c r="E85" s="4">
        <v>13.21</v>
      </c>
      <c r="F85" s="4">
        <v>15.95</v>
      </c>
      <c r="G85" s="4">
        <v>16.38</v>
      </c>
      <c r="H85" s="4">
        <f t="shared" si="23"/>
        <v>29.72</v>
      </c>
      <c r="I85" s="4">
        <f t="shared" si="22"/>
        <v>29.59</v>
      </c>
      <c r="J85" s="4">
        <v>0</v>
      </c>
      <c r="K85" s="4">
        <v>0</v>
      </c>
      <c r="L85" s="139" t="str">
        <f t="shared" si="19"/>
        <v xml:space="preserve"> </v>
      </c>
      <c r="M85" s="139" t="s">
        <v>867</v>
      </c>
      <c r="N85" s="139">
        <v>1.49</v>
      </c>
      <c r="O85" s="139">
        <f t="shared" si="21"/>
        <v>1.49</v>
      </c>
      <c r="P85" s="139" t="str">
        <f t="shared" si="20"/>
        <v xml:space="preserve"> </v>
      </c>
    </row>
    <row r="86" spans="1:16" x14ac:dyDescent="0.35">
      <c r="A86" s="14" t="s">
        <v>685</v>
      </c>
      <c r="B86" s="4">
        <v>7.96</v>
      </c>
      <c r="C86" s="4">
        <v>6.01</v>
      </c>
      <c r="D86" s="4">
        <v>11.75</v>
      </c>
      <c r="E86" s="4">
        <v>9.2799999999999994</v>
      </c>
      <c r="F86" s="4">
        <v>68.540000000000006</v>
      </c>
      <c r="G86" s="4">
        <v>77.23</v>
      </c>
      <c r="H86" s="4">
        <f t="shared" si="23"/>
        <v>80.290000000000006</v>
      </c>
      <c r="I86" s="4">
        <f t="shared" si="22"/>
        <v>86.51</v>
      </c>
      <c r="J86" s="4">
        <v>0</v>
      </c>
      <c r="K86" s="4">
        <v>0</v>
      </c>
      <c r="L86" s="139" t="str">
        <f t="shared" si="19"/>
        <v xml:space="preserve"> </v>
      </c>
      <c r="M86" s="139" t="s">
        <v>867</v>
      </c>
      <c r="N86" s="139">
        <v>1.61</v>
      </c>
      <c r="O86" s="139">
        <f t="shared" si="21"/>
        <v>1.61</v>
      </c>
      <c r="P86" s="139" t="str">
        <f t="shared" si="20"/>
        <v xml:space="preserve"> </v>
      </c>
    </row>
    <row r="87" spans="1:16" x14ac:dyDescent="0.35">
      <c r="A87" s="14" t="s">
        <v>571</v>
      </c>
      <c r="B87" s="4">
        <v>13.46</v>
      </c>
      <c r="C87" s="4">
        <v>13.58</v>
      </c>
      <c r="D87" s="4">
        <v>14.14</v>
      </c>
      <c r="E87" s="4">
        <v>14.44</v>
      </c>
      <c r="F87" s="4">
        <v>36.85</v>
      </c>
      <c r="G87" s="4">
        <v>40.19</v>
      </c>
      <c r="H87" s="4">
        <f t="shared" si="23"/>
        <v>50.99</v>
      </c>
      <c r="I87" s="4">
        <f t="shared" si="22"/>
        <v>54.629999999999995</v>
      </c>
      <c r="J87" s="4">
        <v>0</v>
      </c>
      <c r="K87" s="4">
        <v>0</v>
      </c>
      <c r="L87" s="139" t="str">
        <f t="shared" si="19"/>
        <v xml:space="preserve"> </v>
      </c>
      <c r="M87" s="139" t="s">
        <v>867</v>
      </c>
      <c r="N87" s="139">
        <v>1.52</v>
      </c>
      <c r="O87" s="139">
        <f t="shared" si="21"/>
        <v>1.52</v>
      </c>
      <c r="P87" s="139" t="str">
        <f t="shared" si="20"/>
        <v xml:space="preserve"> </v>
      </c>
    </row>
    <row r="88" spans="1:16" x14ac:dyDescent="0.35">
      <c r="A88" s="14" t="s">
        <v>442</v>
      </c>
      <c r="B88" s="4">
        <v>28.36</v>
      </c>
      <c r="C88" s="4">
        <v>29.42</v>
      </c>
      <c r="D88" s="4">
        <v>12.6</v>
      </c>
      <c r="E88" s="4">
        <v>15.05</v>
      </c>
      <c r="F88" s="4">
        <v>2.8</v>
      </c>
      <c r="G88" s="4">
        <v>4.6100000000000003</v>
      </c>
      <c r="H88" s="4">
        <f t="shared" si="23"/>
        <v>15.399999999999999</v>
      </c>
      <c r="I88" s="4">
        <f t="shared" si="22"/>
        <v>19.66</v>
      </c>
      <c r="J88" s="4">
        <v>1.31</v>
      </c>
      <c r="K88" s="4">
        <v>1.27</v>
      </c>
      <c r="L88" s="139" t="str">
        <f t="shared" si="19"/>
        <v xml:space="preserve"> </v>
      </c>
      <c r="M88" s="139">
        <v>1.31</v>
      </c>
      <c r="N88" s="139">
        <v>1.32</v>
      </c>
      <c r="O88" s="139">
        <f t="shared" si="21"/>
        <v>1.31</v>
      </c>
      <c r="P88" s="139">
        <f t="shared" si="20"/>
        <v>1.31</v>
      </c>
    </row>
    <row r="89" spans="1:16" x14ac:dyDescent="0.35">
      <c r="A89" s="14" t="s">
        <v>468</v>
      </c>
      <c r="B89" s="4">
        <v>24.51</v>
      </c>
      <c r="C89" s="4">
        <v>27.86</v>
      </c>
      <c r="D89" s="4">
        <v>11.53</v>
      </c>
      <c r="E89" s="4">
        <v>13.85</v>
      </c>
      <c r="F89" s="4">
        <v>22.42</v>
      </c>
      <c r="G89" s="4">
        <v>16.079999999999998</v>
      </c>
      <c r="H89" s="4">
        <f t="shared" si="23"/>
        <v>33.950000000000003</v>
      </c>
      <c r="I89" s="4">
        <f t="shared" si="22"/>
        <v>29.93</v>
      </c>
      <c r="J89" s="4">
        <v>0</v>
      </c>
      <c r="K89" s="4">
        <v>0</v>
      </c>
      <c r="L89" s="139" t="str">
        <f t="shared" si="19"/>
        <v xml:space="preserve"> </v>
      </c>
      <c r="M89" s="139" t="s">
        <v>867</v>
      </c>
      <c r="N89" s="139">
        <v>1.35</v>
      </c>
      <c r="O89" s="139">
        <f t="shared" si="21"/>
        <v>1.35</v>
      </c>
      <c r="P89" s="139" t="str">
        <f t="shared" si="20"/>
        <v xml:space="preserve"> </v>
      </c>
    </row>
    <row r="90" spans="1:16" x14ac:dyDescent="0.35">
      <c r="A90" s="14" t="s">
        <v>452</v>
      </c>
      <c r="B90" s="4">
        <v>18.46</v>
      </c>
      <c r="C90" s="4">
        <v>17.2</v>
      </c>
      <c r="D90" s="4">
        <v>29.49</v>
      </c>
      <c r="E90" s="4">
        <v>28.08</v>
      </c>
      <c r="F90" s="4">
        <v>18.64</v>
      </c>
      <c r="G90" s="4">
        <v>17.190000000000001</v>
      </c>
      <c r="H90" s="4">
        <f t="shared" si="23"/>
        <v>48.129999999999995</v>
      </c>
      <c r="I90" s="4">
        <f t="shared" si="22"/>
        <v>45.269999999999996</v>
      </c>
      <c r="J90" s="4">
        <v>0</v>
      </c>
      <c r="K90" s="4">
        <v>0</v>
      </c>
      <c r="L90" s="139" t="str">
        <f t="shared" si="19"/>
        <v xml:space="preserve"> </v>
      </c>
      <c r="M90" s="139" t="s">
        <v>867</v>
      </c>
      <c r="N90" s="139">
        <v>1.52</v>
      </c>
      <c r="O90" s="139">
        <f t="shared" si="21"/>
        <v>1.52</v>
      </c>
      <c r="P90" s="139" t="str">
        <f t="shared" si="20"/>
        <v xml:space="preserve"> </v>
      </c>
    </row>
    <row r="91" spans="1:16" x14ac:dyDescent="0.35">
      <c r="A91" s="14" t="s">
        <v>467</v>
      </c>
      <c r="B91" s="4">
        <v>23.07</v>
      </c>
      <c r="C91" s="4">
        <v>29.19</v>
      </c>
      <c r="D91" s="4">
        <v>12.4</v>
      </c>
      <c r="E91" s="4">
        <v>11.36</v>
      </c>
      <c r="F91" s="4">
        <v>6.3</v>
      </c>
      <c r="G91" s="4">
        <v>5.96</v>
      </c>
      <c r="H91" s="4">
        <f t="shared" si="23"/>
        <v>18.7</v>
      </c>
      <c r="I91" s="4">
        <f t="shared" si="22"/>
        <v>17.32</v>
      </c>
      <c r="J91" s="4">
        <v>1.35</v>
      </c>
      <c r="K91" s="4">
        <v>1.25</v>
      </c>
      <c r="L91" s="139" t="str">
        <f t="shared" si="19"/>
        <v xml:space="preserve"> </v>
      </c>
      <c r="M91" s="139">
        <v>1.35</v>
      </c>
      <c r="N91" s="139">
        <v>1.32</v>
      </c>
      <c r="O91" s="139">
        <f t="shared" si="21"/>
        <v>1.35</v>
      </c>
      <c r="P91" s="139">
        <f t="shared" si="20"/>
        <v>1.35</v>
      </c>
    </row>
    <row r="92" spans="1:16" x14ac:dyDescent="0.35">
      <c r="A92" s="14" t="s">
        <v>443</v>
      </c>
      <c r="B92" s="4">
        <v>30.83</v>
      </c>
      <c r="C92" s="4">
        <v>34.380000000000003</v>
      </c>
      <c r="D92" s="4">
        <v>7.74</v>
      </c>
      <c r="E92" s="4">
        <v>9.81</v>
      </c>
      <c r="F92" s="4">
        <v>2.56</v>
      </c>
      <c r="G92" s="4">
        <v>2.89</v>
      </c>
      <c r="H92" s="4">
        <f t="shared" si="23"/>
        <v>10.3</v>
      </c>
      <c r="I92" s="4">
        <f t="shared" si="22"/>
        <v>12.700000000000001</v>
      </c>
      <c r="J92" s="4">
        <v>1.29</v>
      </c>
      <c r="K92" s="4">
        <v>1.24</v>
      </c>
      <c r="L92" s="139" t="str">
        <f t="shared" si="19"/>
        <v xml:space="preserve"> </v>
      </c>
      <c r="M92" s="139">
        <v>1.29</v>
      </c>
      <c r="N92" s="139">
        <v>1.32</v>
      </c>
      <c r="O92" s="139">
        <f t="shared" si="21"/>
        <v>1.29</v>
      </c>
      <c r="P92" s="139">
        <f t="shared" si="20"/>
        <v>1.29</v>
      </c>
    </row>
    <row r="93" spans="1:16" x14ac:dyDescent="0.35">
      <c r="A93" s="14" t="s">
        <v>453</v>
      </c>
      <c r="B93" s="4">
        <v>17.079999999999998</v>
      </c>
      <c r="C93" s="4">
        <v>18.809999999999999</v>
      </c>
      <c r="D93" s="4">
        <v>24.13</v>
      </c>
      <c r="E93" s="4">
        <v>22.59</v>
      </c>
      <c r="F93" s="4">
        <v>6.17</v>
      </c>
      <c r="G93" s="4">
        <v>15.09</v>
      </c>
      <c r="H93" s="4">
        <f t="shared" si="23"/>
        <v>30.299999999999997</v>
      </c>
      <c r="I93" s="4">
        <f t="shared" si="22"/>
        <v>37.68</v>
      </c>
      <c r="J93" s="4">
        <v>0</v>
      </c>
      <c r="K93" s="4">
        <v>0</v>
      </c>
      <c r="L93" s="139" t="str">
        <f t="shared" si="19"/>
        <v xml:space="preserve"> </v>
      </c>
      <c r="M93" s="139" t="s">
        <v>867</v>
      </c>
      <c r="N93" s="139">
        <v>1.49</v>
      </c>
      <c r="O93" s="139">
        <f t="shared" si="21"/>
        <v>1.49</v>
      </c>
      <c r="P93" s="139" t="str">
        <f t="shared" si="20"/>
        <v xml:space="preserve"> </v>
      </c>
    </row>
    <row r="94" spans="1:16" x14ac:dyDescent="0.35">
      <c r="A94" s="14" t="s">
        <v>444</v>
      </c>
      <c r="B94" s="4">
        <v>19.48</v>
      </c>
      <c r="C94" s="4">
        <v>24.09</v>
      </c>
      <c r="D94" s="4">
        <v>27.19</v>
      </c>
      <c r="E94" s="4">
        <v>19.45</v>
      </c>
      <c r="F94" s="4">
        <v>4.47</v>
      </c>
      <c r="G94" s="4">
        <v>8.43</v>
      </c>
      <c r="H94" s="4">
        <f t="shared" si="23"/>
        <v>31.66</v>
      </c>
      <c r="I94" s="4">
        <f t="shared" si="22"/>
        <v>27.88</v>
      </c>
      <c r="J94" s="4">
        <v>1.4</v>
      </c>
      <c r="K94" s="4">
        <v>1.32</v>
      </c>
      <c r="L94" s="139" t="str">
        <f t="shared" si="19"/>
        <v xml:space="preserve"> </v>
      </c>
      <c r="M94" s="139">
        <v>1.4</v>
      </c>
      <c r="N94" s="139">
        <v>1.49</v>
      </c>
      <c r="O94" s="139">
        <f t="shared" si="21"/>
        <v>1.4</v>
      </c>
      <c r="P94" s="139">
        <f t="shared" si="20"/>
        <v>1.4</v>
      </c>
    </row>
    <row r="95" spans="1:16" x14ac:dyDescent="0.35">
      <c r="A95" s="14" t="s">
        <v>669</v>
      </c>
      <c r="B95" s="4">
        <v>15.14</v>
      </c>
      <c r="C95" s="4">
        <v>20.23</v>
      </c>
      <c r="D95" s="4">
        <v>18.5</v>
      </c>
      <c r="E95" s="4">
        <v>10.82</v>
      </c>
      <c r="F95" s="4">
        <v>2</v>
      </c>
      <c r="G95" s="4">
        <v>2.19</v>
      </c>
      <c r="H95" s="4">
        <f t="shared" si="23"/>
        <v>20.5</v>
      </c>
      <c r="I95" s="4">
        <f t="shared" si="22"/>
        <v>13.01</v>
      </c>
      <c r="J95" s="4">
        <v>0</v>
      </c>
      <c r="K95" s="4">
        <v>0</v>
      </c>
      <c r="L95" s="139" t="str">
        <f t="shared" si="19"/>
        <v xml:space="preserve"> </v>
      </c>
      <c r="M95" s="139" t="s">
        <v>867</v>
      </c>
      <c r="N95" s="139">
        <v>1.49</v>
      </c>
      <c r="O95" s="139">
        <f t="shared" si="21"/>
        <v>1.49</v>
      </c>
      <c r="P95" s="139" t="str">
        <f t="shared" si="20"/>
        <v xml:space="preserve"> </v>
      </c>
    </row>
    <row r="96" spans="1:16" x14ac:dyDescent="0.35">
      <c r="A96" s="14" t="s">
        <v>658</v>
      </c>
      <c r="B96" s="4">
        <v>14.13</v>
      </c>
      <c r="C96" s="4">
        <v>15.72</v>
      </c>
      <c r="D96" s="4">
        <v>18.79</v>
      </c>
      <c r="E96" s="4">
        <v>18.2</v>
      </c>
      <c r="F96" s="4">
        <v>11.14</v>
      </c>
      <c r="G96" s="4">
        <v>12.87</v>
      </c>
      <c r="H96" s="4">
        <f t="shared" si="23"/>
        <v>29.93</v>
      </c>
      <c r="I96" s="4">
        <f t="shared" si="22"/>
        <v>31.07</v>
      </c>
      <c r="J96" s="4">
        <v>0</v>
      </c>
      <c r="K96" s="4">
        <v>0</v>
      </c>
      <c r="L96" s="139" t="str">
        <f t="shared" si="19"/>
        <v xml:space="preserve"> </v>
      </c>
      <c r="M96" s="139" t="s">
        <v>867</v>
      </c>
      <c r="N96" s="139">
        <v>1.49</v>
      </c>
      <c r="O96" s="139">
        <f t="shared" si="21"/>
        <v>1.49</v>
      </c>
      <c r="P96" s="139" t="str">
        <f t="shared" si="20"/>
        <v xml:space="preserve"> </v>
      </c>
    </row>
    <row r="97" spans="1:16" x14ac:dyDescent="0.35">
      <c r="A97" s="14" t="s">
        <v>657</v>
      </c>
      <c r="B97" s="4">
        <v>10.33</v>
      </c>
      <c r="C97" s="4">
        <v>11.3</v>
      </c>
      <c r="D97" s="4">
        <v>25.98</v>
      </c>
      <c r="E97" s="4">
        <v>18.89</v>
      </c>
      <c r="F97" s="4">
        <v>3.2</v>
      </c>
      <c r="G97" s="4">
        <v>2.5</v>
      </c>
      <c r="H97" s="4">
        <f t="shared" si="23"/>
        <v>29.18</v>
      </c>
      <c r="I97" s="4">
        <f t="shared" si="22"/>
        <v>21.39</v>
      </c>
      <c r="J97" s="4">
        <v>0</v>
      </c>
      <c r="K97" s="4">
        <v>0</v>
      </c>
      <c r="L97" s="139" t="str">
        <f t="shared" si="19"/>
        <v xml:space="preserve"> </v>
      </c>
      <c r="M97" s="139" t="s">
        <v>867</v>
      </c>
      <c r="N97" s="139">
        <v>1.49</v>
      </c>
      <c r="O97" s="139">
        <f t="shared" si="21"/>
        <v>1.49</v>
      </c>
      <c r="P97" s="139" t="str">
        <f t="shared" si="20"/>
        <v xml:space="preserve"> </v>
      </c>
    </row>
    <row r="98" spans="1:16" x14ac:dyDescent="0.35">
      <c r="A98" s="14" t="s">
        <v>456</v>
      </c>
      <c r="B98" s="4">
        <v>19.440000000000001</v>
      </c>
      <c r="C98" s="4">
        <v>18.37</v>
      </c>
      <c r="D98" s="4">
        <v>10.06</v>
      </c>
      <c r="E98" s="4">
        <v>9.81</v>
      </c>
      <c r="F98" s="4">
        <v>1.18</v>
      </c>
      <c r="G98" s="4">
        <v>1.63</v>
      </c>
      <c r="H98" s="4">
        <f t="shared" si="23"/>
        <v>11.24</v>
      </c>
      <c r="I98" s="4">
        <f t="shared" si="22"/>
        <v>11.440000000000001</v>
      </c>
      <c r="J98" s="4">
        <v>0</v>
      </c>
      <c r="K98" s="4">
        <v>0</v>
      </c>
      <c r="L98" s="139" t="str">
        <f t="shared" si="19"/>
        <v xml:space="preserve"> </v>
      </c>
      <c r="M98" s="139" t="s">
        <v>867</v>
      </c>
      <c r="N98" s="139">
        <v>1.41</v>
      </c>
      <c r="O98" s="139">
        <f t="shared" si="21"/>
        <v>1.41</v>
      </c>
      <c r="P98" s="139" t="str">
        <f t="shared" si="20"/>
        <v xml:space="preserve"> </v>
      </c>
    </row>
    <row r="99" spans="1:16" x14ac:dyDescent="0.35">
      <c r="A99" s="14" t="s">
        <v>441</v>
      </c>
      <c r="B99" s="4">
        <v>33.54</v>
      </c>
      <c r="C99" s="4">
        <v>36.11</v>
      </c>
      <c r="D99" s="4">
        <v>5.9</v>
      </c>
      <c r="E99" s="4">
        <v>7.6</v>
      </c>
      <c r="F99" s="4">
        <v>6.6</v>
      </c>
      <c r="G99" s="4">
        <v>5.18</v>
      </c>
      <c r="H99" s="4">
        <f t="shared" si="23"/>
        <v>12.5</v>
      </c>
      <c r="I99" s="4">
        <f t="shared" si="22"/>
        <v>12.78</v>
      </c>
      <c r="J99" s="4">
        <v>1.28</v>
      </c>
      <c r="K99" s="4">
        <v>1.26</v>
      </c>
      <c r="L99" s="139" t="str">
        <f t="shared" si="19"/>
        <v xml:space="preserve"> </v>
      </c>
      <c r="M99" s="139">
        <v>1.28</v>
      </c>
      <c r="N99" s="139">
        <v>1.32</v>
      </c>
      <c r="O99" s="139">
        <f t="shared" si="21"/>
        <v>1.28</v>
      </c>
      <c r="P99" s="139">
        <f t="shared" si="20"/>
        <v>1.28</v>
      </c>
    </row>
    <row r="100" spans="1:16" x14ac:dyDescent="0.35">
      <c r="A100" s="14" t="s">
        <v>457</v>
      </c>
      <c r="B100" s="4">
        <v>32.58</v>
      </c>
      <c r="C100" s="4">
        <v>32.76</v>
      </c>
      <c r="D100" s="4">
        <v>10.08</v>
      </c>
      <c r="E100" s="4">
        <v>9.06</v>
      </c>
      <c r="F100" s="4">
        <v>4.7300000000000004</v>
      </c>
      <c r="G100" s="4">
        <v>3.56</v>
      </c>
      <c r="H100" s="4">
        <f t="shared" si="23"/>
        <v>14.81</v>
      </c>
      <c r="I100" s="4">
        <f t="shared" si="22"/>
        <v>12.620000000000001</v>
      </c>
      <c r="J100" s="4">
        <v>1.29</v>
      </c>
      <c r="K100" s="4">
        <v>1.27</v>
      </c>
      <c r="L100" s="139" t="str">
        <f t="shared" si="19"/>
        <v xml:space="preserve"> </v>
      </c>
      <c r="M100" s="139">
        <v>1.29</v>
      </c>
      <c r="N100" s="139">
        <v>1.32</v>
      </c>
      <c r="O100" s="139">
        <f t="shared" si="21"/>
        <v>1.29</v>
      </c>
      <c r="P100" s="139">
        <f t="shared" si="20"/>
        <v>1.29</v>
      </c>
    </row>
    <row r="101" spans="1:16" x14ac:dyDescent="0.35">
      <c r="A101" s="14" t="s">
        <v>20</v>
      </c>
      <c r="B101" s="4">
        <v>26.52</v>
      </c>
      <c r="C101" s="4">
        <v>22.05</v>
      </c>
      <c r="D101" s="4">
        <v>34.700000000000003</v>
      </c>
      <c r="E101" s="4">
        <v>45.01</v>
      </c>
      <c r="F101" s="4">
        <v>2.2999999999999998</v>
      </c>
      <c r="G101" s="4">
        <v>1.37</v>
      </c>
      <c r="H101" s="4">
        <f t="shared" si="23"/>
        <v>37</v>
      </c>
      <c r="I101" s="4">
        <f t="shared" si="22"/>
        <v>46.379999999999995</v>
      </c>
      <c r="J101" s="4">
        <v>0</v>
      </c>
      <c r="K101" s="4">
        <v>0</v>
      </c>
      <c r="L101" s="139" t="str">
        <f t="shared" si="19"/>
        <v xml:space="preserve"> </v>
      </c>
      <c r="M101" s="139" t="s">
        <v>867</v>
      </c>
      <c r="N101" s="139">
        <v>1.35</v>
      </c>
      <c r="O101" s="139">
        <f t="shared" si="21"/>
        <v>1.35</v>
      </c>
      <c r="P101" s="139" t="str">
        <f t="shared" si="20"/>
        <v xml:space="preserve"> </v>
      </c>
    </row>
    <row r="102" spans="1:16" x14ac:dyDescent="0.35">
      <c r="A102" s="14" t="s">
        <v>2</v>
      </c>
      <c r="B102" s="4">
        <v>55.47</v>
      </c>
      <c r="C102" s="4">
        <v>49.58</v>
      </c>
      <c r="D102" s="4">
        <v>2.11</v>
      </c>
      <c r="E102" s="4">
        <v>1.47</v>
      </c>
      <c r="F102" s="4">
        <v>4.68</v>
      </c>
      <c r="G102" s="4">
        <v>2.46</v>
      </c>
      <c r="H102" s="4">
        <f t="shared" si="23"/>
        <v>6.7899999999999991</v>
      </c>
      <c r="I102" s="4">
        <f t="shared" si="22"/>
        <v>3.9299999999999997</v>
      </c>
      <c r="J102" s="4">
        <v>1.3</v>
      </c>
      <c r="K102" s="4">
        <v>1.3</v>
      </c>
      <c r="L102" s="139" t="str">
        <f t="shared" si="19"/>
        <v xml:space="preserve"> </v>
      </c>
      <c r="M102" s="139">
        <v>1.3</v>
      </c>
      <c r="N102">
        <v>1.22</v>
      </c>
      <c r="O102" s="139">
        <f t="shared" si="21"/>
        <v>1.3</v>
      </c>
      <c r="P102" s="139">
        <f t="shared" si="20"/>
        <v>1.3</v>
      </c>
    </row>
    <row r="103" spans="1:16" x14ac:dyDescent="0.35">
      <c r="A103" s="14" t="s">
        <v>83</v>
      </c>
      <c r="B103" s="4">
        <v>25.74</v>
      </c>
      <c r="C103" s="4">
        <v>32.409999999999997</v>
      </c>
      <c r="D103" s="4">
        <v>11.51</v>
      </c>
      <c r="E103" s="4">
        <v>8.5399999999999991</v>
      </c>
      <c r="F103" s="4">
        <v>3.77</v>
      </c>
      <c r="G103" s="4">
        <v>3.97</v>
      </c>
      <c r="H103" s="4">
        <f t="shared" si="23"/>
        <v>15.28</v>
      </c>
      <c r="I103" s="4">
        <f t="shared" si="22"/>
        <v>12.51</v>
      </c>
      <c r="J103" s="4">
        <v>0</v>
      </c>
      <c r="K103" s="4">
        <v>0</v>
      </c>
      <c r="L103" s="139" t="str">
        <f t="shared" si="19"/>
        <v xml:space="preserve"> </v>
      </c>
      <c r="M103" s="139" t="s">
        <v>867</v>
      </c>
      <c r="N103" s="139">
        <v>1.32</v>
      </c>
      <c r="O103" s="139">
        <f t="shared" si="21"/>
        <v>1.32</v>
      </c>
      <c r="P103" s="139" t="str">
        <f t="shared" si="20"/>
        <v xml:space="preserve"> </v>
      </c>
    </row>
    <row r="104" spans="1:16" x14ac:dyDescent="0.35">
      <c r="A104" s="14" t="s">
        <v>44</v>
      </c>
      <c r="B104" s="4">
        <v>24.47</v>
      </c>
      <c r="C104" s="4">
        <v>31.31</v>
      </c>
      <c r="D104" s="4">
        <v>25.24</v>
      </c>
      <c r="E104" s="4">
        <v>26.13</v>
      </c>
      <c r="F104" s="4">
        <v>12.48</v>
      </c>
      <c r="G104" s="4">
        <v>8.1</v>
      </c>
      <c r="H104" s="4">
        <f t="shared" si="23"/>
        <v>37.72</v>
      </c>
      <c r="I104" s="4">
        <f t="shared" si="22"/>
        <v>34.229999999999997</v>
      </c>
      <c r="J104" s="4">
        <v>1.42</v>
      </c>
      <c r="K104" s="4">
        <v>1.28</v>
      </c>
      <c r="L104" s="139" t="str">
        <f t="shared" si="19"/>
        <v xml:space="preserve"> </v>
      </c>
      <c r="M104" s="139">
        <v>1.42</v>
      </c>
      <c r="N104" s="139">
        <v>1.35</v>
      </c>
      <c r="O104" s="139">
        <f t="shared" si="21"/>
        <v>1.42</v>
      </c>
      <c r="P104" s="139">
        <f t="shared" si="20"/>
        <v>1.42</v>
      </c>
    </row>
    <row r="105" spans="1:16" x14ac:dyDescent="0.35">
      <c r="A105" s="14" t="s">
        <v>89</v>
      </c>
      <c r="B105" s="4">
        <v>29.43</v>
      </c>
      <c r="C105" s="4">
        <v>32.33</v>
      </c>
      <c r="D105" s="4">
        <v>17.32</v>
      </c>
      <c r="E105" s="4">
        <v>16.11</v>
      </c>
      <c r="F105" s="4">
        <v>13.73</v>
      </c>
      <c r="G105" s="4">
        <v>11.94</v>
      </c>
      <c r="H105" s="4">
        <f t="shared" si="23"/>
        <v>31.05</v>
      </c>
      <c r="I105" s="4">
        <f t="shared" si="22"/>
        <v>28.049999999999997</v>
      </c>
      <c r="J105" s="4">
        <v>1.34</v>
      </c>
      <c r="K105" s="4">
        <v>1.3</v>
      </c>
      <c r="L105" s="139" t="str">
        <f t="shared" si="19"/>
        <v xml:space="preserve"> </v>
      </c>
      <c r="M105" s="139">
        <v>1.34</v>
      </c>
      <c r="N105" s="139">
        <v>1.35</v>
      </c>
      <c r="O105" s="139">
        <f t="shared" si="21"/>
        <v>1.34</v>
      </c>
      <c r="P105" s="139">
        <f t="shared" si="20"/>
        <v>1.34</v>
      </c>
    </row>
    <row r="106" spans="1:16" x14ac:dyDescent="0.35">
      <c r="A106" s="14" t="s">
        <v>243</v>
      </c>
      <c r="B106" s="4">
        <v>35.15</v>
      </c>
      <c r="C106" s="4">
        <v>42.63</v>
      </c>
      <c r="D106" s="4">
        <v>12</v>
      </c>
      <c r="E106" s="4">
        <v>10.6</v>
      </c>
      <c r="F106" s="4">
        <v>6.6</v>
      </c>
      <c r="G106" s="4">
        <v>3.75</v>
      </c>
      <c r="H106" s="4">
        <f t="shared" si="23"/>
        <v>18.600000000000001</v>
      </c>
      <c r="I106" s="4">
        <f t="shared" si="22"/>
        <v>14.35</v>
      </c>
      <c r="J106" s="4">
        <v>0</v>
      </c>
      <c r="K106" s="4">
        <v>0</v>
      </c>
      <c r="L106" s="139" t="str">
        <f t="shared" si="19"/>
        <v xml:space="preserve"> </v>
      </c>
      <c r="M106" s="139" t="s">
        <v>867</v>
      </c>
      <c r="N106" s="139">
        <v>1.32</v>
      </c>
      <c r="O106" s="139">
        <f t="shared" si="21"/>
        <v>1.32</v>
      </c>
      <c r="P106" s="139" t="str">
        <f t="shared" si="20"/>
        <v xml:space="preserve"> </v>
      </c>
    </row>
    <row r="107" spans="1:16" x14ac:dyDescent="0.35">
      <c r="A107" s="14" t="s">
        <v>48</v>
      </c>
      <c r="B107" s="4">
        <v>24.8</v>
      </c>
      <c r="C107" s="4">
        <v>32.659999999999997</v>
      </c>
      <c r="D107" s="4">
        <v>15.22</v>
      </c>
      <c r="E107" s="4">
        <v>11.28</v>
      </c>
      <c r="F107" s="4">
        <v>32.94</v>
      </c>
      <c r="G107" s="4">
        <v>34.090000000000003</v>
      </c>
      <c r="H107" s="4">
        <f t="shared" si="23"/>
        <v>48.16</v>
      </c>
      <c r="I107" s="4">
        <f t="shared" si="22"/>
        <v>45.370000000000005</v>
      </c>
      <c r="J107" s="4">
        <v>1.39</v>
      </c>
      <c r="K107" s="4">
        <v>1.39</v>
      </c>
      <c r="L107" s="139" t="str">
        <f t="shared" si="19"/>
        <v xml:space="preserve"> </v>
      </c>
      <c r="M107" s="139">
        <v>1.39</v>
      </c>
      <c r="N107">
        <v>1.41</v>
      </c>
      <c r="O107" s="139">
        <f t="shared" si="21"/>
        <v>1.39</v>
      </c>
      <c r="P107" s="139">
        <f t="shared" si="20"/>
        <v>1.39</v>
      </c>
    </row>
    <row r="108" spans="1:16" x14ac:dyDescent="0.35">
      <c r="A108" s="14" t="s">
        <v>520</v>
      </c>
      <c r="B108" s="4">
        <v>5.73</v>
      </c>
      <c r="C108" s="4">
        <v>6.75</v>
      </c>
      <c r="D108" s="4">
        <v>23.66</v>
      </c>
      <c r="E108" s="4">
        <v>24.08</v>
      </c>
      <c r="F108" s="4">
        <v>31.67</v>
      </c>
      <c r="G108" s="4">
        <v>31.44</v>
      </c>
      <c r="H108" s="4">
        <f t="shared" si="23"/>
        <v>55.33</v>
      </c>
      <c r="I108" s="4">
        <f t="shared" si="22"/>
        <v>55.519999999999996</v>
      </c>
      <c r="J108" s="4">
        <v>1.62</v>
      </c>
      <c r="K108" s="4">
        <v>0</v>
      </c>
      <c r="L108" s="139" t="str">
        <f t="shared" si="19"/>
        <v xml:space="preserve"> </v>
      </c>
      <c r="M108" s="139">
        <v>1.62</v>
      </c>
      <c r="N108" s="139">
        <v>1.57</v>
      </c>
      <c r="O108" s="139">
        <f t="shared" si="21"/>
        <v>1.62</v>
      </c>
      <c r="P108" s="139">
        <f t="shared" si="20"/>
        <v>1.62</v>
      </c>
    </row>
    <row r="109" spans="1:16" x14ac:dyDescent="0.35">
      <c r="A109" s="14" t="s">
        <v>519</v>
      </c>
      <c r="B109" s="4">
        <v>10.92</v>
      </c>
      <c r="C109" s="4">
        <v>17.23</v>
      </c>
      <c r="D109" s="4">
        <v>12.63</v>
      </c>
      <c r="E109" s="4">
        <v>10.130000000000001</v>
      </c>
      <c r="F109" s="4">
        <v>10.98</v>
      </c>
      <c r="G109" s="4">
        <v>7.26</v>
      </c>
      <c r="H109" s="4">
        <f t="shared" si="23"/>
        <v>23.61</v>
      </c>
      <c r="I109" s="4">
        <f t="shared" si="22"/>
        <v>17.39</v>
      </c>
      <c r="J109" s="4">
        <v>0</v>
      </c>
      <c r="K109" s="4">
        <v>0</v>
      </c>
      <c r="L109" s="139" t="str">
        <f t="shared" si="19"/>
        <v xml:space="preserve"> </v>
      </c>
      <c r="M109" s="139" t="s">
        <v>867</v>
      </c>
      <c r="N109" s="139">
        <v>1.49</v>
      </c>
      <c r="O109" s="139">
        <f t="shared" si="21"/>
        <v>1.49</v>
      </c>
      <c r="P109" s="139" t="str">
        <f t="shared" si="20"/>
        <v xml:space="preserve"> </v>
      </c>
    </row>
    <row r="110" spans="1:16" x14ac:dyDescent="0.35">
      <c r="A110" s="14" t="s">
        <v>501</v>
      </c>
      <c r="B110" s="4">
        <v>7.16</v>
      </c>
      <c r="C110" s="4">
        <v>7.38</v>
      </c>
      <c r="D110" s="4">
        <v>7.6</v>
      </c>
      <c r="E110" s="4">
        <v>7.14</v>
      </c>
      <c r="F110" s="4">
        <v>7.2</v>
      </c>
      <c r="G110" s="4">
        <v>6.98</v>
      </c>
      <c r="H110" s="4">
        <f t="shared" si="23"/>
        <v>14.8</v>
      </c>
      <c r="I110" s="4">
        <f t="shared" si="22"/>
        <v>14.120000000000001</v>
      </c>
      <c r="J110" s="4">
        <v>0</v>
      </c>
      <c r="K110" s="4">
        <v>0</v>
      </c>
      <c r="L110" s="139" t="str">
        <f t="shared" si="19"/>
        <v xml:space="preserve"> </v>
      </c>
      <c r="M110" s="139" t="s">
        <v>867</v>
      </c>
      <c r="N110" s="139">
        <v>1.57</v>
      </c>
      <c r="O110" s="139">
        <f t="shared" si="21"/>
        <v>1.57</v>
      </c>
      <c r="P110" s="139" t="str">
        <f t="shared" si="20"/>
        <v xml:space="preserve"> </v>
      </c>
    </row>
    <row r="111" spans="1:16" x14ac:dyDescent="0.35">
      <c r="A111" s="14" t="s">
        <v>566</v>
      </c>
      <c r="B111" s="4">
        <v>27.23</v>
      </c>
      <c r="C111" s="4">
        <v>27.02</v>
      </c>
      <c r="D111" s="4">
        <v>7.13</v>
      </c>
      <c r="E111" s="4">
        <v>6.46</v>
      </c>
      <c r="F111" s="4">
        <v>6.95</v>
      </c>
      <c r="G111" s="4">
        <v>4.33</v>
      </c>
      <c r="H111" s="4">
        <f t="shared" si="23"/>
        <v>14.08</v>
      </c>
      <c r="I111" s="4">
        <f t="shared" si="22"/>
        <v>10.79</v>
      </c>
      <c r="J111" s="4">
        <v>0</v>
      </c>
      <c r="K111" s="4">
        <v>0</v>
      </c>
      <c r="L111" s="139" t="str">
        <f t="shared" si="19"/>
        <v xml:space="preserve"> </v>
      </c>
      <c r="M111" s="139" t="s">
        <v>867</v>
      </c>
      <c r="N111" s="139">
        <v>1.32</v>
      </c>
      <c r="O111" s="139">
        <f t="shared" si="21"/>
        <v>1.32</v>
      </c>
      <c r="P111" s="139" t="str">
        <f t="shared" si="20"/>
        <v xml:space="preserve"> </v>
      </c>
    </row>
    <row r="112" spans="1:16" x14ac:dyDescent="0.35">
      <c r="A112" s="14" t="s">
        <v>504</v>
      </c>
      <c r="B112" s="4">
        <v>6.88</v>
      </c>
      <c r="C112" s="4">
        <v>7.36</v>
      </c>
      <c r="D112" s="4">
        <v>5.26</v>
      </c>
      <c r="E112" s="4">
        <v>5.77</v>
      </c>
      <c r="F112" s="4">
        <v>11.3</v>
      </c>
      <c r="G112" s="4">
        <v>12.23</v>
      </c>
      <c r="H112" s="4">
        <f t="shared" si="23"/>
        <v>16.560000000000002</v>
      </c>
      <c r="I112" s="4">
        <f t="shared" si="22"/>
        <v>18</v>
      </c>
      <c r="J112" s="4">
        <v>0</v>
      </c>
      <c r="K112" s="4">
        <v>0</v>
      </c>
      <c r="L112" s="139" t="str">
        <f t="shared" si="19"/>
        <v xml:space="preserve"> </v>
      </c>
      <c r="M112" s="139" t="s">
        <v>867</v>
      </c>
      <c r="N112" s="139">
        <v>1.57</v>
      </c>
      <c r="O112" s="139">
        <f t="shared" si="21"/>
        <v>1.57</v>
      </c>
      <c r="P112" s="139" t="str">
        <f t="shared" si="20"/>
        <v xml:space="preserve"> </v>
      </c>
    </row>
    <row r="113" spans="1:16" x14ac:dyDescent="0.35">
      <c r="A113" s="14" t="s">
        <v>569</v>
      </c>
      <c r="B113" s="4">
        <v>18.59</v>
      </c>
      <c r="C113" s="4">
        <v>29.74</v>
      </c>
      <c r="D113" s="4">
        <v>8.9</v>
      </c>
      <c r="E113" s="4">
        <v>8.3699999999999992</v>
      </c>
      <c r="F113" s="4">
        <v>9.5</v>
      </c>
      <c r="G113" s="4">
        <v>8.0399999999999991</v>
      </c>
      <c r="H113" s="4">
        <f t="shared" si="23"/>
        <v>18.399999999999999</v>
      </c>
      <c r="I113" s="4">
        <f t="shared" si="22"/>
        <v>16.409999999999997</v>
      </c>
      <c r="J113" s="4">
        <v>0</v>
      </c>
      <c r="K113" s="4">
        <v>0</v>
      </c>
      <c r="L113" s="139" t="str">
        <f t="shared" si="19"/>
        <v xml:space="preserve"> </v>
      </c>
      <c r="M113" s="139" t="s">
        <v>867</v>
      </c>
      <c r="N113" s="139">
        <v>1.41</v>
      </c>
      <c r="O113" s="139">
        <f t="shared" si="21"/>
        <v>1.41</v>
      </c>
      <c r="P113" s="139" t="str">
        <f t="shared" si="20"/>
        <v xml:space="preserve"> </v>
      </c>
    </row>
    <row r="114" spans="1:16" x14ac:dyDescent="0.35">
      <c r="A114" s="14" t="s">
        <v>498</v>
      </c>
      <c r="B114" s="4">
        <v>11.75</v>
      </c>
      <c r="C114" s="4">
        <v>13.62</v>
      </c>
      <c r="D114" s="4">
        <v>14.36</v>
      </c>
      <c r="E114" s="4">
        <v>14.02</v>
      </c>
      <c r="F114" s="4">
        <v>26.28</v>
      </c>
      <c r="G114" s="4">
        <v>23.23</v>
      </c>
      <c r="H114" s="4">
        <f t="shared" si="23"/>
        <v>40.64</v>
      </c>
      <c r="I114" s="4">
        <f t="shared" si="22"/>
        <v>37.25</v>
      </c>
      <c r="J114" s="4">
        <v>0</v>
      </c>
      <c r="K114" s="4">
        <v>0</v>
      </c>
      <c r="L114" s="139" t="str">
        <f t="shared" si="19"/>
        <v xml:space="preserve"> </v>
      </c>
      <c r="M114" s="139" t="s">
        <v>867</v>
      </c>
      <c r="N114" s="139">
        <v>1.52</v>
      </c>
      <c r="O114" s="139">
        <f t="shared" si="21"/>
        <v>1.52</v>
      </c>
      <c r="P114" s="139" t="str">
        <f t="shared" si="20"/>
        <v xml:space="preserve"> </v>
      </c>
    </row>
    <row r="115" spans="1:16" x14ac:dyDescent="0.35">
      <c r="A115" s="14" t="s">
        <v>499</v>
      </c>
      <c r="B115" s="4">
        <v>5</v>
      </c>
      <c r="C115" s="4">
        <v>11.3</v>
      </c>
      <c r="D115" s="4">
        <v>8.6199999999999992</v>
      </c>
      <c r="E115" s="4">
        <v>8.14</v>
      </c>
      <c r="F115" s="4">
        <v>7.31</v>
      </c>
      <c r="G115" s="4">
        <v>7.42</v>
      </c>
      <c r="H115" s="4">
        <f t="shared" si="23"/>
        <v>15.93</v>
      </c>
      <c r="I115" s="4">
        <f t="shared" si="22"/>
        <v>15.56</v>
      </c>
      <c r="J115" s="4">
        <v>0</v>
      </c>
      <c r="K115" s="4">
        <v>0</v>
      </c>
      <c r="L115" s="139" t="str">
        <f t="shared" si="19"/>
        <v xml:space="preserve"> </v>
      </c>
      <c r="M115" s="139" t="s">
        <v>867</v>
      </c>
      <c r="N115" s="139">
        <v>1.57</v>
      </c>
      <c r="O115" s="139">
        <f t="shared" si="21"/>
        <v>1.57</v>
      </c>
      <c r="P115" s="139" t="str">
        <f t="shared" si="20"/>
        <v xml:space="preserve"> </v>
      </c>
    </row>
    <row r="116" spans="1:16" x14ac:dyDescent="0.35">
      <c r="A116" s="14" t="s">
        <v>495</v>
      </c>
      <c r="B116" s="4">
        <v>16.239999999999998</v>
      </c>
      <c r="C116" s="4">
        <v>20.97</v>
      </c>
      <c r="D116" s="4">
        <v>7.09</v>
      </c>
      <c r="E116" s="4">
        <v>6.91</v>
      </c>
      <c r="F116" s="4">
        <v>6.89</v>
      </c>
      <c r="G116" s="4">
        <v>6.28</v>
      </c>
      <c r="H116" s="4">
        <f t="shared" si="23"/>
        <v>13.98</v>
      </c>
      <c r="I116" s="4">
        <f t="shared" si="22"/>
        <v>13.190000000000001</v>
      </c>
      <c r="J116" s="4">
        <v>0</v>
      </c>
      <c r="K116" s="4">
        <v>0</v>
      </c>
      <c r="L116" s="139" t="str">
        <f t="shared" si="19"/>
        <v xml:space="preserve"> </v>
      </c>
      <c r="M116" s="139" t="s">
        <v>867</v>
      </c>
      <c r="N116" s="139">
        <v>1.41</v>
      </c>
      <c r="O116" s="139">
        <f t="shared" si="21"/>
        <v>1.41</v>
      </c>
      <c r="P116" s="139" t="str">
        <f t="shared" si="20"/>
        <v xml:space="preserve"> </v>
      </c>
    </row>
    <row r="117" spans="1:16" x14ac:dyDescent="0.35">
      <c r="A117" s="14" t="s">
        <v>506</v>
      </c>
      <c r="B117" s="4">
        <v>4.51</v>
      </c>
      <c r="C117" s="4">
        <v>9.5500000000000007</v>
      </c>
      <c r="D117" s="4">
        <v>5.01</v>
      </c>
      <c r="E117" s="4">
        <v>4.88</v>
      </c>
      <c r="F117" s="4">
        <v>8.48</v>
      </c>
      <c r="G117" s="4">
        <v>8.15</v>
      </c>
      <c r="H117" s="4">
        <f t="shared" si="23"/>
        <v>13.49</v>
      </c>
      <c r="I117" s="4">
        <f t="shared" si="22"/>
        <v>13.030000000000001</v>
      </c>
      <c r="J117" s="4">
        <v>0</v>
      </c>
      <c r="K117" s="4">
        <v>0</v>
      </c>
      <c r="L117" s="139" t="str">
        <f t="shared" si="19"/>
        <v xml:space="preserve"> </v>
      </c>
      <c r="M117" s="139" t="s">
        <v>867</v>
      </c>
      <c r="N117" s="139">
        <v>1.57</v>
      </c>
      <c r="O117" s="139">
        <f t="shared" si="21"/>
        <v>1.57</v>
      </c>
      <c r="P117" s="139" t="str">
        <f t="shared" si="20"/>
        <v xml:space="preserve"> </v>
      </c>
    </row>
    <row r="118" spans="1:16" x14ac:dyDescent="0.35">
      <c r="A118" s="14" t="s">
        <v>515</v>
      </c>
      <c r="B118" s="4">
        <v>35.4</v>
      </c>
      <c r="C118" s="4">
        <v>48.65</v>
      </c>
      <c r="D118" s="4">
        <v>12.83</v>
      </c>
      <c r="E118" s="4">
        <v>11.67</v>
      </c>
      <c r="F118" s="4">
        <v>6.4</v>
      </c>
      <c r="G118" s="4">
        <v>3.6</v>
      </c>
      <c r="H118" s="4">
        <f t="shared" si="23"/>
        <v>19.23</v>
      </c>
      <c r="I118" s="4">
        <f t="shared" si="22"/>
        <v>15.27</v>
      </c>
      <c r="J118" s="4">
        <v>0</v>
      </c>
      <c r="K118" s="4">
        <v>0</v>
      </c>
      <c r="L118" s="139" t="str">
        <f t="shared" si="19"/>
        <v xml:space="preserve"> </v>
      </c>
      <c r="M118" s="139" t="s">
        <v>867</v>
      </c>
      <c r="N118" s="139">
        <v>1.32</v>
      </c>
      <c r="O118" s="139">
        <f t="shared" si="21"/>
        <v>1.32</v>
      </c>
      <c r="P118" s="139" t="str">
        <f t="shared" si="20"/>
        <v xml:space="preserve"> </v>
      </c>
    </row>
    <row r="119" spans="1:16" x14ac:dyDescent="0.35">
      <c r="A119" s="14" t="s">
        <v>487</v>
      </c>
      <c r="B119" s="4">
        <v>35.07</v>
      </c>
      <c r="C119" s="4">
        <v>31.8</v>
      </c>
      <c r="D119" s="4">
        <v>6.74</v>
      </c>
      <c r="E119" s="4">
        <v>7.01</v>
      </c>
      <c r="F119" s="4">
        <v>6.8</v>
      </c>
      <c r="G119" s="4">
        <v>6.12</v>
      </c>
      <c r="H119" s="4">
        <f t="shared" si="23"/>
        <v>13.54</v>
      </c>
      <c r="I119" s="4">
        <f t="shared" si="22"/>
        <v>13.129999999999999</v>
      </c>
      <c r="J119" s="4">
        <v>0</v>
      </c>
      <c r="K119" s="4">
        <v>0</v>
      </c>
      <c r="L119" s="139" t="str">
        <f t="shared" si="19"/>
        <v xml:space="preserve"> </v>
      </c>
      <c r="M119" s="139" t="s">
        <v>867</v>
      </c>
      <c r="N119" s="139">
        <v>1.32</v>
      </c>
      <c r="O119" s="139">
        <f t="shared" si="21"/>
        <v>1.32</v>
      </c>
      <c r="P119" s="139" t="str">
        <f t="shared" si="20"/>
        <v xml:space="preserve"> </v>
      </c>
    </row>
    <row r="120" spans="1:16" x14ac:dyDescent="0.35">
      <c r="A120" s="14" t="s">
        <v>494</v>
      </c>
      <c r="B120" s="4">
        <v>15.97</v>
      </c>
      <c r="C120" s="4">
        <v>22.64</v>
      </c>
      <c r="D120" s="4">
        <v>10.51</v>
      </c>
      <c r="E120" s="4">
        <v>11.94</v>
      </c>
      <c r="F120" s="4">
        <v>2.1800000000000002</v>
      </c>
      <c r="G120" s="4">
        <v>1.36</v>
      </c>
      <c r="H120" s="4">
        <f t="shared" si="23"/>
        <v>12.69</v>
      </c>
      <c r="I120" s="4">
        <f t="shared" si="22"/>
        <v>13.299999999999999</v>
      </c>
      <c r="J120" s="4">
        <v>0</v>
      </c>
      <c r="K120" s="4">
        <v>0</v>
      </c>
      <c r="L120" s="139" t="str">
        <f t="shared" si="19"/>
        <v xml:space="preserve"> </v>
      </c>
      <c r="M120" s="139" t="s">
        <v>867</v>
      </c>
      <c r="N120" s="139">
        <v>1.41</v>
      </c>
      <c r="O120" s="139">
        <f t="shared" si="21"/>
        <v>1.41</v>
      </c>
      <c r="P120" s="139" t="str">
        <f t="shared" si="20"/>
        <v xml:space="preserve"> </v>
      </c>
    </row>
    <row r="121" spans="1:16" x14ac:dyDescent="0.35">
      <c r="A121" s="14" t="s">
        <v>490</v>
      </c>
      <c r="B121" s="4">
        <v>10.3</v>
      </c>
      <c r="C121" s="4">
        <v>14.97</v>
      </c>
      <c r="D121" s="4">
        <v>8.1999999999999993</v>
      </c>
      <c r="E121" s="4">
        <v>6.98</v>
      </c>
      <c r="F121" s="4">
        <v>2</v>
      </c>
      <c r="G121" s="4">
        <v>1.33</v>
      </c>
      <c r="H121" s="4">
        <f t="shared" si="23"/>
        <v>10.199999999999999</v>
      </c>
      <c r="I121" s="4">
        <f t="shared" si="22"/>
        <v>8.31</v>
      </c>
      <c r="J121" s="4">
        <v>0</v>
      </c>
      <c r="K121" s="4">
        <v>0</v>
      </c>
      <c r="L121" s="139" t="str">
        <f t="shared" si="19"/>
        <v xml:space="preserve"> </v>
      </c>
      <c r="M121" s="139" t="s">
        <v>867</v>
      </c>
      <c r="N121" s="139">
        <v>1.41</v>
      </c>
      <c r="O121" s="139">
        <f t="shared" si="21"/>
        <v>1.41</v>
      </c>
      <c r="P121" s="139" t="str">
        <f t="shared" si="20"/>
        <v xml:space="preserve"> </v>
      </c>
    </row>
    <row r="122" spans="1:16" x14ac:dyDescent="0.35">
      <c r="A122" s="14" t="s">
        <v>474</v>
      </c>
      <c r="B122" s="4">
        <v>16.04</v>
      </c>
      <c r="C122" s="4">
        <v>23.64</v>
      </c>
      <c r="D122" s="4">
        <v>4.12</v>
      </c>
      <c r="E122" s="4">
        <v>3.65</v>
      </c>
      <c r="F122" s="4">
        <v>3.08</v>
      </c>
      <c r="G122" s="4">
        <v>2.21</v>
      </c>
      <c r="H122" s="4">
        <f t="shared" si="23"/>
        <v>7.2</v>
      </c>
      <c r="I122" s="4">
        <f t="shared" si="22"/>
        <v>5.8599999999999994</v>
      </c>
      <c r="J122" s="4">
        <v>0</v>
      </c>
      <c r="K122" s="4">
        <v>0</v>
      </c>
      <c r="L122" s="139" t="str">
        <f t="shared" si="19"/>
        <v xml:space="preserve"> </v>
      </c>
      <c r="M122" s="139" t="s">
        <v>867</v>
      </c>
      <c r="N122" s="139">
        <v>1.41</v>
      </c>
      <c r="O122" s="139">
        <f t="shared" si="21"/>
        <v>1.41</v>
      </c>
      <c r="P122" s="139" t="str">
        <f t="shared" si="20"/>
        <v xml:space="preserve"> </v>
      </c>
    </row>
    <row r="123" spans="1:16" x14ac:dyDescent="0.35">
      <c r="A123" s="14" t="s">
        <v>568</v>
      </c>
      <c r="B123" s="4">
        <v>24.85</v>
      </c>
      <c r="C123" s="4">
        <v>29.95</v>
      </c>
      <c r="D123" s="4">
        <v>6.91</v>
      </c>
      <c r="E123" s="4">
        <v>6.69</v>
      </c>
      <c r="F123" s="4">
        <v>8.07</v>
      </c>
      <c r="G123" s="4">
        <v>7.49</v>
      </c>
      <c r="H123" s="4">
        <f t="shared" si="23"/>
        <v>14.98</v>
      </c>
      <c r="I123" s="4">
        <f t="shared" si="22"/>
        <v>14.18</v>
      </c>
      <c r="J123" s="4">
        <v>0</v>
      </c>
      <c r="K123" s="4">
        <v>0</v>
      </c>
      <c r="L123" s="139" t="str">
        <f t="shared" si="19"/>
        <v xml:space="preserve"> </v>
      </c>
      <c r="M123" s="139" t="s">
        <v>867</v>
      </c>
      <c r="N123" s="139">
        <v>1.32</v>
      </c>
      <c r="O123" s="139">
        <f t="shared" si="21"/>
        <v>1.32</v>
      </c>
      <c r="P123" s="139" t="str">
        <f t="shared" si="20"/>
        <v xml:space="preserve"> </v>
      </c>
    </row>
    <row r="124" spans="1:16" x14ac:dyDescent="0.35">
      <c r="A124" s="14" t="s">
        <v>488</v>
      </c>
      <c r="B124" s="4">
        <v>18.89</v>
      </c>
      <c r="C124" s="4">
        <v>23.35</v>
      </c>
      <c r="D124" s="4">
        <v>9.98</v>
      </c>
      <c r="E124" s="4">
        <v>9.23</v>
      </c>
      <c r="F124" s="4">
        <v>5.52</v>
      </c>
      <c r="G124" s="4">
        <v>4.54</v>
      </c>
      <c r="H124" s="4">
        <f t="shared" si="23"/>
        <v>15.5</v>
      </c>
      <c r="I124" s="4">
        <f t="shared" si="22"/>
        <v>13.77</v>
      </c>
      <c r="J124" s="4">
        <v>0</v>
      </c>
      <c r="K124" s="4">
        <v>0</v>
      </c>
      <c r="L124" s="139" t="str">
        <f t="shared" si="19"/>
        <v xml:space="preserve"> </v>
      </c>
      <c r="M124" s="139" t="s">
        <v>867</v>
      </c>
      <c r="N124" s="139">
        <v>1.41</v>
      </c>
      <c r="O124" s="139">
        <f t="shared" si="21"/>
        <v>1.41</v>
      </c>
      <c r="P124" s="139" t="str">
        <f t="shared" si="20"/>
        <v xml:space="preserve"> </v>
      </c>
    </row>
    <row r="125" spans="1:16" x14ac:dyDescent="0.35">
      <c r="A125" s="14" t="s">
        <v>496</v>
      </c>
      <c r="B125" s="4">
        <v>9.93</v>
      </c>
      <c r="C125" s="4">
        <v>19.420000000000002</v>
      </c>
      <c r="D125" s="4">
        <v>16.5</v>
      </c>
      <c r="E125" s="4">
        <v>16.510000000000002</v>
      </c>
      <c r="F125" s="4">
        <v>6.9</v>
      </c>
      <c r="G125" s="4">
        <v>5.31</v>
      </c>
      <c r="H125" s="4">
        <f t="shared" si="23"/>
        <v>23.4</v>
      </c>
      <c r="I125" s="4">
        <f t="shared" si="22"/>
        <v>21.82</v>
      </c>
      <c r="J125" s="4">
        <v>0</v>
      </c>
      <c r="K125" s="4">
        <v>0</v>
      </c>
      <c r="L125" s="139" t="str">
        <f t="shared" si="19"/>
        <v xml:space="preserve"> </v>
      </c>
      <c r="M125" s="139" t="s">
        <v>867</v>
      </c>
      <c r="N125" s="139">
        <v>1.57</v>
      </c>
      <c r="O125" s="139">
        <f t="shared" si="21"/>
        <v>1.57</v>
      </c>
      <c r="P125" s="139" t="str">
        <f t="shared" si="20"/>
        <v xml:space="preserve"> </v>
      </c>
    </row>
    <row r="126" spans="1:16" x14ac:dyDescent="0.35">
      <c r="A126" s="14" t="s">
        <v>511</v>
      </c>
      <c r="B126" s="4">
        <v>15.39</v>
      </c>
      <c r="C126" s="4">
        <v>8.7200000000000006</v>
      </c>
      <c r="D126" s="4">
        <v>7.1</v>
      </c>
      <c r="E126" s="4">
        <v>4.0199999999999996</v>
      </c>
      <c r="F126" s="4">
        <v>6.3</v>
      </c>
      <c r="G126" s="4">
        <v>3.57</v>
      </c>
      <c r="H126" s="4">
        <f t="shared" si="23"/>
        <v>13.399999999999999</v>
      </c>
      <c r="I126" s="4">
        <f t="shared" si="22"/>
        <v>7.59</v>
      </c>
      <c r="J126" s="4">
        <v>0</v>
      </c>
      <c r="K126" s="4">
        <v>0</v>
      </c>
      <c r="L126" s="139" t="str">
        <f t="shared" si="19"/>
        <v xml:space="preserve"> </v>
      </c>
      <c r="M126" s="139" t="s">
        <v>867</v>
      </c>
      <c r="N126" s="139">
        <v>1.41</v>
      </c>
      <c r="O126" s="139">
        <f t="shared" si="21"/>
        <v>1.41</v>
      </c>
      <c r="P126" s="139" t="str">
        <f t="shared" si="20"/>
        <v xml:space="preserve"> </v>
      </c>
    </row>
    <row r="127" spans="1:16" x14ac:dyDescent="0.35">
      <c r="A127" s="14" t="s">
        <v>477</v>
      </c>
      <c r="B127" s="4">
        <v>30.32</v>
      </c>
      <c r="C127" s="4">
        <v>34.35</v>
      </c>
      <c r="D127" s="4">
        <v>7.1</v>
      </c>
      <c r="E127" s="4">
        <v>5.65</v>
      </c>
      <c r="F127" s="4">
        <v>7</v>
      </c>
      <c r="G127" s="4">
        <v>4.5999999999999996</v>
      </c>
      <c r="H127" s="4">
        <f t="shared" si="23"/>
        <v>14.1</v>
      </c>
      <c r="I127" s="4">
        <f t="shared" si="22"/>
        <v>10.25</v>
      </c>
      <c r="J127" s="4">
        <v>0</v>
      </c>
      <c r="K127" s="4">
        <v>0</v>
      </c>
      <c r="L127" s="139" t="str">
        <f t="shared" si="19"/>
        <v xml:space="preserve"> </v>
      </c>
      <c r="M127" s="139" t="s">
        <v>867</v>
      </c>
      <c r="N127" s="139">
        <v>1.32</v>
      </c>
      <c r="O127" s="139">
        <f t="shared" si="21"/>
        <v>1.32</v>
      </c>
      <c r="P127" s="139" t="str">
        <f t="shared" si="20"/>
        <v xml:space="preserve"> </v>
      </c>
    </row>
    <row r="128" spans="1:16" x14ac:dyDescent="0.35">
      <c r="A128" s="14" t="s">
        <v>516</v>
      </c>
      <c r="B128" s="4">
        <v>19.670000000000002</v>
      </c>
      <c r="C128" s="4">
        <v>30.26</v>
      </c>
      <c r="D128" s="4">
        <v>7.31</v>
      </c>
      <c r="E128" s="4">
        <v>7.56</v>
      </c>
      <c r="F128" s="4">
        <v>4.43</v>
      </c>
      <c r="G128" s="4">
        <v>2.27</v>
      </c>
      <c r="H128" s="4">
        <f t="shared" si="23"/>
        <v>11.739999999999998</v>
      </c>
      <c r="I128" s="4">
        <f t="shared" si="22"/>
        <v>9.83</v>
      </c>
      <c r="J128" s="4">
        <v>0</v>
      </c>
      <c r="K128" s="4">
        <v>0</v>
      </c>
      <c r="L128" s="139" t="str">
        <f t="shared" si="19"/>
        <v xml:space="preserve"> </v>
      </c>
      <c r="M128" s="139" t="s">
        <v>867</v>
      </c>
      <c r="N128" s="139">
        <v>1.41</v>
      </c>
      <c r="O128" s="139">
        <f t="shared" si="21"/>
        <v>1.41</v>
      </c>
      <c r="P128" s="139" t="str">
        <f t="shared" si="20"/>
        <v xml:space="preserve"> </v>
      </c>
    </row>
    <row r="129" spans="1:16" x14ac:dyDescent="0.35">
      <c r="A129" s="14" t="s">
        <v>509</v>
      </c>
      <c r="B129" s="4">
        <v>18.77</v>
      </c>
      <c r="C129" s="4">
        <v>23.74</v>
      </c>
      <c r="D129" s="4">
        <v>5</v>
      </c>
      <c r="E129" s="4">
        <v>5.7</v>
      </c>
      <c r="F129" s="4">
        <v>1</v>
      </c>
      <c r="G129" s="4">
        <v>0.65</v>
      </c>
      <c r="H129" s="4">
        <f t="shared" si="23"/>
        <v>6</v>
      </c>
      <c r="I129" s="4">
        <f t="shared" si="22"/>
        <v>6.3500000000000005</v>
      </c>
      <c r="J129" s="4">
        <v>0</v>
      </c>
      <c r="K129" s="4">
        <v>0</v>
      </c>
      <c r="L129" s="139" t="str">
        <f t="shared" si="19"/>
        <v xml:space="preserve"> </v>
      </c>
      <c r="M129" s="139" t="s">
        <v>867</v>
      </c>
      <c r="N129" s="139">
        <v>1.41</v>
      </c>
      <c r="O129" s="139">
        <f t="shared" si="21"/>
        <v>1.41</v>
      </c>
      <c r="P129" s="139" t="str">
        <f t="shared" si="20"/>
        <v xml:space="preserve"> </v>
      </c>
    </row>
    <row r="130" spans="1:16" x14ac:dyDescent="0.35">
      <c r="A130" s="14" t="s">
        <v>518</v>
      </c>
      <c r="B130" s="4">
        <v>21.8</v>
      </c>
      <c r="C130" s="4">
        <v>25.08</v>
      </c>
      <c r="D130" s="4">
        <v>5.61</v>
      </c>
      <c r="E130" s="4">
        <v>5.64</v>
      </c>
      <c r="F130" s="4">
        <v>0.92</v>
      </c>
      <c r="G130" s="4">
        <v>0.54</v>
      </c>
      <c r="H130" s="4">
        <f t="shared" si="23"/>
        <v>6.53</v>
      </c>
      <c r="I130" s="4">
        <f t="shared" si="22"/>
        <v>6.18</v>
      </c>
      <c r="J130" s="4">
        <v>0</v>
      </c>
      <c r="K130" s="4">
        <v>0</v>
      </c>
      <c r="L130" s="139" t="str">
        <f t="shared" si="19"/>
        <v xml:space="preserve"> </v>
      </c>
      <c r="M130" s="139" t="s">
        <v>867</v>
      </c>
      <c r="N130" s="139">
        <v>1.32</v>
      </c>
      <c r="O130" s="139">
        <f t="shared" si="21"/>
        <v>1.32</v>
      </c>
      <c r="P130" s="139" t="str">
        <f t="shared" si="20"/>
        <v xml:space="preserve"> </v>
      </c>
    </row>
    <row r="131" spans="1:16" x14ac:dyDescent="0.35">
      <c r="A131" s="14" t="s">
        <v>478</v>
      </c>
      <c r="B131" s="4">
        <v>21.23</v>
      </c>
      <c r="C131" s="4">
        <v>27.85</v>
      </c>
      <c r="D131" s="4">
        <v>5.5</v>
      </c>
      <c r="E131" s="4">
        <v>5.9</v>
      </c>
      <c r="F131" s="4">
        <v>1.9</v>
      </c>
      <c r="G131" s="4">
        <v>1.35</v>
      </c>
      <c r="H131" s="4">
        <f t="shared" si="23"/>
        <v>7.4</v>
      </c>
      <c r="I131" s="4">
        <f t="shared" si="22"/>
        <v>7.25</v>
      </c>
      <c r="J131" s="4">
        <v>0</v>
      </c>
      <c r="K131" s="4">
        <v>0</v>
      </c>
      <c r="L131" s="139" t="str">
        <f t="shared" si="19"/>
        <v xml:space="preserve"> </v>
      </c>
      <c r="M131" s="139" t="s">
        <v>867</v>
      </c>
      <c r="N131" s="139">
        <v>1.32</v>
      </c>
      <c r="O131" s="139">
        <f t="shared" si="21"/>
        <v>1.32</v>
      </c>
      <c r="P131" s="139" t="str">
        <f t="shared" si="20"/>
        <v xml:space="preserve"> </v>
      </c>
    </row>
    <row r="132" spans="1:16" x14ac:dyDescent="0.35">
      <c r="A132" s="14" t="s">
        <v>395</v>
      </c>
      <c r="B132" s="4">
        <v>21.92</v>
      </c>
      <c r="C132" s="4">
        <v>24.69</v>
      </c>
      <c r="D132" s="4">
        <v>16.2</v>
      </c>
      <c r="E132" s="4">
        <v>14.97</v>
      </c>
      <c r="F132" s="4">
        <v>6.6</v>
      </c>
      <c r="G132" s="4">
        <v>6.01</v>
      </c>
      <c r="H132" s="4">
        <f t="shared" si="23"/>
        <v>22.799999999999997</v>
      </c>
      <c r="I132" s="4">
        <f t="shared" si="22"/>
        <v>20.98</v>
      </c>
      <c r="J132" s="4">
        <v>0</v>
      </c>
      <c r="K132" s="4">
        <v>0</v>
      </c>
      <c r="L132" s="139" t="str">
        <f t="shared" si="19"/>
        <v xml:space="preserve"> </v>
      </c>
      <c r="M132" s="139" t="s">
        <v>867</v>
      </c>
      <c r="N132" s="139">
        <v>1.35</v>
      </c>
      <c r="O132" s="139">
        <f t="shared" si="21"/>
        <v>1.35</v>
      </c>
      <c r="P132" s="139" t="str">
        <f t="shared" si="20"/>
        <v xml:space="preserve"> </v>
      </c>
    </row>
    <row r="133" spans="1:16" x14ac:dyDescent="0.35">
      <c r="A133" s="14" t="s">
        <v>392</v>
      </c>
      <c r="B133" s="4">
        <v>21.69</v>
      </c>
      <c r="C133" s="4">
        <v>27.92</v>
      </c>
      <c r="D133" s="4">
        <v>12.9</v>
      </c>
      <c r="E133" s="4">
        <v>12</v>
      </c>
      <c r="F133" s="4">
        <v>11.2</v>
      </c>
      <c r="G133" s="4">
        <v>10.17</v>
      </c>
      <c r="H133" s="4">
        <f t="shared" si="23"/>
        <v>24.1</v>
      </c>
      <c r="I133" s="4">
        <f t="shared" si="22"/>
        <v>22.17</v>
      </c>
      <c r="J133" s="4">
        <v>0</v>
      </c>
      <c r="K133" s="4">
        <v>0</v>
      </c>
      <c r="L133" s="139" t="str">
        <f t="shared" si="19"/>
        <v xml:space="preserve"> </v>
      </c>
      <c r="M133" s="139" t="s">
        <v>867</v>
      </c>
      <c r="N133" s="139">
        <v>1.35</v>
      </c>
      <c r="O133" s="139">
        <f t="shared" si="21"/>
        <v>1.35</v>
      </c>
      <c r="P133" s="139" t="str">
        <f t="shared" si="20"/>
        <v xml:space="preserve"> </v>
      </c>
    </row>
    <row r="134" spans="1:16" x14ac:dyDescent="0.35">
      <c r="A134" s="14" t="s">
        <v>385</v>
      </c>
      <c r="B134" s="4">
        <v>23.27</v>
      </c>
      <c r="C134" s="4">
        <v>27.51</v>
      </c>
      <c r="D134" s="4">
        <v>14.17</v>
      </c>
      <c r="E134" s="4">
        <v>11.83</v>
      </c>
      <c r="F134" s="4">
        <v>4.21</v>
      </c>
      <c r="G134" s="4">
        <v>3.73</v>
      </c>
      <c r="H134" s="4">
        <f t="shared" si="23"/>
        <v>18.38</v>
      </c>
      <c r="I134" s="4">
        <f t="shared" si="22"/>
        <v>15.56</v>
      </c>
      <c r="J134" s="4">
        <v>0</v>
      </c>
      <c r="K134" s="4">
        <v>0</v>
      </c>
      <c r="L134" s="139" t="str">
        <f t="shared" si="19"/>
        <v xml:space="preserve"> </v>
      </c>
      <c r="M134" s="139" t="s">
        <v>867</v>
      </c>
      <c r="N134" s="139">
        <v>1.32</v>
      </c>
      <c r="O134" s="139">
        <f t="shared" si="21"/>
        <v>1.32</v>
      </c>
      <c r="P134" s="139" t="str">
        <f t="shared" si="20"/>
        <v xml:space="preserve"> </v>
      </c>
    </row>
    <row r="135" spans="1:16" x14ac:dyDescent="0.35">
      <c r="A135" s="14" t="s">
        <v>397</v>
      </c>
      <c r="B135" s="4">
        <v>20.73</v>
      </c>
      <c r="C135" s="4">
        <v>24.26</v>
      </c>
      <c r="D135" s="4">
        <v>15.66</v>
      </c>
      <c r="E135" s="4">
        <v>15.13</v>
      </c>
      <c r="F135" s="4">
        <v>21.8</v>
      </c>
      <c r="G135" s="4">
        <v>19.399999999999999</v>
      </c>
      <c r="H135" s="4">
        <f t="shared" si="23"/>
        <v>37.46</v>
      </c>
      <c r="I135" s="4">
        <f t="shared" si="22"/>
        <v>34.53</v>
      </c>
      <c r="J135" s="4">
        <v>0</v>
      </c>
      <c r="K135" s="4">
        <v>0</v>
      </c>
      <c r="L135" s="139" t="str">
        <f t="shared" ref="L135:L198" si="24">IF(AND($B135&lt;L$3,$B135&gt;L$2,$H135&lt;L$5,$H135&gt;L$4),$J135," ")</f>
        <v xml:space="preserve"> </v>
      </c>
      <c r="M135" s="139" t="s">
        <v>867</v>
      </c>
      <c r="N135" s="139">
        <v>1.35</v>
      </c>
      <c r="O135" s="139">
        <f t="shared" si="21"/>
        <v>1.35</v>
      </c>
      <c r="P135" s="139" t="str">
        <f t="shared" ref="P135:P198" si="25">IF(M135&gt;0,M135," ")</f>
        <v xml:space="preserve"> </v>
      </c>
    </row>
    <row r="136" spans="1:16" x14ac:dyDescent="0.35">
      <c r="A136" s="14" t="s">
        <v>402</v>
      </c>
      <c r="B136" s="4">
        <v>11.57</v>
      </c>
      <c r="C136" s="4">
        <v>16.96</v>
      </c>
      <c r="D136" s="4">
        <v>14.9</v>
      </c>
      <c r="E136" s="4">
        <v>14.48</v>
      </c>
      <c r="F136" s="4">
        <v>10.23</v>
      </c>
      <c r="G136" s="4">
        <v>10.42</v>
      </c>
      <c r="H136" s="4">
        <f t="shared" si="23"/>
        <v>25.130000000000003</v>
      </c>
      <c r="I136" s="4">
        <f t="shared" si="22"/>
        <v>24.9</v>
      </c>
      <c r="J136" s="4">
        <v>0</v>
      </c>
      <c r="K136" s="4">
        <v>0</v>
      </c>
      <c r="L136" s="139" t="str">
        <f t="shared" si="24"/>
        <v xml:space="preserve"> </v>
      </c>
      <c r="M136" s="139" t="s">
        <v>867</v>
      </c>
      <c r="N136" s="139">
        <v>1.49</v>
      </c>
      <c r="O136" s="139">
        <f t="shared" ref="O136:O199" si="26">IF(M136=" ",N136,M136)</f>
        <v>1.49</v>
      </c>
      <c r="P136" s="139" t="str">
        <f t="shared" si="25"/>
        <v xml:space="preserve"> </v>
      </c>
    </row>
    <row r="137" spans="1:16" x14ac:dyDescent="0.35">
      <c r="A137" s="14" t="s">
        <v>377</v>
      </c>
      <c r="B137" s="4">
        <v>13.2</v>
      </c>
      <c r="C137" s="4">
        <v>13.59</v>
      </c>
      <c r="D137" s="4">
        <v>12.54</v>
      </c>
      <c r="E137" s="4">
        <v>12.74</v>
      </c>
      <c r="F137" s="4">
        <v>8.44</v>
      </c>
      <c r="G137" s="4">
        <v>10.3</v>
      </c>
      <c r="H137" s="4">
        <f t="shared" si="23"/>
        <v>20.979999999999997</v>
      </c>
      <c r="I137" s="4">
        <f t="shared" si="22"/>
        <v>23.04</v>
      </c>
      <c r="J137" s="4">
        <v>0</v>
      </c>
      <c r="K137" s="4">
        <v>0</v>
      </c>
      <c r="L137" s="139" t="str">
        <f t="shared" si="24"/>
        <v xml:space="preserve"> </v>
      </c>
      <c r="M137" s="139" t="s">
        <v>867</v>
      </c>
      <c r="N137" s="139">
        <v>1.49</v>
      </c>
      <c r="O137" s="139">
        <f t="shared" si="26"/>
        <v>1.49</v>
      </c>
      <c r="P137" s="139" t="str">
        <f t="shared" si="25"/>
        <v xml:space="preserve"> </v>
      </c>
    </row>
    <row r="138" spans="1:16" x14ac:dyDescent="0.35">
      <c r="A138" s="14" t="s">
        <v>394</v>
      </c>
      <c r="B138" s="4">
        <v>11.73</v>
      </c>
      <c r="C138" s="4">
        <v>18.329999999999998</v>
      </c>
      <c r="D138" s="4">
        <v>17.73</v>
      </c>
      <c r="E138" s="4">
        <v>14.84</v>
      </c>
      <c r="F138" s="4">
        <v>27.14</v>
      </c>
      <c r="G138" s="4">
        <v>27.63</v>
      </c>
      <c r="H138" s="4">
        <f t="shared" si="23"/>
        <v>44.870000000000005</v>
      </c>
      <c r="I138" s="4">
        <f t="shared" si="22"/>
        <v>42.47</v>
      </c>
      <c r="J138" s="4">
        <v>0</v>
      </c>
      <c r="K138" s="4">
        <v>0</v>
      </c>
      <c r="L138" s="139" t="str">
        <f t="shared" si="24"/>
        <v xml:space="preserve"> </v>
      </c>
      <c r="M138" s="139" t="s">
        <v>867</v>
      </c>
      <c r="N138" s="139">
        <v>1.52</v>
      </c>
      <c r="O138" s="139">
        <f t="shared" si="26"/>
        <v>1.52</v>
      </c>
      <c r="P138" s="139" t="str">
        <f t="shared" si="25"/>
        <v xml:space="preserve"> </v>
      </c>
    </row>
    <row r="139" spans="1:16" x14ac:dyDescent="0.35">
      <c r="A139" s="14" t="s">
        <v>406</v>
      </c>
      <c r="B139" s="4">
        <v>11.8</v>
      </c>
      <c r="C139" s="4">
        <v>14.83</v>
      </c>
      <c r="D139" s="4">
        <v>13.05</v>
      </c>
      <c r="E139" s="4">
        <v>16.03</v>
      </c>
      <c r="F139" s="4">
        <v>15.35</v>
      </c>
      <c r="G139" s="4">
        <v>21.94</v>
      </c>
      <c r="H139" s="4">
        <f t="shared" si="23"/>
        <v>28.4</v>
      </c>
      <c r="I139" s="4">
        <f t="shared" si="22"/>
        <v>37.97</v>
      </c>
      <c r="J139" s="4">
        <v>0</v>
      </c>
      <c r="K139" s="4">
        <v>0</v>
      </c>
      <c r="L139" s="139" t="str">
        <f t="shared" si="24"/>
        <v xml:space="preserve"> </v>
      </c>
      <c r="M139" s="139" t="s">
        <v>867</v>
      </c>
      <c r="N139" s="139">
        <v>1.49</v>
      </c>
      <c r="O139" s="139">
        <f t="shared" si="26"/>
        <v>1.49</v>
      </c>
      <c r="P139" s="139" t="str">
        <f t="shared" si="25"/>
        <v xml:space="preserve"> </v>
      </c>
    </row>
    <row r="140" spans="1:16" x14ac:dyDescent="0.35">
      <c r="A140" s="14" t="s">
        <v>381</v>
      </c>
      <c r="B140" s="4">
        <v>14.45</v>
      </c>
      <c r="C140" s="4">
        <v>21.94</v>
      </c>
      <c r="D140" s="4">
        <v>10.83</v>
      </c>
      <c r="E140" s="4">
        <v>11.02</v>
      </c>
      <c r="F140" s="4">
        <v>8.6999999999999993</v>
      </c>
      <c r="G140" s="4">
        <v>8.57</v>
      </c>
      <c r="H140" s="4">
        <f t="shared" si="23"/>
        <v>19.53</v>
      </c>
      <c r="I140" s="4">
        <f t="shared" ref="I140:I203" si="27">E140+G140</f>
        <v>19.59</v>
      </c>
      <c r="J140" s="4">
        <v>0</v>
      </c>
      <c r="K140" s="4">
        <v>0</v>
      </c>
      <c r="L140" s="139" t="str">
        <f t="shared" si="24"/>
        <v xml:space="preserve"> </v>
      </c>
      <c r="M140" s="139" t="s">
        <v>867</v>
      </c>
      <c r="N140" s="139">
        <v>1.41</v>
      </c>
      <c r="O140" s="139">
        <f t="shared" si="26"/>
        <v>1.41</v>
      </c>
      <c r="P140" s="139" t="str">
        <f t="shared" si="25"/>
        <v xml:space="preserve"> </v>
      </c>
    </row>
    <row r="141" spans="1:16" x14ac:dyDescent="0.35">
      <c r="A141" s="14" t="s">
        <v>403</v>
      </c>
      <c r="B141" s="4">
        <v>11.57</v>
      </c>
      <c r="C141" s="4">
        <v>12.08</v>
      </c>
      <c r="D141" s="4">
        <v>15.3</v>
      </c>
      <c r="E141" s="4">
        <v>14.91</v>
      </c>
      <c r="F141" s="4">
        <v>11.4</v>
      </c>
      <c r="G141" s="4">
        <v>9.9600000000000009</v>
      </c>
      <c r="H141" s="4">
        <f t="shared" ref="H141:H204" si="28">D141+F141</f>
        <v>26.700000000000003</v>
      </c>
      <c r="I141" s="4">
        <f t="shared" si="27"/>
        <v>24.87</v>
      </c>
      <c r="J141" s="4">
        <v>0</v>
      </c>
      <c r="K141" s="4">
        <v>0</v>
      </c>
      <c r="L141" s="139" t="str">
        <f t="shared" si="24"/>
        <v xml:space="preserve"> </v>
      </c>
      <c r="M141" s="139" t="s">
        <v>867</v>
      </c>
      <c r="N141" s="139">
        <v>1.49</v>
      </c>
      <c r="O141" s="139">
        <f t="shared" si="26"/>
        <v>1.49</v>
      </c>
      <c r="P141" s="139" t="str">
        <f t="shared" si="25"/>
        <v xml:space="preserve"> </v>
      </c>
    </row>
    <row r="142" spans="1:16" x14ac:dyDescent="0.35">
      <c r="A142" s="14" t="s">
        <v>366</v>
      </c>
      <c r="B142" s="4">
        <v>26.59</v>
      </c>
      <c r="C142" s="4">
        <v>29.02</v>
      </c>
      <c r="D142" s="4">
        <v>15.04</v>
      </c>
      <c r="E142" s="4">
        <v>14.5</v>
      </c>
      <c r="F142" s="4">
        <v>31.95</v>
      </c>
      <c r="G142" s="4">
        <v>29.6</v>
      </c>
      <c r="H142" s="4">
        <f t="shared" si="28"/>
        <v>46.989999999999995</v>
      </c>
      <c r="I142" s="4">
        <f t="shared" si="27"/>
        <v>44.1</v>
      </c>
      <c r="J142" s="4">
        <v>0</v>
      </c>
      <c r="K142" s="4">
        <v>0</v>
      </c>
      <c r="L142" s="139" t="str">
        <f t="shared" si="24"/>
        <v xml:space="preserve"> </v>
      </c>
      <c r="M142" s="139" t="s">
        <v>867</v>
      </c>
      <c r="N142" s="139">
        <v>1.41</v>
      </c>
      <c r="O142" s="139">
        <f t="shared" si="26"/>
        <v>1.41</v>
      </c>
      <c r="P142" s="139" t="str">
        <f t="shared" si="25"/>
        <v xml:space="preserve"> </v>
      </c>
    </row>
    <row r="143" spans="1:16" x14ac:dyDescent="0.35">
      <c r="A143" s="14" t="s">
        <v>375</v>
      </c>
      <c r="B143" s="4">
        <v>23.41</v>
      </c>
      <c r="C143" s="4">
        <v>22.8</v>
      </c>
      <c r="D143" s="4">
        <v>18.53</v>
      </c>
      <c r="E143" s="4">
        <v>21.27</v>
      </c>
      <c r="F143" s="4">
        <v>16.05</v>
      </c>
      <c r="G143" s="4">
        <v>13.49</v>
      </c>
      <c r="H143" s="4">
        <f t="shared" si="28"/>
        <v>34.58</v>
      </c>
      <c r="I143" s="4">
        <f t="shared" si="27"/>
        <v>34.76</v>
      </c>
      <c r="J143" s="4">
        <v>1.37</v>
      </c>
      <c r="K143" s="4">
        <v>1.37</v>
      </c>
      <c r="L143" s="139" t="str">
        <f t="shared" si="24"/>
        <v xml:space="preserve"> </v>
      </c>
      <c r="M143" s="139">
        <v>1.37</v>
      </c>
      <c r="N143" s="139">
        <v>1.35</v>
      </c>
      <c r="O143" s="139">
        <f t="shared" si="26"/>
        <v>1.37</v>
      </c>
      <c r="P143" s="139">
        <f t="shared" si="25"/>
        <v>1.37</v>
      </c>
    </row>
    <row r="144" spans="1:16" x14ac:dyDescent="0.35">
      <c r="A144" s="14" t="s">
        <v>378</v>
      </c>
      <c r="B144" s="4">
        <v>28.25</v>
      </c>
      <c r="C144" s="4">
        <v>27.48</v>
      </c>
      <c r="D144" s="4">
        <v>23.12</v>
      </c>
      <c r="E144" s="4">
        <v>23.99</v>
      </c>
      <c r="F144" s="4">
        <v>12.51</v>
      </c>
      <c r="G144" s="4">
        <v>6.94</v>
      </c>
      <c r="H144" s="4">
        <f t="shared" si="28"/>
        <v>35.630000000000003</v>
      </c>
      <c r="I144" s="4">
        <f t="shared" si="27"/>
        <v>30.93</v>
      </c>
      <c r="J144" s="4">
        <v>0</v>
      </c>
      <c r="K144" s="4">
        <v>0</v>
      </c>
      <c r="L144" s="139" t="str">
        <f t="shared" si="24"/>
        <v xml:space="preserve"> </v>
      </c>
      <c r="M144" s="139" t="s">
        <v>867</v>
      </c>
      <c r="N144" s="139">
        <v>1.35</v>
      </c>
      <c r="O144" s="139">
        <f t="shared" si="26"/>
        <v>1.35</v>
      </c>
      <c r="P144" s="139" t="str">
        <f t="shared" si="25"/>
        <v xml:space="preserve"> </v>
      </c>
    </row>
    <row r="145" spans="1:16" x14ac:dyDescent="0.35">
      <c r="A145" s="14" t="s">
        <v>393</v>
      </c>
      <c r="B145" s="4">
        <v>27.97</v>
      </c>
      <c r="C145" s="4">
        <v>38.69</v>
      </c>
      <c r="D145" s="4">
        <v>22.07</v>
      </c>
      <c r="E145" s="4">
        <v>15.81</v>
      </c>
      <c r="F145" s="4">
        <v>21.48</v>
      </c>
      <c r="G145" s="4">
        <v>14.23</v>
      </c>
      <c r="H145" s="4">
        <f t="shared" si="28"/>
        <v>43.55</v>
      </c>
      <c r="I145" s="4">
        <f t="shared" si="27"/>
        <v>30.04</v>
      </c>
      <c r="J145" s="4">
        <v>0</v>
      </c>
      <c r="K145" s="4">
        <v>0</v>
      </c>
      <c r="L145" s="139" t="str">
        <f t="shared" si="24"/>
        <v xml:space="preserve"> </v>
      </c>
      <c r="M145" s="139" t="s">
        <v>867</v>
      </c>
      <c r="N145" s="139">
        <v>1.41</v>
      </c>
      <c r="O145" s="139">
        <f t="shared" si="26"/>
        <v>1.41</v>
      </c>
      <c r="P145" s="139" t="str">
        <f t="shared" si="25"/>
        <v xml:space="preserve"> </v>
      </c>
    </row>
    <row r="146" spans="1:16" x14ac:dyDescent="0.35">
      <c r="A146" s="14" t="s">
        <v>362</v>
      </c>
      <c r="B146" s="4">
        <v>40.549999999999997</v>
      </c>
      <c r="C146" s="4">
        <v>41.44</v>
      </c>
      <c r="D146" s="4">
        <v>12.14</v>
      </c>
      <c r="E146" s="4">
        <v>7.61</v>
      </c>
      <c r="F146" s="4">
        <v>7.77</v>
      </c>
      <c r="G146" s="4">
        <v>5.12</v>
      </c>
      <c r="H146" s="4">
        <f t="shared" si="28"/>
        <v>19.91</v>
      </c>
      <c r="I146" s="4">
        <f t="shared" si="27"/>
        <v>12.73</v>
      </c>
      <c r="J146" s="4">
        <v>0</v>
      </c>
      <c r="K146" s="4">
        <v>0</v>
      </c>
      <c r="L146" s="139" t="str">
        <f t="shared" si="24"/>
        <v xml:space="preserve"> </v>
      </c>
      <c r="M146" s="139" t="s">
        <v>867</v>
      </c>
      <c r="N146" s="139">
        <v>1.22</v>
      </c>
      <c r="O146" s="139">
        <f t="shared" si="26"/>
        <v>1.22</v>
      </c>
      <c r="P146" s="139" t="str">
        <f t="shared" si="25"/>
        <v xml:space="preserve"> </v>
      </c>
    </row>
    <row r="147" spans="1:16" x14ac:dyDescent="0.35">
      <c r="A147" s="14" t="s">
        <v>360</v>
      </c>
      <c r="B147" s="4">
        <v>6.6</v>
      </c>
      <c r="C147" s="4">
        <v>6.53</v>
      </c>
      <c r="D147" s="4">
        <v>26.06</v>
      </c>
      <c r="E147" s="4">
        <v>18.46</v>
      </c>
      <c r="F147" s="4">
        <v>47.21</v>
      </c>
      <c r="G147" s="4">
        <v>59.61</v>
      </c>
      <c r="H147" s="4">
        <f t="shared" si="28"/>
        <v>73.27</v>
      </c>
      <c r="I147" s="4">
        <f t="shared" si="27"/>
        <v>78.069999999999993</v>
      </c>
      <c r="J147" s="4">
        <v>0</v>
      </c>
      <c r="K147" s="4">
        <v>0</v>
      </c>
      <c r="L147" s="139" t="str">
        <f t="shared" si="24"/>
        <v xml:space="preserve"> </v>
      </c>
      <c r="M147" s="139" t="s">
        <v>867</v>
      </c>
      <c r="N147" s="139">
        <v>1.61</v>
      </c>
      <c r="O147" s="139">
        <f t="shared" si="26"/>
        <v>1.61</v>
      </c>
      <c r="P147" s="139" t="str">
        <f t="shared" si="25"/>
        <v xml:space="preserve"> </v>
      </c>
    </row>
    <row r="148" spans="1:16" x14ac:dyDescent="0.35">
      <c r="A148" s="14" t="s">
        <v>387</v>
      </c>
      <c r="B148" s="4">
        <v>14.51</v>
      </c>
      <c r="C148" s="4">
        <v>13.49</v>
      </c>
      <c r="D148" s="4">
        <v>29.61</v>
      </c>
      <c r="E148" s="4">
        <v>29.21</v>
      </c>
      <c r="F148" s="4">
        <v>37.81</v>
      </c>
      <c r="G148" s="4">
        <v>40.36</v>
      </c>
      <c r="H148" s="4">
        <f t="shared" si="28"/>
        <v>67.42</v>
      </c>
      <c r="I148" s="4">
        <f t="shared" si="27"/>
        <v>69.569999999999993</v>
      </c>
      <c r="J148" s="4">
        <v>0</v>
      </c>
      <c r="K148" s="4">
        <v>0</v>
      </c>
      <c r="L148" s="139" t="str">
        <f t="shared" si="24"/>
        <v xml:space="preserve"> </v>
      </c>
      <c r="M148" s="139" t="s">
        <v>867</v>
      </c>
      <c r="N148" s="139">
        <v>1.52</v>
      </c>
      <c r="O148" s="139">
        <f t="shared" si="26"/>
        <v>1.52</v>
      </c>
      <c r="P148" s="139" t="str">
        <f t="shared" si="25"/>
        <v xml:space="preserve"> </v>
      </c>
    </row>
    <row r="149" spans="1:16" x14ac:dyDescent="0.35">
      <c r="A149" s="14" t="s">
        <v>374</v>
      </c>
      <c r="B149" s="4">
        <v>11.92</v>
      </c>
      <c r="C149" s="4">
        <v>9.6199999999999992</v>
      </c>
      <c r="D149" s="4">
        <v>13.96</v>
      </c>
      <c r="E149" s="4">
        <v>11.02</v>
      </c>
      <c r="F149" s="4">
        <v>52</v>
      </c>
      <c r="G149" s="4">
        <v>63.1</v>
      </c>
      <c r="H149" s="4">
        <f t="shared" si="28"/>
        <v>65.960000000000008</v>
      </c>
      <c r="I149" s="4">
        <f t="shared" si="27"/>
        <v>74.12</v>
      </c>
      <c r="J149" s="4">
        <v>0</v>
      </c>
      <c r="K149" s="4">
        <v>0</v>
      </c>
      <c r="L149" s="139" t="str">
        <f t="shared" si="24"/>
        <v xml:space="preserve"> </v>
      </c>
      <c r="M149" s="139" t="s">
        <v>867</v>
      </c>
      <c r="N149" s="139">
        <v>1.52</v>
      </c>
      <c r="O149" s="139">
        <f t="shared" si="26"/>
        <v>1.52</v>
      </c>
      <c r="P149" s="139" t="str">
        <f t="shared" si="25"/>
        <v xml:space="preserve"> </v>
      </c>
    </row>
    <row r="150" spans="1:16" x14ac:dyDescent="0.35">
      <c r="A150" s="14" t="s">
        <v>382</v>
      </c>
      <c r="B150" s="4">
        <v>12.62</v>
      </c>
      <c r="C150" s="4">
        <v>11.53</v>
      </c>
      <c r="D150" s="4">
        <v>12.72</v>
      </c>
      <c r="E150" s="4">
        <v>12.8</v>
      </c>
      <c r="F150" s="4">
        <v>11.63</v>
      </c>
      <c r="G150" s="4">
        <v>10.73</v>
      </c>
      <c r="H150" s="4">
        <f t="shared" si="28"/>
        <v>24.35</v>
      </c>
      <c r="I150" s="4">
        <f t="shared" si="27"/>
        <v>23.53</v>
      </c>
      <c r="J150" s="4">
        <v>0</v>
      </c>
      <c r="K150" s="4">
        <v>0</v>
      </c>
      <c r="L150" s="139" t="str">
        <f t="shared" si="24"/>
        <v xml:space="preserve"> </v>
      </c>
      <c r="M150" s="139" t="s">
        <v>867</v>
      </c>
      <c r="N150" s="139">
        <v>1.49</v>
      </c>
      <c r="O150" s="139">
        <f t="shared" si="26"/>
        <v>1.49</v>
      </c>
      <c r="P150" s="139" t="str">
        <f t="shared" si="25"/>
        <v xml:space="preserve"> </v>
      </c>
    </row>
    <row r="151" spans="1:16" x14ac:dyDescent="0.35">
      <c r="A151" s="14" t="s">
        <v>371</v>
      </c>
      <c r="B151" s="4">
        <v>11.49</v>
      </c>
      <c r="C151" s="4">
        <v>12.22</v>
      </c>
      <c r="D151" s="4">
        <v>16.27</v>
      </c>
      <c r="E151" s="4">
        <v>16.07</v>
      </c>
      <c r="F151" s="4">
        <v>20.7</v>
      </c>
      <c r="G151" s="4">
        <v>22.57</v>
      </c>
      <c r="H151" s="4">
        <f t="shared" si="28"/>
        <v>36.97</v>
      </c>
      <c r="I151" s="4">
        <f t="shared" si="27"/>
        <v>38.64</v>
      </c>
      <c r="J151" s="4">
        <v>1.51</v>
      </c>
      <c r="K151" s="4">
        <v>1.45</v>
      </c>
      <c r="L151" s="139" t="str">
        <f t="shared" si="24"/>
        <v xml:space="preserve"> </v>
      </c>
      <c r="M151" s="139">
        <v>1.51</v>
      </c>
      <c r="N151" s="139">
        <v>1.49</v>
      </c>
      <c r="O151" s="139">
        <f t="shared" si="26"/>
        <v>1.51</v>
      </c>
      <c r="P151" s="139">
        <f t="shared" si="25"/>
        <v>1.51</v>
      </c>
    </row>
    <row r="152" spans="1:16" x14ac:dyDescent="0.35">
      <c r="A152" s="14" t="s">
        <v>411</v>
      </c>
      <c r="B152" s="4">
        <v>3.98</v>
      </c>
      <c r="C152" s="4">
        <v>4.09</v>
      </c>
      <c r="D152" s="4">
        <v>29.37</v>
      </c>
      <c r="E152" s="4">
        <v>27.53</v>
      </c>
      <c r="F152" s="4">
        <v>41.17</v>
      </c>
      <c r="G152" s="4">
        <v>44.37</v>
      </c>
      <c r="H152" s="4">
        <f t="shared" si="28"/>
        <v>70.540000000000006</v>
      </c>
      <c r="I152" s="4">
        <f t="shared" si="27"/>
        <v>71.900000000000006</v>
      </c>
      <c r="J152" s="4">
        <v>0</v>
      </c>
      <c r="K152" s="4">
        <v>0</v>
      </c>
      <c r="L152" s="139" t="str">
        <f t="shared" si="24"/>
        <v xml:space="preserve"> </v>
      </c>
      <c r="M152" s="139" t="s">
        <v>867</v>
      </c>
      <c r="N152" s="139">
        <v>1.61</v>
      </c>
      <c r="O152" s="139">
        <f t="shared" si="26"/>
        <v>1.61</v>
      </c>
      <c r="P152" s="139" t="str">
        <f t="shared" si="25"/>
        <v xml:space="preserve"> </v>
      </c>
    </row>
    <row r="153" spans="1:16" x14ac:dyDescent="0.35">
      <c r="A153" s="14" t="s">
        <v>408</v>
      </c>
      <c r="B153" s="4">
        <v>5.79</v>
      </c>
      <c r="C153" s="4">
        <v>5.75</v>
      </c>
      <c r="D153" s="4">
        <v>16.53</v>
      </c>
      <c r="E153" s="4">
        <v>17.66</v>
      </c>
      <c r="F153" s="4">
        <v>35.25</v>
      </c>
      <c r="G153" s="4">
        <v>39.18</v>
      </c>
      <c r="H153" s="4">
        <f t="shared" si="28"/>
        <v>51.78</v>
      </c>
      <c r="I153" s="4">
        <f t="shared" si="27"/>
        <v>56.84</v>
      </c>
      <c r="J153" s="4">
        <v>0</v>
      </c>
      <c r="K153" s="4">
        <v>0</v>
      </c>
      <c r="L153" s="139" t="str">
        <f t="shared" si="24"/>
        <v xml:space="preserve"> </v>
      </c>
      <c r="M153" s="139" t="s">
        <v>867</v>
      </c>
      <c r="N153" s="139">
        <v>1.57</v>
      </c>
      <c r="O153" s="139">
        <f t="shared" si="26"/>
        <v>1.57</v>
      </c>
      <c r="P153" s="139" t="str">
        <f t="shared" si="25"/>
        <v xml:space="preserve"> </v>
      </c>
    </row>
    <row r="154" spans="1:16" x14ac:dyDescent="0.35">
      <c r="A154" s="14" t="s">
        <v>379</v>
      </c>
      <c r="B154" s="4">
        <v>32.54</v>
      </c>
      <c r="C154" s="4">
        <v>48.55</v>
      </c>
      <c r="D154" s="4">
        <v>17.510000000000002</v>
      </c>
      <c r="E154" s="4">
        <v>13.13</v>
      </c>
      <c r="F154" s="4">
        <v>12.14</v>
      </c>
      <c r="G154" s="4">
        <v>10.01</v>
      </c>
      <c r="H154" s="4">
        <f t="shared" si="28"/>
        <v>29.650000000000002</v>
      </c>
      <c r="I154" s="4">
        <f t="shared" si="27"/>
        <v>23.14</v>
      </c>
      <c r="J154" s="4">
        <v>1.39</v>
      </c>
      <c r="K154" s="4">
        <v>1.19</v>
      </c>
      <c r="L154" s="139" t="str">
        <f t="shared" si="24"/>
        <v xml:space="preserve"> </v>
      </c>
      <c r="M154" s="139">
        <v>1.39</v>
      </c>
      <c r="N154" s="139">
        <v>1.35</v>
      </c>
      <c r="O154" s="139">
        <f t="shared" si="26"/>
        <v>1.39</v>
      </c>
      <c r="P154" s="139">
        <f t="shared" si="25"/>
        <v>1.39</v>
      </c>
    </row>
    <row r="155" spans="1:16" x14ac:dyDescent="0.35">
      <c r="A155" s="14" t="s">
        <v>399</v>
      </c>
      <c r="B155" s="4">
        <v>18.53</v>
      </c>
      <c r="C155" s="4">
        <v>22.12</v>
      </c>
      <c r="D155" s="4">
        <v>21.79</v>
      </c>
      <c r="E155" s="4">
        <v>18.95</v>
      </c>
      <c r="F155" s="4">
        <v>23.49</v>
      </c>
      <c r="G155" s="4">
        <v>31.15</v>
      </c>
      <c r="H155" s="4">
        <f t="shared" si="28"/>
        <v>45.28</v>
      </c>
      <c r="I155" s="4">
        <f t="shared" si="27"/>
        <v>50.099999999999994</v>
      </c>
      <c r="J155" s="4">
        <v>0</v>
      </c>
      <c r="K155" s="4">
        <v>0</v>
      </c>
      <c r="L155" s="139" t="str">
        <f t="shared" si="24"/>
        <v xml:space="preserve"> </v>
      </c>
      <c r="M155" s="139" t="s">
        <v>867</v>
      </c>
      <c r="N155" s="139">
        <v>1.52</v>
      </c>
      <c r="O155" s="139">
        <f t="shared" si="26"/>
        <v>1.52</v>
      </c>
      <c r="P155" s="139" t="str">
        <f t="shared" si="25"/>
        <v xml:space="preserve"> </v>
      </c>
    </row>
    <row r="156" spans="1:16" x14ac:dyDescent="0.35">
      <c r="A156" s="14" t="s">
        <v>405</v>
      </c>
      <c r="B156" s="4">
        <v>6.67</v>
      </c>
      <c r="C156" s="4">
        <v>8.33</v>
      </c>
      <c r="D156" s="4">
        <v>46.02</v>
      </c>
      <c r="E156" s="4">
        <v>32.75</v>
      </c>
      <c r="F156" s="4">
        <v>9.1300000000000008</v>
      </c>
      <c r="G156" s="4">
        <v>25.48</v>
      </c>
      <c r="H156" s="4">
        <f t="shared" si="28"/>
        <v>55.150000000000006</v>
      </c>
      <c r="I156" s="4">
        <f t="shared" si="27"/>
        <v>58.230000000000004</v>
      </c>
      <c r="J156" s="4">
        <v>0</v>
      </c>
      <c r="K156" s="4">
        <v>0</v>
      </c>
      <c r="L156" s="139" t="str">
        <f t="shared" si="24"/>
        <v xml:space="preserve"> </v>
      </c>
      <c r="M156" s="139" t="s">
        <v>867</v>
      </c>
      <c r="N156" s="139">
        <v>1.57</v>
      </c>
      <c r="O156" s="139">
        <f t="shared" si="26"/>
        <v>1.57</v>
      </c>
      <c r="P156" s="139" t="str">
        <f t="shared" si="25"/>
        <v xml:space="preserve"> </v>
      </c>
    </row>
    <row r="157" spans="1:16" x14ac:dyDescent="0.35">
      <c r="A157" s="14" t="s">
        <v>359</v>
      </c>
      <c r="B157" s="4">
        <v>11.02</v>
      </c>
      <c r="C157" s="4">
        <v>20.07</v>
      </c>
      <c r="D157" s="4">
        <v>22.9</v>
      </c>
      <c r="E157" s="4">
        <v>19.64</v>
      </c>
      <c r="F157" s="4">
        <v>38.979999999999997</v>
      </c>
      <c r="G157" s="4">
        <v>32.43</v>
      </c>
      <c r="H157" s="4">
        <f t="shared" si="28"/>
        <v>61.879999999999995</v>
      </c>
      <c r="I157" s="4">
        <f t="shared" si="27"/>
        <v>52.07</v>
      </c>
      <c r="J157" s="4">
        <v>0</v>
      </c>
      <c r="K157" s="4">
        <v>0</v>
      </c>
      <c r="L157" s="139" t="str">
        <f t="shared" si="24"/>
        <v xml:space="preserve"> </v>
      </c>
      <c r="M157" s="139" t="s">
        <v>867</v>
      </c>
      <c r="N157" s="139">
        <v>1.52</v>
      </c>
      <c r="O157" s="139">
        <f t="shared" si="26"/>
        <v>1.52</v>
      </c>
      <c r="P157" s="139" t="str">
        <f t="shared" si="25"/>
        <v xml:space="preserve"> </v>
      </c>
    </row>
    <row r="158" spans="1:16" x14ac:dyDescent="0.35">
      <c r="A158" s="14" t="s">
        <v>386</v>
      </c>
      <c r="B158" s="4">
        <v>5.18</v>
      </c>
      <c r="C158" s="4">
        <v>6.27</v>
      </c>
      <c r="D158" s="4">
        <v>22.04</v>
      </c>
      <c r="E158" s="4">
        <v>23.43</v>
      </c>
      <c r="F158" s="4">
        <v>63.42</v>
      </c>
      <c r="G158" s="4">
        <v>62.41</v>
      </c>
      <c r="H158" s="4">
        <f t="shared" si="28"/>
        <v>85.460000000000008</v>
      </c>
      <c r="I158" s="4">
        <f t="shared" si="27"/>
        <v>85.84</v>
      </c>
      <c r="J158" s="4">
        <v>0</v>
      </c>
      <c r="K158" s="4">
        <v>0</v>
      </c>
      <c r="L158" s="139" t="str">
        <f t="shared" si="24"/>
        <v xml:space="preserve"> </v>
      </c>
      <c r="M158" s="139" t="s">
        <v>867</v>
      </c>
      <c r="N158" s="139">
        <v>1.61</v>
      </c>
      <c r="O158" s="139">
        <f t="shared" si="26"/>
        <v>1.61</v>
      </c>
      <c r="P158" s="139" t="str">
        <f t="shared" si="25"/>
        <v xml:space="preserve"> </v>
      </c>
    </row>
    <row r="159" spans="1:16" x14ac:dyDescent="0.35">
      <c r="A159" s="14" t="s">
        <v>370</v>
      </c>
      <c r="B159" s="4">
        <v>7.38</v>
      </c>
      <c r="C159" s="4">
        <v>6.6</v>
      </c>
      <c r="D159" s="4">
        <v>16.8</v>
      </c>
      <c r="E159" s="4">
        <v>14.92</v>
      </c>
      <c r="F159" s="4">
        <v>46.74</v>
      </c>
      <c r="G159" s="4">
        <v>53.52</v>
      </c>
      <c r="H159" s="4">
        <f t="shared" si="28"/>
        <v>63.540000000000006</v>
      </c>
      <c r="I159" s="4">
        <f t="shared" si="27"/>
        <v>68.44</v>
      </c>
      <c r="J159" s="4">
        <v>1.54</v>
      </c>
      <c r="K159" s="4">
        <v>1.64</v>
      </c>
      <c r="L159" s="139" t="str">
        <f t="shared" si="24"/>
        <v xml:space="preserve"> </v>
      </c>
      <c r="M159" s="139">
        <v>1.54</v>
      </c>
      <c r="N159" s="139">
        <v>1.61</v>
      </c>
      <c r="O159" s="139">
        <f t="shared" si="26"/>
        <v>1.54</v>
      </c>
      <c r="P159" s="139">
        <f t="shared" si="25"/>
        <v>1.54</v>
      </c>
    </row>
    <row r="160" spans="1:16" x14ac:dyDescent="0.35">
      <c r="A160" s="14" t="s">
        <v>404</v>
      </c>
      <c r="B160" s="4">
        <v>19.14</v>
      </c>
      <c r="C160" s="4">
        <v>18.09</v>
      </c>
      <c r="D160" s="4">
        <v>24.29</v>
      </c>
      <c r="E160" s="4">
        <v>21.04</v>
      </c>
      <c r="F160" s="4">
        <v>11.88</v>
      </c>
      <c r="G160" s="4">
        <v>8.06</v>
      </c>
      <c r="H160" s="4">
        <f t="shared" si="28"/>
        <v>36.17</v>
      </c>
      <c r="I160" s="4">
        <f t="shared" si="27"/>
        <v>29.1</v>
      </c>
      <c r="J160" s="4">
        <v>0</v>
      </c>
      <c r="K160" s="4">
        <v>0</v>
      </c>
      <c r="L160" s="139" t="str">
        <f t="shared" si="24"/>
        <v xml:space="preserve"> </v>
      </c>
      <c r="M160" s="139" t="s">
        <v>867</v>
      </c>
      <c r="N160" s="139">
        <v>1.49</v>
      </c>
      <c r="O160" s="139">
        <f t="shared" si="26"/>
        <v>1.49</v>
      </c>
      <c r="P160" s="139" t="str">
        <f t="shared" si="25"/>
        <v xml:space="preserve"> </v>
      </c>
    </row>
    <row r="161" spans="1:16" x14ac:dyDescent="0.35">
      <c r="A161" s="14" t="s">
        <v>361</v>
      </c>
      <c r="B161" s="4">
        <v>19.739999999999998</v>
      </c>
      <c r="C161" s="4">
        <v>20.43</v>
      </c>
      <c r="D161" s="4">
        <v>28.9</v>
      </c>
      <c r="E161" s="4">
        <v>34.69</v>
      </c>
      <c r="F161" s="4">
        <v>14.8</v>
      </c>
      <c r="G161" s="4">
        <v>8.73</v>
      </c>
      <c r="H161" s="4">
        <f t="shared" si="28"/>
        <v>43.7</v>
      </c>
      <c r="I161" s="4">
        <f t="shared" si="27"/>
        <v>43.42</v>
      </c>
      <c r="J161" s="4">
        <v>0</v>
      </c>
      <c r="K161" s="4">
        <v>0</v>
      </c>
      <c r="L161" s="139" t="str">
        <f t="shared" si="24"/>
        <v xml:space="preserve"> </v>
      </c>
      <c r="M161" s="139" t="s">
        <v>867</v>
      </c>
      <c r="N161" s="139">
        <v>1.52</v>
      </c>
      <c r="O161" s="139">
        <f t="shared" si="26"/>
        <v>1.52</v>
      </c>
      <c r="P161" s="139" t="str">
        <f t="shared" si="25"/>
        <v xml:space="preserve"> </v>
      </c>
    </row>
    <row r="162" spans="1:16" x14ac:dyDescent="0.35">
      <c r="A162" s="14" t="s">
        <v>373</v>
      </c>
      <c r="B162" s="4">
        <v>25.83</v>
      </c>
      <c r="C162" s="4">
        <v>26.87</v>
      </c>
      <c r="D162" s="4">
        <v>21.43</v>
      </c>
      <c r="E162" s="4">
        <v>20.27</v>
      </c>
      <c r="F162" s="4">
        <v>14.77</v>
      </c>
      <c r="G162" s="4">
        <v>14.63</v>
      </c>
      <c r="H162" s="4">
        <f t="shared" si="28"/>
        <v>36.200000000000003</v>
      </c>
      <c r="I162" s="4">
        <f t="shared" si="27"/>
        <v>34.9</v>
      </c>
      <c r="J162" s="4">
        <v>0</v>
      </c>
      <c r="K162" s="4">
        <v>0</v>
      </c>
      <c r="L162" s="139" t="str">
        <f t="shared" si="24"/>
        <v xml:space="preserve"> </v>
      </c>
      <c r="M162" s="139" t="s">
        <v>867</v>
      </c>
      <c r="N162" s="139">
        <v>1.35</v>
      </c>
      <c r="O162" s="139">
        <f t="shared" si="26"/>
        <v>1.35</v>
      </c>
      <c r="P162" s="139" t="str">
        <f t="shared" si="25"/>
        <v xml:space="preserve"> </v>
      </c>
    </row>
    <row r="163" spans="1:16" x14ac:dyDescent="0.35">
      <c r="A163" s="14" t="s">
        <v>396</v>
      </c>
      <c r="B163" s="4">
        <v>22.73</v>
      </c>
      <c r="C163" s="4">
        <v>24.22</v>
      </c>
      <c r="D163" s="4">
        <v>16.32</v>
      </c>
      <c r="E163" s="4">
        <v>14.71</v>
      </c>
      <c r="F163" s="4">
        <v>15.06</v>
      </c>
      <c r="G163" s="4">
        <v>12.71</v>
      </c>
      <c r="H163" s="4">
        <f t="shared" si="28"/>
        <v>31.380000000000003</v>
      </c>
      <c r="I163" s="4">
        <f t="shared" si="27"/>
        <v>27.42</v>
      </c>
      <c r="J163" s="4">
        <v>0</v>
      </c>
      <c r="K163" s="4">
        <v>0</v>
      </c>
      <c r="L163" s="139" t="str">
        <f t="shared" si="24"/>
        <v xml:space="preserve"> </v>
      </c>
      <c r="M163" s="139" t="s">
        <v>867</v>
      </c>
      <c r="N163" s="139">
        <v>1.35</v>
      </c>
      <c r="O163" s="139">
        <f t="shared" si="26"/>
        <v>1.35</v>
      </c>
      <c r="P163" s="139" t="str">
        <f t="shared" si="25"/>
        <v xml:space="preserve"> </v>
      </c>
    </row>
    <row r="164" spans="1:16" x14ac:dyDescent="0.35">
      <c r="A164" s="14" t="s">
        <v>380</v>
      </c>
      <c r="B164" s="4">
        <v>12.44</v>
      </c>
      <c r="C164" s="4">
        <v>17.559999999999999</v>
      </c>
      <c r="D164" s="4">
        <v>25.77</v>
      </c>
      <c r="E164" s="4">
        <v>23.4</v>
      </c>
      <c r="F164" s="4">
        <v>13.23</v>
      </c>
      <c r="G164" s="4">
        <v>12.93</v>
      </c>
      <c r="H164" s="4">
        <f t="shared" si="28"/>
        <v>39</v>
      </c>
      <c r="I164" s="4">
        <f t="shared" si="27"/>
        <v>36.33</v>
      </c>
      <c r="J164" s="4">
        <v>0</v>
      </c>
      <c r="K164" s="4">
        <v>0</v>
      </c>
      <c r="L164" s="139" t="str">
        <f t="shared" si="24"/>
        <v xml:space="preserve"> </v>
      </c>
      <c r="M164" s="139" t="s">
        <v>867</v>
      </c>
      <c r="N164" s="139">
        <v>1.49</v>
      </c>
      <c r="O164" s="139">
        <f t="shared" si="26"/>
        <v>1.49</v>
      </c>
      <c r="P164" s="139" t="str">
        <f t="shared" si="25"/>
        <v xml:space="preserve"> </v>
      </c>
    </row>
    <row r="165" spans="1:16" x14ac:dyDescent="0.35">
      <c r="A165" s="14" t="s">
        <v>388</v>
      </c>
      <c r="B165" s="4">
        <v>22.18</v>
      </c>
      <c r="C165" s="4">
        <v>23.74</v>
      </c>
      <c r="D165" s="4">
        <v>20.76</v>
      </c>
      <c r="E165" s="4">
        <v>19.18</v>
      </c>
      <c r="F165" s="4">
        <v>7.22</v>
      </c>
      <c r="G165" s="4">
        <v>6.17</v>
      </c>
      <c r="H165" s="4">
        <f t="shared" si="28"/>
        <v>27.98</v>
      </c>
      <c r="I165" s="4">
        <f t="shared" si="27"/>
        <v>25.35</v>
      </c>
      <c r="J165" s="4">
        <v>0</v>
      </c>
      <c r="K165" s="4">
        <v>0</v>
      </c>
      <c r="L165" s="139" t="str">
        <f t="shared" si="24"/>
        <v xml:space="preserve"> </v>
      </c>
      <c r="M165" s="139" t="s">
        <v>867</v>
      </c>
      <c r="N165" s="139">
        <v>1.35</v>
      </c>
      <c r="O165" s="139">
        <f t="shared" si="26"/>
        <v>1.35</v>
      </c>
      <c r="P165" s="139" t="str">
        <f t="shared" si="25"/>
        <v xml:space="preserve"> </v>
      </c>
    </row>
    <row r="166" spans="1:16" x14ac:dyDescent="0.35">
      <c r="A166" s="14" t="s">
        <v>390</v>
      </c>
      <c r="B166" s="4">
        <v>9.3800000000000008</v>
      </c>
      <c r="C166" s="4">
        <v>9.17</v>
      </c>
      <c r="D166" s="4">
        <v>28.9</v>
      </c>
      <c r="E166" s="4">
        <v>30.5</v>
      </c>
      <c r="F166" s="4">
        <v>27.9</v>
      </c>
      <c r="G166" s="4">
        <v>32.94</v>
      </c>
      <c r="H166" s="4">
        <f t="shared" si="28"/>
        <v>56.8</v>
      </c>
      <c r="I166" s="4">
        <f t="shared" si="27"/>
        <v>63.44</v>
      </c>
      <c r="J166" s="4">
        <v>0</v>
      </c>
      <c r="K166" s="4">
        <v>0</v>
      </c>
      <c r="L166" s="139" t="str">
        <f t="shared" si="24"/>
        <v xml:space="preserve"> </v>
      </c>
      <c r="M166" s="139" t="s">
        <v>867</v>
      </c>
      <c r="N166" s="139">
        <v>1.57</v>
      </c>
      <c r="O166" s="139">
        <f t="shared" si="26"/>
        <v>1.57</v>
      </c>
      <c r="P166" s="139" t="str">
        <f t="shared" si="25"/>
        <v xml:space="preserve"> </v>
      </c>
    </row>
    <row r="167" spans="1:16" x14ac:dyDescent="0.35">
      <c r="A167" s="14" t="s">
        <v>401</v>
      </c>
      <c r="B167" s="4">
        <v>10.54</v>
      </c>
      <c r="C167" s="4">
        <v>11.47</v>
      </c>
      <c r="D167" s="4">
        <v>30.32</v>
      </c>
      <c r="E167" s="4">
        <v>32.549999999999997</v>
      </c>
      <c r="F167" s="4">
        <v>17.190000000000001</v>
      </c>
      <c r="G167" s="4">
        <v>21.78</v>
      </c>
      <c r="H167" s="4">
        <f t="shared" si="28"/>
        <v>47.510000000000005</v>
      </c>
      <c r="I167" s="4">
        <f t="shared" si="27"/>
        <v>54.33</v>
      </c>
      <c r="J167" s="4">
        <v>0</v>
      </c>
      <c r="K167" s="4">
        <v>0</v>
      </c>
      <c r="L167" s="139" t="str">
        <f t="shared" si="24"/>
        <v xml:space="preserve"> </v>
      </c>
      <c r="M167" s="139" t="s">
        <v>867</v>
      </c>
      <c r="N167" s="139">
        <v>1.52</v>
      </c>
      <c r="O167" s="139">
        <f t="shared" si="26"/>
        <v>1.52</v>
      </c>
      <c r="P167" s="139" t="str">
        <f t="shared" si="25"/>
        <v xml:space="preserve"> </v>
      </c>
    </row>
    <row r="168" spans="1:16" x14ac:dyDescent="0.35">
      <c r="A168" s="14" t="s">
        <v>364</v>
      </c>
      <c r="B168" s="4">
        <v>11.06</v>
      </c>
      <c r="C168" s="4">
        <v>11.03</v>
      </c>
      <c r="D168" s="4">
        <v>13.03</v>
      </c>
      <c r="E168" s="4">
        <v>13.17</v>
      </c>
      <c r="F168" s="4">
        <v>29.06</v>
      </c>
      <c r="G168" s="4">
        <v>32.229999999999997</v>
      </c>
      <c r="H168" s="4">
        <f t="shared" si="28"/>
        <v>42.089999999999996</v>
      </c>
      <c r="I168" s="4">
        <f t="shared" si="27"/>
        <v>45.4</v>
      </c>
      <c r="J168" s="4">
        <v>0</v>
      </c>
      <c r="K168" s="4">
        <v>0</v>
      </c>
      <c r="L168" s="139" t="str">
        <f t="shared" si="24"/>
        <v xml:space="preserve"> </v>
      </c>
      <c r="M168" s="139" t="s">
        <v>867</v>
      </c>
      <c r="N168" s="139">
        <v>1.52</v>
      </c>
      <c r="O168" s="139">
        <f t="shared" si="26"/>
        <v>1.52</v>
      </c>
      <c r="P168" s="139" t="str">
        <f t="shared" si="25"/>
        <v xml:space="preserve"> </v>
      </c>
    </row>
    <row r="169" spans="1:16" x14ac:dyDescent="0.35">
      <c r="A169" s="14" t="s">
        <v>369</v>
      </c>
      <c r="B169" s="4">
        <v>8</v>
      </c>
      <c r="C169" s="4">
        <v>15.42</v>
      </c>
      <c r="D169" s="4">
        <v>24.2</v>
      </c>
      <c r="E169" s="4">
        <v>18.95</v>
      </c>
      <c r="F169" s="4">
        <v>4.9000000000000004</v>
      </c>
      <c r="G169" s="4">
        <v>9.25</v>
      </c>
      <c r="H169" s="4">
        <f t="shared" si="28"/>
        <v>29.1</v>
      </c>
      <c r="I169" s="4">
        <f t="shared" si="27"/>
        <v>28.2</v>
      </c>
      <c r="J169" s="4">
        <v>0</v>
      </c>
      <c r="K169" s="4">
        <v>0</v>
      </c>
      <c r="L169" s="139" t="str">
        <f t="shared" si="24"/>
        <v xml:space="preserve"> </v>
      </c>
      <c r="M169" s="139" t="s">
        <v>867</v>
      </c>
      <c r="N169" s="139">
        <v>1.57</v>
      </c>
      <c r="O169" s="139">
        <f t="shared" si="26"/>
        <v>1.57</v>
      </c>
      <c r="P169" s="139" t="str">
        <f t="shared" si="25"/>
        <v xml:space="preserve"> </v>
      </c>
    </row>
    <row r="170" spans="1:16" x14ac:dyDescent="0.35">
      <c r="A170" s="14" t="s">
        <v>407</v>
      </c>
      <c r="B170" s="4">
        <v>8.8000000000000007</v>
      </c>
      <c r="C170" s="4">
        <v>12.14</v>
      </c>
      <c r="D170" s="4">
        <v>25.1</v>
      </c>
      <c r="E170" s="4">
        <v>21.55</v>
      </c>
      <c r="F170" s="4">
        <v>21.87</v>
      </c>
      <c r="G170" s="4">
        <v>19.59</v>
      </c>
      <c r="H170" s="4">
        <f t="shared" si="28"/>
        <v>46.97</v>
      </c>
      <c r="I170" s="4">
        <f t="shared" si="27"/>
        <v>41.14</v>
      </c>
      <c r="J170" s="4">
        <v>0</v>
      </c>
      <c r="K170" s="4">
        <v>0</v>
      </c>
      <c r="L170" s="139" t="str">
        <f t="shared" si="24"/>
        <v xml:space="preserve"> </v>
      </c>
      <c r="M170" s="139" t="s">
        <v>867</v>
      </c>
      <c r="N170" s="139">
        <v>1.57</v>
      </c>
      <c r="O170" s="139">
        <f t="shared" si="26"/>
        <v>1.57</v>
      </c>
      <c r="P170" s="139" t="str">
        <f t="shared" si="25"/>
        <v xml:space="preserve"> </v>
      </c>
    </row>
    <row r="171" spans="1:16" x14ac:dyDescent="0.35">
      <c r="A171" s="14" t="s">
        <v>391</v>
      </c>
      <c r="B171" s="4">
        <v>23</v>
      </c>
      <c r="C171" s="4">
        <v>25.22</v>
      </c>
      <c r="D171" s="4">
        <v>15.98</v>
      </c>
      <c r="E171" s="4">
        <v>15.53</v>
      </c>
      <c r="F171" s="4">
        <v>9.85</v>
      </c>
      <c r="G171" s="4">
        <v>7.53</v>
      </c>
      <c r="H171" s="4">
        <f t="shared" si="28"/>
        <v>25.83</v>
      </c>
      <c r="I171" s="4">
        <f t="shared" si="27"/>
        <v>23.06</v>
      </c>
      <c r="J171" s="4">
        <v>0</v>
      </c>
      <c r="K171" s="4">
        <v>0</v>
      </c>
      <c r="L171" s="139" t="str">
        <f t="shared" si="24"/>
        <v xml:space="preserve"> </v>
      </c>
      <c r="M171" s="139" t="s">
        <v>867</v>
      </c>
      <c r="N171" s="139">
        <v>1.35</v>
      </c>
      <c r="O171" s="139">
        <f t="shared" si="26"/>
        <v>1.35</v>
      </c>
      <c r="P171" s="139" t="str">
        <f t="shared" si="25"/>
        <v xml:space="preserve"> </v>
      </c>
    </row>
    <row r="172" spans="1:16" x14ac:dyDescent="0.35">
      <c r="A172" s="14" t="s">
        <v>413</v>
      </c>
      <c r="B172" s="4">
        <v>23.34</v>
      </c>
      <c r="C172" s="4">
        <v>25.4</v>
      </c>
      <c r="D172" s="4">
        <v>14.57</v>
      </c>
      <c r="E172" s="4">
        <v>8.75</v>
      </c>
      <c r="F172" s="4">
        <v>14.57</v>
      </c>
      <c r="G172" s="4">
        <v>7.58</v>
      </c>
      <c r="H172" s="4">
        <f t="shared" si="28"/>
        <v>29.14</v>
      </c>
      <c r="I172" s="4">
        <f t="shared" si="27"/>
        <v>16.329999999999998</v>
      </c>
      <c r="J172" s="4">
        <v>0</v>
      </c>
      <c r="K172" s="4">
        <v>0</v>
      </c>
      <c r="L172" s="139" t="str">
        <f t="shared" si="24"/>
        <v xml:space="preserve"> </v>
      </c>
      <c r="M172" s="139" t="s">
        <v>867</v>
      </c>
      <c r="N172" s="139">
        <v>1.35</v>
      </c>
      <c r="O172" s="139">
        <f t="shared" si="26"/>
        <v>1.35</v>
      </c>
      <c r="P172" s="139" t="str">
        <f t="shared" si="25"/>
        <v xml:space="preserve"> </v>
      </c>
    </row>
    <row r="173" spans="1:16" x14ac:dyDescent="0.35">
      <c r="A173" s="14" t="s">
        <v>4</v>
      </c>
      <c r="B173" s="4">
        <v>33.6</v>
      </c>
      <c r="C173" s="4">
        <v>36.22</v>
      </c>
      <c r="D173" s="4">
        <v>17.97</v>
      </c>
      <c r="E173" s="4">
        <v>18.07</v>
      </c>
      <c r="F173" s="4">
        <v>26.13</v>
      </c>
      <c r="G173" s="4">
        <v>25.23</v>
      </c>
      <c r="H173" s="4">
        <f t="shared" si="28"/>
        <v>44.099999999999994</v>
      </c>
      <c r="I173" s="4">
        <f t="shared" si="27"/>
        <v>43.3</v>
      </c>
      <c r="J173" s="4">
        <v>1.34</v>
      </c>
      <c r="K173" s="4">
        <v>1.31</v>
      </c>
      <c r="L173" s="139" t="str">
        <f t="shared" si="24"/>
        <v xml:space="preserve"> </v>
      </c>
      <c r="M173" s="139">
        <v>1.34</v>
      </c>
      <c r="N173" s="139">
        <v>1.41</v>
      </c>
      <c r="O173" s="139">
        <f t="shared" si="26"/>
        <v>1.34</v>
      </c>
      <c r="P173" s="139">
        <f t="shared" si="25"/>
        <v>1.34</v>
      </c>
    </row>
    <row r="174" spans="1:16" x14ac:dyDescent="0.35">
      <c r="A174" s="14" t="s">
        <v>39</v>
      </c>
      <c r="B174" s="4">
        <v>58.5</v>
      </c>
      <c r="C174" s="4">
        <v>61.48</v>
      </c>
      <c r="D174" s="4">
        <v>4.3</v>
      </c>
      <c r="E174" s="4">
        <v>2.46</v>
      </c>
      <c r="F174" s="4">
        <v>8.6</v>
      </c>
      <c r="G174" s="4">
        <v>5.5</v>
      </c>
      <c r="H174" s="4">
        <f t="shared" si="28"/>
        <v>12.899999999999999</v>
      </c>
      <c r="I174" s="4">
        <f t="shared" si="27"/>
        <v>7.96</v>
      </c>
      <c r="J174" s="4">
        <v>1.2</v>
      </c>
      <c r="K174" s="4">
        <v>1.17</v>
      </c>
      <c r="L174" s="139" t="str">
        <f t="shared" si="24"/>
        <v xml:space="preserve"> </v>
      </c>
      <c r="M174" s="139">
        <v>1.2</v>
      </c>
      <c r="N174" s="139">
        <v>1.22</v>
      </c>
      <c r="O174" s="139">
        <f t="shared" si="26"/>
        <v>1.2</v>
      </c>
      <c r="P174" s="139">
        <f t="shared" si="25"/>
        <v>1.2</v>
      </c>
    </row>
    <row r="175" spans="1:16" x14ac:dyDescent="0.35">
      <c r="A175" s="14" t="s">
        <v>13</v>
      </c>
      <c r="B175" s="4">
        <v>54.36</v>
      </c>
      <c r="C175" s="4">
        <v>59.29</v>
      </c>
      <c r="D175" s="4">
        <v>3.2</v>
      </c>
      <c r="E175" s="4">
        <v>2.82</v>
      </c>
      <c r="F175" s="4">
        <v>10.7</v>
      </c>
      <c r="G175" s="4">
        <v>6.78</v>
      </c>
      <c r="H175" s="4">
        <f t="shared" si="28"/>
        <v>13.899999999999999</v>
      </c>
      <c r="I175" s="4">
        <f t="shared" si="27"/>
        <v>9.6</v>
      </c>
      <c r="J175" s="4">
        <v>0</v>
      </c>
      <c r="K175" s="4">
        <v>0</v>
      </c>
      <c r="L175" s="139" t="str">
        <f t="shared" si="24"/>
        <v xml:space="preserve"> </v>
      </c>
      <c r="M175" s="139" t="s">
        <v>867</v>
      </c>
      <c r="N175" s="139">
        <v>1.22</v>
      </c>
      <c r="O175" s="139">
        <f t="shared" si="26"/>
        <v>1.22</v>
      </c>
      <c r="P175" s="139" t="str">
        <f t="shared" si="25"/>
        <v xml:space="preserve"> </v>
      </c>
    </row>
    <row r="176" spans="1:16" x14ac:dyDescent="0.35">
      <c r="A176" s="14" t="s">
        <v>11</v>
      </c>
      <c r="B176" s="4">
        <v>12.67</v>
      </c>
      <c r="C176" s="4">
        <v>14.56</v>
      </c>
      <c r="D176" s="4">
        <v>25.2</v>
      </c>
      <c r="E176" s="4">
        <v>23.93</v>
      </c>
      <c r="F176" s="4">
        <v>33.03</v>
      </c>
      <c r="G176" s="4">
        <v>31.36</v>
      </c>
      <c r="H176" s="4">
        <f t="shared" si="28"/>
        <v>58.230000000000004</v>
      </c>
      <c r="I176" s="4">
        <f t="shared" si="27"/>
        <v>55.29</v>
      </c>
      <c r="J176" s="4">
        <v>0</v>
      </c>
      <c r="K176" s="4">
        <v>0</v>
      </c>
      <c r="L176" s="139" t="str">
        <f t="shared" si="24"/>
        <v xml:space="preserve"> </v>
      </c>
      <c r="M176" s="139" t="s">
        <v>867</v>
      </c>
      <c r="N176" s="139">
        <v>1.52</v>
      </c>
      <c r="O176" s="139">
        <f t="shared" si="26"/>
        <v>1.52</v>
      </c>
      <c r="P176" s="139" t="str">
        <f t="shared" si="25"/>
        <v xml:space="preserve"> </v>
      </c>
    </row>
    <row r="177" spans="1:16" x14ac:dyDescent="0.35">
      <c r="A177" s="14" t="s">
        <v>33</v>
      </c>
      <c r="B177" s="4">
        <v>37.26</v>
      </c>
      <c r="C177" s="4">
        <v>48.78</v>
      </c>
      <c r="D177" s="4">
        <v>11.67</v>
      </c>
      <c r="E177" s="4">
        <v>8.66</v>
      </c>
      <c r="F177" s="4">
        <v>15.36</v>
      </c>
      <c r="G177" s="4">
        <v>17.86</v>
      </c>
      <c r="H177" s="4">
        <f t="shared" si="28"/>
        <v>27.03</v>
      </c>
      <c r="I177" s="4">
        <f t="shared" si="27"/>
        <v>26.52</v>
      </c>
      <c r="J177" s="4">
        <v>1.3</v>
      </c>
      <c r="K177" s="4">
        <v>1.2</v>
      </c>
      <c r="L177" s="139" t="str">
        <f t="shared" si="24"/>
        <v xml:space="preserve"> </v>
      </c>
      <c r="M177" s="139">
        <v>1.3</v>
      </c>
      <c r="N177" s="139">
        <v>1.35</v>
      </c>
      <c r="O177" s="139">
        <f t="shared" si="26"/>
        <v>1.3</v>
      </c>
      <c r="P177" s="139">
        <f t="shared" si="25"/>
        <v>1.3</v>
      </c>
    </row>
    <row r="178" spans="1:16" x14ac:dyDescent="0.35">
      <c r="A178" s="14" t="s">
        <v>36</v>
      </c>
      <c r="B178" s="4">
        <v>46.08</v>
      </c>
      <c r="C178" s="4">
        <v>54.07</v>
      </c>
      <c r="D178" s="4">
        <v>8.48</v>
      </c>
      <c r="E178" s="4">
        <v>6.29</v>
      </c>
      <c r="F178" s="4">
        <v>12.92</v>
      </c>
      <c r="G178" s="4">
        <v>9.61</v>
      </c>
      <c r="H178" s="4">
        <f t="shared" si="28"/>
        <v>21.4</v>
      </c>
      <c r="I178" s="4">
        <f t="shared" si="27"/>
        <v>15.899999999999999</v>
      </c>
      <c r="J178" s="4">
        <v>1.26</v>
      </c>
      <c r="K178" s="4">
        <v>1.2</v>
      </c>
      <c r="L178" s="139" t="str">
        <f t="shared" si="24"/>
        <v xml:space="preserve"> </v>
      </c>
      <c r="M178" s="139">
        <v>1.26</v>
      </c>
      <c r="N178">
        <v>1.25</v>
      </c>
      <c r="O178" s="139">
        <f t="shared" si="26"/>
        <v>1.26</v>
      </c>
      <c r="P178" s="139">
        <f t="shared" si="25"/>
        <v>1.26</v>
      </c>
    </row>
    <row r="179" spans="1:16" x14ac:dyDescent="0.35">
      <c r="A179" s="14" t="s">
        <v>37</v>
      </c>
      <c r="B179" s="4">
        <v>40.9</v>
      </c>
      <c r="C179" s="4">
        <v>46.06</v>
      </c>
      <c r="D179" s="4">
        <v>4.9000000000000004</v>
      </c>
      <c r="E179" s="4">
        <v>3.4</v>
      </c>
      <c r="F179" s="4">
        <v>7.8</v>
      </c>
      <c r="G179" s="4">
        <v>7.02</v>
      </c>
      <c r="H179" s="4">
        <f t="shared" si="28"/>
        <v>12.7</v>
      </c>
      <c r="I179" s="4">
        <f t="shared" si="27"/>
        <v>10.42</v>
      </c>
      <c r="J179" s="4">
        <v>1.25</v>
      </c>
      <c r="K179" s="4">
        <v>1.26</v>
      </c>
      <c r="L179" s="139" t="str">
        <f t="shared" si="24"/>
        <v xml:space="preserve"> </v>
      </c>
      <c r="M179" s="139">
        <v>1.25</v>
      </c>
      <c r="N179" s="139">
        <v>1.22</v>
      </c>
      <c r="O179" s="139">
        <f t="shared" si="26"/>
        <v>1.25</v>
      </c>
      <c r="P179" s="139">
        <f t="shared" si="25"/>
        <v>1.25</v>
      </c>
    </row>
    <row r="180" spans="1:16" x14ac:dyDescent="0.35">
      <c r="A180" s="14" t="s">
        <v>586</v>
      </c>
      <c r="B180" s="4">
        <v>9.3699999999999992</v>
      </c>
      <c r="C180" s="4">
        <v>14.11</v>
      </c>
      <c r="D180" s="4">
        <v>31.91</v>
      </c>
      <c r="E180" s="4">
        <v>33</v>
      </c>
      <c r="F180" s="4">
        <v>21.51</v>
      </c>
      <c r="G180" s="4">
        <v>24.15</v>
      </c>
      <c r="H180" s="4">
        <f t="shared" si="28"/>
        <v>53.42</v>
      </c>
      <c r="I180" s="4">
        <f t="shared" si="27"/>
        <v>57.15</v>
      </c>
      <c r="J180" s="4">
        <v>0</v>
      </c>
      <c r="K180" s="4">
        <v>0</v>
      </c>
      <c r="L180" s="139" t="str">
        <f t="shared" si="24"/>
        <v xml:space="preserve"> </v>
      </c>
      <c r="M180" s="139" t="s">
        <v>867</v>
      </c>
      <c r="N180" s="139">
        <v>1.57</v>
      </c>
      <c r="O180" s="139">
        <f t="shared" si="26"/>
        <v>1.57</v>
      </c>
      <c r="P180" s="139" t="str">
        <f t="shared" si="25"/>
        <v xml:space="preserve"> </v>
      </c>
    </row>
    <row r="181" spans="1:16" x14ac:dyDescent="0.35">
      <c r="A181" s="14" t="s">
        <v>624</v>
      </c>
      <c r="B181" s="4">
        <v>13.64</v>
      </c>
      <c r="C181" s="4">
        <v>20.41</v>
      </c>
      <c r="D181" s="4">
        <v>12.4</v>
      </c>
      <c r="E181" s="4">
        <v>8.59</v>
      </c>
      <c r="F181" s="4">
        <v>1.4</v>
      </c>
      <c r="G181" s="4">
        <v>1.07</v>
      </c>
      <c r="H181" s="4">
        <f t="shared" si="28"/>
        <v>13.8</v>
      </c>
      <c r="I181" s="4">
        <f t="shared" si="27"/>
        <v>9.66</v>
      </c>
      <c r="J181" s="4">
        <v>1.41</v>
      </c>
      <c r="K181" s="4">
        <v>1.31</v>
      </c>
      <c r="L181" s="139" t="str">
        <f t="shared" si="24"/>
        <v xml:space="preserve"> </v>
      </c>
      <c r="M181" s="139">
        <v>1.41</v>
      </c>
      <c r="N181" s="139">
        <v>1.41</v>
      </c>
      <c r="O181" s="139">
        <f t="shared" si="26"/>
        <v>1.41</v>
      </c>
      <c r="P181" s="139">
        <f t="shared" si="25"/>
        <v>1.41</v>
      </c>
    </row>
    <row r="182" spans="1:16" x14ac:dyDescent="0.35">
      <c r="A182" s="14" t="s">
        <v>638</v>
      </c>
      <c r="B182" s="4">
        <v>12.38</v>
      </c>
      <c r="C182" s="4">
        <v>10.72</v>
      </c>
      <c r="D182" s="4">
        <v>32.28</v>
      </c>
      <c r="E182" s="4">
        <v>32.85</v>
      </c>
      <c r="F182" s="4">
        <v>44.02</v>
      </c>
      <c r="G182" s="4">
        <v>49.71</v>
      </c>
      <c r="H182" s="4">
        <f t="shared" si="28"/>
        <v>76.300000000000011</v>
      </c>
      <c r="I182" s="4">
        <f t="shared" si="27"/>
        <v>82.56</v>
      </c>
      <c r="J182" s="4">
        <v>0</v>
      </c>
      <c r="K182" s="4">
        <v>0</v>
      </c>
      <c r="L182" s="139" t="str">
        <f t="shared" si="24"/>
        <v xml:space="preserve"> </v>
      </c>
      <c r="M182" s="139" t="s">
        <v>867</v>
      </c>
      <c r="N182" s="139">
        <v>1.52</v>
      </c>
      <c r="O182" s="139">
        <f t="shared" si="26"/>
        <v>1.52</v>
      </c>
      <c r="P182" s="139" t="str">
        <f t="shared" si="25"/>
        <v xml:space="preserve"> </v>
      </c>
    </row>
    <row r="183" spans="1:16" x14ac:dyDescent="0.35">
      <c r="A183" s="14" t="s">
        <v>661</v>
      </c>
      <c r="B183" s="4">
        <v>10.96</v>
      </c>
      <c r="C183" s="4">
        <v>10.61</v>
      </c>
      <c r="D183" s="4">
        <v>26.92</v>
      </c>
      <c r="E183" s="4">
        <v>27.64</v>
      </c>
      <c r="F183" s="4">
        <v>8.1300000000000008</v>
      </c>
      <c r="G183" s="4">
        <v>10.91</v>
      </c>
      <c r="H183" s="4">
        <f t="shared" si="28"/>
        <v>35.050000000000004</v>
      </c>
      <c r="I183" s="4">
        <f t="shared" si="27"/>
        <v>38.549999999999997</v>
      </c>
      <c r="J183" s="4">
        <v>1.48</v>
      </c>
      <c r="K183" s="4">
        <v>1.48</v>
      </c>
      <c r="L183" s="139" t="str">
        <f t="shared" si="24"/>
        <v xml:space="preserve"> </v>
      </c>
      <c r="M183" s="139">
        <v>1.48</v>
      </c>
      <c r="N183" s="139">
        <v>1.49</v>
      </c>
      <c r="O183" s="139">
        <f t="shared" si="26"/>
        <v>1.48</v>
      </c>
      <c r="P183" s="139">
        <f t="shared" si="25"/>
        <v>1.48</v>
      </c>
    </row>
    <row r="184" spans="1:16" x14ac:dyDescent="0.35">
      <c r="A184" s="14" t="s">
        <v>604</v>
      </c>
      <c r="B184" s="4">
        <v>50.57</v>
      </c>
      <c r="C184" s="4">
        <v>52.75</v>
      </c>
      <c r="D184" s="4">
        <v>2.7</v>
      </c>
      <c r="E184" s="4">
        <v>1.75</v>
      </c>
      <c r="F184" s="4">
        <v>17.2</v>
      </c>
      <c r="G184" s="4">
        <v>17.5</v>
      </c>
      <c r="H184" s="4">
        <f t="shared" si="28"/>
        <v>19.899999999999999</v>
      </c>
      <c r="I184" s="4">
        <f t="shared" si="27"/>
        <v>19.25</v>
      </c>
      <c r="J184" s="4">
        <v>0</v>
      </c>
      <c r="K184" s="4">
        <v>0</v>
      </c>
      <c r="L184" s="139" t="str">
        <f t="shared" si="24"/>
        <v xml:space="preserve"> </v>
      </c>
      <c r="M184" s="139" t="s">
        <v>867</v>
      </c>
      <c r="N184" s="139">
        <v>1.22</v>
      </c>
      <c r="O184" s="139">
        <f t="shared" si="26"/>
        <v>1.22</v>
      </c>
      <c r="P184" s="139" t="str">
        <f t="shared" si="25"/>
        <v xml:space="preserve"> </v>
      </c>
    </row>
    <row r="185" spans="1:16" x14ac:dyDescent="0.35">
      <c r="A185" s="14" t="s">
        <v>639</v>
      </c>
      <c r="B185" s="4">
        <v>16.63</v>
      </c>
      <c r="C185" s="4">
        <v>30.94</v>
      </c>
      <c r="D185" s="4">
        <v>30.3</v>
      </c>
      <c r="E185" s="4">
        <v>27.35</v>
      </c>
      <c r="F185" s="4">
        <v>22.56</v>
      </c>
      <c r="G185" s="4">
        <v>18.11</v>
      </c>
      <c r="H185" s="4">
        <f t="shared" si="28"/>
        <v>52.86</v>
      </c>
      <c r="I185" s="4">
        <f t="shared" si="27"/>
        <v>45.46</v>
      </c>
      <c r="J185" s="4">
        <v>1.49</v>
      </c>
      <c r="K185" s="4">
        <v>1.4</v>
      </c>
      <c r="L185" s="139" t="str">
        <f t="shared" si="24"/>
        <v xml:space="preserve"> </v>
      </c>
      <c r="M185" s="139">
        <v>1.49</v>
      </c>
      <c r="N185" s="139">
        <v>1.52</v>
      </c>
      <c r="O185" s="139">
        <f t="shared" si="26"/>
        <v>1.49</v>
      </c>
      <c r="P185" s="139">
        <f t="shared" si="25"/>
        <v>1.49</v>
      </c>
    </row>
    <row r="186" spans="1:16" x14ac:dyDescent="0.35">
      <c r="A186" s="14" t="s">
        <v>640</v>
      </c>
      <c r="B186" s="4">
        <v>11.7</v>
      </c>
      <c r="C186" s="4">
        <v>10.16</v>
      </c>
      <c r="D186" s="4">
        <v>27.15</v>
      </c>
      <c r="E186" s="4">
        <v>27.05</v>
      </c>
      <c r="F186" s="4">
        <v>46.13</v>
      </c>
      <c r="G186" s="4">
        <v>52.63</v>
      </c>
      <c r="H186" s="4">
        <f t="shared" si="28"/>
        <v>73.28</v>
      </c>
      <c r="I186" s="4">
        <f t="shared" si="27"/>
        <v>79.680000000000007</v>
      </c>
      <c r="J186" s="4">
        <v>1.53</v>
      </c>
      <c r="K186" s="4">
        <v>1.63</v>
      </c>
      <c r="L186" s="139" t="str">
        <f t="shared" si="24"/>
        <v xml:space="preserve"> </v>
      </c>
      <c r="M186" s="139">
        <v>1.53</v>
      </c>
      <c r="N186" s="139">
        <v>1.52</v>
      </c>
      <c r="O186" s="139">
        <f t="shared" si="26"/>
        <v>1.53</v>
      </c>
      <c r="P186" s="139">
        <f t="shared" si="25"/>
        <v>1.53</v>
      </c>
    </row>
    <row r="187" spans="1:16" x14ac:dyDescent="0.35">
      <c r="A187" s="14" t="s">
        <v>625</v>
      </c>
      <c r="B187" s="4">
        <v>18.36</v>
      </c>
      <c r="C187" s="4">
        <v>27.86</v>
      </c>
      <c r="D187" s="4">
        <v>19.2</v>
      </c>
      <c r="E187" s="4">
        <v>16.899999999999999</v>
      </c>
      <c r="F187" s="4">
        <v>2.8</v>
      </c>
      <c r="G187" s="4">
        <v>1.66</v>
      </c>
      <c r="H187" s="4">
        <f t="shared" si="28"/>
        <v>22</v>
      </c>
      <c r="I187" s="4">
        <f t="shared" si="27"/>
        <v>18.559999999999999</v>
      </c>
      <c r="J187" s="4">
        <v>0</v>
      </c>
      <c r="K187" s="4">
        <v>0</v>
      </c>
      <c r="L187" s="139" t="str">
        <f t="shared" si="24"/>
        <v xml:space="preserve"> </v>
      </c>
      <c r="M187" s="139" t="s">
        <v>867</v>
      </c>
      <c r="N187" s="139">
        <v>1.49</v>
      </c>
      <c r="O187" s="139">
        <f t="shared" si="26"/>
        <v>1.49</v>
      </c>
      <c r="P187" s="139" t="str">
        <f t="shared" si="25"/>
        <v xml:space="preserve"> </v>
      </c>
    </row>
    <row r="188" spans="1:16" x14ac:dyDescent="0.35">
      <c r="A188" s="14" t="s">
        <v>584</v>
      </c>
      <c r="B188" s="4">
        <v>12.7</v>
      </c>
      <c r="C188" s="4">
        <v>15.39</v>
      </c>
      <c r="D188" s="4">
        <v>17.98</v>
      </c>
      <c r="E188" s="4">
        <v>18.79</v>
      </c>
      <c r="F188" s="4">
        <v>1.34</v>
      </c>
      <c r="G188" s="4">
        <v>1.1000000000000001</v>
      </c>
      <c r="H188" s="4">
        <f t="shared" si="28"/>
        <v>19.32</v>
      </c>
      <c r="I188" s="4">
        <f t="shared" si="27"/>
        <v>19.89</v>
      </c>
      <c r="J188" s="4">
        <v>1.43</v>
      </c>
      <c r="K188" s="4">
        <v>1.42</v>
      </c>
      <c r="L188" s="139" t="str">
        <f t="shared" si="24"/>
        <v xml:space="preserve"> </v>
      </c>
      <c r="M188" s="139">
        <v>1.43</v>
      </c>
      <c r="N188" s="139">
        <v>1.41</v>
      </c>
      <c r="O188" s="139">
        <f t="shared" si="26"/>
        <v>1.43</v>
      </c>
      <c r="P188" s="139">
        <f t="shared" si="25"/>
        <v>1.43</v>
      </c>
    </row>
    <row r="189" spans="1:16" x14ac:dyDescent="0.35">
      <c r="A189" s="14" t="s">
        <v>627</v>
      </c>
      <c r="B189" s="4">
        <v>18.13</v>
      </c>
      <c r="C189" s="4">
        <v>26.87</v>
      </c>
      <c r="D189" s="4">
        <v>20.2</v>
      </c>
      <c r="E189" s="4">
        <v>16.670000000000002</v>
      </c>
      <c r="F189" s="4">
        <v>1.8</v>
      </c>
      <c r="G189" s="4">
        <v>1.08</v>
      </c>
      <c r="H189" s="4">
        <f t="shared" si="28"/>
        <v>22</v>
      </c>
      <c r="I189" s="4">
        <f t="shared" si="27"/>
        <v>17.75</v>
      </c>
      <c r="J189" s="4">
        <v>1.39</v>
      </c>
      <c r="K189" s="4">
        <v>1.28</v>
      </c>
      <c r="L189" s="139" t="str">
        <f t="shared" si="24"/>
        <v xml:space="preserve"> </v>
      </c>
      <c r="M189" s="139">
        <v>1.39</v>
      </c>
      <c r="N189" s="139">
        <v>1.49</v>
      </c>
      <c r="O189" s="139">
        <f t="shared" si="26"/>
        <v>1.39</v>
      </c>
      <c r="P189" s="139">
        <f t="shared" si="25"/>
        <v>1.39</v>
      </c>
    </row>
    <row r="190" spans="1:16" x14ac:dyDescent="0.35">
      <c r="A190" s="14" t="s">
        <v>626</v>
      </c>
      <c r="B190" s="4">
        <v>14.16</v>
      </c>
      <c r="C190" s="4">
        <v>14.73</v>
      </c>
      <c r="D190" s="4">
        <v>15.68</v>
      </c>
      <c r="E190" s="4">
        <v>11.73</v>
      </c>
      <c r="F190" s="4">
        <v>1.28</v>
      </c>
      <c r="G190" s="4">
        <v>1.0900000000000001</v>
      </c>
      <c r="H190" s="4">
        <f t="shared" si="28"/>
        <v>16.96</v>
      </c>
      <c r="I190" s="4">
        <f t="shared" si="27"/>
        <v>12.82</v>
      </c>
      <c r="J190" s="4">
        <v>1.44</v>
      </c>
      <c r="K190" s="4">
        <v>1.41</v>
      </c>
      <c r="L190" s="139" t="str">
        <f t="shared" si="24"/>
        <v xml:space="preserve"> </v>
      </c>
      <c r="M190" s="139">
        <v>1.44</v>
      </c>
      <c r="N190" s="139">
        <v>1.41</v>
      </c>
      <c r="O190" s="139">
        <f t="shared" si="26"/>
        <v>1.44</v>
      </c>
      <c r="P190" s="139">
        <f t="shared" si="25"/>
        <v>1.44</v>
      </c>
    </row>
    <row r="191" spans="1:16" x14ac:dyDescent="0.35">
      <c r="A191" s="14" t="s">
        <v>628</v>
      </c>
      <c r="B191" s="4">
        <v>29.08</v>
      </c>
      <c r="C191" s="4">
        <v>25.1</v>
      </c>
      <c r="D191" s="4">
        <v>30.94</v>
      </c>
      <c r="E191" s="4">
        <v>32.35</v>
      </c>
      <c r="F191" s="4">
        <v>7.17</v>
      </c>
      <c r="G191" s="4">
        <v>9.69</v>
      </c>
      <c r="H191" s="4">
        <f t="shared" si="28"/>
        <v>38.11</v>
      </c>
      <c r="I191" s="4">
        <f t="shared" si="27"/>
        <v>42.04</v>
      </c>
      <c r="J191" s="4">
        <v>0</v>
      </c>
      <c r="K191" s="4">
        <v>0</v>
      </c>
      <c r="L191" s="139" t="str">
        <f t="shared" si="24"/>
        <v xml:space="preserve"> </v>
      </c>
      <c r="M191" s="139" t="s">
        <v>867</v>
      </c>
      <c r="N191" s="139">
        <v>1.35</v>
      </c>
      <c r="O191" s="139">
        <f t="shared" si="26"/>
        <v>1.35</v>
      </c>
      <c r="P191" s="139" t="str">
        <f t="shared" si="25"/>
        <v xml:space="preserve"> </v>
      </c>
    </row>
    <row r="192" spans="1:16" x14ac:dyDescent="0.35">
      <c r="A192" s="14" t="s">
        <v>614</v>
      </c>
      <c r="B192" s="4">
        <v>22.4</v>
      </c>
      <c r="C192" s="4">
        <v>27.6</v>
      </c>
      <c r="D192" s="4">
        <v>26.24</v>
      </c>
      <c r="E192" s="4">
        <v>25.7</v>
      </c>
      <c r="F192" s="4">
        <v>4.8899999999999997</v>
      </c>
      <c r="G192" s="4">
        <v>5.72</v>
      </c>
      <c r="H192" s="4">
        <f t="shared" si="28"/>
        <v>31.13</v>
      </c>
      <c r="I192" s="4">
        <f t="shared" si="27"/>
        <v>31.419999999999998</v>
      </c>
      <c r="J192" s="4">
        <v>0</v>
      </c>
      <c r="K192" s="4">
        <v>0</v>
      </c>
      <c r="L192" s="139" t="str">
        <f t="shared" si="24"/>
        <v xml:space="preserve"> </v>
      </c>
      <c r="M192" s="139" t="s">
        <v>867</v>
      </c>
      <c r="N192" s="139">
        <v>1.35</v>
      </c>
      <c r="O192" s="139">
        <f t="shared" si="26"/>
        <v>1.35</v>
      </c>
      <c r="P192" s="139" t="str">
        <f t="shared" si="25"/>
        <v xml:space="preserve"> </v>
      </c>
    </row>
    <row r="193" spans="1:16" x14ac:dyDescent="0.35">
      <c r="A193" s="14" t="s">
        <v>447</v>
      </c>
      <c r="B193" s="4">
        <v>28.93</v>
      </c>
      <c r="C193" s="4">
        <v>33.49</v>
      </c>
      <c r="D193" s="4">
        <v>0.27</v>
      </c>
      <c r="E193" s="4">
        <v>0.59</v>
      </c>
      <c r="F193" s="4">
        <v>2.23</v>
      </c>
      <c r="G193" s="4">
        <v>2.09</v>
      </c>
      <c r="H193" s="4">
        <f t="shared" si="28"/>
        <v>2.5</v>
      </c>
      <c r="I193" s="4">
        <f t="shared" si="27"/>
        <v>2.6799999999999997</v>
      </c>
      <c r="J193" s="4">
        <v>0</v>
      </c>
      <c r="K193" s="4">
        <v>0</v>
      </c>
      <c r="L193" s="139" t="str">
        <f t="shared" si="24"/>
        <v xml:space="preserve"> </v>
      </c>
      <c r="M193" s="139" t="s">
        <v>867</v>
      </c>
      <c r="N193" s="139">
        <v>1.32</v>
      </c>
      <c r="O193" s="139">
        <f t="shared" si="26"/>
        <v>1.32</v>
      </c>
      <c r="P193" s="139" t="str">
        <f t="shared" si="25"/>
        <v xml:space="preserve"> </v>
      </c>
    </row>
    <row r="194" spans="1:16" x14ac:dyDescent="0.35">
      <c r="A194" s="14" t="s">
        <v>448</v>
      </c>
      <c r="B194" s="4">
        <v>15.94</v>
      </c>
      <c r="C194" s="4">
        <v>25.02</v>
      </c>
      <c r="D194" s="4">
        <v>7.91</v>
      </c>
      <c r="E194" s="4">
        <v>6.43</v>
      </c>
      <c r="F194" s="4">
        <v>4.93</v>
      </c>
      <c r="G194" s="4">
        <v>3.9</v>
      </c>
      <c r="H194" s="4">
        <f t="shared" si="28"/>
        <v>12.84</v>
      </c>
      <c r="I194" s="4">
        <f t="shared" si="27"/>
        <v>10.33</v>
      </c>
      <c r="J194" s="4">
        <v>0</v>
      </c>
      <c r="K194" s="4">
        <v>0</v>
      </c>
      <c r="L194" s="139" t="str">
        <f t="shared" si="24"/>
        <v xml:space="preserve"> </v>
      </c>
      <c r="M194" s="139" t="s">
        <v>867</v>
      </c>
      <c r="N194" s="139">
        <v>1.41</v>
      </c>
      <c r="O194" s="139">
        <f t="shared" si="26"/>
        <v>1.41</v>
      </c>
      <c r="P194" s="139" t="str">
        <f t="shared" si="25"/>
        <v xml:space="preserve"> </v>
      </c>
    </row>
    <row r="195" spans="1:16" x14ac:dyDescent="0.35">
      <c r="A195" s="14" t="s">
        <v>173</v>
      </c>
      <c r="B195" s="4">
        <v>19.84</v>
      </c>
      <c r="C195" s="4">
        <v>18.97</v>
      </c>
      <c r="D195" s="4">
        <v>9.86</v>
      </c>
      <c r="E195" s="4">
        <v>8.86</v>
      </c>
      <c r="F195" s="4">
        <v>36.39</v>
      </c>
      <c r="G195" s="4">
        <v>43.95</v>
      </c>
      <c r="H195" s="4">
        <f t="shared" si="28"/>
        <v>46.25</v>
      </c>
      <c r="I195" s="4">
        <f t="shared" si="27"/>
        <v>52.81</v>
      </c>
      <c r="J195" s="4">
        <v>1.4</v>
      </c>
      <c r="K195" s="4">
        <v>1.36</v>
      </c>
      <c r="L195" s="139" t="str">
        <f t="shared" si="24"/>
        <v xml:space="preserve"> </v>
      </c>
      <c r="M195" s="139">
        <v>1.4</v>
      </c>
      <c r="N195" s="139">
        <v>1.52</v>
      </c>
      <c r="O195" s="139">
        <f t="shared" si="26"/>
        <v>1.4</v>
      </c>
      <c r="P195" s="139">
        <f t="shared" si="25"/>
        <v>1.4</v>
      </c>
    </row>
    <row r="196" spans="1:16" x14ac:dyDescent="0.35">
      <c r="A196" s="14" t="s">
        <v>493</v>
      </c>
      <c r="B196" s="4">
        <v>19.07</v>
      </c>
      <c r="C196" s="4">
        <v>23.3</v>
      </c>
      <c r="D196" s="4">
        <v>5.85</v>
      </c>
      <c r="E196" s="4">
        <v>3.84</v>
      </c>
      <c r="F196" s="4">
        <v>2.2799999999999998</v>
      </c>
      <c r="G196" s="4">
        <v>1.78</v>
      </c>
      <c r="H196" s="4">
        <f t="shared" si="28"/>
        <v>8.129999999999999</v>
      </c>
      <c r="I196" s="4">
        <f t="shared" si="27"/>
        <v>5.62</v>
      </c>
      <c r="J196" s="4">
        <v>0</v>
      </c>
      <c r="K196" s="4">
        <v>0</v>
      </c>
      <c r="L196" s="139" t="str">
        <f t="shared" si="24"/>
        <v xml:space="preserve"> </v>
      </c>
      <c r="M196" s="139" t="s">
        <v>867</v>
      </c>
      <c r="N196" s="139">
        <v>1.41</v>
      </c>
      <c r="O196" s="139">
        <f t="shared" si="26"/>
        <v>1.41</v>
      </c>
      <c r="P196" s="139" t="str">
        <f t="shared" si="25"/>
        <v xml:space="preserve"> </v>
      </c>
    </row>
    <row r="197" spans="1:16" x14ac:dyDescent="0.35">
      <c r="A197" s="14" t="s">
        <v>470</v>
      </c>
      <c r="B197" s="4">
        <v>23.35</v>
      </c>
      <c r="C197" s="4">
        <v>28.36</v>
      </c>
      <c r="D197" s="4">
        <v>7.98</v>
      </c>
      <c r="E197" s="4">
        <v>8.83</v>
      </c>
      <c r="F197" s="4">
        <v>2.82</v>
      </c>
      <c r="G197" s="4">
        <v>1.97</v>
      </c>
      <c r="H197" s="4">
        <f t="shared" si="28"/>
        <v>10.8</v>
      </c>
      <c r="I197" s="4">
        <f t="shared" si="27"/>
        <v>10.8</v>
      </c>
      <c r="J197" s="4">
        <v>1.33</v>
      </c>
      <c r="K197" s="4">
        <v>1.31</v>
      </c>
      <c r="L197" s="139" t="str">
        <f t="shared" si="24"/>
        <v xml:space="preserve"> </v>
      </c>
      <c r="M197" s="139">
        <v>1.33</v>
      </c>
      <c r="N197" s="139">
        <v>1.32</v>
      </c>
      <c r="O197" s="139">
        <f t="shared" si="26"/>
        <v>1.33</v>
      </c>
      <c r="P197" s="139">
        <f t="shared" si="25"/>
        <v>1.33</v>
      </c>
    </row>
    <row r="198" spans="1:16" x14ac:dyDescent="0.35">
      <c r="A198" s="14" t="s">
        <v>460</v>
      </c>
      <c r="B198" s="4">
        <v>27.09</v>
      </c>
      <c r="C198" s="4">
        <v>29.11</v>
      </c>
      <c r="D198" s="4">
        <v>0.54</v>
      </c>
      <c r="E198" s="4">
        <v>1.65</v>
      </c>
      <c r="F198" s="4">
        <v>3.11</v>
      </c>
      <c r="G198" s="4">
        <v>2.13</v>
      </c>
      <c r="H198" s="4">
        <f t="shared" si="28"/>
        <v>3.65</v>
      </c>
      <c r="I198" s="4">
        <f t="shared" si="27"/>
        <v>3.78</v>
      </c>
      <c r="J198" s="4">
        <v>0</v>
      </c>
      <c r="K198" s="4">
        <v>0</v>
      </c>
      <c r="L198" s="139" t="str">
        <f t="shared" si="24"/>
        <v xml:space="preserve"> </v>
      </c>
      <c r="M198" s="139" t="s">
        <v>867</v>
      </c>
      <c r="N198" s="139">
        <v>1.32</v>
      </c>
      <c r="O198" s="139">
        <f t="shared" si="26"/>
        <v>1.32</v>
      </c>
      <c r="P198" s="139" t="str">
        <f t="shared" si="25"/>
        <v xml:space="preserve"> </v>
      </c>
    </row>
    <row r="199" spans="1:16" x14ac:dyDescent="0.35">
      <c r="A199" s="14" t="s">
        <v>450</v>
      </c>
      <c r="B199" s="4">
        <v>26.57</v>
      </c>
      <c r="C199" s="4">
        <v>30.55</v>
      </c>
      <c r="D199" s="4">
        <v>6.51</v>
      </c>
      <c r="E199" s="4">
        <v>5.48</v>
      </c>
      <c r="F199" s="4">
        <v>3.48</v>
      </c>
      <c r="G199" s="4">
        <v>2.33</v>
      </c>
      <c r="H199" s="4">
        <f t="shared" si="28"/>
        <v>9.99</v>
      </c>
      <c r="I199" s="4">
        <f t="shared" si="27"/>
        <v>7.8100000000000005</v>
      </c>
      <c r="J199" s="4">
        <v>0</v>
      </c>
      <c r="K199" s="4">
        <v>0</v>
      </c>
      <c r="L199" s="139" t="str">
        <f t="shared" ref="L199:L262" si="29">IF(AND($B199&lt;L$3,$B199&gt;L$2,$H199&lt;L$5,$H199&gt;L$4),$J199," ")</f>
        <v xml:space="preserve"> </v>
      </c>
      <c r="M199" s="139" t="s">
        <v>867</v>
      </c>
      <c r="N199" s="139">
        <v>1.32</v>
      </c>
      <c r="O199" s="139">
        <f t="shared" si="26"/>
        <v>1.32</v>
      </c>
      <c r="P199" s="139" t="str">
        <f t="shared" ref="P199:P262" si="30">IF(M199&gt;0,M199," ")</f>
        <v xml:space="preserve"> </v>
      </c>
    </row>
    <row r="200" spans="1:16" x14ac:dyDescent="0.35">
      <c r="A200" s="14" t="s">
        <v>454</v>
      </c>
      <c r="B200" s="4">
        <v>29.23</v>
      </c>
      <c r="C200" s="4">
        <v>26.86</v>
      </c>
      <c r="D200" s="4">
        <v>7.65</v>
      </c>
      <c r="E200" s="4">
        <v>7.01</v>
      </c>
      <c r="F200" s="4">
        <v>31.45</v>
      </c>
      <c r="G200" s="4">
        <v>39.33</v>
      </c>
      <c r="H200" s="4">
        <f t="shared" si="28"/>
        <v>39.1</v>
      </c>
      <c r="I200" s="4">
        <f t="shared" si="27"/>
        <v>46.339999999999996</v>
      </c>
      <c r="J200" s="4">
        <v>1.35</v>
      </c>
      <c r="K200" s="4">
        <v>1.35</v>
      </c>
      <c r="L200" s="139" t="str">
        <f t="shared" si="29"/>
        <v xml:space="preserve"> </v>
      </c>
      <c r="M200" s="139">
        <v>1.35</v>
      </c>
      <c r="N200" s="139">
        <v>1.35</v>
      </c>
      <c r="O200" s="139">
        <f t="shared" ref="O200:O263" si="31">IF(M200=" ",N200,M200)</f>
        <v>1.35</v>
      </c>
      <c r="P200" s="139">
        <f t="shared" si="30"/>
        <v>1.35</v>
      </c>
    </row>
    <row r="201" spans="1:16" x14ac:dyDescent="0.35">
      <c r="A201" s="14" t="s">
        <v>485</v>
      </c>
      <c r="B201" s="4">
        <v>19.39</v>
      </c>
      <c r="C201" s="4">
        <v>20.329999999999998</v>
      </c>
      <c r="D201" s="4">
        <v>15.4</v>
      </c>
      <c r="E201" s="4">
        <v>14.73</v>
      </c>
      <c r="F201" s="4">
        <v>3.3</v>
      </c>
      <c r="G201" s="4">
        <v>3.28</v>
      </c>
      <c r="H201" s="4">
        <f t="shared" si="28"/>
        <v>18.7</v>
      </c>
      <c r="I201" s="4">
        <f t="shared" si="27"/>
        <v>18.010000000000002</v>
      </c>
      <c r="J201" s="4">
        <v>0</v>
      </c>
      <c r="K201" s="4">
        <v>0</v>
      </c>
      <c r="L201" s="139" t="str">
        <f t="shared" si="29"/>
        <v xml:space="preserve"> </v>
      </c>
      <c r="M201" s="139" t="s">
        <v>867</v>
      </c>
      <c r="N201" s="139">
        <v>1.41</v>
      </c>
      <c r="O201" s="139">
        <f t="shared" si="31"/>
        <v>1.41</v>
      </c>
      <c r="P201" s="139" t="str">
        <f t="shared" si="30"/>
        <v xml:space="preserve"> </v>
      </c>
    </row>
    <row r="202" spans="1:16" x14ac:dyDescent="0.35">
      <c r="A202" s="14" t="s">
        <v>58</v>
      </c>
      <c r="B202" s="4">
        <v>28.56</v>
      </c>
      <c r="C202" s="4">
        <v>33.31</v>
      </c>
      <c r="D202" s="4">
        <v>11.28</v>
      </c>
      <c r="E202" s="4">
        <v>11.44</v>
      </c>
      <c r="F202" s="4">
        <v>2.44</v>
      </c>
      <c r="G202" s="4">
        <v>1.92</v>
      </c>
      <c r="H202" s="4">
        <f t="shared" si="28"/>
        <v>13.719999999999999</v>
      </c>
      <c r="I202" s="4">
        <f t="shared" si="27"/>
        <v>13.36</v>
      </c>
      <c r="J202" s="4">
        <v>1.32</v>
      </c>
      <c r="K202" s="4">
        <v>1.26</v>
      </c>
      <c r="L202" s="139" t="str">
        <f t="shared" si="29"/>
        <v xml:space="preserve"> </v>
      </c>
      <c r="M202" s="139">
        <v>1.32</v>
      </c>
      <c r="N202" s="139">
        <v>1.32</v>
      </c>
      <c r="O202" s="139">
        <f t="shared" si="31"/>
        <v>1.32</v>
      </c>
      <c r="P202" s="139">
        <f t="shared" si="30"/>
        <v>1.32</v>
      </c>
    </row>
    <row r="203" spans="1:16" x14ac:dyDescent="0.35">
      <c r="A203" s="14" t="s">
        <v>64</v>
      </c>
      <c r="B203" s="4">
        <v>27.82</v>
      </c>
      <c r="C203" s="4">
        <v>31.98</v>
      </c>
      <c r="D203" s="4">
        <v>11.73</v>
      </c>
      <c r="E203" s="4">
        <v>11.03</v>
      </c>
      <c r="F203" s="4">
        <v>1.82</v>
      </c>
      <c r="G203" s="4">
        <v>1.36</v>
      </c>
      <c r="H203" s="4">
        <f t="shared" si="28"/>
        <v>13.55</v>
      </c>
      <c r="I203" s="4">
        <f t="shared" si="27"/>
        <v>12.389999999999999</v>
      </c>
      <c r="J203" s="4">
        <v>0</v>
      </c>
      <c r="K203" s="4">
        <v>0</v>
      </c>
      <c r="L203" s="139" t="str">
        <f t="shared" si="29"/>
        <v xml:space="preserve"> </v>
      </c>
      <c r="M203" s="139" t="s">
        <v>867</v>
      </c>
      <c r="N203" s="139">
        <v>1.32</v>
      </c>
      <c r="O203" s="139">
        <f t="shared" si="31"/>
        <v>1.32</v>
      </c>
      <c r="P203" s="139" t="str">
        <f t="shared" si="30"/>
        <v xml:space="preserve"> </v>
      </c>
    </row>
    <row r="204" spans="1:16" x14ac:dyDescent="0.35">
      <c r="A204" s="14" t="s">
        <v>194</v>
      </c>
      <c r="B204" s="4">
        <v>26.38</v>
      </c>
      <c r="C204" s="4">
        <v>31.42</v>
      </c>
      <c r="D204" s="4">
        <v>9.19</v>
      </c>
      <c r="E204" s="4">
        <v>7.7</v>
      </c>
      <c r="F204" s="4">
        <v>4.9800000000000004</v>
      </c>
      <c r="G204" s="4">
        <v>2.97</v>
      </c>
      <c r="H204" s="4">
        <f t="shared" si="28"/>
        <v>14.17</v>
      </c>
      <c r="I204" s="4">
        <f t="shared" ref="I204:I267" si="32">E204+G204</f>
        <v>10.67</v>
      </c>
      <c r="J204" s="4">
        <v>1.34</v>
      </c>
      <c r="K204" s="4">
        <v>1.25</v>
      </c>
      <c r="L204" s="139" t="str">
        <f t="shared" si="29"/>
        <v xml:space="preserve"> </v>
      </c>
      <c r="M204" s="139">
        <v>1.34</v>
      </c>
      <c r="N204" s="139">
        <v>1.32</v>
      </c>
      <c r="O204" s="139">
        <f t="shared" si="31"/>
        <v>1.34</v>
      </c>
      <c r="P204" s="139">
        <f t="shared" si="30"/>
        <v>1.34</v>
      </c>
    </row>
    <row r="205" spans="1:16" x14ac:dyDescent="0.35">
      <c r="A205" s="14" t="s">
        <v>190</v>
      </c>
      <c r="B205" s="4">
        <v>28.63</v>
      </c>
      <c r="C205" s="4">
        <v>35.06</v>
      </c>
      <c r="D205" s="4">
        <v>12.1</v>
      </c>
      <c r="E205" s="4">
        <v>11.72</v>
      </c>
      <c r="F205" s="4">
        <v>5.57</v>
      </c>
      <c r="G205" s="4">
        <v>4.53</v>
      </c>
      <c r="H205" s="4">
        <f t="shared" ref="H205:H268" si="33">D205+F205</f>
        <v>17.670000000000002</v>
      </c>
      <c r="I205" s="4">
        <f t="shared" si="32"/>
        <v>16.25</v>
      </c>
      <c r="J205" s="4">
        <v>0</v>
      </c>
      <c r="K205" s="4">
        <v>0</v>
      </c>
      <c r="L205" s="139" t="str">
        <f t="shared" si="29"/>
        <v xml:space="preserve"> </v>
      </c>
      <c r="M205" s="139" t="s">
        <v>867</v>
      </c>
      <c r="N205" s="139">
        <v>1.32</v>
      </c>
      <c r="O205" s="139">
        <f t="shared" si="31"/>
        <v>1.32</v>
      </c>
      <c r="P205" s="139" t="str">
        <f t="shared" si="30"/>
        <v xml:space="preserve"> </v>
      </c>
    </row>
    <row r="206" spans="1:16" x14ac:dyDescent="0.35">
      <c r="A206" s="14" t="s">
        <v>206</v>
      </c>
      <c r="B206" s="4">
        <v>32.64</v>
      </c>
      <c r="C206" s="4">
        <v>34.299999999999997</v>
      </c>
      <c r="D206" s="4">
        <v>11.15</v>
      </c>
      <c r="E206" s="4">
        <v>12.92</v>
      </c>
      <c r="F206" s="4">
        <v>4.37</v>
      </c>
      <c r="G206" s="4">
        <v>4.79</v>
      </c>
      <c r="H206" s="4">
        <f t="shared" si="33"/>
        <v>15.52</v>
      </c>
      <c r="I206" s="4">
        <f t="shared" si="32"/>
        <v>17.71</v>
      </c>
      <c r="J206" s="4">
        <v>0</v>
      </c>
      <c r="K206" s="4">
        <v>0</v>
      </c>
      <c r="L206" s="139" t="str">
        <f t="shared" si="29"/>
        <v xml:space="preserve"> </v>
      </c>
      <c r="M206" s="139" t="s">
        <v>867</v>
      </c>
      <c r="N206" s="139">
        <v>1.32</v>
      </c>
      <c r="O206" s="139">
        <f t="shared" si="31"/>
        <v>1.32</v>
      </c>
      <c r="P206" s="139" t="str">
        <f t="shared" si="30"/>
        <v xml:space="preserve"> </v>
      </c>
    </row>
    <row r="207" spans="1:16" x14ac:dyDescent="0.35">
      <c r="A207" s="14" t="s">
        <v>483</v>
      </c>
      <c r="B207" s="4">
        <v>24.35</v>
      </c>
      <c r="C207" s="4">
        <v>29.79</v>
      </c>
      <c r="D207" s="4">
        <v>19.57</v>
      </c>
      <c r="E207" s="4">
        <v>18.89</v>
      </c>
      <c r="F207" s="4">
        <v>2.84</v>
      </c>
      <c r="G207" s="4">
        <v>2.6</v>
      </c>
      <c r="H207" s="4">
        <f t="shared" si="33"/>
        <v>22.41</v>
      </c>
      <c r="I207" s="4">
        <f t="shared" si="32"/>
        <v>21.490000000000002</v>
      </c>
      <c r="J207" s="4">
        <v>0</v>
      </c>
      <c r="K207" s="4">
        <v>0</v>
      </c>
      <c r="L207" s="139" t="str">
        <f t="shared" si="29"/>
        <v xml:space="preserve"> </v>
      </c>
      <c r="M207" s="139" t="s">
        <v>867</v>
      </c>
      <c r="N207" s="139">
        <v>1.35</v>
      </c>
      <c r="O207" s="139">
        <f t="shared" si="31"/>
        <v>1.35</v>
      </c>
      <c r="P207" s="139" t="str">
        <f t="shared" si="30"/>
        <v xml:space="preserve"> </v>
      </c>
    </row>
    <row r="208" spans="1:16" x14ac:dyDescent="0.35">
      <c r="A208" s="14" t="s">
        <v>52</v>
      </c>
      <c r="B208" s="4">
        <v>16.52</v>
      </c>
      <c r="C208" s="4">
        <v>22.36</v>
      </c>
      <c r="D208" s="4">
        <v>17.600000000000001</v>
      </c>
      <c r="E208" s="4">
        <v>14.56</v>
      </c>
      <c r="F208" s="4">
        <v>3.6</v>
      </c>
      <c r="G208" s="4">
        <v>3.72</v>
      </c>
      <c r="H208" s="4">
        <f t="shared" si="33"/>
        <v>21.200000000000003</v>
      </c>
      <c r="I208" s="4">
        <f t="shared" si="32"/>
        <v>18.28</v>
      </c>
      <c r="J208" s="4">
        <v>0</v>
      </c>
      <c r="K208" s="4">
        <v>0</v>
      </c>
      <c r="L208" s="139" t="str">
        <f t="shared" si="29"/>
        <v xml:space="preserve"> </v>
      </c>
      <c r="M208" s="139" t="s">
        <v>867</v>
      </c>
      <c r="N208" s="139">
        <v>1.49</v>
      </c>
      <c r="O208" s="139">
        <f t="shared" si="31"/>
        <v>1.49</v>
      </c>
      <c r="P208" s="139" t="str">
        <f t="shared" si="30"/>
        <v xml:space="preserve"> </v>
      </c>
    </row>
    <row r="209" spans="1:16" x14ac:dyDescent="0.35">
      <c r="A209" s="14" t="s">
        <v>71</v>
      </c>
      <c r="B209" s="4">
        <v>20.93</v>
      </c>
      <c r="C209" s="4">
        <v>31.49</v>
      </c>
      <c r="D209" s="4">
        <v>24.25</v>
      </c>
      <c r="E209" s="4">
        <v>24.28</v>
      </c>
      <c r="F209" s="4">
        <v>7.06</v>
      </c>
      <c r="G209" s="4">
        <v>5.68</v>
      </c>
      <c r="H209" s="4">
        <f t="shared" si="33"/>
        <v>31.31</v>
      </c>
      <c r="I209" s="4">
        <f t="shared" si="32"/>
        <v>29.96</v>
      </c>
      <c r="J209" s="4">
        <v>0</v>
      </c>
      <c r="K209" s="4">
        <v>0</v>
      </c>
      <c r="L209" s="139" t="str">
        <f t="shared" si="29"/>
        <v xml:space="preserve"> </v>
      </c>
      <c r="M209" s="139" t="s">
        <v>867</v>
      </c>
      <c r="N209" s="139">
        <v>1.35</v>
      </c>
      <c r="O209" s="139">
        <f t="shared" si="31"/>
        <v>1.35</v>
      </c>
      <c r="P209" s="139" t="str">
        <f t="shared" si="30"/>
        <v xml:space="preserve"> </v>
      </c>
    </row>
    <row r="210" spans="1:16" x14ac:dyDescent="0.35">
      <c r="A210" s="14" t="s">
        <v>65</v>
      </c>
      <c r="B210" s="4">
        <v>15.98</v>
      </c>
      <c r="C210" s="4">
        <v>27.94</v>
      </c>
      <c r="D210" s="4">
        <v>22.73</v>
      </c>
      <c r="E210" s="4">
        <v>16.989999999999998</v>
      </c>
      <c r="F210" s="4">
        <v>8.5</v>
      </c>
      <c r="G210" s="4">
        <v>5.77</v>
      </c>
      <c r="H210" s="4">
        <f t="shared" si="33"/>
        <v>31.23</v>
      </c>
      <c r="I210" s="4">
        <f t="shared" si="32"/>
        <v>22.759999999999998</v>
      </c>
      <c r="J210" s="4">
        <v>0</v>
      </c>
      <c r="K210" s="4">
        <v>0</v>
      </c>
      <c r="L210" s="139" t="str">
        <f t="shared" si="29"/>
        <v xml:space="preserve"> </v>
      </c>
      <c r="M210" s="139" t="s">
        <v>867</v>
      </c>
      <c r="N210" s="139">
        <v>1.49</v>
      </c>
      <c r="O210" s="139">
        <f t="shared" si="31"/>
        <v>1.49</v>
      </c>
      <c r="P210" s="139" t="str">
        <f t="shared" si="30"/>
        <v xml:space="preserve"> </v>
      </c>
    </row>
    <row r="211" spans="1:16" x14ac:dyDescent="0.35">
      <c r="A211" s="14" t="s">
        <v>74</v>
      </c>
      <c r="B211" s="4">
        <v>11.85</v>
      </c>
      <c r="C211" s="4">
        <v>17.97</v>
      </c>
      <c r="D211" s="4">
        <v>27.98</v>
      </c>
      <c r="E211" s="4">
        <v>32.6</v>
      </c>
      <c r="F211" s="4">
        <v>4.9400000000000004</v>
      </c>
      <c r="G211" s="4">
        <v>5.63</v>
      </c>
      <c r="H211" s="4">
        <f t="shared" si="33"/>
        <v>32.92</v>
      </c>
      <c r="I211" s="4">
        <f t="shared" si="32"/>
        <v>38.230000000000004</v>
      </c>
      <c r="J211" s="4">
        <v>0</v>
      </c>
      <c r="K211" s="4">
        <v>0</v>
      </c>
      <c r="L211" s="139" t="str">
        <f t="shared" si="29"/>
        <v xml:space="preserve"> </v>
      </c>
      <c r="M211" s="139" t="s">
        <v>867</v>
      </c>
      <c r="N211" s="139">
        <v>1.49</v>
      </c>
      <c r="O211" s="139">
        <f t="shared" si="31"/>
        <v>1.49</v>
      </c>
      <c r="P211" s="139" t="str">
        <f t="shared" si="30"/>
        <v xml:space="preserve"> </v>
      </c>
    </row>
    <row r="212" spans="1:16" x14ac:dyDescent="0.35">
      <c r="A212" s="14" t="s">
        <v>73</v>
      </c>
      <c r="B212" s="4">
        <v>13.03</v>
      </c>
      <c r="C212" s="4">
        <v>19.649999999999999</v>
      </c>
      <c r="D212" s="4">
        <v>37.57</v>
      </c>
      <c r="E212" s="4">
        <v>36.21</v>
      </c>
      <c r="F212" s="4">
        <v>2.82</v>
      </c>
      <c r="G212" s="4">
        <v>2.5</v>
      </c>
      <c r="H212" s="4">
        <f t="shared" si="33"/>
        <v>40.39</v>
      </c>
      <c r="I212" s="4">
        <f t="shared" si="32"/>
        <v>38.71</v>
      </c>
      <c r="J212" s="4">
        <v>0</v>
      </c>
      <c r="K212" s="4">
        <v>0</v>
      </c>
      <c r="L212" s="139" t="str">
        <f t="shared" si="29"/>
        <v xml:space="preserve"> </v>
      </c>
      <c r="M212" s="139" t="s">
        <v>867</v>
      </c>
      <c r="N212" s="139">
        <v>1.52</v>
      </c>
      <c r="O212" s="139">
        <f t="shared" si="31"/>
        <v>1.52</v>
      </c>
      <c r="P212" s="139" t="str">
        <f t="shared" si="30"/>
        <v xml:space="preserve"> </v>
      </c>
    </row>
    <row r="213" spans="1:16" x14ac:dyDescent="0.35">
      <c r="A213" s="14" t="s">
        <v>69</v>
      </c>
      <c r="B213" s="4">
        <v>15.46</v>
      </c>
      <c r="C213" s="4">
        <v>28.01</v>
      </c>
      <c r="D213" s="4">
        <v>14.11</v>
      </c>
      <c r="E213" s="4">
        <v>12.63</v>
      </c>
      <c r="F213" s="4">
        <v>9.14</v>
      </c>
      <c r="G213" s="4">
        <v>7.74</v>
      </c>
      <c r="H213" s="4">
        <f t="shared" si="33"/>
        <v>23.25</v>
      </c>
      <c r="I213" s="4">
        <f t="shared" si="32"/>
        <v>20.37</v>
      </c>
      <c r="J213" s="4">
        <v>0</v>
      </c>
      <c r="K213" s="4">
        <v>0</v>
      </c>
      <c r="L213" s="139" t="str">
        <f t="shared" si="29"/>
        <v xml:space="preserve"> </v>
      </c>
      <c r="M213" s="139" t="s">
        <v>867</v>
      </c>
      <c r="N213" s="139">
        <v>1.49</v>
      </c>
      <c r="O213" s="139">
        <f t="shared" si="31"/>
        <v>1.49</v>
      </c>
      <c r="P213" s="139" t="str">
        <f t="shared" si="30"/>
        <v xml:space="preserve"> </v>
      </c>
    </row>
    <row r="214" spans="1:16" x14ac:dyDescent="0.35">
      <c r="A214" s="14" t="s">
        <v>72</v>
      </c>
      <c r="B214" s="4">
        <v>10.76</v>
      </c>
      <c r="C214" s="4">
        <v>16.739999999999998</v>
      </c>
      <c r="D214" s="4">
        <v>46.77</v>
      </c>
      <c r="E214" s="4">
        <v>44.24</v>
      </c>
      <c r="F214" s="4">
        <v>1.97</v>
      </c>
      <c r="G214" s="4">
        <v>1.54</v>
      </c>
      <c r="H214" s="4">
        <f t="shared" si="33"/>
        <v>48.74</v>
      </c>
      <c r="I214" s="4">
        <f t="shared" si="32"/>
        <v>45.78</v>
      </c>
      <c r="J214" s="4">
        <v>0</v>
      </c>
      <c r="K214" s="4">
        <v>0</v>
      </c>
      <c r="L214" s="139" t="str">
        <f t="shared" si="29"/>
        <v xml:space="preserve"> </v>
      </c>
      <c r="M214" s="139" t="s">
        <v>867</v>
      </c>
      <c r="N214" s="139">
        <v>1.52</v>
      </c>
      <c r="O214" s="139">
        <f t="shared" si="31"/>
        <v>1.52</v>
      </c>
      <c r="P214" s="139" t="str">
        <f t="shared" si="30"/>
        <v xml:space="preserve"> </v>
      </c>
    </row>
    <row r="215" spans="1:16" x14ac:dyDescent="0.35">
      <c r="A215" s="14" t="s">
        <v>200</v>
      </c>
      <c r="B215" s="4">
        <v>13.74</v>
      </c>
      <c r="C215" s="4">
        <v>18.829999999999998</v>
      </c>
      <c r="D215" s="4">
        <v>19.46</v>
      </c>
      <c r="E215" s="4">
        <v>18.16</v>
      </c>
      <c r="F215" s="4">
        <v>7.54</v>
      </c>
      <c r="G215" s="4">
        <v>8.0299999999999994</v>
      </c>
      <c r="H215" s="4">
        <f t="shared" si="33"/>
        <v>27</v>
      </c>
      <c r="I215" s="4">
        <f t="shared" si="32"/>
        <v>26.189999999999998</v>
      </c>
      <c r="J215" s="4">
        <v>0</v>
      </c>
      <c r="K215" s="4">
        <v>0</v>
      </c>
      <c r="L215" s="139" t="str">
        <f t="shared" si="29"/>
        <v xml:space="preserve"> </v>
      </c>
      <c r="M215" s="139" t="s">
        <v>867</v>
      </c>
      <c r="N215" s="139">
        <v>1.49</v>
      </c>
      <c r="O215" s="139">
        <f t="shared" si="31"/>
        <v>1.49</v>
      </c>
      <c r="P215" s="139" t="str">
        <f t="shared" si="30"/>
        <v xml:space="preserve"> </v>
      </c>
    </row>
    <row r="216" spans="1:16" x14ac:dyDescent="0.35">
      <c r="A216" s="14" t="s">
        <v>66</v>
      </c>
      <c r="B216" s="4">
        <v>15.06</v>
      </c>
      <c r="C216" s="4">
        <v>26.36</v>
      </c>
      <c r="D216" s="4">
        <v>49.52</v>
      </c>
      <c r="E216" s="4">
        <v>43.3</v>
      </c>
      <c r="F216" s="4">
        <v>2.72</v>
      </c>
      <c r="G216" s="4">
        <v>2.57</v>
      </c>
      <c r="H216" s="4">
        <f t="shared" si="33"/>
        <v>52.24</v>
      </c>
      <c r="I216" s="4">
        <f t="shared" si="32"/>
        <v>45.87</v>
      </c>
      <c r="J216" s="4">
        <v>0</v>
      </c>
      <c r="K216" s="4">
        <v>0</v>
      </c>
      <c r="L216" s="139" t="str">
        <f t="shared" si="29"/>
        <v xml:space="preserve"> </v>
      </c>
      <c r="M216" s="139" t="s">
        <v>867</v>
      </c>
      <c r="N216" s="139">
        <v>1.52</v>
      </c>
      <c r="O216" s="139">
        <f t="shared" si="31"/>
        <v>1.52</v>
      </c>
      <c r="P216" s="139" t="str">
        <f t="shared" si="30"/>
        <v xml:space="preserve"> </v>
      </c>
    </row>
    <row r="217" spans="1:16" x14ac:dyDescent="0.35">
      <c r="A217" s="14" t="s">
        <v>199</v>
      </c>
      <c r="B217" s="4">
        <v>20.87</v>
      </c>
      <c r="C217" s="4">
        <v>32.700000000000003</v>
      </c>
      <c r="D217" s="4">
        <v>21.99</v>
      </c>
      <c r="E217" s="4">
        <v>18.16</v>
      </c>
      <c r="F217" s="4">
        <v>12.29</v>
      </c>
      <c r="G217" s="4">
        <v>8.3000000000000007</v>
      </c>
      <c r="H217" s="4">
        <f t="shared" si="33"/>
        <v>34.28</v>
      </c>
      <c r="I217" s="4">
        <f t="shared" si="32"/>
        <v>26.46</v>
      </c>
      <c r="J217" s="4">
        <v>0</v>
      </c>
      <c r="K217" s="4">
        <v>0</v>
      </c>
      <c r="L217" s="139" t="str">
        <f t="shared" si="29"/>
        <v xml:space="preserve"> </v>
      </c>
      <c r="M217" s="139" t="s">
        <v>867</v>
      </c>
      <c r="N217" s="139">
        <v>1.35</v>
      </c>
      <c r="O217" s="139">
        <f t="shared" si="31"/>
        <v>1.35</v>
      </c>
      <c r="P217" s="139" t="str">
        <f t="shared" si="30"/>
        <v xml:space="preserve"> </v>
      </c>
    </row>
    <row r="218" spans="1:16" x14ac:dyDescent="0.35">
      <c r="A218" s="14" t="s">
        <v>188</v>
      </c>
      <c r="B218" s="4">
        <v>32.020000000000003</v>
      </c>
      <c r="C218" s="4">
        <v>16.010000000000002</v>
      </c>
      <c r="D218" s="4">
        <v>13.71</v>
      </c>
      <c r="E218" s="4">
        <v>6.85</v>
      </c>
      <c r="F218" s="4">
        <v>4.3</v>
      </c>
      <c r="G218" s="4">
        <v>2.15</v>
      </c>
      <c r="H218" s="4">
        <f t="shared" si="33"/>
        <v>18.010000000000002</v>
      </c>
      <c r="I218" s="4">
        <f t="shared" si="32"/>
        <v>9</v>
      </c>
      <c r="J218" s="4">
        <v>0</v>
      </c>
      <c r="K218" s="4">
        <v>0</v>
      </c>
      <c r="L218" s="139" t="str">
        <f t="shared" si="29"/>
        <v xml:space="preserve"> </v>
      </c>
      <c r="M218" s="139" t="s">
        <v>867</v>
      </c>
      <c r="N218" s="139">
        <v>1.32</v>
      </c>
      <c r="O218" s="139">
        <f t="shared" si="31"/>
        <v>1.32</v>
      </c>
      <c r="P218" s="139" t="str">
        <f t="shared" si="30"/>
        <v xml:space="preserve"> </v>
      </c>
    </row>
    <row r="219" spans="1:16" x14ac:dyDescent="0.35">
      <c r="A219" s="14" t="s">
        <v>183</v>
      </c>
      <c r="B219" s="4">
        <v>29.34</v>
      </c>
      <c r="C219" s="4">
        <v>26.64</v>
      </c>
      <c r="D219" s="4">
        <v>29.86</v>
      </c>
      <c r="E219" s="4">
        <v>35.69</v>
      </c>
      <c r="F219" s="4">
        <v>18.829999999999998</v>
      </c>
      <c r="G219" s="4">
        <v>17.14</v>
      </c>
      <c r="H219" s="4">
        <f t="shared" si="33"/>
        <v>48.69</v>
      </c>
      <c r="I219" s="4">
        <f t="shared" si="32"/>
        <v>52.83</v>
      </c>
      <c r="J219" s="4">
        <v>1.32</v>
      </c>
      <c r="K219" s="4">
        <v>1.42</v>
      </c>
      <c r="L219" s="139" t="str">
        <f t="shared" si="29"/>
        <v xml:space="preserve"> </v>
      </c>
      <c r="M219" s="139">
        <v>1.32</v>
      </c>
      <c r="N219" s="139">
        <v>1.41</v>
      </c>
      <c r="O219" s="139">
        <f t="shared" si="31"/>
        <v>1.32</v>
      </c>
      <c r="P219" s="139">
        <f t="shared" si="30"/>
        <v>1.32</v>
      </c>
    </row>
    <row r="220" spans="1:16" x14ac:dyDescent="0.35">
      <c r="A220" s="14" t="s">
        <v>184</v>
      </c>
      <c r="B220" s="4">
        <v>32.44</v>
      </c>
      <c r="C220" s="4">
        <v>32.24</v>
      </c>
      <c r="D220" s="4">
        <v>11.28</v>
      </c>
      <c r="E220" s="4">
        <v>11.54</v>
      </c>
      <c r="F220" s="4">
        <v>3.89</v>
      </c>
      <c r="G220" s="4">
        <v>3.55</v>
      </c>
      <c r="H220" s="4">
        <f t="shared" si="33"/>
        <v>15.17</v>
      </c>
      <c r="I220" s="4">
        <f t="shared" si="32"/>
        <v>15.09</v>
      </c>
      <c r="J220" s="4">
        <v>1.29</v>
      </c>
      <c r="K220" s="4">
        <v>1.29</v>
      </c>
      <c r="L220" s="139" t="str">
        <f t="shared" si="29"/>
        <v xml:space="preserve"> </v>
      </c>
      <c r="M220" s="139">
        <v>1.29</v>
      </c>
      <c r="N220" s="139">
        <v>1.32</v>
      </c>
      <c r="O220" s="139">
        <f t="shared" si="31"/>
        <v>1.29</v>
      </c>
      <c r="P220" s="139">
        <f t="shared" si="30"/>
        <v>1.29</v>
      </c>
    </row>
    <row r="221" spans="1:16" x14ac:dyDescent="0.35">
      <c r="A221" s="14" t="s">
        <v>484</v>
      </c>
      <c r="B221" s="4">
        <v>37.5</v>
      </c>
      <c r="C221" s="4">
        <v>43.52</v>
      </c>
      <c r="D221" s="4">
        <v>10.220000000000001</v>
      </c>
      <c r="E221" s="4">
        <v>7.91</v>
      </c>
      <c r="F221" s="4">
        <v>9.36</v>
      </c>
      <c r="G221" s="4">
        <v>6.46</v>
      </c>
      <c r="H221" s="4">
        <f t="shared" si="33"/>
        <v>19.579999999999998</v>
      </c>
      <c r="I221" s="4">
        <f t="shared" si="32"/>
        <v>14.370000000000001</v>
      </c>
      <c r="J221" s="4">
        <v>0</v>
      </c>
      <c r="K221" s="4">
        <v>0</v>
      </c>
      <c r="L221" s="139" t="str">
        <f t="shared" si="29"/>
        <v xml:space="preserve"> </v>
      </c>
      <c r="M221" s="139" t="s">
        <v>867</v>
      </c>
      <c r="N221" s="139">
        <v>1.32</v>
      </c>
      <c r="O221" s="139">
        <f t="shared" si="31"/>
        <v>1.32</v>
      </c>
      <c r="P221" s="139" t="str">
        <f t="shared" si="30"/>
        <v xml:space="preserve"> </v>
      </c>
    </row>
    <row r="222" spans="1:16" x14ac:dyDescent="0.35">
      <c r="A222" s="14" t="s">
        <v>55</v>
      </c>
      <c r="B222" s="4">
        <v>34.47</v>
      </c>
      <c r="C222" s="4">
        <v>33.18</v>
      </c>
      <c r="D222" s="4">
        <v>18.53</v>
      </c>
      <c r="E222" s="4">
        <v>20.420000000000002</v>
      </c>
      <c r="F222" s="4">
        <v>0.86</v>
      </c>
      <c r="G222" s="4">
        <v>0.76</v>
      </c>
      <c r="H222" s="4">
        <f t="shared" si="33"/>
        <v>19.39</v>
      </c>
      <c r="I222" s="4">
        <f t="shared" si="32"/>
        <v>21.180000000000003</v>
      </c>
      <c r="J222" s="4">
        <v>0</v>
      </c>
      <c r="K222" s="4">
        <v>0</v>
      </c>
      <c r="L222" s="139" t="str">
        <f t="shared" si="29"/>
        <v xml:space="preserve"> </v>
      </c>
      <c r="M222" s="139" t="s">
        <v>867</v>
      </c>
      <c r="N222" s="139">
        <v>1.32</v>
      </c>
      <c r="O222" s="139">
        <f t="shared" si="31"/>
        <v>1.32</v>
      </c>
      <c r="P222" s="139" t="str">
        <f t="shared" si="30"/>
        <v xml:space="preserve"> </v>
      </c>
    </row>
    <row r="223" spans="1:16" x14ac:dyDescent="0.35">
      <c r="A223" s="14" t="s">
        <v>187</v>
      </c>
      <c r="B223" s="4">
        <v>18.59</v>
      </c>
      <c r="C223" s="4">
        <v>22.9</v>
      </c>
      <c r="D223" s="4">
        <v>9.74</v>
      </c>
      <c r="E223" s="4">
        <v>8.83</v>
      </c>
      <c r="F223" s="4">
        <v>7.25</v>
      </c>
      <c r="G223" s="4">
        <v>9.14</v>
      </c>
      <c r="H223" s="4">
        <f t="shared" si="33"/>
        <v>16.990000000000002</v>
      </c>
      <c r="I223" s="4">
        <f t="shared" si="32"/>
        <v>17.97</v>
      </c>
      <c r="J223" s="4">
        <v>0</v>
      </c>
      <c r="K223" s="4">
        <v>0</v>
      </c>
      <c r="L223" s="139" t="str">
        <f t="shared" si="29"/>
        <v xml:space="preserve"> </v>
      </c>
      <c r="M223" s="139" t="s">
        <v>867</v>
      </c>
      <c r="N223" s="139">
        <v>1.41</v>
      </c>
      <c r="O223" s="139">
        <f t="shared" si="31"/>
        <v>1.41</v>
      </c>
      <c r="P223" s="139" t="str">
        <f t="shared" si="30"/>
        <v xml:space="preserve"> </v>
      </c>
    </row>
    <row r="224" spans="1:16" x14ac:dyDescent="0.35">
      <c r="A224" s="14" t="s">
        <v>205</v>
      </c>
      <c r="B224" s="4">
        <v>29.34</v>
      </c>
      <c r="C224" s="4">
        <v>28.1</v>
      </c>
      <c r="D224" s="4">
        <v>18.43</v>
      </c>
      <c r="E224" s="4">
        <v>21.13</v>
      </c>
      <c r="F224" s="4">
        <v>4.8</v>
      </c>
      <c r="G224" s="4">
        <v>4.03</v>
      </c>
      <c r="H224" s="4">
        <f t="shared" si="33"/>
        <v>23.23</v>
      </c>
      <c r="I224" s="4">
        <f t="shared" si="32"/>
        <v>25.16</v>
      </c>
      <c r="J224" s="4">
        <v>0</v>
      </c>
      <c r="K224" s="4">
        <v>0</v>
      </c>
      <c r="L224" s="139" t="str">
        <f t="shared" si="29"/>
        <v xml:space="preserve"> </v>
      </c>
      <c r="M224" s="139" t="s">
        <v>867</v>
      </c>
      <c r="N224" s="139">
        <v>1.35</v>
      </c>
      <c r="O224" s="139">
        <f t="shared" si="31"/>
        <v>1.35</v>
      </c>
      <c r="P224" s="139" t="str">
        <f t="shared" si="30"/>
        <v xml:space="preserve"> </v>
      </c>
    </row>
    <row r="225" spans="1:16" x14ac:dyDescent="0.35">
      <c r="A225" s="14" t="s">
        <v>189</v>
      </c>
      <c r="B225" s="4">
        <v>19.309999999999999</v>
      </c>
      <c r="C225" s="4">
        <v>18.16</v>
      </c>
      <c r="D225" s="4">
        <v>29.71</v>
      </c>
      <c r="E225" s="4">
        <v>31.37</v>
      </c>
      <c r="F225" s="4">
        <v>18.63</v>
      </c>
      <c r="G225" s="4">
        <v>17.66</v>
      </c>
      <c r="H225" s="4">
        <f t="shared" si="33"/>
        <v>48.34</v>
      </c>
      <c r="I225" s="4">
        <f t="shared" si="32"/>
        <v>49.03</v>
      </c>
      <c r="J225" s="4">
        <v>0</v>
      </c>
      <c r="K225" s="4">
        <v>0</v>
      </c>
      <c r="L225" s="139" t="str">
        <f t="shared" si="29"/>
        <v xml:space="preserve"> </v>
      </c>
      <c r="M225" s="139" t="s">
        <v>867</v>
      </c>
      <c r="N225" s="139">
        <v>1.52</v>
      </c>
      <c r="O225" s="139">
        <f t="shared" si="31"/>
        <v>1.52</v>
      </c>
      <c r="P225" s="139" t="str">
        <f t="shared" si="30"/>
        <v xml:space="preserve"> </v>
      </c>
    </row>
    <row r="226" spans="1:16" x14ac:dyDescent="0.35">
      <c r="A226" s="14" t="s">
        <v>179</v>
      </c>
      <c r="B226" s="4">
        <v>16.03</v>
      </c>
      <c r="C226" s="4">
        <v>12.94</v>
      </c>
      <c r="D226" s="4">
        <v>21.61</v>
      </c>
      <c r="E226" s="4">
        <v>25.56</v>
      </c>
      <c r="F226" s="4">
        <v>14.47</v>
      </c>
      <c r="G226" s="4">
        <v>16.989999999999998</v>
      </c>
      <c r="H226" s="4">
        <f t="shared" si="33"/>
        <v>36.08</v>
      </c>
      <c r="I226" s="4">
        <f t="shared" si="32"/>
        <v>42.55</v>
      </c>
      <c r="J226" s="4">
        <v>1.42</v>
      </c>
      <c r="K226" s="4">
        <v>1.53</v>
      </c>
      <c r="L226" s="139" t="str">
        <f t="shared" si="29"/>
        <v xml:space="preserve"> </v>
      </c>
      <c r="M226" s="139">
        <v>1.42</v>
      </c>
      <c r="N226" s="139">
        <v>1.49</v>
      </c>
      <c r="O226" s="139">
        <f t="shared" si="31"/>
        <v>1.42</v>
      </c>
      <c r="P226" s="139">
        <f t="shared" si="30"/>
        <v>1.42</v>
      </c>
    </row>
    <row r="227" spans="1:16" x14ac:dyDescent="0.35">
      <c r="A227" s="14" t="s">
        <v>186</v>
      </c>
      <c r="B227" s="4">
        <v>20.100000000000001</v>
      </c>
      <c r="C227" s="4">
        <v>11.43</v>
      </c>
      <c r="D227" s="4">
        <v>26.15</v>
      </c>
      <c r="E227" s="4">
        <v>15.03</v>
      </c>
      <c r="F227" s="4">
        <v>13.88</v>
      </c>
      <c r="G227" s="4">
        <v>7.81</v>
      </c>
      <c r="H227" s="4">
        <f t="shared" si="33"/>
        <v>40.03</v>
      </c>
      <c r="I227" s="4">
        <f t="shared" si="32"/>
        <v>22.84</v>
      </c>
      <c r="J227" s="4">
        <v>1.41</v>
      </c>
      <c r="K227" s="4">
        <v>1.4</v>
      </c>
      <c r="L227" s="139" t="str">
        <f t="shared" si="29"/>
        <v xml:space="preserve"> </v>
      </c>
      <c r="M227" s="139">
        <v>1.41</v>
      </c>
      <c r="N227" s="139">
        <v>1.41</v>
      </c>
      <c r="O227" s="139">
        <f t="shared" si="31"/>
        <v>1.41</v>
      </c>
      <c r="P227" s="139">
        <f t="shared" si="30"/>
        <v>1.41</v>
      </c>
    </row>
    <row r="228" spans="1:16" x14ac:dyDescent="0.35">
      <c r="A228" s="14" t="s">
        <v>51</v>
      </c>
      <c r="B228" s="4">
        <v>21.57</v>
      </c>
      <c r="C228" s="4">
        <v>23.86</v>
      </c>
      <c r="D228" s="4">
        <v>23.37</v>
      </c>
      <c r="E228" s="4">
        <v>24.12</v>
      </c>
      <c r="F228" s="4">
        <v>10.11</v>
      </c>
      <c r="G228" s="4">
        <v>11.14</v>
      </c>
      <c r="H228" s="4">
        <f t="shared" si="33"/>
        <v>33.480000000000004</v>
      </c>
      <c r="I228" s="4">
        <f t="shared" si="32"/>
        <v>35.260000000000005</v>
      </c>
      <c r="J228" s="4">
        <v>0</v>
      </c>
      <c r="K228" s="4">
        <v>0</v>
      </c>
      <c r="L228" s="139" t="str">
        <f t="shared" si="29"/>
        <v xml:space="preserve"> </v>
      </c>
      <c r="M228" s="139" t="s">
        <v>867</v>
      </c>
      <c r="N228" s="139">
        <v>1.35</v>
      </c>
      <c r="O228" s="139">
        <f t="shared" si="31"/>
        <v>1.35</v>
      </c>
      <c r="P228" s="139" t="str">
        <f t="shared" si="30"/>
        <v xml:space="preserve"> </v>
      </c>
    </row>
    <row r="229" spans="1:16" x14ac:dyDescent="0.35">
      <c r="A229" s="14" t="s">
        <v>180</v>
      </c>
      <c r="B229" s="4">
        <v>32.03</v>
      </c>
      <c r="C229" s="4">
        <v>40.72</v>
      </c>
      <c r="D229" s="4">
        <v>10.93</v>
      </c>
      <c r="E229" s="4">
        <v>10.35</v>
      </c>
      <c r="F229" s="4">
        <v>9.5299999999999994</v>
      </c>
      <c r="G229" s="4">
        <v>8.89</v>
      </c>
      <c r="H229" s="4">
        <f t="shared" si="33"/>
        <v>20.46</v>
      </c>
      <c r="I229" s="4">
        <f t="shared" si="32"/>
        <v>19.240000000000002</v>
      </c>
      <c r="J229" s="4">
        <v>0</v>
      </c>
      <c r="K229" s="4">
        <v>0</v>
      </c>
      <c r="L229" s="139" t="str">
        <f t="shared" si="29"/>
        <v xml:space="preserve"> </v>
      </c>
      <c r="M229" s="139" t="s">
        <v>867</v>
      </c>
      <c r="N229" s="139">
        <v>1.35</v>
      </c>
      <c r="O229" s="139">
        <f t="shared" si="31"/>
        <v>1.35</v>
      </c>
      <c r="P229" s="139" t="str">
        <f t="shared" si="30"/>
        <v xml:space="preserve"> </v>
      </c>
    </row>
    <row r="230" spans="1:16" x14ac:dyDescent="0.35">
      <c r="A230" s="14" t="s">
        <v>185</v>
      </c>
      <c r="B230" s="4">
        <v>28.18</v>
      </c>
      <c r="C230" s="4">
        <v>33.299999999999997</v>
      </c>
      <c r="D230" s="4">
        <v>23.47</v>
      </c>
      <c r="E230" s="4">
        <v>20.55</v>
      </c>
      <c r="F230" s="4">
        <v>4.1399999999999997</v>
      </c>
      <c r="G230" s="4">
        <v>3.5</v>
      </c>
      <c r="H230" s="4">
        <f t="shared" si="33"/>
        <v>27.61</v>
      </c>
      <c r="I230" s="4">
        <f t="shared" si="32"/>
        <v>24.05</v>
      </c>
      <c r="J230" s="4">
        <v>0</v>
      </c>
      <c r="K230" s="4">
        <v>0</v>
      </c>
      <c r="L230" s="139" t="str">
        <f t="shared" si="29"/>
        <v xml:space="preserve"> </v>
      </c>
      <c r="M230" s="139" t="s">
        <v>867</v>
      </c>
      <c r="N230" s="139">
        <v>1.35</v>
      </c>
      <c r="O230" s="139">
        <f t="shared" si="31"/>
        <v>1.35</v>
      </c>
      <c r="P230" s="139" t="str">
        <f t="shared" si="30"/>
        <v xml:space="preserve"> </v>
      </c>
    </row>
    <row r="231" spans="1:16" x14ac:dyDescent="0.35">
      <c r="A231" s="14" t="s">
        <v>201</v>
      </c>
      <c r="B231" s="4">
        <v>19.98</v>
      </c>
      <c r="C231" s="4">
        <v>26.66</v>
      </c>
      <c r="D231" s="4">
        <v>17.75</v>
      </c>
      <c r="E231" s="4">
        <v>19.489999999999998</v>
      </c>
      <c r="F231" s="4">
        <v>6.88</v>
      </c>
      <c r="G231" s="4">
        <v>6.16</v>
      </c>
      <c r="H231" s="4">
        <f t="shared" si="33"/>
        <v>24.63</v>
      </c>
      <c r="I231" s="4">
        <f t="shared" si="32"/>
        <v>25.65</v>
      </c>
      <c r="J231" s="4">
        <v>0</v>
      </c>
      <c r="K231" s="4">
        <v>0</v>
      </c>
      <c r="L231" s="139" t="str">
        <f t="shared" si="29"/>
        <v xml:space="preserve"> </v>
      </c>
      <c r="M231" s="139" t="s">
        <v>867</v>
      </c>
      <c r="N231" s="139">
        <v>1.49</v>
      </c>
      <c r="O231" s="139">
        <f t="shared" si="31"/>
        <v>1.49</v>
      </c>
      <c r="P231" s="139" t="str">
        <f t="shared" si="30"/>
        <v xml:space="preserve"> </v>
      </c>
    </row>
    <row r="232" spans="1:16" x14ac:dyDescent="0.35">
      <c r="A232" s="14" t="s">
        <v>197</v>
      </c>
      <c r="B232" s="4">
        <v>14.18</v>
      </c>
      <c r="C232" s="4">
        <v>23.84</v>
      </c>
      <c r="D232" s="4">
        <v>22</v>
      </c>
      <c r="E232" s="4">
        <v>17.93</v>
      </c>
      <c r="F232" s="4">
        <v>18.14</v>
      </c>
      <c r="G232" s="4">
        <v>15.19</v>
      </c>
      <c r="H232" s="4">
        <f t="shared" si="33"/>
        <v>40.14</v>
      </c>
      <c r="I232" s="4">
        <f t="shared" si="32"/>
        <v>33.119999999999997</v>
      </c>
      <c r="J232" s="4">
        <v>0</v>
      </c>
      <c r="K232" s="4">
        <v>0</v>
      </c>
      <c r="L232" s="139" t="str">
        <f t="shared" si="29"/>
        <v xml:space="preserve"> </v>
      </c>
      <c r="M232" s="139" t="s">
        <v>867</v>
      </c>
      <c r="N232" s="139">
        <v>1.52</v>
      </c>
      <c r="O232" s="139">
        <f t="shared" si="31"/>
        <v>1.52</v>
      </c>
      <c r="P232" s="139" t="str">
        <f t="shared" si="30"/>
        <v xml:space="preserve"> </v>
      </c>
    </row>
    <row r="233" spans="1:16" x14ac:dyDescent="0.35">
      <c r="A233" s="14" t="s">
        <v>177</v>
      </c>
      <c r="B233" s="4">
        <v>32.840000000000003</v>
      </c>
      <c r="C233" s="4">
        <v>35.17</v>
      </c>
      <c r="D233" s="4">
        <v>11.82</v>
      </c>
      <c r="E233" s="4">
        <v>13.33</v>
      </c>
      <c r="F233" s="4">
        <v>1.35</v>
      </c>
      <c r="G233" s="4">
        <v>0.97</v>
      </c>
      <c r="H233" s="4">
        <f t="shared" si="33"/>
        <v>13.17</v>
      </c>
      <c r="I233" s="4">
        <f t="shared" si="32"/>
        <v>14.3</v>
      </c>
      <c r="J233" s="4">
        <v>0</v>
      </c>
      <c r="K233" s="4">
        <v>0</v>
      </c>
      <c r="L233" s="139" t="str">
        <f t="shared" si="29"/>
        <v xml:space="preserve"> </v>
      </c>
      <c r="M233" s="139" t="s">
        <v>867</v>
      </c>
      <c r="N233" s="139">
        <v>1.32</v>
      </c>
      <c r="O233" s="139">
        <f t="shared" si="31"/>
        <v>1.32</v>
      </c>
      <c r="P233" s="139" t="str">
        <f t="shared" si="30"/>
        <v xml:space="preserve"> </v>
      </c>
    </row>
    <row r="234" spans="1:16" x14ac:dyDescent="0.35">
      <c r="A234" s="14" t="s">
        <v>198</v>
      </c>
      <c r="B234" s="4">
        <v>18.54</v>
      </c>
      <c r="C234" s="4">
        <v>19.43</v>
      </c>
      <c r="D234" s="4">
        <v>22.27</v>
      </c>
      <c r="E234" s="4">
        <v>20.58</v>
      </c>
      <c r="F234" s="4">
        <v>6.58</v>
      </c>
      <c r="G234" s="4">
        <v>7.39</v>
      </c>
      <c r="H234" s="4">
        <f t="shared" si="33"/>
        <v>28.85</v>
      </c>
      <c r="I234" s="4">
        <f t="shared" si="32"/>
        <v>27.97</v>
      </c>
      <c r="J234" s="4">
        <v>1.4</v>
      </c>
      <c r="K234" s="4">
        <v>1.39</v>
      </c>
      <c r="L234" s="139" t="str">
        <f t="shared" si="29"/>
        <v xml:space="preserve"> </v>
      </c>
      <c r="M234" s="139">
        <v>1.4</v>
      </c>
      <c r="N234" s="139">
        <v>1.49</v>
      </c>
      <c r="O234" s="139">
        <f t="shared" si="31"/>
        <v>1.4</v>
      </c>
      <c r="P234" s="139">
        <f t="shared" si="30"/>
        <v>1.4</v>
      </c>
    </row>
    <row r="235" spans="1:16" x14ac:dyDescent="0.35">
      <c r="A235" s="14" t="s">
        <v>67</v>
      </c>
      <c r="B235" s="4">
        <v>19.71</v>
      </c>
      <c r="C235" s="4">
        <v>22.13</v>
      </c>
      <c r="D235" s="4">
        <v>27.51</v>
      </c>
      <c r="E235" s="4">
        <v>31.7</v>
      </c>
      <c r="F235" s="4">
        <v>4.8499999999999996</v>
      </c>
      <c r="G235" s="4">
        <v>4.7</v>
      </c>
      <c r="H235" s="4">
        <f t="shared" si="33"/>
        <v>32.36</v>
      </c>
      <c r="I235" s="4">
        <f t="shared" si="32"/>
        <v>36.4</v>
      </c>
      <c r="J235" s="4">
        <v>0</v>
      </c>
      <c r="K235" s="4">
        <v>0</v>
      </c>
      <c r="L235" s="139" t="str">
        <f t="shared" si="29"/>
        <v xml:space="preserve"> </v>
      </c>
      <c r="M235" s="139" t="s">
        <v>867</v>
      </c>
      <c r="N235" s="139">
        <v>1.49</v>
      </c>
      <c r="O235" s="139">
        <f t="shared" si="31"/>
        <v>1.49</v>
      </c>
      <c r="P235" s="139" t="str">
        <f t="shared" si="30"/>
        <v xml:space="preserve"> </v>
      </c>
    </row>
    <row r="236" spans="1:16" x14ac:dyDescent="0.35">
      <c r="A236" s="14" t="s">
        <v>195</v>
      </c>
      <c r="B236" s="4">
        <v>6.22</v>
      </c>
      <c r="C236" s="4">
        <v>4.8099999999999996</v>
      </c>
      <c r="D236" s="4">
        <v>38.74</v>
      </c>
      <c r="E236" s="4">
        <v>40.119999999999997</v>
      </c>
      <c r="F236" s="4">
        <v>39.49</v>
      </c>
      <c r="G236" s="4">
        <v>46.05</v>
      </c>
      <c r="H236" s="4">
        <f t="shared" si="33"/>
        <v>78.23</v>
      </c>
      <c r="I236" s="4">
        <f t="shared" si="32"/>
        <v>86.169999999999987</v>
      </c>
      <c r="J236" s="4">
        <v>0</v>
      </c>
      <c r="K236" s="4">
        <v>0</v>
      </c>
      <c r="L236" s="139" t="str">
        <f t="shared" si="29"/>
        <v xml:space="preserve"> </v>
      </c>
      <c r="M236" s="139" t="s">
        <v>867</v>
      </c>
      <c r="N236" s="139">
        <v>1.61</v>
      </c>
      <c r="O236" s="139">
        <f t="shared" si="31"/>
        <v>1.61</v>
      </c>
      <c r="P236" s="139" t="str">
        <f t="shared" si="30"/>
        <v xml:space="preserve"> </v>
      </c>
    </row>
    <row r="237" spans="1:16" x14ac:dyDescent="0.35">
      <c r="A237" s="14" t="s">
        <v>59</v>
      </c>
      <c r="B237" s="4">
        <v>10.36</v>
      </c>
      <c r="C237" s="4">
        <v>10.24</v>
      </c>
      <c r="D237" s="4">
        <v>42.95</v>
      </c>
      <c r="E237" s="4">
        <v>43.4</v>
      </c>
      <c r="F237" s="4">
        <v>8.25</v>
      </c>
      <c r="G237" s="4">
        <v>9.24</v>
      </c>
      <c r="H237" s="4">
        <f t="shared" si="33"/>
        <v>51.2</v>
      </c>
      <c r="I237" s="4">
        <f t="shared" si="32"/>
        <v>52.64</v>
      </c>
      <c r="J237" s="4">
        <v>0</v>
      </c>
      <c r="K237" s="4">
        <v>0</v>
      </c>
      <c r="L237" s="139" t="str">
        <f t="shared" si="29"/>
        <v xml:space="preserve"> </v>
      </c>
      <c r="M237" s="139" t="s">
        <v>867</v>
      </c>
      <c r="N237" s="139">
        <v>1.52</v>
      </c>
      <c r="O237" s="139">
        <f t="shared" si="31"/>
        <v>1.52</v>
      </c>
      <c r="P237" s="139" t="str">
        <f t="shared" si="30"/>
        <v xml:space="preserve"> </v>
      </c>
    </row>
    <row r="238" spans="1:16" x14ac:dyDescent="0.35">
      <c r="A238" s="14" t="s">
        <v>202</v>
      </c>
      <c r="B238" s="4">
        <v>14.1</v>
      </c>
      <c r="C238" s="4">
        <v>12.15</v>
      </c>
      <c r="D238" s="4">
        <v>31.2</v>
      </c>
      <c r="E238" s="4">
        <v>34.25</v>
      </c>
      <c r="F238" s="4">
        <v>3.1</v>
      </c>
      <c r="G238" s="4">
        <v>2.4500000000000002</v>
      </c>
      <c r="H238" s="4">
        <f t="shared" si="33"/>
        <v>34.299999999999997</v>
      </c>
      <c r="I238" s="4">
        <f t="shared" si="32"/>
        <v>36.700000000000003</v>
      </c>
      <c r="J238" s="4">
        <v>1.45</v>
      </c>
      <c r="K238" s="4">
        <v>1.51</v>
      </c>
      <c r="L238" s="139" t="str">
        <f t="shared" si="29"/>
        <v xml:space="preserve"> </v>
      </c>
      <c r="M238" s="139">
        <v>1.45</v>
      </c>
      <c r="N238" s="139">
        <v>1.49</v>
      </c>
      <c r="O238" s="139">
        <f t="shared" si="31"/>
        <v>1.45</v>
      </c>
      <c r="P238" s="139">
        <f t="shared" si="30"/>
        <v>1.45</v>
      </c>
    </row>
    <row r="239" spans="1:16" x14ac:dyDescent="0.35">
      <c r="A239" s="14" t="s">
        <v>68</v>
      </c>
      <c r="B239" s="4">
        <v>19.28</v>
      </c>
      <c r="C239" s="4">
        <v>20.86</v>
      </c>
      <c r="D239" s="4">
        <v>22.6</v>
      </c>
      <c r="E239" s="4">
        <v>23.22</v>
      </c>
      <c r="F239" s="4">
        <v>1.73</v>
      </c>
      <c r="G239" s="4">
        <v>1.34</v>
      </c>
      <c r="H239" s="4">
        <f t="shared" si="33"/>
        <v>24.330000000000002</v>
      </c>
      <c r="I239" s="4">
        <f t="shared" si="32"/>
        <v>24.56</v>
      </c>
      <c r="J239" s="4">
        <v>0</v>
      </c>
      <c r="K239" s="4">
        <v>0</v>
      </c>
      <c r="L239" s="139" t="str">
        <f t="shared" si="29"/>
        <v xml:space="preserve"> </v>
      </c>
      <c r="M239" s="139" t="s">
        <v>867</v>
      </c>
      <c r="N239" s="139">
        <v>1.49</v>
      </c>
      <c r="O239" s="139">
        <f t="shared" si="31"/>
        <v>1.49</v>
      </c>
      <c r="P239" s="139" t="str">
        <f t="shared" si="30"/>
        <v xml:space="preserve"> </v>
      </c>
    </row>
    <row r="240" spans="1:16" x14ac:dyDescent="0.35">
      <c r="A240" s="14" t="s">
        <v>70</v>
      </c>
      <c r="B240" s="4">
        <v>18.940000000000001</v>
      </c>
      <c r="C240" s="4">
        <v>21.01</v>
      </c>
      <c r="D240" s="4">
        <v>13.52</v>
      </c>
      <c r="E240" s="4">
        <v>11.21</v>
      </c>
      <c r="F240" s="4">
        <v>6.43</v>
      </c>
      <c r="G240" s="4">
        <v>5.97</v>
      </c>
      <c r="H240" s="4">
        <f t="shared" si="33"/>
        <v>19.95</v>
      </c>
      <c r="I240" s="4">
        <f t="shared" si="32"/>
        <v>17.18</v>
      </c>
      <c r="J240" s="4">
        <v>0</v>
      </c>
      <c r="K240" s="4">
        <v>0</v>
      </c>
      <c r="L240" s="139" t="str">
        <f t="shared" si="29"/>
        <v xml:space="preserve"> </v>
      </c>
      <c r="M240" s="139" t="s">
        <v>867</v>
      </c>
      <c r="N240" s="139">
        <v>1.41</v>
      </c>
      <c r="O240" s="139">
        <f t="shared" si="31"/>
        <v>1.41</v>
      </c>
      <c r="P240" s="139" t="str">
        <f t="shared" si="30"/>
        <v xml:space="preserve"> </v>
      </c>
    </row>
    <row r="241" spans="1:16" x14ac:dyDescent="0.35">
      <c r="A241" s="14" t="s">
        <v>60</v>
      </c>
      <c r="B241" s="4">
        <v>13.16</v>
      </c>
      <c r="C241" s="4">
        <v>13.45</v>
      </c>
      <c r="D241" s="4">
        <v>22.7</v>
      </c>
      <c r="E241" s="4">
        <v>20.96</v>
      </c>
      <c r="F241" s="4">
        <v>11.36</v>
      </c>
      <c r="G241" s="4">
        <v>10.18</v>
      </c>
      <c r="H241" s="4">
        <f t="shared" si="33"/>
        <v>34.06</v>
      </c>
      <c r="I241" s="4">
        <f t="shared" si="32"/>
        <v>31.14</v>
      </c>
      <c r="J241" s="4">
        <v>1.48</v>
      </c>
      <c r="K241" s="4">
        <v>1.44</v>
      </c>
      <c r="L241" s="139" t="str">
        <f t="shared" si="29"/>
        <v xml:space="preserve"> </v>
      </c>
      <c r="M241" s="139">
        <v>1.48</v>
      </c>
      <c r="N241" s="139">
        <v>1.49</v>
      </c>
      <c r="O241" s="139">
        <f t="shared" si="31"/>
        <v>1.48</v>
      </c>
      <c r="P241" s="139">
        <f t="shared" si="30"/>
        <v>1.48</v>
      </c>
    </row>
    <row r="242" spans="1:16" x14ac:dyDescent="0.35">
      <c r="A242" s="14" t="s">
        <v>191</v>
      </c>
      <c r="B242" s="4">
        <v>25.99</v>
      </c>
      <c r="C242" s="4">
        <v>27.51</v>
      </c>
      <c r="D242" s="4">
        <v>14.06</v>
      </c>
      <c r="E242" s="4">
        <v>13.35</v>
      </c>
      <c r="F242" s="4">
        <v>4.0599999999999996</v>
      </c>
      <c r="G242" s="4">
        <v>4.21</v>
      </c>
      <c r="H242" s="4">
        <f t="shared" si="33"/>
        <v>18.12</v>
      </c>
      <c r="I242" s="4">
        <f t="shared" si="32"/>
        <v>17.559999999999999</v>
      </c>
      <c r="J242" s="4">
        <v>0</v>
      </c>
      <c r="K242" s="4">
        <v>0</v>
      </c>
      <c r="L242" s="139" t="str">
        <f t="shared" si="29"/>
        <v xml:space="preserve"> </v>
      </c>
      <c r="M242" s="139" t="s">
        <v>867</v>
      </c>
      <c r="N242" s="139">
        <v>1.32</v>
      </c>
      <c r="O242" s="139">
        <f t="shared" si="31"/>
        <v>1.32</v>
      </c>
      <c r="P242" s="139" t="str">
        <f t="shared" si="30"/>
        <v xml:space="preserve"> </v>
      </c>
    </row>
    <row r="243" spans="1:16" x14ac:dyDescent="0.35">
      <c r="A243" s="14" t="s">
        <v>159</v>
      </c>
      <c r="B243" s="4">
        <v>19.96</v>
      </c>
      <c r="C243" s="4">
        <v>22.06</v>
      </c>
      <c r="D243" s="4">
        <v>21.48</v>
      </c>
      <c r="E243" s="4">
        <v>17.38</v>
      </c>
      <c r="F243" s="4">
        <v>5.76</v>
      </c>
      <c r="G243" s="4">
        <v>3.68</v>
      </c>
      <c r="H243" s="4">
        <f t="shared" si="33"/>
        <v>27.240000000000002</v>
      </c>
      <c r="I243" s="4">
        <f t="shared" si="32"/>
        <v>21.06</v>
      </c>
      <c r="J243" s="4">
        <v>0</v>
      </c>
      <c r="K243" s="4">
        <v>0</v>
      </c>
      <c r="L243" s="139" t="str">
        <f t="shared" si="29"/>
        <v xml:space="preserve"> </v>
      </c>
      <c r="M243" s="139" t="s">
        <v>867</v>
      </c>
      <c r="N243" s="139">
        <v>1.49</v>
      </c>
      <c r="O243" s="139">
        <f t="shared" si="31"/>
        <v>1.49</v>
      </c>
      <c r="P243" s="139" t="str">
        <f t="shared" si="30"/>
        <v xml:space="preserve"> </v>
      </c>
    </row>
    <row r="244" spans="1:16" x14ac:dyDescent="0.35">
      <c r="A244" s="14" t="s">
        <v>169</v>
      </c>
      <c r="B244" s="4">
        <v>17.11</v>
      </c>
      <c r="C244" s="4">
        <v>23.27</v>
      </c>
      <c r="D244" s="4">
        <v>17.809999999999999</v>
      </c>
      <c r="E244" s="4">
        <v>16.03</v>
      </c>
      <c r="F244" s="4">
        <v>6.96</v>
      </c>
      <c r="G244" s="4">
        <v>6.21</v>
      </c>
      <c r="H244" s="4">
        <f t="shared" si="33"/>
        <v>24.77</v>
      </c>
      <c r="I244" s="4">
        <f t="shared" si="32"/>
        <v>22.240000000000002</v>
      </c>
      <c r="J244" s="4">
        <v>0</v>
      </c>
      <c r="K244" s="4">
        <v>0</v>
      </c>
      <c r="L244" s="139" t="str">
        <f t="shared" si="29"/>
        <v xml:space="preserve"> </v>
      </c>
      <c r="M244" s="139" t="s">
        <v>867</v>
      </c>
      <c r="N244" s="139">
        <v>1.49</v>
      </c>
      <c r="O244" s="139">
        <f t="shared" si="31"/>
        <v>1.49</v>
      </c>
      <c r="P244" s="139" t="str">
        <f t="shared" si="30"/>
        <v xml:space="preserve"> </v>
      </c>
    </row>
    <row r="245" spans="1:16" x14ac:dyDescent="0.35">
      <c r="A245" s="14" t="s">
        <v>579</v>
      </c>
      <c r="B245" s="4">
        <v>10.8</v>
      </c>
      <c r="C245" s="4">
        <v>16.420000000000002</v>
      </c>
      <c r="D245" s="4">
        <v>17.5</v>
      </c>
      <c r="E245" s="4">
        <v>15.83</v>
      </c>
      <c r="F245" s="4">
        <v>18</v>
      </c>
      <c r="G245" s="4">
        <v>14.55</v>
      </c>
      <c r="H245" s="4">
        <f t="shared" si="33"/>
        <v>35.5</v>
      </c>
      <c r="I245" s="4">
        <f t="shared" si="32"/>
        <v>30.380000000000003</v>
      </c>
      <c r="J245" s="4">
        <v>0</v>
      </c>
      <c r="K245" s="4">
        <v>0</v>
      </c>
      <c r="L245" s="139" t="str">
        <f t="shared" si="29"/>
        <v xml:space="preserve"> </v>
      </c>
      <c r="M245" s="139" t="s">
        <v>867</v>
      </c>
      <c r="N245" s="139">
        <v>1.49</v>
      </c>
      <c r="O245" s="139">
        <f t="shared" si="31"/>
        <v>1.49</v>
      </c>
      <c r="P245" s="139" t="str">
        <f t="shared" si="30"/>
        <v xml:space="preserve"> </v>
      </c>
    </row>
    <row r="246" spans="1:16" x14ac:dyDescent="0.35">
      <c r="A246" s="14" t="s">
        <v>143</v>
      </c>
      <c r="B246" s="4">
        <v>12.41</v>
      </c>
      <c r="C246" s="4">
        <v>16.62</v>
      </c>
      <c r="D246" s="4">
        <v>12.93</v>
      </c>
      <c r="E246" s="4">
        <v>12.29</v>
      </c>
      <c r="F246" s="4">
        <v>9.64</v>
      </c>
      <c r="G246" s="4">
        <v>8.77</v>
      </c>
      <c r="H246" s="4">
        <f t="shared" si="33"/>
        <v>22.57</v>
      </c>
      <c r="I246" s="4">
        <f t="shared" si="32"/>
        <v>21.06</v>
      </c>
      <c r="J246" s="4">
        <v>1.46</v>
      </c>
      <c r="K246" s="4">
        <v>1.39</v>
      </c>
      <c r="L246" s="139" t="str">
        <f t="shared" si="29"/>
        <v xml:space="preserve"> </v>
      </c>
      <c r="M246" s="139">
        <v>1.46</v>
      </c>
      <c r="N246" s="139">
        <v>1.49</v>
      </c>
      <c r="O246" s="139">
        <f t="shared" si="31"/>
        <v>1.46</v>
      </c>
      <c r="P246" s="139">
        <f t="shared" si="30"/>
        <v>1.46</v>
      </c>
    </row>
    <row r="247" spans="1:16" x14ac:dyDescent="0.35">
      <c r="A247" s="14" t="s">
        <v>155</v>
      </c>
      <c r="B247" s="4">
        <v>10.01</v>
      </c>
      <c r="C247" s="4">
        <v>15.27</v>
      </c>
      <c r="D247" s="4">
        <v>11.89</v>
      </c>
      <c r="E247" s="4">
        <v>11.79</v>
      </c>
      <c r="F247" s="4">
        <v>23.71</v>
      </c>
      <c r="G247" s="4">
        <v>21.3</v>
      </c>
      <c r="H247" s="4">
        <f t="shared" si="33"/>
        <v>35.6</v>
      </c>
      <c r="I247" s="4">
        <f t="shared" si="32"/>
        <v>33.090000000000003</v>
      </c>
      <c r="J247" s="4">
        <v>0</v>
      </c>
      <c r="K247" s="4">
        <v>0</v>
      </c>
      <c r="L247" s="139" t="str">
        <f t="shared" si="29"/>
        <v xml:space="preserve"> </v>
      </c>
      <c r="M247" s="139" t="s">
        <v>867</v>
      </c>
      <c r="N247" s="139">
        <v>1.49</v>
      </c>
      <c r="O247" s="139">
        <f t="shared" si="31"/>
        <v>1.49</v>
      </c>
      <c r="P247" s="139" t="str">
        <f t="shared" si="30"/>
        <v xml:space="preserve"> </v>
      </c>
    </row>
    <row r="248" spans="1:16" x14ac:dyDescent="0.35">
      <c r="A248" s="14" t="s">
        <v>621</v>
      </c>
      <c r="B248" s="4">
        <v>12.15</v>
      </c>
      <c r="C248" s="4">
        <v>15.88</v>
      </c>
      <c r="D248" s="4">
        <v>20.100000000000001</v>
      </c>
      <c r="E248" s="4">
        <v>20.67</v>
      </c>
      <c r="F248" s="4">
        <v>24.4</v>
      </c>
      <c r="G248" s="4">
        <v>21.51</v>
      </c>
      <c r="H248" s="4">
        <f t="shared" si="33"/>
        <v>44.5</v>
      </c>
      <c r="I248" s="4">
        <f t="shared" si="32"/>
        <v>42.180000000000007</v>
      </c>
      <c r="J248" s="4">
        <v>1.54</v>
      </c>
      <c r="K248" s="4">
        <v>1.44</v>
      </c>
      <c r="L248" s="139" t="str">
        <f t="shared" si="29"/>
        <v xml:space="preserve"> </v>
      </c>
      <c r="M248" s="139">
        <v>1.54</v>
      </c>
      <c r="N248" s="139">
        <v>1.52</v>
      </c>
      <c r="O248" s="139">
        <f t="shared" si="31"/>
        <v>1.54</v>
      </c>
      <c r="P248" s="139">
        <f t="shared" si="30"/>
        <v>1.54</v>
      </c>
    </row>
    <row r="249" spans="1:16" x14ac:dyDescent="0.35">
      <c r="A249" s="14" t="s">
        <v>619</v>
      </c>
      <c r="B249" s="4">
        <v>10.38</v>
      </c>
      <c r="C249" s="4">
        <v>12.08</v>
      </c>
      <c r="D249" s="4">
        <v>27.87</v>
      </c>
      <c r="E249" s="4">
        <v>26.29</v>
      </c>
      <c r="F249" s="4">
        <v>29.47</v>
      </c>
      <c r="G249" s="4">
        <v>30.71</v>
      </c>
      <c r="H249" s="4">
        <f t="shared" si="33"/>
        <v>57.34</v>
      </c>
      <c r="I249" s="4">
        <f t="shared" si="32"/>
        <v>57</v>
      </c>
      <c r="J249" s="4">
        <v>0</v>
      </c>
      <c r="K249" s="4">
        <v>0</v>
      </c>
      <c r="L249" s="139" t="str">
        <f t="shared" si="29"/>
        <v xml:space="preserve"> </v>
      </c>
      <c r="M249" s="139" t="s">
        <v>867</v>
      </c>
      <c r="N249" s="139">
        <v>1.52</v>
      </c>
      <c r="O249" s="139">
        <f t="shared" si="31"/>
        <v>1.52</v>
      </c>
      <c r="P249" s="139" t="str">
        <f t="shared" si="30"/>
        <v xml:space="preserve"> </v>
      </c>
    </row>
    <row r="250" spans="1:16" x14ac:dyDescent="0.35">
      <c r="A250" s="14" t="s">
        <v>147</v>
      </c>
      <c r="B250" s="4">
        <v>10.9</v>
      </c>
      <c r="C250" s="4">
        <v>12.37</v>
      </c>
      <c r="D250" s="4">
        <v>25.39</v>
      </c>
      <c r="E250" s="4">
        <v>26.41</v>
      </c>
      <c r="F250" s="4">
        <v>25.36</v>
      </c>
      <c r="G250" s="4">
        <v>29.6</v>
      </c>
      <c r="H250" s="4">
        <f t="shared" si="33"/>
        <v>50.75</v>
      </c>
      <c r="I250" s="4">
        <f t="shared" si="32"/>
        <v>56.010000000000005</v>
      </c>
      <c r="J250" s="4">
        <v>1.52</v>
      </c>
      <c r="K250" s="4">
        <v>1.52</v>
      </c>
      <c r="L250" s="139" t="str">
        <f t="shared" si="29"/>
        <v xml:space="preserve"> </v>
      </c>
      <c r="M250" s="139">
        <v>1.52</v>
      </c>
      <c r="N250" s="139">
        <v>1.52</v>
      </c>
      <c r="O250" s="139">
        <f t="shared" si="31"/>
        <v>1.52</v>
      </c>
      <c r="P250" s="139">
        <f t="shared" si="30"/>
        <v>1.52</v>
      </c>
    </row>
    <row r="251" spans="1:16" x14ac:dyDescent="0.35">
      <c r="A251" s="14" t="s">
        <v>162</v>
      </c>
      <c r="B251" s="4">
        <v>11.18</v>
      </c>
      <c r="C251" s="4">
        <v>13.08</v>
      </c>
      <c r="D251" s="4">
        <v>19.04</v>
      </c>
      <c r="E251" s="4">
        <v>19.05</v>
      </c>
      <c r="F251" s="4">
        <v>26</v>
      </c>
      <c r="G251" s="4">
        <v>27.02</v>
      </c>
      <c r="H251" s="4">
        <f t="shared" si="33"/>
        <v>45.04</v>
      </c>
      <c r="I251" s="4">
        <f t="shared" si="32"/>
        <v>46.07</v>
      </c>
      <c r="J251" s="4">
        <v>0</v>
      </c>
      <c r="K251" s="4">
        <v>0</v>
      </c>
      <c r="L251" s="139" t="str">
        <f t="shared" si="29"/>
        <v xml:space="preserve"> </v>
      </c>
      <c r="M251" s="139" t="s">
        <v>867</v>
      </c>
      <c r="N251" s="139">
        <v>1.52</v>
      </c>
      <c r="O251" s="139">
        <f t="shared" si="31"/>
        <v>1.52</v>
      </c>
      <c r="P251" s="139" t="str">
        <f t="shared" si="30"/>
        <v xml:space="preserve"> </v>
      </c>
    </row>
    <row r="252" spans="1:16" x14ac:dyDescent="0.35">
      <c r="A252" s="14" t="s">
        <v>592</v>
      </c>
      <c r="B252" s="4">
        <v>11.46</v>
      </c>
      <c r="C252" s="4">
        <v>14.97</v>
      </c>
      <c r="D252" s="4">
        <v>14.52</v>
      </c>
      <c r="E252" s="4">
        <v>13.78</v>
      </c>
      <c r="F252" s="4">
        <v>11.77</v>
      </c>
      <c r="G252" s="4">
        <v>10.68</v>
      </c>
      <c r="H252" s="4">
        <f t="shared" si="33"/>
        <v>26.29</v>
      </c>
      <c r="I252" s="4">
        <f t="shared" si="32"/>
        <v>24.46</v>
      </c>
      <c r="J252" s="4">
        <v>1.47</v>
      </c>
      <c r="K252" s="4">
        <v>1.4</v>
      </c>
      <c r="L252" s="139" t="str">
        <f t="shared" si="29"/>
        <v xml:space="preserve"> </v>
      </c>
      <c r="M252" s="139">
        <v>1.47</v>
      </c>
      <c r="N252" s="139">
        <v>1.49</v>
      </c>
      <c r="O252" s="139">
        <f t="shared" si="31"/>
        <v>1.47</v>
      </c>
      <c r="P252" s="139">
        <f t="shared" si="30"/>
        <v>1.47</v>
      </c>
    </row>
    <row r="253" spans="1:16" x14ac:dyDescent="0.35">
      <c r="A253" s="14" t="s">
        <v>164</v>
      </c>
      <c r="B253" s="4">
        <v>12.38</v>
      </c>
      <c r="C253" s="4">
        <v>17.260000000000002</v>
      </c>
      <c r="D253" s="4">
        <v>17</v>
      </c>
      <c r="E253" s="4">
        <v>17</v>
      </c>
      <c r="F253" s="4">
        <v>19.73</v>
      </c>
      <c r="G253" s="4">
        <v>19.82</v>
      </c>
      <c r="H253" s="4">
        <f t="shared" si="33"/>
        <v>36.730000000000004</v>
      </c>
      <c r="I253" s="4">
        <f t="shared" si="32"/>
        <v>36.82</v>
      </c>
      <c r="J253" s="4">
        <v>1.5</v>
      </c>
      <c r="K253" s="4">
        <v>1.39</v>
      </c>
      <c r="L253" s="139" t="str">
        <f t="shared" si="29"/>
        <v xml:space="preserve"> </v>
      </c>
      <c r="M253" s="139">
        <v>1.5</v>
      </c>
      <c r="N253" s="139">
        <v>1.49</v>
      </c>
      <c r="O253" s="139">
        <f t="shared" si="31"/>
        <v>1.5</v>
      </c>
      <c r="P253" s="139">
        <f t="shared" si="30"/>
        <v>1.5</v>
      </c>
    </row>
    <row r="254" spans="1:16" x14ac:dyDescent="0.35">
      <c r="A254" s="14" t="s">
        <v>163</v>
      </c>
      <c r="B254" s="4">
        <v>11.01</v>
      </c>
      <c r="C254" s="4">
        <v>11.42</v>
      </c>
      <c r="D254" s="4">
        <v>21.89</v>
      </c>
      <c r="E254" s="4">
        <v>20.56</v>
      </c>
      <c r="F254" s="4">
        <v>11.84</v>
      </c>
      <c r="G254" s="4">
        <v>11.96</v>
      </c>
      <c r="H254" s="4">
        <f t="shared" si="33"/>
        <v>33.730000000000004</v>
      </c>
      <c r="I254" s="4">
        <f t="shared" si="32"/>
        <v>32.519999999999996</v>
      </c>
      <c r="J254" s="4">
        <v>1.48</v>
      </c>
      <c r="K254" s="4">
        <v>1.47</v>
      </c>
      <c r="L254" s="139" t="str">
        <f t="shared" si="29"/>
        <v xml:space="preserve"> </v>
      </c>
      <c r="M254" s="139">
        <v>1.48</v>
      </c>
      <c r="N254" s="139">
        <v>1.49</v>
      </c>
      <c r="O254" s="139">
        <f t="shared" si="31"/>
        <v>1.48</v>
      </c>
      <c r="P254" s="139">
        <f t="shared" si="30"/>
        <v>1.48</v>
      </c>
    </row>
    <row r="255" spans="1:16" x14ac:dyDescent="0.35">
      <c r="A255" s="14" t="s">
        <v>148</v>
      </c>
      <c r="B255" s="4">
        <v>13.8</v>
      </c>
      <c r="C255" s="4">
        <v>7.89</v>
      </c>
      <c r="D255" s="4">
        <v>22.48</v>
      </c>
      <c r="E255" s="4">
        <v>12.71</v>
      </c>
      <c r="F255" s="4">
        <v>10.47</v>
      </c>
      <c r="G255" s="4">
        <v>5.91</v>
      </c>
      <c r="H255" s="4">
        <f t="shared" si="33"/>
        <v>32.950000000000003</v>
      </c>
      <c r="I255" s="4">
        <f t="shared" si="32"/>
        <v>18.62</v>
      </c>
      <c r="J255" s="4">
        <v>0</v>
      </c>
      <c r="K255" s="4">
        <v>0</v>
      </c>
      <c r="L255" s="139" t="str">
        <f t="shared" si="29"/>
        <v xml:space="preserve"> </v>
      </c>
      <c r="M255" s="139" t="s">
        <v>867</v>
      </c>
      <c r="N255" s="139">
        <v>1.49</v>
      </c>
      <c r="O255" s="139">
        <f t="shared" si="31"/>
        <v>1.49</v>
      </c>
      <c r="P255" s="139" t="str">
        <f t="shared" si="30"/>
        <v xml:space="preserve"> </v>
      </c>
    </row>
    <row r="256" spans="1:16" x14ac:dyDescent="0.35">
      <c r="A256" s="14" t="s">
        <v>168</v>
      </c>
      <c r="B256" s="4">
        <v>11.87</v>
      </c>
      <c r="C256" s="4">
        <v>12.24</v>
      </c>
      <c r="D256" s="4">
        <v>14.4</v>
      </c>
      <c r="E256" s="4">
        <v>15.12</v>
      </c>
      <c r="F256" s="4">
        <v>8.35</v>
      </c>
      <c r="G256" s="4">
        <v>6.76</v>
      </c>
      <c r="H256" s="4">
        <f t="shared" si="33"/>
        <v>22.75</v>
      </c>
      <c r="I256" s="4">
        <f t="shared" si="32"/>
        <v>21.88</v>
      </c>
      <c r="J256" s="4">
        <v>1.46</v>
      </c>
      <c r="K256" s="4">
        <v>1.42</v>
      </c>
      <c r="L256" s="139" t="str">
        <f t="shared" si="29"/>
        <v xml:space="preserve"> </v>
      </c>
      <c r="M256" s="139">
        <v>1.46</v>
      </c>
      <c r="N256" s="139">
        <v>1.49</v>
      </c>
      <c r="O256" s="139">
        <f t="shared" si="31"/>
        <v>1.46</v>
      </c>
      <c r="P256" s="139">
        <f t="shared" si="30"/>
        <v>1.46</v>
      </c>
    </row>
    <row r="257" spans="1:16" x14ac:dyDescent="0.35">
      <c r="A257" s="14" t="s">
        <v>176</v>
      </c>
      <c r="B257" s="4">
        <v>14.15</v>
      </c>
      <c r="C257" s="4">
        <v>16.149999999999999</v>
      </c>
      <c r="D257" s="4">
        <v>19.350000000000001</v>
      </c>
      <c r="E257" s="4">
        <v>20.79</v>
      </c>
      <c r="F257" s="4">
        <v>11.3</v>
      </c>
      <c r="G257" s="4">
        <v>10.4</v>
      </c>
      <c r="H257" s="4">
        <f t="shared" si="33"/>
        <v>30.650000000000002</v>
      </c>
      <c r="I257" s="4">
        <f t="shared" si="32"/>
        <v>31.189999999999998</v>
      </c>
      <c r="J257" s="4">
        <v>1.46</v>
      </c>
      <c r="K257" s="4">
        <v>1.38</v>
      </c>
      <c r="L257" s="139" t="str">
        <f t="shared" si="29"/>
        <v xml:space="preserve"> </v>
      </c>
      <c r="M257" s="139">
        <v>1.46</v>
      </c>
      <c r="N257" s="139">
        <v>1.49</v>
      </c>
      <c r="O257" s="139">
        <f t="shared" si="31"/>
        <v>1.46</v>
      </c>
      <c r="P257" s="139">
        <f t="shared" si="30"/>
        <v>1.46</v>
      </c>
    </row>
    <row r="258" spans="1:16" x14ac:dyDescent="0.35">
      <c r="A258" s="14" t="s">
        <v>578</v>
      </c>
      <c r="B258" s="4">
        <v>9.44</v>
      </c>
      <c r="C258" s="4">
        <v>11.41</v>
      </c>
      <c r="D258" s="4">
        <v>21.15</v>
      </c>
      <c r="E258" s="4">
        <v>21.09</v>
      </c>
      <c r="F258" s="4">
        <v>30.15</v>
      </c>
      <c r="G258" s="4">
        <v>32.42</v>
      </c>
      <c r="H258" s="4">
        <f t="shared" si="33"/>
        <v>51.3</v>
      </c>
      <c r="I258" s="4">
        <f t="shared" si="32"/>
        <v>53.510000000000005</v>
      </c>
      <c r="J258" s="4">
        <v>1.56</v>
      </c>
      <c r="K258" s="4">
        <v>1.54</v>
      </c>
      <c r="L258" s="139" t="str">
        <f t="shared" si="29"/>
        <v xml:space="preserve"> </v>
      </c>
      <c r="M258" s="139">
        <v>1.56</v>
      </c>
      <c r="N258" s="139">
        <v>1.57</v>
      </c>
      <c r="O258" s="139">
        <f t="shared" si="31"/>
        <v>1.56</v>
      </c>
      <c r="P258" s="139">
        <f t="shared" si="30"/>
        <v>1.56</v>
      </c>
    </row>
    <row r="259" spans="1:16" x14ac:dyDescent="0.35">
      <c r="A259" s="14" t="s">
        <v>611</v>
      </c>
      <c r="B259" s="4">
        <v>10.01</v>
      </c>
      <c r="C259" s="4">
        <v>8.68</v>
      </c>
      <c r="D259" s="4">
        <v>23.09</v>
      </c>
      <c r="E259" s="4">
        <v>26.21</v>
      </c>
      <c r="F259" s="4">
        <v>29.45</v>
      </c>
      <c r="G259" s="4">
        <v>34.64</v>
      </c>
      <c r="H259" s="4">
        <f t="shared" si="33"/>
        <v>52.54</v>
      </c>
      <c r="I259" s="4">
        <f t="shared" si="32"/>
        <v>60.85</v>
      </c>
      <c r="J259" s="4">
        <v>1.53</v>
      </c>
      <c r="K259" s="4">
        <v>1.58</v>
      </c>
      <c r="L259" s="139" t="str">
        <f t="shared" si="29"/>
        <v xml:space="preserve"> </v>
      </c>
      <c r="M259" s="139">
        <v>1.53</v>
      </c>
      <c r="N259" s="139">
        <v>1.52</v>
      </c>
      <c r="O259" s="139">
        <f t="shared" si="31"/>
        <v>1.53</v>
      </c>
      <c r="P259" s="139">
        <f t="shared" si="30"/>
        <v>1.53</v>
      </c>
    </row>
    <row r="260" spans="1:16" x14ac:dyDescent="0.35">
      <c r="A260" s="14" t="s">
        <v>609</v>
      </c>
      <c r="B260" s="4">
        <v>9.3699999999999992</v>
      </c>
      <c r="C260" s="4">
        <v>7.95</v>
      </c>
      <c r="D260" s="4">
        <v>22.4</v>
      </c>
      <c r="E260" s="4">
        <v>28.19</v>
      </c>
      <c r="F260" s="4">
        <v>29.51</v>
      </c>
      <c r="G260" s="4">
        <v>29.54</v>
      </c>
      <c r="H260" s="4">
        <f t="shared" si="33"/>
        <v>51.91</v>
      </c>
      <c r="I260" s="4">
        <f t="shared" si="32"/>
        <v>57.730000000000004</v>
      </c>
      <c r="J260" s="4">
        <v>0</v>
      </c>
      <c r="K260" s="4">
        <v>0</v>
      </c>
      <c r="L260" s="139" t="str">
        <f t="shared" si="29"/>
        <v xml:space="preserve"> </v>
      </c>
      <c r="M260" s="139" t="s">
        <v>867</v>
      </c>
      <c r="N260" s="139">
        <v>1.57</v>
      </c>
      <c r="O260" s="139">
        <f t="shared" si="31"/>
        <v>1.57</v>
      </c>
      <c r="P260" s="139" t="str">
        <f t="shared" si="30"/>
        <v xml:space="preserve"> </v>
      </c>
    </row>
    <row r="261" spans="1:16" x14ac:dyDescent="0.35">
      <c r="A261" s="14" t="s">
        <v>620</v>
      </c>
      <c r="B261" s="4">
        <v>8.7799999999999994</v>
      </c>
      <c r="C261" s="4">
        <v>8.27</v>
      </c>
      <c r="D261" s="4">
        <v>23.98</v>
      </c>
      <c r="E261" s="4">
        <v>25.13</v>
      </c>
      <c r="F261" s="4">
        <v>33</v>
      </c>
      <c r="G261" s="4">
        <v>33.799999999999997</v>
      </c>
      <c r="H261" s="4">
        <f t="shared" si="33"/>
        <v>56.980000000000004</v>
      </c>
      <c r="I261" s="4">
        <f t="shared" si="32"/>
        <v>58.929999999999993</v>
      </c>
      <c r="J261" s="4">
        <v>1.56</v>
      </c>
      <c r="K261" s="4">
        <v>1.57</v>
      </c>
      <c r="L261" s="139" t="str">
        <f t="shared" si="29"/>
        <v xml:space="preserve"> </v>
      </c>
      <c r="M261" s="139">
        <v>1.56</v>
      </c>
      <c r="N261" s="139">
        <v>1.57</v>
      </c>
      <c r="O261" s="139">
        <f t="shared" si="31"/>
        <v>1.56</v>
      </c>
      <c r="P261" s="139">
        <f t="shared" si="30"/>
        <v>1.56</v>
      </c>
    </row>
    <row r="262" spans="1:16" x14ac:dyDescent="0.35">
      <c r="A262" s="14" t="s">
        <v>612</v>
      </c>
      <c r="B262" s="4">
        <v>10.57</v>
      </c>
      <c r="C262" s="4">
        <v>11.68</v>
      </c>
      <c r="D262" s="4">
        <v>25.7</v>
      </c>
      <c r="E262" s="4">
        <v>27.83</v>
      </c>
      <c r="F262" s="4">
        <v>28.07</v>
      </c>
      <c r="G262" s="4">
        <v>26.22</v>
      </c>
      <c r="H262" s="4">
        <f t="shared" si="33"/>
        <v>53.769999999999996</v>
      </c>
      <c r="I262" s="4">
        <f t="shared" si="32"/>
        <v>54.05</v>
      </c>
      <c r="J262" s="4">
        <v>0</v>
      </c>
      <c r="K262" s="4">
        <v>0</v>
      </c>
      <c r="L262" s="139" t="str">
        <f t="shared" si="29"/>
        <v xml:space="preserve"> </v>
      </c>
      <c r="M262" s="139" t="s">
        <v>867</v>
      </c>
      <c r="N262" s="139">
        <v>1.52</v>
      </c>
      <c r="O262" s="139">
        <f t="shared" si="31"/>
        <v>1.52</v>
      </c>
      <c r="P262" s="139" t="str">
        <f t="shared" si="30"/>
        <v xml:space="preserve"> </v>
      </c>
    </row>
    <row r="263" spans="1:16" x14ac:dyDescent="0.35">
      <c r="A263" s="14" t="s">
        <v>631</v>
      </c>
      <c r="B263" s="4">
        <v>8.57</v>
      </c>
      <c r="C263" s="4">
        <v>7.8</v>
      </c>
      <c r="D263" s="4">
        <v>28.16</v>
      </c>
      <c r="E263" s="4">
        <v>28.68</v>
      </c>
      <c r="F263" s="4">
        <v>32.44</v>
      </c>
      <c r="G263" s="4">
        <v>36.700000000000003</v>
      </c>
      <c r="H263" s="4">
        <f t="shared" si="33"/>
        <v>60.599999999999994</v>
      </c>
      <c r="I263" s="4">
        <f t="shared" si="32"/>
        <v>65.38</v>
      </c>
      <c r="J263" s="4">
        <v>0</v>
      </c>
      <c r="K263" s="4">
        <v>0</v>
      </c>
      <c r="L263" s="139" t="str">
        <f t="shared" ref="L263:L326" si="34">IF(AND($B263&lt;L$3,$B263&gt;L$2,$H263&lt;L$5,$H263&gt;L$4),$J263," ")</f>
        <v xml:space="preserve"> </v>
      </c>
      <c r="M263" s="139" t="s">
        <v>867</v>
      </c>
      <c r="N263" s="139">
        <v>1.61</v>
      </c>
      <c r="O263" s="139">
        <f t="shared" si="31"/>
        <v>1.61</v>
      </c>
      <c r="P263" s="139" t="str">
        <f t="shared" ref="P263:P326" si="35">IF(M263&gt;0,M263," ")</f>
        <v xml:space="preserve"> </v>
      </c>
    </row>
    <row r="264" spans="1:16" x14ac:dyDescent="0.35">
      <c r="A264" s="14" t="s">
        <v>608</v>
      </c>
      <c r="B264" s="4">
        <v>8.2899999999999991</v>
      </c>
      <c r="C264" s="4">
        <v>7.57</v>
      </c>
      <c r="D264" s="4">
        <v>31.91</v>
      </c>
      <c r="E264" s="4">
        <v>36.44</v>
      </c>
      <c r="F264" s="4">
        <v>30.7</v>
      </c>
      <c r="G264" s="4">
        <v>30.93</v>
      </c>
      <c r="H264" s="4">
        <f t="shared" si="33"/>
        <v>62.61</v>
      </c>
      <c r="I264" s="4">
        <f t="shared" si="32"/>
        <v>67.37</v>
      </c>
      <c r="J264" s="4">
        <v>1.56</v>
      </c>
      <c r="K264" s="4">
        <v>1.6</v>
      </c>
      <c r="L264" s="139" t="str">
        <f t="shared" si="34"/>
        <v xml:space="preserve"> </v>
      </c>
      <c r="M264" s="139">
        <v>1.56</v>
      </c>
      <c r="N264" s="139">
        <v>1.61</v>
      </c>
      <c r="O264" s="139">
        <f t="shared" ref="O264:O327" si="36">IF(M264=" ",N264,M264)</f>
        <v>1.56</v>
      </c>
      <c r="P264" s="139">
        <f t="shared" si="35"/>
        <v>1.56</v>
      </c>
    </row>
    <row r="265" spans="1:16" x14ac:dyDescent="0.35">
      <c r="A265" s="14" t="s">
        <v>616</v>
      </c>
      <c r="B265" s="4">
        <v>8.8000000000000007</v>
      </c>
      <c r="C265" s="4">
        <v>8.31</v>
      </c>
      <c r="D265" s="4">
        <v>24.85</v>
      </c>
      <c r="E265" s="4">
        <v>27.29</v>
      </c>
      <c r="F265" s="4">
        <v>36.56</v>
      </c>
      <c r="G265" s="4">
        <v>36.090000000000003</v>
      </c>
      <c r="H265" s="4">
        <f t="shared" si="33"/>
        <v>61.410000000000004</v>
      </c>
      <c r="I265" s="4">
        <f t="shared" si="32"/>
        <v>63.38</v>
      </c>
      <c r="J265" s="4">
        <v>0</v>
      </c>
      <c r="K265" s="4">
        <v>0</v>
      </c>
      <c r="L265" s="139" t="str">
        <f t="shared" si="34"/>
        <v xml:space="preserve"> </v>
      </c>
      <c r="M265" s="139" t="s">
        <v>867</v>
      </c>
      <c r="N265" s="139">
        <v>1.61</v>
      </c>
      <c r="O265" s="139">
        <f t="shared" si="36"/>
        <v>1.61</v>
      </c>
      <c r="P265" s="139" t="str">
        <f t="shared" si="35"/>
        <v xml:space="preserve"> </v>
      </c>
    </row>
    <row r="266" spans="1:16" x14ac:dyDescent="0.35">
      <c r="A266" s="14" t="s">
        <v>150</v>
      </c>
      <c r="B266" s="4">
        <v>6.34</v>
      </c>
      <c r="C266" s="4">
        <v>5.51</v>
      </c>
      <c r="D266" s="4">
        <v>23.43</v>
      </c>
      <c r="E266" s="4">
        <v>28.18</v>
      </c>
      <c r="F266" s="4">
        <v>44.86</v>
      </c>
      <c r="G266" s="4">
        <v>44.3</v>
      </c>
      <c r="H266" s="4">
        <f t="shared" si="33"/>
        <v>68.289999999999992</v>
      </c>
      <c r="I266" s="4">
        <f t="shared" si="32"/>
        <v>72.47999999999999</v>
      </c>
      <c r="J266" s="4">
        <v>0</v>
      </c>
      <c r="K266" s="4">
        <v>0</v>
      </c>
      <c r="L266" s="139" t="str">
        <f t="shared" si="34"/>
        <v xml:space="preserve"> </v>
      </c>
      <c r="M266" s="139" t="s">
        <v>867</v>
      </c>
      <c r="N266" s="139">
        <v>1.61</v>
      </c>
      <c r="O266" s="139">
        <f t="shared" si="36"/>
        <v>1.61</v>
      </c>
      <c r="P266" s="139" t="str">
        <f t="shared" si="35"/>
        <v xml:space="preserve"> </v>
      </c>
    </row>
    <row r="267" spans="1:16" x14ac:dyDescent="0.35">
      <c r="A267" s="14" t="s">
        <v>151</v>
      </c>
      <c r="B267" s="4">
        <v>5.77</v>
      </c>
      <c r="C267" s="4">
        <v>4.08</v>
      </c>
      <c r="D267" s="4">
        <v>27.73</v>
      </c>
      <c r="E267" s="4">
        <v>25.35</v>
      </c>
      <c r="F267" s="4">
        <v>33.81</v>
      </c>
      <c r="G267" s="4">
        <v>29.98</v>
      </c>
      <c r="H267" s="4">
        <f t="shared" si="33"/>
        <v>61.540000000000006</v>
      </c>
      <c r="I267" s="4">
        <f t="shared" si="32"/>
        <v>55.33</v>
      </c>
      <c r="J267" s="4">
        <v>0</v>
      </c>
      <c r="K267" s="4">
        <v>0</v>
      </c>
      <c r="L267" s="139" t="str">
        <f t="shared" si="34"/>
        <v xml:space="preserve"> </v>
      </c>
      <c r="M267" s="139" t="s">
        <v>867</v>
      </c>
      <c r="N267" s="139">
        <v>1.61</v>
      </c>
      <c r="O267" s="139">
        <f t="shared" si="36"/>
        <v>1.61</v>
      </c>
      <c r="P267" s="139" t="str">
        <f t="shared" si="35"/>
        <v xml:space="preserve"> </v>
      </c>
    </row>
    <row r="268" spans="1:16" x14ac:dyDescent="0.35">
      <c r="A268" s="14" t="s">
        <v>160</v>
      </c>
      <c r="B268" s="4">
        <v>8.31</v>
      </c>
      <c r="C268" s="4">
        <v>8.16</v>
      </c>
      <c r="D268" s="4">
        <v>25.55</v>
      </c>
      <c r="E268" s="4">
        <v>29.7</v>
      </c>
      <c r="F268" s="4">
        <v>35.520000000000003</v>
      </c>
      <c r="G268" s="4">
        <v>32.53</v>
      </c>
      <c r="H268" s="4">
        <f t="shared" si="33"/>
        <v>61.070000000000007</v>
      </c>
      <c r="I268" s="4">
        <f t="shared" ref="I268:I331" si="37">E268+G268</f>
        <v>62.230000000000004</v>
      </c>
      <c r="J268" s="4">
        <v>1.58</v>
      </c>
      <c r="K268" s="4">
        <v>1.55</v>
      </c>
      <c r="L268" s="139" t="str">
        <f t="shared" si="34"/>
        <v xml:space="preserve"> </v>
      </c>
      <c r="M268" s="139">
        <v>1.58</v>
      </c>
      <c r="N268" s="139">
        <v>1.61</v>
      </c>
      <c r="O268" s="139">
        <f t="shared" si="36"/>
        <v>1.58</v>
      </c>
      <c r="P268" s="139">
        <f t="shared" si="35"/>
        <v>1.58</v>
      </c>
    </row>
    <row r="269" spans="1:16" x14ac:dyDescent="0.35">
      <c r="A269" s="14" t="s">
        <v>589</v>
      </c>
      <c r="B269" s="4">
        <v>10.42</v>
      </c>
      <c r="C269" s="4">
        <v>13.64</v>
      </c>
      <c r="D269" s="4">
        <v>22.45</v>
      </c>
      <c r="E269" s="4">
        <v>21.16</v>
      </c>
      <c r="F269" s="4">
        <v>23.84</v>
      </c>
      <c r="G269" s="4">
        <v>20.11</v>
      </c>
      <c r="H269" s="4">
        <f t="shared" ref="H269:H332" si="38">D269+F269</f>
        <v>46.29</v>
      </c>
      <c r="I269" s="4">
        <f t="shared" si="37"/>
        <v>41.269999999999996</v>
      </c>
      <c r="J269" s="4">
        <v>0</v>
      </c>
      <c r="K269" s="4">
        <v>0</v>
      </c>
      <c r="L269" s="139" t="str">
        <f t="shared" si="34"/>
        <v xml:space="preserve"> </v>
      </c>
      <c r="M269" s="139" t="s">
        <v>867</v>
      </c>
      <c r="N269" s="139">
        <v>1.52</v>
      </c>
      <c r="O269" s="139">
        <f t="shared" si="36"/>
        <v>1.52</v>
      </c>
      <c r="P269" s="139" t="str">
        <f t="shared" si="35"/>
        <v xml:space="preserve"> </v>
      </c>
    </row>
    <row r="270" spans="1:16" x14ac:dyDescent="0.35">
      <c r="A270" s="14" t="s">
        <v>593</v>
      </c>
      <c r="B270" s="4">
        <v>8.66</v>
      </c>
      <c r="C270" s="4">
        <v>12.19</v>
      </c>
      <c r="D270" s="4">
        <v>29.43</v>
      </c>
      <c r="E270" s="4">
        <v>34.659999999999997</v>
      </c>
      <c r="F270" s="4">
        <v>25.26</v>
      </c>
      <c r="G270" s="4">
        <v>21.82</v>
      </c>
      <c r="H270" s="4">
        <f t="shared" si="38"/>
        <v>54.69</v>
      </c>
      <c r="I270" s="4">
        <f t="shared" si="37"/>
        <v>56.48</v>
      </c>
      <c r="J270" s="4">
        <v>0</v>
      </c>
      <c r="K270" s="4">
        <v>0</v>
      </c>
      <c r="L270" s="139" t="str">
        <f t="shared" si="34"/>
        <v xml:space="preserve"> </v>
      </c>
      <c r="M270" s="139" t="s">
        <v>867</v>
      </c>
      <c r="N270" s="139">
        <v>1.57</v>
      </c>
      <c r="O270" s="139">
        <f t="shared" si="36"/>
        <v>1.57</v>
      </c>
      <c r="P270" s="139" t="str">
        <f t="shared" si="35"/>
        <v xml:space="preserve"> </v>
      </c>
    </row>
    <row r="271" spans="1:16" x14ac:dyDescent="0.35">
      <c r="A271" s="14" t="s">
        <v>165</v>
      </c>
      <c r="B271" s="4">
        <v>11.68</v>
      </c>
      <c r="C271" s="4">
        <v>13.15</v>
      </c>
      <c r="D271" s="4">
        <v>27.58</v>
      </c>
      <c r="E271" s="4">
        <v>28.18</v>
      </c>
      <c r="F271" s="4">
        <v>23.69</v>
      </c>
      <c r="G271" s="4">
        <v>25.95</v>
      </c>
      <c r="H271" s="4">
        <f t="shared" si="38"/>
        <v>51.269999999999996</v>
      </c>
      <c r="I271" s="4">
        <f t="shared" si="37"/>
        <v>54.129999999999995</v>
      </c>
      <c r="J271" s="4">
        <v>0</v>
      </c>
      <c r="K271" s="4">
        <v>0</v>
      </c>
      <c r="L271" s="139" t="str">
        <f t="shared" si="34"/>
        <v xml:space="preserve"> </v>
      </c>
      <c r="M271" s="139" t="s">
        <v>867</v>
      </c>
      <c r="N271" s="139">
        <v>1.52</v>
      </c>
      <c r="O271" s="139">
        <f t="shared" si="36"/>
        <v>1.52</v>
      </c>
      <c r="P271" s="139" t="str">
        <f t="shared" si="35"/>
        <v xml:space="preserve"> </v>
      </c>
    </row>
    <row r="272" spans="1:16" x14ac:dyDescent="0.35">
      <c r="A272" s="14" t="s">
        <v>174</v>
      </c>
      <c r="B272" s="4">
        <v>18.86</v>
      </c>
      <c r="C272" s="4">
        <v>19.579999999999998</v>
      </c>
      <c r="D272" s="4">
        <v>25.17</v>
      </c>
      <c r="E272" s="4">
        <v>26.19</v>
      </c>
      <c r="F272" s="4">
        <v>16.47</v>
      </c>
      <c r="G272" s="4">
        <v>18.420000000000002</v>
      </c>
      <c r="H272" s="4">
        <f t="shared" si="38"/>
        <v>41.64</v>
      </c>
      <c r="I272" s="4">
        <f t="shared" si="37"/>
        <v>44.61</v>
      </c>
      <c r="J272" s="4">
        <v>0</v>
      </c>
      <c r="K272" s="4">
        <v>0</v>
      </c>
      <c r="L272" s="139" t="str">
        <f t="shared" si="34"/>
        <v xml:space="preserve"> </v>
      </c>
      <c r="M272" s="139" t="s">
        <v>867</v>
      </c>
      <c r="N272" s="139">
        <v>1.52</v>
      </c>
      <c r="O272" s="139">
        <f t="shared" si="36"/>
        <v>1.52</v>
      </c>
      <c r="P272" s="139" t="str">
        <f t="shared" si="35"/>
        <v xml:space="preserve"> </v>
      </c>
    </row>
    <row r="273" spans="1:16" x14ac:dyDescent="0.35">
      <c r="A273" s="14" t="s">
        <v>167</v>
      </c>
      <c r="B273" s="4">
        <v>13.11</v>
      </c>
      <c r="C273" s="4">
        <v>15.26</v>
      </c>
      <c r="D273" s="4">
        <v>17.28</v>
      </c>
      <c r="E273" s="4">
        <v>18.07</v>
      </c>
      <c r="F273" s="4">
        <v>7.65</v>
      </c>
      <c r="G273" s="4">
        <v>6.58</v>
      </c>
      <c r="H273" s="4">
        <f t="shared" si="38"/>
        <v>24.93</v>
      </c>
      <c r="I273" s="4">
        <f t="shared" si="37"/>
        <v>24.65</v>
      </c>
      <c r="J273" s="4">
        <v>0</v>
      </c>
      <c r="K273" s="4">
        <v>0</v>
      </c>
      <c r="L273" s="139" t="str">
        <f t="shared" si="34"/>
        <v xml:space="preserve"> </v>
      </c>
      <c r="M273" s="139" t="s">
        <v>867</v>
      </c>
      <c r="N273" s="139">
        <v>1.49</v>
      </c>
      <c r="O273" s="139">
        <f t="shared" si="36"/>
        <v>1.49</v>
      </c>
      <c r="P273" s="139" t="str">
        <f t="shared" si="35"/>
        <v xml:space="preserve"> </v>
      </c>
    </row>
    <row r="274" spans="1:16" x14ac:dyDescent="0.35">
      <c r="A274" s="14" t="s">
        <v>158</v>
      </c>
      <c r="B274" s="4">
        <v>11.47</v>
      </c>
      <c r="C274" s="4">
        <v>12.17</v>
      </c>
      <c r="D274" s="4">
        <v>19.62</v>
      </c>
      <c r="E274" s="4">
        <v>20.14</v>
      </c>
      <c r="F274" s="4">
        <v>23.5</v>
      </c>
      <c r="G274" s="4">
        <v>23.71</v>
      </c>
      <c r="H274" s="4">
        <f t="shared" si="38"/>
        <v>43.120000000000005</v>
      </c>
      <c r="I274" s="4">
        <f t="shared" si="37"/>
        <v>43.85</v>
      </c>
      <c r="J274" s="4">
        <v>0</v>
      </c>
      <c r="K274" s="4">
        <v>0</v>
      </c>
      <c r="L274" s="139" t="str">
        <f t="shared" si="34"/>
        <v xml:space="preserve"> </v>
      </c>
      <c r="M274" s="139" t="s">
        <v>867</v>
      </c>
      <c r="N274" s="139">
        <v>1.52</v>
      </c>
      <c r="O274" s="139">
        <f t="shared" si="36"/>
        <v>1.52</v>
      </c>
      <c r="P274" s="139" t="str">
        <f t="shared" si="35"/>
        <v xml:space="preserve"> </v>
      </c>
    </row>
    <row r="275" spans="1:16" x14ac:dyDescent="0.35">
      <c r="A275" s="14" t="s">
        <v>599</v>
      </c>
      <c r="B275" s="4">
        <v>15.95</v>
      </c>
      <c r="C275" s="4">
        <v>19.440000000000001</v>
      </c>
      <c r="D275" s="4">
        <v>20.309999999999999</v>
      </c>
      <c r="E275" s="4">
        <v>22.79</v>
      </c>
      <c r="F275" s="4">
        <v>25.29</v>
      </c>
      <c r="G275" s="4">
        <v>23.63</v>
      </c>
      <c r="H275" s="4">
        <f t="shared" si="38"/>
        <v>45.599999999999994</v>
      </c>
      <c r="I275" s="4">
        <f t="shared" si="37"/>
        <v>46.42</v>
      </c>
      <c r="J275" s="4">
        <v>0</v>
      </c>
      <c r="K275" s="4">
        <v>0</v>
      </c>
      <c r="L275" s="139" t="str">
        <f t="shared" si="34"/>
        <v xml:space="preserve"> </v>
      </c>
      <c r="M275" s="139" t="s">
        <v>867</v>
      </c>
      <c r="N275" s="139">
        <v>1.52</v>
      </c>
      <c r="O275" s="139">
        <f t="shared" si="36"/>
        <v>1.52</v>
      </c>
      <c r="P275" s="139" t="str">
        <f t="shared" si="35"/>
        <v xml:space="preserve"> </v>
      </c>
    </row>
    <row r="276" spans="1:16" x14ac:dyDescent="0.35">
      <c r="A276" s="14" t="s">
        <v>171</v>
      </c>
      <c r="B276" s="4">
        <v>17.14</v>
      </c>
      <c r="C276" s="4">
        <v>21.3</v>
      </c>
      <c r="D276" s="4">
        <v>24.47</v>
      </c>
      <c r="E276" s="4">
        <v>26.89</v>
      </c>
      <c r="F276" s="4">
        <v>13.01</v>
      </c>
      <c r="G276" s="4">
        <v>11.77</v>
      </c>
      <c r="H276" s="4">
        <f t="shared" si="38"/>
        <v>37.479999999999997</v>
      </c>
      <c r="I276" s="4">
        <f t="shared" si="37"/>
        <v>38.659999999999997</v>
      </c>
      <c r="J276" s="4">
        <v>1.43</v>
      </c>
      <c r="K276" s="4">
        <v>1.33</v>
      </c>
      <c r="L276" s="139" t="str">
        <f t="shared" si="34"/>
        <v xml:space="preserve"> </v>
      </c>
      <c r="M276" s="139">
        <v>1.43</v>
      </c>
      <c r="N276" s="139">
        <v>1.49</v>
      </c>
      <c r="O276" s="139">
        <f t="shared" si="36"/>
        <v>1.43</v>
      </c>
      <c r="P276" s="139">
        <f t="shared" si="35"/>
        <v>1.43</v>
      </c>
    </row>
    <row r="277" spans="1:16" x14ac:dyDescent="0.35">
      <c r="A277" s="14" t="s">
        <v>591</v>
      </c>
      <c r="B277" s="4">
        <v>15.35</v>
      </c>
      <c r="C277" s="4">
        <v>15.85</v>
      </c>
      <c r="D277" s="4">
        <v>19.41</v>
      </c>
      <c r="E277" s="4">
        <v>23.65</v>
      </c>
      <c r="F277" s="4">
        <v>16.37</v>
      </c>
      <c r="G277" s="4">
        <v>17.37</v>
      </c>
      <c r="H277" s="4">
        <f t="shared" si="38"/>
        <v>35.78</v>
      </c>
      <c r="I277" s="4">
        <f t="shared" si="37"/>
        <v>41.019999999999996</v>
      </c>
      <c r="J277" s="4">
        <v>0</v>
      </c>
      <c r="K277" s="4">
        <v>0</v>
      </c>
      <c r="L277" s="139" t="str">
        <f t="shared" si="34"/>
        <v xml:space="preserve"> </v>
      </c>
      <c r="M277" s="139" t="s">
        <v>867</v>
      </c>
      <c r="N277" s="139">
        <v>1.49</v>
      </c>
      <c r="O277" s="139">
        <f t="shared" si="36"/>
        <v>1.49</v>
      </c>
      <c r="P277" s="139" t="str">
        <f t="shared" si="35"/>
        <v xml:space="preserve"> </v>
      </c>
    </row>
    <row r="278" spans="1:16" x14ac:dyDescent="0.35">
      <c r="A278" s="14" t="s">
        <v>617</v>
      </c>
      <c r="B278" s="4">
        <v>13.19</v>
      </c>
      <c r="C278" s="4">
        <v>14.91</v>
      </c>
      <c r="D278" s="4">
        <v>23.85</v>
      </c>
      <c r="E278" s="4">
        <v>20.97</v>
      </c>
      <c r="F278" s="4">
        <v>25.46</v>
      </c>
      <c r="G278" s="4">
        <v>26.18</v>
      </c>
      <c r="H278" s="4">
        <f t="shared" si="38"/>
        <v>49.31</v>
      </c>
      <c r="I278" s="4">
        <f t="shared" si="37"/>
        <v>47.15</v>
      </c>
      <c r="J278" s="4">
        <v>0</v>
      </c>
      <c r="K278" s="4">
        <v>0</v>
      </c>
      <c r="L278" s="139" t="str">
        <f t="shared" si="34"/>
        <v xml:space="preserve"> </v>
      </c>
      <c r="M278" s="139" t="s">
        <v>867</v>
      </c>
      <c r="N278" s="139">
        <v>1.52</v>
      </c>
      <c r="O278" s="139">
        <f t="shared" si="36"/>
        <v>1.52</v>
      </c>
      <c r="P278" s="139" t="str">
        <f t="shared" si="35"/>
        <v xml:space="preserve"> </v>
      </c>
    </row>
    <row r="279" spans="1:16" x14ac:dyDescent="0.35">
      <c r="A279" s="14" t="s">
        <v>610</v>
      </c>
      <c r="B279" s="4">
        <v>13.32</v>
      </c>
      <c r="C279" s="4">
        <v>14.1</v>
      </c>
      <c r="D279" s="4">
        <v>21.86</v>
      </c>
      <c r="E279" s="4">
        <v>24.92</v>
      </c>
      <c r="F279" s="4">
        <v>33.44</v>
      </c>
      <c r="G279" s="4">
        <v>32.369999999999997</v>
      </c>
      <c r="H279" s="4">
        <f t="shared" si="38"/>
        <v>55.3</v>
      </c>
      <c r="I279" s="4">
        <f t="shared" si="37"/>
        <v>57.29</v>
      </c>
      <c r="J279" s="4">
        <v>0</v>
      </c>
      <c r="K279" s="4">
        <v>0</v>
      </c>
      <c r="L279" s="139" t="str">
        <f t="shared" si="34"/>
        <v xml:space="preserve"> </v>
      </c>
      <c r="M279" s="139" t="s">
        <v>867</v>
      </c>
      <c r="N279" s="139">
        <v>1.52</v>
      </c>
      <c r="O279" s="139">
        <f t="shared" si="36"/>
        <v>1.52</v>
      </c>
      <c r="P279" s="139" t="str">
        <f t="shared" si="35"/>
        <v xml:space="preserve"> </v>
      </c>
    </row>
    <row r="280" spans="1:16" x14ac:dyDescent="0.35">
      <c r="A280" s="14" t="s">
        <v>161</v>
      </c>
      <c r="B280" s="4">
        <v>11.67</v>
      </c>
      <c r="C280" s="4">
        <v>12.62</v>
      </c>
      <c r="D280" s="4">
        <v>15.45</v>
      </c>
      <c r="E280" s="4">
        <v>15.94</v>
      </c>
      <c r="F280" s="4">
        <v>33.270000000000003</v>
      </c>
      <c r="G280" s="4">
        <v>35.35</v>
      </c>
      <c r="H280" s="4">
        <f t="shared" si="38"/>
        <v>48.72</v>
      </c>
      <c r="I280" s="4">
        <f t="shared" si="37"/>
        <v>51.29</v>
      </c>
      <c r="J280" s="4">
        <v>0</v>
      </c>
      <c r="K280" s="4">
        <v>0</v>
      </c>
      <c r="L280" s="139" t="str">
        <f t="shared" si="34"/>
        <v xml:space="preserve"> </v>
      </c>
      <c r="M280" s="139" t="s">
        <v>867</v>
      </c>
      <c r="N280" s="139">
        <v>1.52</v>
      </c>
      <c r="O280" s="139">
        <f t="shared" si="36"/>
        <v>1.52</v>
      </c>
      <c r="P280" s="139" t="str">
        <f t="shared" si="35"/>
        <v xml:space="preserve"> </v>
      </c>
    </row>
    <row r="281" spans="1:16" x14ac:dyDescent="0.35">
      <c r="A281" s="14" t="s">
        <v>153</v>
      </c>
      <c r="B281" s="4">
        <v>8.49</v>
      </c>
      <c r="C281" s="4">
        <v>9.59</v>
      </c>
      <c r="D281" s="4">
        <v>35.78</v>
      </c>
      <c r="E281" s="4">
        <v>30.31</v>
      </c>
      <c r="F281" s="4">
        <v>8.56</v>
      </c>
      <c r="G281" s="4">
        <v>6.12</v>
      </c>
      <c r="H281" s="4">
        <f t="shared" si="38"/>
        <v>44.34</v>
      </c>
      <c r="I281" s="4">
        <f t="shared" si="37"/>
        <v>36.43</v>
      </c>
      <c r="J281" s="4">
        <v>0</v>
      </c>
      <c r="K281" s="4">
        <v>0</v>
      </c>
      <c r="L281" s="139" t="str">
        <f t="shared" si="34"/>
        <v xml:space="preserve"> </v>
      </c>
      <c r="M281" s="139" t="s">
        <v>867</v>
      </c>
      <c r="N281" s="139">
        <v>1.57</v>
      </c>
      <c r="O281" s="139">
        <f t="shared" si="36"/>
        <v>1.57</v>
      </c>
      <c r="P281" s="139" t="str">
        <f t="shared" si="35"/>
        <v xml:space="preserve"> </v>
      </c>
    </row>
    <row r="282" spans="1:16" x14ac:dyDescent="0.35">
      <c r="A282" s="14" t="s">
        <v>318</v>
      </c>
      <c r="B282" s="4">
        <v>22.5</v>
      </c>
      <c r="C282" s="4">
        <v>25.37</v>
      </c>
      <c r="D282" s="4">
        <v>32.03</v>
      </c>
      <c r="E282" s="4">
        <v>30.62</v>
      </c>
      <c r="F282" s="4">
        <v>13.03</v>
      </c>
      <c r="G282" s="4">
        <v>12.37</v>
      </c>
      <c r="H282" s="4">
        <f t="shared" si="38"/>
        <v>45.06</v>
      </c>
      <c r="I282" s="4">
        <f t="shared" si="37"/>
        <v>42.99</v>
      </c>
      <c r="J282" s="4">
        <v>1.41</v>
      </c>
      <c r="K282" s="4">
        <v>1.36</v>
      </c>
      <c r="L282" s="139" t="str">
        <f t="shared" si="34"/>
        <v xml:space="preserve"> </v>
      </c>
      <c r="M282" s="139">
        <v>1.41</v>
      </c>
      <c r="N282" s="139">
        <v>1.41</v>
      </c>
      <c r="O282" s="139">
        <f t="shared" si="36"/>
        <v>1.41</v>
      </c>
      <c r="P282" s="139">
        <f t="shared" si="35"/>
        <v>1.41</v>
      </c>
    </row>
    <row r="283" spans="1:16" x14ac:dyDescent="0.35">
      <c r="A283" s="14" t="s">
        <v>317</v>
      </c>
      <c r="B283" s="4">
        <v>19.05</v>
      </c>
      <c r="C283" s="4">
        <v>19.05</v>
      </c>
      <c r="D283" s="4">
        <v>36.799999999999997</v>
      </c>
      <c r="E283" s="4">
        <v>36.799999999999997</v>
      </c>
      <c r="F283" s="4">
        <v>33.25</v>
      </c>
      <c r="G283" s="4">
        <v>33.25</v>
      </c>
      <c r="H283" s="4">
        <f t="shared" si="38"/>
        <v>70.05</v>
      </c>
      <c r="I283" s="4">
        <f t="shared" si="37"/>
        <v>70.05</v>
      </c>
      <c r="J283" s="4">
        <v>1.48</v>
      </c>
      <c r="K283" s="4">
        <v>1.47</v>
      </c>
      <c r="L283" s="139" t="str">
        <f t="shared" si="34"/>
        <v xml:space="preserve"> </v>
      </c>
      <c r="M283" s="139">
        <v>1.48</v>
      </c>
      <c r="N283" s="139">
        <v>1.52</v>
      </c>
      <c r="O283" s="139">
        <f t="shared" si="36"/>
        <v>1.48</v>
      </c>
      <c r="P283" s="139">
        <f t="shared" si="35"/>
        <v>1.48</v>
      </c>
    </row>
    <row r="284" spans="1:16" x14ac:dyDescent="0.35">
      <c r="A284" s="14" t="s">
        <v>575</v>
      </c>
      <c r="B284" s="4">
        <v>29.31</v>
      </c>
      <c r="C284" s="4">
        <v>29.49</v>
      </c>
      <c r="D284" s="4">
        <v>23.24</v>
      </c>
      <c r="E284" s="4">
        <v>23.02</v>
      </c>
      <c r="F284" s="4">
        <v>19.16</v>
      </c>
      <c r="G284" s="4">
        <v>24.24</v>
      </c>
      <c r="H284" s="4">
        <f t="shared" si="38"/>
        <v>42.4</v>
      </c>
      <c r="I284" s="4">
        <f t="shared" si="37"/>
        <v>47.26</v>
      </c>
      <c r="J284" s="4">
        <v>1.37</v>
      </c>
      <c r="K284" s="4">
        <v>1.32</v>
      </c>
      <c r="L284" s="139" t="str">
        <f t="shared" si="34"/>
        <v xml:space="preserve"> </v>
      </c>
      <c r="M284" s="139">
        <v>1.37</v>
      </c>
      <c r="N284" s="139">
        <v>1.41</v>
      </c>
      <c r="O284" s="139">
        <f t="shared" si="36"/>
        <v>1.37</v>
      </c>
      <c r="P284" s="139">
        <f t="shared" si="35"/>
        <v>1.37</v>
      </c>
    </row>
    <row r="285" spans="1:16" x14ac:dyDescent="0.35">
      <c r="A285" s="14" t="s">
        <v>272</v>
      </c>
      <c r="B285" s="4">
        <v>11.87</v>
      </c>
      <c r="C285" s="4">
        <v>21.59</v>
      </c>
      <c r="D285" s="4">
        <v>50</v>
      </c>
      <c r="E285" s="4">
        <v>49.59</v>
      </c>
      <c r="F285" s="4">
        <v>15.08</v>
      </c>
      <c r="G285" s="4">
        <v>11.15</v>
      </c>
      <c r="H285" s="4">
        <f t="shared" si="38"/>
        <v>65.08</v>
      </c>
      <c r="I285" s="4">
        <f t="shared" si="37"/>
        <v>60.74</v>
      </c>
      <c r="J285" s="4">
        <v>1.56</v>
      </c>
      <c r="K285" s="4">
        <v>1.47</v>
      </c>
      <c r="L285" s="139" t="str">
        <f t="shared" si="34"/>
        <v xml:space="preserve"> </v>
      </c>
      <c r="M285" s="139">
        <v>1.56</v>
      </c>
      <c r="N285" s="139">
        <v>1.52</v>
      </c>
      <c r="O285" s="139">
        <f t="shared" si="36"/>
        <v>1.56</v>
      </c>
      <c r="P285" s="139">
        <f t="shared" si="35"/>
        <v>1.56</v>
      </c>
    </row>
    <row r="286" spans="1:16" x14ac:dyDescent="0.35">
      <c r="A286" s="14" t="s">
        <v>287</v>
      </c>
      <c r="B286" s="4">
        <v>28.06</v>
      </c>
      <c r="C286" s="4">
        <v>31.03</v>
      </c>
      <c r="D286" s="4">
        <v>18.3</v>
      </c>
      <c r="E286" s="4">
        <v>16.55</v>
      </c>
      <c r="F286" s="4">
        <v>10.57</v>
      </c>
      <c r="G286" s="4">
        <v>8.23</v>
      </c>
      <c r="H286" s="4">
        <f t="shared" si="38"/>
        <v>28.87</v>
      </c>
      <c r="I286" s="4">
        <f t="shared" si="37"/>
        <v>24.78</v>
      </c>
      <c r="J286" s="4">
        <v>1.35</v>
      </c>
      <c r="K286" s="4">
        <v>1.29</v>
      </c>
      <c r="L286" s="139" t="str">
        <f t="shared" si="34"/>
        <v xml:space="preserve"> </v>
      </c>
      <c r="M286" s="139">
        <v>1.35</v>
      </c>
      <c r="N286" s="139">
        <v>1.35</v>
      </c>
      <c r="O286" s="139">
        <f t="shared" si="36"/>
        <v>1.35</v>
      </c>
      <c r="P286" s="139">
        <f t="shared" si="35"/>
        <v>1.35</v>
      </c>
    </row>
    <row r="287" spans="1:16" x14ac:dyDescent="0.35">
      <c r="A287" s="14" t="s">
        <v>267</v>
      </c>
      <c r="B287" s="4">
        <v>29.8</v>
      </c>
      <c r="C287" s="4">
        <v>28.78</v>
      </c>
      <c r="D287" s="4">
        <v>10.3</v>
      </c>
      <c r="E287" s="4">
        <v>9.9</v>
      </c>
      <c r="F287" s="4">
        <v>3.77</v>
      </c>
      <c r="G287" s="4">
        <v>2.36</v>
      </c>
      <c r="H287" s="4">
        <f t="shared" si="38"/>
        <v>14.07</v>
      </c>
      <c r="I287" s="4">
        <f t="shared" si="37"/>
        <v>12.26</v>
      </c>
      <c r="J287" s="4">
        <v>1.3</v>
      </c>
      <c r="K287" s="4">
        <v>1.29</v>
      </c>
      <c r="L287" s="139" t="str">
        <f t="shared" si="34"/>
        <v xml:space="preserve"> </v>
      </c>
      <c r="M287" s="139">
        <v>1.3</v>
      </c>
      <c r="N287" s="139">
        <v>1.32</v>
      </c>
      <c r="O287" s="139">
        <f t="shared" si="36"/>
        <v>1.3</v>
      </c>
      <c r="P287" s="139">
        <f t="shared" si="35"/>
        <v>1.3</v>
      </c>
    </row>
    <row r="288" spans="1:16" x14ac:dyDescent="0.35">
      <c r="A288" s="14" t="s">
        <v>383</v>
      </c>
      <c r="B288" s="4">
        <v>15.03</v>
      </c>
      <c r="C288" s="4">
        <v>17.82</v>
      </c>
      <c r="D288" s="4">
        <v>11.01</v>
      </c>
      <c r="E288" s="4">
        <v>9.83</v>
      </c>
      <c r="F288" s="4">
        <v>19.47</v>
      </c>
      <c r="G288" s="4">
        <v>15.41</v>
      </c>
      <c r="H288" s="4">
        <f t="shared" si="38"/>
        <v>30.479999999999997</v>
      </c>
      <c r="I288" s="4">
        <f t="shared" si="37"/>
        <v>25.240000000000002</v>
      </c>
      <c r="J288" s="4">
        <v>0</v>
      </c>
      <c r="K288" s="4">
        <v>0</v>
      </c>
      <c r="L288" s="139" t="str">
        <f t="shared" si="34"/>
        <v xml:space="preserve"> </v>
      </c>
      <c r="M288" s="139" t="s">
        <v>867</v>
      </c>
      <c r="N288" s="139">
        <v>1.49</v>
      </c>
      <c r="O288" s="139">
        <f t="shared" si="36"/>
        <v>1.49</v>
      </c>
      <c r="P288" s="139" t="str">
        <f t="shared" si="35"/>
        <v xml:space="preserve"> </v>
      </c>
    </row>
    <row r="289" spans="1:16" x14ac:dyDescent="0.35">
      <c r="A289" s="14" t="s">
        <v>384</v>
      </c>
      <c r="B289" s="4">
        <v>15.48</v>
      </c>
      <c r="C289" s="4">
        <v>16.86</v>
      </c>
      <c r="D289" s="4">
        <v>11.17</v>
      </c>
      <c r="E289" s="4">
        <v>11.06</v>
      </c>
      <c r="F289" s="4">
        <v>25.32</v>
      </c>
      <c r="G289" s="4">
        <v>25.12</v>
      </c>
      <c r="H289" s="4">
        <f t="shared" si="38"/>
        <v>36.49</v>
      </c>
      <c r="I289" s="4">
        <f t="shared" si="37"/>
        <v>36.18</v>
      </c>
      <c r="J289" s="4">
        <v>1.49</v>
      </c>
      <c r="K289" s="4">
        <v>1.44</v>
      </c>
      <c r="L289" s="139" t="str">
        <f t="shared" si="34"/>
        <v xml:space="preserve"> </v>
      </c>
      <c r="M289" s="139">
        <v>1.49</v>
      </c>
      <c r="N289" s="139">
        <v>1.49</v>
      </c>
      <c r="O289" s="139">
        <f t="shared" si="36"/>
        <v>1.49</v>
      </c>
      <c r="P289" s="139">
        <f t="shared" si="35"/>
        <v>1.49</v>
      </c>
    </row>
    <row r="290" spans="1:16" x14ac:dyDescent="0.35">
      <c r="A290" s="14" t="s">
        <v>410</v>
      </c>
      <c r="B290" s="4">
        <v>14.46</v>
      </c>
      <c r="C290" s="4">
        <v>17.28</v>
      </c>
      <c r="D290" s="4">
        <v>7.71</v>
      </c>
      <c r="E290" s="4">
        <v>6.95</v>
      </c>
      <c r="F290" s="4">
        <v>5.67</v>
      </c>
      <c r="G290" s="4">
        <v>6.4</v>
      </c>
      <c r="H290" s="4">
        <f t="shared" si="38"/>
        <v>13.379999999999999</v>
      </c>
      <c r="I290" s="4">
        <f t="shared" si="37"/>
        <v>13.350000000000001</v>
      </c>
      <c r="J290" s="4">
        <v>0</v>
      </c>
      <c r="K290" s="4">
        <v>0</v>
      </c>
      <c r="L290" s="139" t="str">
        <f t="shared" si="34"/>
        <v xml:space="preserve"> </v>
      </c>
      <c r="M290" s="139" t="s">
        <v>867</v>
      </c>
      <c r="N290" s="139">
        <v>1.41</v>
      </c>
      <c r="O290" s="139">
        <f t="shared" si="36"/>
        <v>1.41</v>
      </c>
      <c r="P290" s="139" t="str">
        <f t="shared" si="35"/>
        <v xml:space="preserve"> </v>
      </c>
    </row>
    <row r="291" spans="1:16" x14ac:dyDescent="0.35">
      <c r="A291" s="14" t="s">
        <v>409</v>
      </c>
      <c r="B291" s="4">
        <v>13.34</v>
      </c>
      <c r="C291" s="4">
        <v>12.78</v>
      </c>
      <c r="D291" s="4">
        <v>13.76</v>
      </c>
      <c r="E291" s="4">
        <v>9.3000000000000007</v>
      </c>
      <c r="F291" s="4">
        <v>54.55</v>
      </c>
      <c r="G291" s="4">
        <v>64.11</v>
      </c>
      <c r="H291" s="4">
        <f t="shared" si="38"/>
        <v>68.31</v>
      </c>
      <c r="I291" s="4">
        <f t="shared" si="37"/>
        <v>73.41</v>
      </c>
      <c r="J291" s="4">
        <v>1.51</v>
      </c>
      <c r="K291" s="4">
        <v>1.57</v>
      </c>
      <c r="L291" s="139" t="str">
        <f t="shared" si="34"/>
        <v xml:space="preserve"> </v>
      </c>
      <c r="M291" s="139">
        <v>1.51</v>
      </c>
      <c r="N291" s="139">
        <v>1.52</v>
      </c>
      <c r="O291" s="139">
        <f t="shared" si="36"/>
        <v>1.51</v>
      </c>
      <c r="P291" s="139">
        <f t="shared" si="35"/>
        <v>1.51</v>
      </c>
    </row>
    <row r="292" spans="1:16" x14ac:dyDescent="0.35">
      <c r="A292" s="14" t="s">
        <v>363</v>
      </c>
      <c r="B292" s="4">
        <v>23.07</v>
      </c>
      <c r="C292" s="4">
        <v>27.75</v>
      </c>
      <c r="D292" s="4">
        <v>20.399999999999999</v>
      </c>
      <c r="E292" s="4">
        <v>19.43</v>
      </c>
      <c r="F292" s="4">
        <v>24.6</v>
      </c>
      <c r="G292" s="4">
        <v>19.32</v>
      </c>
      <c r="H292" s="4">
        <f t="shared" si="38"/>
        <v>45</v>
      </c>
      <c r="I292" s="4">
        <f t="shared" si="37"/>
        <v>38.75</v>
      </c>
      <c r="J292" s="4">
        <v>0</v>
      </c>
      <c r="K292" s="4">
        <v>0</v>
      </c>
      <c r="L292" s="139" t="str">
        <f t="shared" si="34"/>
        <v xml:space="preserve"> </v>
      </c>
      <c r="M292" s="139" t="s">
        <v>867</v>
      </c>
      <c r="N292" s="139">
        <v>1.41</v>
      </c>
      <c r="O292" s="139">
        <f t="shared" si="36"/>
        <v>1.41</v>
      </c>
      <c r="P292" s="139" t="str">
        <f t="shared" si="35"/>
        <v xml:space="preserve"> </v>
      </c>
    </row>
    <row r="293" spans="1:16" x14ac:dyDescent="0.35">
      <c r="A293" s="14" t="s">
        <v>398</v>
      </c>
      <c r="B293" s="4">
        <v>26.64</v>
      </c>
      <c r="C293" s="4">
        <v>31.55</v>
      </c>
      <c r="D293" s="4">
        <v>13.3</v>
      </c>
      <c r="E293" s="4">
        <v>10.44</v>
      </c>
      <c r="F293" s="4">
        <v>11.1</v>
      </c>
      <c r="G293" s="4">
        <v>8.92</v>
      </c>
      <c r="H293" s="4">
        <f t="shared" si="38"/>
        <v>24.4</v>
      </c>
      <c r="I293" s="4">
        <f t="shared" si="37"/>
        <v>19.36</v>
      </c>
      <c r="J293" s="4">
        <v>0</v>
      </c>
      <c r="K293" s="4">
        <v>0</v>
      </c>
      <c r="L293" s="139" t="str">
        <f t="shared" si="34"/>
        <v xml:space="preserve"> </v>
      </c>
      <c r="M293" s="139" t="s">
        <v>867</v>
      </c>
      <c r="N293" s="139">
        <v>1.35</v>
      </c>
      <c r="O293" s="139">
        <f t="shared" si="36"/>
        <v>1.35</v>
      </c>
      <c r="P293" s="139" t="str">
        <f t="shared" si="35"/>
        <v xml:space="preserve"> </v>
      </c>
    </row>
    <row r="294" spans="1:16" x14ac:dyDescent="0.35">
      <c r="A294" s="14" t="s">
        <v>400</v>
      </c>
      <c r="B294" s="4">
        <v>32.78</v>
      </c>
      <c r="C294" s="4">
        <v>41.17</v>
      </c>
      <c r="D294" s="4">
        <v>17.77</v>
      </c>
      <c r="E294" s="4">
        <v>9.84</v>
      </c>
      <c r="F294" s="4">
        <v>8.31</v>
      </c>
      <c r="G294" s="4">
        <v>5.54</v>
      </c>
      <c r="H294" s="4">
        <f t="shared" si="38"/>
        <v>26.08</v>
      </c>
      <c r="I294" s="4">
        <f t="shared" si="37"/>
        <v>15.379999999999999</v>
      </c>
      <c r="J294" s="4">
        <v>0</v>
      </c>
      <c r="K294" s="4">
        <v>0</v>
      </c>
      <c r="L294" s="139" t="str">
        <f t="shared" si="34"/>
        <v xml:space="preserve"> </v>
      </c>
      <c r="M294" s="139" t="s">
        <v>867</v>
      </c>
      <c r="N294" s="139">
        <v>1.35</v>
      </c>
      <c r="O294" s="139">
        <f t="shared" si="36"/>
        <v>1.35</v>
      </c>
      <c r="P294" s="139" t="str">
        <f t="shared" si="35"/>
        <v xml:space="preserve"> </v>
      </c>
    </row>
    <row r="295" spans="1:16" x14ac:dyDescent="0.35">
      <c r="A295" s="14" t="s">
        <v>458</v>
      </c>
      <c r="B295" s="4">
        <v>7.89</v>
      </c>
      <c r="C295" s="4">
        <v>6.61</v>
      </c>
      <c r="D295" s="4">
        <v>17.5</v>
      </c>
      <c r="E295" s="4">
        <v>14.17</v>
      </c>
      <c r="F295" s="4">
        <v>67.5</v>
      </c>
      <c r="G295" s="4">
        <v>74.989999999999995</v>
      </c>
      <c r="H295" s="4">
        <f t="shared" si="38"/>
        <v>85</v>
      </c>
      <c r="I295" s="4">
        <f t="shared" si="37"/>
        <v>89.16</v>
      </c>
      <c r="J295" s="4">
        <v>0</v>
      </c>
      <c r="K295" s="4">
        <v>0</v>
      </c>
      <c r="L295" s="139" t="str">
        <f t="shared" si="34"/>
        <v xml:space="preserve"> </v>
      </c>
      <c r="M295" s="139" t="s">
        <v>867</v>
      </c>
      <c r="N295" s="139">
        <v>1.61</v>
      </c>
      <c r="O295" s="139">
        <f t="shared" si="36"/>
        <v>1.61</v>
      </c>
      <c r="P295" s="139" t="str">
        <f t="shared" si="35"/>
        <v xml:space="preserve"> </v>
      </c>
    </row>
    <row r="296" spans="1:16" x14ac:dyDescent="0.35">
      <c r="A296" s="14" t="s">
        <v>462</v>
      </c>
      <c r="B296" s="4">
        <v>22.73</v>
      </c>
      <c r="C296" s="4">
        <v>27.1</v>
      </c>
      <c r="D296" s="4">
        <v>15.5</v>
      </c>
      <c r="E296" s="4">
        <v>13.2</v>
      </c>
      <c r="F296" s="4">
        <v>12.2</v>
      </c>
      <c r="G296" s="4">
        <v>11.35</v>
      </c>
      <c r="H296" s="4">
        <f t="shared" si="38"/>
        <v>27.7</v>
      </c>
      <c r="I296" s="4">
        <f t="shared" si="37"/>
        <v>24.549999999999997</v>
      </c>
      <c r="J296" s="4">
        <v>0</v>
      </c>
      <c r="K296" s="4">
        <v>0</v>
      </c>
      <c r="L296" s="139" t="str">
        <f t="shared" si="34"/>
        <v xml:space="preserve"> </v>
      </c>
      <c r="M296" s="139" t="s">
        <v>867</v>
      </c>
      <c r="N296" s="139">
        <v>1.35</v>
      </c>
      <c r="O296" s="139">
        <f t="shared" si="36"/>
        <v>1.35</v>
      </c>
      <c r="P296" s="139" t="str">
        <f t="shared" si="35"/>
        <v xml:space="preserve"> </v>
      </c>
    </row>
    <row r="297" spans="1:16" x14ac:dyDescent="0.35">
      <c r="A297" s="14" t="s">
        <v>376</v>
      </c>
      <c r="B297" s="4">
        <v>26.64</v>
      </c>
      <c r="C297" s="4">
        <v>25.8</v>
      </c>
      <c r="D297" s="4">
        <v>15.3</v>
      </c>
      <c r="E297" s="4">
        <v>18.25</v>
      </c>
      <c r="F297" s="4">
        <v>19.8</v>
      </c>
      <c r="G297" s="4">
        <v>13.45</v>
      </c>
      <c r="H297" s="4">
        <f t="shared" si="38"/>
        <v>35.1</v>
      </c>
      <c r="I297" s="4">
        <f t="shared" si="37"/>
        <v>31.7</v>
      </c>
      <c r="J297" s="4">
        <v>1.35</v>
      </c>
      <c r="K297" s="4">
        <v>1.36</v>
      </c>
      <c r="L297" s="139" t="str">
        <f t="shared" si="34"/>
        <v xml:space="preserve"> </v>
      </c>
      <c r="M297" s="139">
        <v>1.35</v>
      </c>
      <c r="N297" s="139">
        <v>1.35</v>
      </c>
      <c r="O297" s="139">
        <f t="shared" si="36"/>
        <v>1.35</v>
      </c>
      <c r="P297" s="139">
        <f t="shared" si="35"/>
        <v>1.35</v>
      </c>
    </row>
    <row r="298" spans="1:16" x14ac:dyDescent="0.35">
      <c r="A298" s="14" t="s">
        <v>389</v>
      </c>
      <c r="B298" s="4">
        <v>18.59</v>
      </c>
      <c r="C298" s="4">
        <v>15.36</v>
      </c>
      <c r="D298" s="4">
        <v>25.1</v>
      </c>
      <c r="E298" s="4">
        <v>30.89</v>
      </c>
      <c r="F298" s="4">
        <v>30.7</v>
      </c>
      <c r="G298" s="4">
        <v>39.76</v>
      </c>
      <c r="H298" s="4">
        <f t="shared" si="38"/>
        <v>55.8</v>
      </c>
      <c r="I298" s="4">
        <f t="shared" si="37"/>
        <v>70.650000000000006</v>
      </c>
      <c r="J298" s="4">
        <v>0</v>
      </c>
      <c r="K298" s="4">
        <v>0</v>
      </c>
      <c r="L298" s="139" t="str">
        <f t="shared" si="34"/>
        <v xml:space="preserve"> </v>
      </c>
      <c r="M298" s="139" t="s">
        <v>867</v>
      </c>
      <c r="N298" s="139">
        <v>1.52</v>
      </c>
      <c r="O298" s="139">
        <f t="shared" si="36"/>
        <v>1.52</v>
      </c>
      <c r="P298" s="139" t="str">
        <f t="shared" si="35"/>
        <v xml:space="preserve"> </v>
      </c>
    </row>
    <row r="299" spans="1:16" x14ac:dyDescent="0.35">
      <c r="A299" s="14" t="s">
        <v>367</v>
      </c>
      <c r="B299" s="4">
        <v>27.21</v>
      </c>
      <c r="C299" s="4">
        <v>27.82</v>
      </c>
      <c r="D299" s="4">
        <v>16.2</v>
      </c>
      <c r="E299" s="4">
        <v>18.78</v>
      </c>
      <c r="F299" s="4">
        <v>26.2</v>
      </c>
      <c r="G299" s="4">
        <v>16.2</v>
      </c>
      <c r="H299" s="4">
        <f t="shared" si="38"/>
        <v>42.4</v>
      </c>
      <c r="I299" s="4">
        <f t="shared" si="37"/>
        <v>34.980000000000004</v>
      </c>
      <c r="J299" s="4">
        <v>0</v>
      </c>
      <c r="K299" s="4">
        <v>0</v>
      </c>
      <c r="L299" s="139" t="str">
        <f t="shared" si="34"/>
        <v xml:space="preserve"> </v>
      </c>
      <c r="M299" s="139" t="s">
        <v>867</v>
      </c>
      <c r="N299" s="139">
        <v>1.41</v>
      </c>
      <c r="O299" s="139">
        <f t="shared" si="36"/>
        <v>1.41</v>
      </c>
      <c r="P299" s="139" t="str">
        <f t="shared" si="35"/>
        <v xml:space="preserve"> </v>
      </c>
    </row>
    <row r="300" spans="1:16" x14ac:dyDescent="0.35">
      <c r="A300" s="14" t="s">
        <v>365</v>
      </c>
      <c r="B300" s="4">
        <v>37.659999999999997</v>
      </c>
      <c r="C300" s="4">
        <v>35.79</v>
      </c>
      <c r="D300" s="4">
        <v>2.38</v>
      </c>
      <c r="E300" s="4">
        <v>2.13</v>
      </c>
      <c r="F300" s="4">
        <v>6.17</v>
      </c>
      <c r="G300" s="4">
        <v>4.03</v>
      </c>
      <c r="H300" s="4">
        <f t="shared" si="38"/>
        <v>8.5500000000000007</v>
      </c>
      <c r="I300" s="4">
        <f t="shared" si="37"/>
        <v>6.16</v>
      </c>
      <c r="J300" s="4">
        <v>0</v>
      </c>
      <c r="K300" s="4">
        <v>0</v>
      </c>
      <c r="L300" s="139" t="str">
        <f t="shared" si="34"/>
        <v xml:space="preserve"> </v>
      </c>
      <c r="M300" s="139" t="s">
        <v>867</v>
      </c>
      <c r="N300" s="139">
        <v>1.32</v>
      </c>
      <c r="O300" s="139">
        <f t="shared" si="36"/>
        <v>1.32</v>
      </c>
      <c r="P300" s="139" t="str">
        <f t="shared" si="35"/>
        <v xml:space="preserve"> </v>
      </c>
    </row>
    <row r="301" spans="1:16" x14ac:dyDescent="0.35">
      <c r="A301" s="14" t="s">
        <v>368</v>
      </c>
      <c r="B301" s="4">
        <v>11.8</v>
      </c>
      <c r="C301" s="4">
        <v>12.49</v>
      </c>
      <c r="D301" s="4">
        <v>10.94</v>
      </c>
      <c r="E301" s="4">
        <v>10.98</v>
      </c>
      <c r="F301" s="4">
        <v>16.89</v>
      </c>
      <c r="G301" s="4">
        <v>16.670000000000002</v>
      </c>
      <c r="H301" s="4">
        <f t="shared" si="38"/>
        <v>27.83</v>
      </c>
      <c r="I301" s="4">
        <f t="shared" si="37"/>
        <v>27.650000000000002</v>
      </c>
      <c r="J301" s="4">
        <v>0</v>
      </c>
      <c r="K301" s="4">
        <v>0</v>
      </c>
      <c r="L301" s="139" t="str">
        <f t="shared" si="34"/>
        <v xml:space="preserve"> </v>
      </c>
      <c r="M301" s="139" t="s">
        <v>867</v>
      </c>
      <c r="N301" s="139">
        <v>1.49</v>
      </c>
      <c r="O301" s="139">
        <f t="shared" si="36"/>
        <v>1.49</v>
      </c>
      <c r="P301" s="139" t="str">
        <f t="shared" si="35"/>
        <v xml:space="preserve"> </v>
      </c>
    </row>
    <row r="302" spans="1:16" x14ac:dyDescent="0.35">
      <c r="A302" s="14" t="s">
        <v>412</v>
      </c>
      <c r="B302" s="4">
        <v>8.92</v>
      </c>
      <c r="C302" s="4">
        <v>8.68</v>
      </c>
      <c r="D302" s="4">
        <v>15.91</v>
      </c>
      <c r="E302" s="4">
        <v>13.63</v>
      </c>
      <c r="F302" s="4">
        <v>46.6</v>
      </c>
      <c r="G302" s="4">
        <v>57.4</v>
      </c>
      <c r="H302" s="4">
        <f t="shared" si="38"/>
        <v>62.510000000000005</v>
      </c>
      <c r="I302" s="4">
        <f t="shared" si="37"/>
        <v>71.03</v>
      </c>
      <c r="J302" s="4">
        <v>0</v>
      </c>
      <c r="K302" s="4">
        <v>0</v>
      </c>
      <c r="L302" s="139" t="str">
        <f t="shared" si="34"/>
        <v xml:space="preserve"> </v>
      </c>
      <c r="M302" s="139" t="s">
        <v>867</v>
      </c>
      <c r="N302" s="139">
        <v>1.61</v>
      </c>
      <c r="O302" s="139">
        <f t="shared" si="36"/>
        <v>1.61</v>
      </c>
      <c r="P302" s="139" t="str">
        <f t="shared" si="35"/>
        <v xml:space="preserve"> </v>
      </c>
    </row>
    <row r="303" spans="1:16" x14ac:dyDescent="0.35">
      <c r="A303" s="14" t="s">
        <v>372</v>
      </c>
      <c r="B303" s="4">
        <v>17.21</v>
      </c>
      <c r="C303" s="4">
        <v>20.25</v>
      </c>
      <c r="D303" s="4">
        <v>7.6</v>
      </c>
      <c r="E303" s="4">
        <v>7.04</v>
      </c>
      <c r="F303" s="4">
        <v>13.3</v>
      </c>
      <c r="G303" s="4">
        <v>12.93</v>
      </c>
      <c r="H303" s="4">
        <f t="shared" si="38"/>
        <v>20.9</v>
      </c>
      <c r="I303" s="4">
        <f t="shared" si="37"/>
        <v>19.97</v>
      </c>
      <c r="J303" s="4">
        <v>0</v>
      </c>
      <c r="K303" s="4">
        <v>0</v>
      </c>
      <c r="L303" s="139" t="str">
        <f t="shared" si="34"/>
        <v xml:space="preserve"> </v>
      </c>
      <c r="M303" s="139" t="s">
        <v>867</v>
      </c>
      <c r="N303" s="139">
        <v>1.49</v>
      </c>
      <c r="O303" s="139">
        <f t="shared" si="36"/>
        <v>1.49</v>
      </c>
      <c r="P303" s="139" t="str">
        <f t="shared" si="35"/>
        <v xml:space="preserve"> </v>
      </c>
    </row>
    <row r="304" spans="1:16" x14ac:dyDescent="0.35">
      <c r="A304" s="14" t="s">
        <v>329</v>
      </c>
      <c r="B304" s="4">
        <v>31.47</v>
      </c>
      <c r="C304" s="4">
        <v>44.35</v>
      </c>
      <c r="D304" s="4">
        <v>20.97</v>
      </c>
      <c r="E304" s="4">
        <v>12.33</v>
      </c>
      <c r="F304" s="4">
        <v>17.23</v>
      </c>
      <c r="G304" s="4">
        <v>9.07</v>
      </c>
      <c r="H304" s="4">
        <f t="shared" si="38"/>
        <v>38.200000000000003</v>
      </c>
      <c r="I304" s="4">
        <f t="shared" si="37"/>
        <v>21.4</v>
      </c>
      <c r="J304" s="4">
        <v>0</v>
      </c>
      <c r="K304" s="4">
        <v>0</v>
      </c>
      <c r="L304" s="139" t="str">
        <f t="shared" si="34"/>
        <v xml:space="preserve"> </v>
      </c>
      <c r="M304" s="139" t="s">
        <v>867</v>
      </c>
      <c r="N304" s="139">
        <v>1.35</v>
      </c>
      <c r="O304" s="139">
        <f t="shared" si="36"/>
        <v>1.35</v>
      </c>
      <c r="P304" s="139" t="str">
        <f t="shared" si="35"/>
        <v xml:space="preserve"> </v>
      </c>
    </row>
    <row r="305" spans="1:16" x14ac:dyDescent="0.35">
      <c r="A305" s="14" t="s">
        <v>326</v>
      </c>
      <c r="B305" s="4">
        <v>41.09</v>
      </c>
      <c r="C305" s="4">
        <v>47.84</v>
      </c>
      <c r="D305" s="4">
        <v>16.16</v>
      </c>
      <c r="E305" s="4">
        <v>11.02</v>
      </c>
      <c r="F305" s="4">
        <v>7.56</v>
      </c>
      <c r="G305" s="4">
        <v>4.5199999999999996</v>
      </c>
      <c r="H305" s="4">
        <f t="shared" si="38"/>
        <v>23.72</v>
      </c>
      <c r="I305" s="4">
        <f t="shared" si="37"/>
        <v>15.54</v>
      </c>
      <c r="J305" s="4">
        <v>0</v>
      </c>
      <c r="K305" s="4">
        <v>0</v>
      </c>
      <c r="L305" s="139" t="str">
        <f t="shared" si="34"/>
        <v xml:space="preserve"> </v>
      </c>
      <c r="M305" s="139" t="s">
        <v>867</v>
      </c>
      <c r="N305" s="139">
        <v>1.25</v>
      </c>
      <c r="O305" s="139">
        <f t="shared" si="36"/>
        <v>1.25</v>
      </c>
      <c r="P305" s="139" t="str">
        <f t="shared" si="35"/>
        <v xml:space="preserve"> </v>
      </c>
    </row>
    <row r="306" spans="1:16" x14ac:dyDescent="0.35">
      <c r="A306" s="14" t="s">
        <v>279</v>
      </c>
      <c r="B306" s="4">
        <v>15.48</v>
      </c>
      <c r="C306" s="4">
        <v>18.97</v>
      </c>
      <c r="D306" s="4">
        <v>14.8</v>
      </c>
      <c r="E306" s="4">
        <v>13.71</v>
      </c>
      <c r="F306" s="4">
        <v>5.0999999999999996</v>
      </c>
      <c r="G306" s="4">
        <v>4.1399999999999997</v>
      </c>
      <c r="H306" s="4">
        <f t="shared" si="38"/>
        <v>19.899999999999999</v>
      </c>
      <c r="I306" s="4">
        <f t="shared" si="37"/>
        <v>17.850000000000001</v>
      </c>
      <c r="J306" s="4">
        <v>1.4</v>
      </c>
      <c r="K306" s="4">
        <v>1.38</v>
      </c>
      <c r="L306" s="139" t="str">
        <f t="shared" si="34"/>
        <v xml:space="preserve"> </v>
      </c>
      <c r="M306" s="139">
        <v>1.4</v>
      </c>
      <c r="N306" s="139">
        <v>1.41</v>
      </c>
      <c r="O306" s="139">
        <f t="shared" si="36"/>
        <v>1.4</v>
      </c>
      <c r="P306" s="139">
        <f t="shared" si="35"/>
        <v>1.4</v>
      </c>
    </row>
    <row r="307" spans="1:16" x14ac:dyDescent="0.35">
      <c r="A307" s="14" t="s">
        <v>358</v>
      </c>
      <c r="B307" s="4">
        <v>31.82</v>
      </c>
      <c r="C307" s="4">
        <v>33.159999999999997</v>
      </c>
      <c r="D307" s="4">
        <v>6.4</v>
      </c>
      <c r="E307" s="4">
        <v>6.36</v>
      </c>
      <c r="F307" s="4">
        <v>2.4</v>
      </c>
      <c r="G307" s="4">
        <v>1.71</v>
      </c>
      <c r="H307" s="4">
        <f t="shared" si="38"/>
        <v>8.8000000000000007</v>
      </c>
      <c r="I307" s="4">
        <f t="shared" si="37"/>
        <v>8.07</v>
      </c>
      <c r="J307" s="4">
        <v>0</v>
      </c>
      <c r="K307" s="4">
        <v>0</v>
      </c>
      <c r="L307" s="139" t="str">
        <f t="shared" si="34"/>
        <v xml:space="preserve"> </v>
      </c>
      <c r="M307" s="139" t="s">
        <v>867</v>
      </c>
      <c r="N307" s="139">
        <v>1.32</v>
      </c>
      <c r="O307" s="139">
        <f t="shared" si="36"/>
        <v>1.32</v>
      </c>
      <c r="P307" s="139" t="str">
        <f t="shared" si="35"/>
        <v xml:space="preserve"> </v>
      </c>
    </row>
    <row r="308" spans="1:16" x14ac:dyDescent="0.35">
      <c r="A308" s="14" t="s">
        <v>357</v>
      </c>
      <c r="B308" s="4">
        <v>32.85</v>
      </c>
      <c r="C308" s="4">
        <v>34.93</v>
      </c>
      <c r="D308" s="4">
        <v>13.52</v>
      </c>
      <c r="E308" s="4">
        <v>9.56</v>
      </c>
      <c r="F308" s="4">
        <v>8.1</v>
      </c>
      <c r="G308" s="4">
        <v>4.51</v>
      </c>
      <c r="H308" s="4">
        <f t="shared" si="38"/>
        <v>21.619999999999997</v>
      </c>
      <c r="I308" s="4">
        <f t="shared" si="37"/>
        <v>14.07</v>
      </c>
      <c r="J308" s="4">
        <v>0</v>
      </c>
      <c r="K308" s="4">
        <v>0</v>
      </c>
      <c r="L308" s="139" t="str">
        <f t="shared" si="34"/>
        <v xml:space="preserve"> </v>
      </c>
      <c r="M308" s="139" t="s">
        <v>867</v>
      </c>
      <c r="N308" s="139">
        <v>1.35</v>
      </c>
      <c r="O308" s="139">
        <f t="shared" si="36"/>
        <v>1.35</v>
      </c>
      <c r="P308" s="139" t="str">
        <f t="shared" si="35"/>
        <v xml:space="preserve"> </v>
      </c>
    </row>
    <row r="309" spans="1:16" x14ac:dyDescent="0.35">
      <c r="A309" s="14" t="s">
        <v>354</v>
      </c>
      <c r="B309" s="4">
        <v>29.82</v>
      </c>
      <c r="C309" s="4">
        <v>30.37</v>
      </c>
      <c r="D309" s="4">
        <v>9.52</v>
      </c>
      <c r="E309" s="4">
        <v>8.9499999999999993</v>
      </c>
      <c r="F309" s="4">
        <v>3.83</v>
      </c>
      <c r="G309" s="4">
        <v>2.62</v>
      </c>
      <c r="H309" s="4">
        <f t="shared" si="38"/>
        <v>13.35</v>
      </c>
      <c r="I309" s="4">
        <f t="shared" si="37"/>
        <v>11.57</v>
      </c>
      <c r="J309" s="4">
        <v>0</v>
      </c>
      <c r="K309" s="4">
        <v>0</v>
      </c>
      <c r="L309" s="139" t="str">
        <f t="shared" si="34"/>
        <v xml:space="preserve"> </v>
      </c>
      <c r="M309" s="139" t="s">
        <v>867</v>
      </c>
      <c r="N309" s="139">
        <v>1.32</v>
      </c>
      <c r="O309" s="139">
        <f t="shared" si="36"/>
        <v>1.32</v>
      </c>
      <c r="P309" s="139" t="str">
        <f t="shared" si="35"/>
        <v xml:space="preserve"> </v>
      </c>
    </row>
    <row r="310" spans="1:16" x14ac:dyDescent="0.35">
      <c r="A310" s="14" t="s">
        <v>324</v>
      </c>
      <c r="B310" s="4">
        <v>29.28</v>
      </c>
      <c r="C310" s="4">
        <v>33.67</v>
      </c>
      <c r="D310" s="4">
        <v>10.5</v>
      </c>
      <c r="E310" s="4">
        <v>10.31</v>
      </c>
      <c r="F310" s="4">
        <v>2.8</v>
      </c>
      <c r="G310" s="4">
        <v>3.24</v>
      </c>
      <c r="H310" s="4">
        <f t="shared" si="38"/>
        <v>13.3</v>
      </c>
      <c r="I310" s="4">
        <f t="shared" si="37"/>
        <v>13.55</v>
      </c>
      <c r="J310" s="4">
        <v>0</v>
      </c>
      <c r="K310" s="4">
        <v>0</v>
      </c>
      <c r="L310" s="139" t="str">
        <f t="shared" si="34"/>
        <v xml:space="preserve"> </v>
      </c>
      <c r="M310" s="139" t="s">
        <v>867</v>
      </c>
      <c r="N310" s="139">
        <v>1.32</v>
      </c>
      <c r="O310" s="139">
        <f t="shared" si="36"/>
        <v>1.32</v>
      </c>
      <c r="P310" s="139" t="str">
        <f t="shared" si="35"/>
        <v xml:space="preserve"> </v>
      </c>
    </row>
    <row r="311" spans="1:16" x14ac:dyDescent="0.35">
      <c r="A311" s="14" t="s">
        <v>338</v>
      </c>
      <c r="B311" s="4">
        <v>31.31</v>
      </c>
      <c r="C311" s="4">
        <v>28.55</v>
      </c>
      <c r="D311" s="4">
        <v>18.649999999999999</v>
      </c>
      <c r="E311" s="4">
        <v>21.12</v>
      </c>
      <c r="F311" s="4">
        <v>18.989999999999998</v>
      </c>
      <c r="G311" s="4">
        <v>13.98</v>
      </c>
      <c r="H311" s="4">
        <f t="shared" si="38"/>
        <v>37.64</v>
      </c>
      <c r="I311" s="4">
        <f t="shared" si="37"/>
        <v>35.1</v>
      </c>
      <c r="J311" s="4">
        <v>0</v>
      </c>
      <c r="K311" s="4">
        <v>0</v>
      </c>
      <c r="L311" s="139" t="str">
        <f t="shared" si="34"/>
        <v xml:space="preserve"> </v>
      </c>
      <c r="M311" s="139" t="s">
        <v>867</v>
      </c>
      <c r="N311" s="139">
        <v>1.35</v>
      </c>
      <c r="O311" s="139">
        <f t="shared" si="36"/>
        <v>1.35</v>
      </c>
      <c r="P311" s="139" t="str">
        <f t="shared" si="35"/>
        <v xml:space="preserve"> </v>
      </c>
    </row>
    <row r="312" spans="1:16" x14ac:dyDescent="0.35">
      <c r="A312" s="14" t="s">
        <v>337</v>
      </c>
      <c r="B312" s="4">
        <v>26.29</v>
      </c>
      <c r="C312" s="4">
        <v>29.37</v>
      </c>
      <c r="D312" s="4">
        <v>24</v>
      </c>
      <c r="E312" s="4">
        <v>25.18</v>
      </c>
      <c r="F312" s="4">
        <v>9.8000000000000007</v>
      </c>
      <c r="G312" s="4">
        <v>8.3000000000000007</v>
      </c>
      <c r="H312" s="4">
        <f t="shared" si="38"/>
        <v>33.799999999999997</v>
      </c>
      <c r="I312" s="4">
        <f t="shared" si="37"/>
        <v>33.480000000000004</v>
      </c>
      <c r="J312" s="4">
        <v>0</v>
      </c>
      <c r="K312" s="4">
        <v>0</v>
      </c>
      <c r="L312" s="139" t="str">
        <f t="shared" si="34"/>
        <v xml:space="preserve"> </v>
      </c>
      <c r="M312" s="139" t="s">
        <v>867</v>
      </c>
      <c r="N312" s="139">
        <v>1.35</v>
      </c>
      <c r="O312" s="139">
        <f t="shared" si="36"/>
        <v>1.35</v>
      </c>
      <c r="P312" s="139" t="str">
        <f t="shared" si="35"/>
        <v xml:space="preserve"> </v>
      </c>
    </row>
    <row r="313" spans="1:16" x14ac:dyDescent="0.35">
      <c r="A313" s="14" t="s">
        <v>348</v>
      </c>
      <c r="B313" s="4">
        <v>17.47</v>
      </c>
      <c r="C313" s="4">
        <v>16.88</v>
      </c>
      <c r="D313" s="4">
        <v>27.66</v>
      </c>
      <c r="E313" s="4">
        <v>31.58</v>
      </c>
      <c r="F313" s="4">
        <v>22.69</v>
      </c>
      <c r="G313" s="4">
        <v>21.25</v>
      </c>
      <c r="H313" s="4">
        <f t="shared" si="38"/>
        <v>50.35</v>
      </c>
      <c r="I313" s="4">
        <f t="shared" si="37"/>
        <v>52.83</v>
      </c>
      <c r="J313" s="4">
        <v>0</v>
      </c>
      <c r="K313" s="4">
        <v>0</v>
      </c>
      <c r="L313" s="139" t="str">
        <f t="shared" si="34"/>
        <v xml:space="preserve"> </v>
      </c>
      <c r="M313" s="139" t="s">
        <v>867</v>
      </c>
      <c r="N313" s="139">
        <v>1.52</v>
      </c>
      <c r="O313" s="139">
        <f t="shared" si="36"/>
        <v>1.52</v>
      </c>
      <c r="P313" s="139" t="str">
        <f t="shared" si="35"/>
        <v xml:space="preserve"> </v>
      </c>
    </row>
    <row r="314" spans="1:16" x14ac:dyDescent="0.35">
      <c r="A314" s="14" t="s">
        <v>432</v>
      </c>
      <c r="B314" s="4">
        <v>32.57</v>
      </c>
      <c r="C314" s="4">
        <v>38.03</v>
      </c>
      <c r="D314" s="4">
        <v>6.73</v>
      </c>
      <c r="E314" s="4">
        <v>7.13</v>
      </c>
      <c r="F314" s="4">
        <v>5.52</v>
      </c>
      <c r="G314" s="4">
        <v>4.62</v>
      </c>
      <c r="H314" s="4">
        <f t="shared" si="38"/>
        <v>12.25</v>
      </c>
      <c r="I314" s="4">
        <f t="shared" si="37"/>
        <v>11.75</v>
      </c>
      <c r="J314" s="4">
        <v>1.29</v>
      </c>
      <c r="K314" s="4">
        <v>1.26</v>
      </c>
      <c r="L314" s="139" t="str">
        <f t="shared" si="34"/>
        <v xml:space="preserve"> </v>
      </c>
      <c r="M314" s="139">
        <v>1.29</v>
      </c>
      <c r="N314" s="139">
        <v>1.32</v>
      </c>
      <c r="O314" s="139">
        <f t="shared" si="36"/>
        <v>1.29</v>
      </c>
      <c r="P314" s="139">
        <f t="shared" si="35"/>
        <v>1.29</v>
      </c>
    </row>
    <row r="315" spans="1:16" x14ac:dyDescent="0.35">
      <c r="A315" s="14" t="s">
        <v>434</v>
      </c>
      <c r="B315" s="4">
        <v>19.32</v>
      </c>
      <c r="C315" s="4">
        <v>24.31</v>
      </c>
      <c r="D315" s="4">
        <v>12.15</v>
      </c>
      <c r="E315" s="4">
        <v>11.01</v>
      </c>
      <c r="F315" s="4">
        <v>16.11</v>
      </c>
      <c r="G315" s="4">
        <v>16.809999999999999</v>
      </c>
      <c r="H315" s="4">
        <f t="shared" si="38"/>
        <v>28.259999999999998</v>
      </c>
      <c r="I315" s="4">
        <f t="shared" si="37"/>
        <v>27.82</v>
      </c>
      <c r="J315" s="4">
        <v>0</v>
      </c>
      <c r="K315" s="4">
        <v>0</v>
      </c>
      <c r="L315" s="139" t="str">
        <f t="shared" si="34"/>
        <v xml:space="preserve"> </v>
      </c>
      <c r="M315" s="139" t="s">
        <v>867</v>
      </c>
      <c r="N315" s="139">
        <v>1.49</v>
      </c>
      <c r="O315" s="139">
        <f t="shared" si="36"/>
        <v>1.49</v>
      </c>
      <c r="P315" s="139" t="str">
        <f t="shared" si="35"/>
        <v xml:space="preserve"> </v>
      </c>
    </row>
    <row r="316" spans="1:16" x14ac:dyDescent="0.35">
      <c r="A316" s="14" t="s">
        <v>331</v>
      </c>
      <c r="B316" s="4">
        <v>29.69</v>
      </c>
      <c r="C316" s="4">
        <v>32.520000000000003</v>
      </c>
      <c r="D316" s="4">
        <v>21.82</v>
      </c>
      <c r="E316" s="4">
        <v>21.66</v>
      </c>
      <c r="F316" s="4">
        <v>10.78</v>
      </c>
      <c r="G316" s="4">
        <v>9.31</v>
      </c>
      <c r="H316" s="4">
        <f t="shared" si="38"/>
        <v>32.6</v>
      </c>
      <c r="I316" s="4">
        <f t="shared" si="37"/>
        <v>30.97</v>
      </c>
      <c r="J316" s="4">
        <v>0</v>
      </c>
      <c r="K316" s="4">
        <v>0</v>
      </c>
      <c r="L316" s="139" t="str">
        <f t="shared" si="34"/>
        <v xml:space="preserve"> </v>
      </c>
      <c r="M316" s="139" t="s">
        <v>867</v>
      </c>
      <c r="N316" s="139">
        <v>1.35</v>
      </c>
      <c r="O316" s="139">
        <f t="shared" si="36"/>
        <v>1.35</v>
      </c>
      <c r="P316" s="139" t="str">
        <f t="shared" si="35"/>
        <v xml:space="preserve"> </v>
      </c>
    </row>
    <row r="317" spans="1:16" x14ac:dyDescent="0.35">
      <c r="A317" s="14" t="s">
        <v>284</v>
      </c>
      <c r="B317" s="4">
        <v>16.059999999999999</v>
      </c>
      <c r="C317" s="4">
        <v>16.63</v>
      </c>
      <c r="D317" s="4">
        <v>20.67</v>
      </c>
      <c r="E317" s="4">
        <v>19.329999999999998</v>
      </c>
      <c r="F317" s="4">
        <v>0.42</v>
      </c>
      <c r="G317" s="4">
        <v>0.46</v>
      </c>
      <c r="H317" s="4">
        <f t="shared" si="38"/>
        <v>21.090000000000003</v>
      </c>
      <c r="I317" s="4">
        <f t="shared" si="37"/>
        <v>19.79</v>
      </c>
      <c r="J317" s="4">
        <v>1.41</v>
      </c>
      <c r="K317" s="4">
        <v>1.39</v>
      </c>
      <c r="L317" s="139" t="str">
        <f t="shared" si="34"/>
        <v xml:space="preserve"> </v>
      </c>
      <c r="M317" s="139">
        <v>1.41</v>
      </c>
      <c r="N317" s="139">
        <v>1.49</v>
      </c>
      <c r="O317" s="139">
        <f t="shared" si="36"/>
        <v>1.41</v>
      </c>
      <c r="P317" s="139">
        <f t="shared" si="35"/>
        <v>1.41</v>
      </c>
    </row>
    <row r="318" spans="1:16" x14ac:dyDescent="0.35">
      <c r="A318" s="14" t="s">
        <v>416</v>
      </c>
      <c r="B318" s="4">
        <v>27.9</v>
      </c>
      <c r="C318" s="4">
        <v>31.13</v>
      </c>
      <c r="D318" s="4">
        <v>13.98</v>
      </c>
      <c r="E318" s="4">
        <v>12.44</v>
      </c>
      <c r="F318" s="4">
        <v>17.48</v>
      </c>
      <c r="G318" s="4">
        <v>13.14</v>
      </c>
      <c r="H318" s="4">
        <f t="shared" si="38"/>
        <v>31.46</v>
      </c>
      <c r="I318" s="4">
        <f t="shared" si="37"/>
        <v>25.58</v>
      </c>
      <c r="J318" s="4">
        <v>0</v>
      </c>
      <c r="K318" s="4">
        <v>0</v>
      </c>
      <c r="L318" s="139" t="str">
        <f t="shared" si="34"/>
        <v xml:space="preserve"> </v>
      </c>
      <c r="M318" s="139" t="s">
        <v>867</v>
      </c>
      <c r="N318" s="139">
        <v>1.35</v>
      </c>
      <c r="O318" s="139">
        <f t="shared" si="36"/>
        <v>1.35</v>
      </c>
      <c r="P318" s="139" t="str">
        <f t="shared" si="35"/>
        <v xml:space="preserve"> </v>
      </c>
    </row>
    <row r="319" spans="1:16" x14ac:dyDescent="0.35">
      <c r="A319" s="14" t="s">
        <v>415</v>
      </c>
      <c r="B319" s="4">
        <v>20.5</v>
      </c>
      <c r="C319" s="4">
        <v>23.82</v>
      </c>
      <c r="D319" s="4">
        <v>14.57</v>
      </c>
      <c r="E319" s="4">
        <v>14.12</v>
      </c>
      <c r="F319" s="4">
        <v>9.5299999999999994</v>
      </c>
      <c r="G319" s="4">
        <v>8.2200000000000006</v>
      </c>
      <c r="H319" s="4">
        <f t="shared" si="38"/>
        <v>24.1</v>
      </c>
      <c r="I319" s="4">
        <f t="shared" si="37"/>
        <v>22.34</v>
      </c>
      <c r="J319" s="4">
        <v>1.38</v>
      </c>
      <c r="K319" s="4">
        <v>1.36</v>
      </c>
      <c r="L319" s="139" t="str">
        <f t="shared" si="34"/>
        <v xml:space="preserve"> </v>
      </c>
      <c r="M319" s="139">
        <v>1.38</v>
      </c>
      <c r="N319" s="139">
        <v>1.35</v>
      </c>
      <c r="O319" s="139">
        <f t="shared" si="36"/>
        <v>1.38</v>
      </c>
      <c r="P319" s="139">
        <f t="shared" si="35"/>
        <v>1.38</v>
      </c>
    </row>
    <row r="320" spans="1:16" x14ac:dyDescent="0.35">
      <c r="A320" s="14" t="s">
        <v>32</v>
      </c>
      <c r="B320" s="4">
        <v>19.32</v>
      </c>
      <c r="C320" s="4">
        <v>20.65</v>
      </c>
      <c r="D320" s="4">
        <v>8.58</v>
      </c>
      <c r="E320" s="4">
        <v>9.84</v>
      </c>
      <c r="F320" s="4">
        <v>7.4</v>
      </c>
      <c r="G320" s="4">
        <v>7.63</v>
      </c>
      <c r="H320" s="4">
        <f t="shared" si="38"/>
        <v>15.98</v>
      </c>
      <c r="I320" s="4">
        <f t="shared" si="37"/>
        <v>17.47</v>
      </c>
      <c r="J320" s="4">
        <v>0</v>
      </c>
      <c r="K320" s="4">
        <v>0</v>
      </c>
      <c r="L320" s="139" t="str">
        <f t="shared" si="34"/>
        <v xml:space="preserve"> </v>
      </c>
      <c r="M320" s="139" t="s">
        <v>867</v>
      </c>
      <c r="N320" s="139">
        <v>1.41</v>
      </c>
      <c r="O320" s="139">
        <f t="shared" si="36"/>
        <v>1.41</v>
      </c>
      <c r="P320" s="139" t="str">
        <f t="shared" si="35"/>
        <v xml:space="preserve"> </v>
      </c>
    </row>
    <row r="321" spans="1:16" x14ac:dyDescent="0.35">
      <c r="A321" s="14" t="s">
        <v>414</v>
      </c>
      <c r="B321" s="4">
        <v>27.21</v>
      </c>
      <c r="C321" s="4">
        <v>32.020000000000003</v>
      </c>
      <c r="D321" s="4">
        <v>9.9</v>
      </c>
      <c r="E321" s="4">
        <v>9.33</v>
      </c>
      <c r="F321" s="4">
        <v>5.9</v>
      </c>
      <c r="G321" s="4">
        <v>4.8499999999999996</v>
      </c>
      <c r="H321" s="4">
        <f t="shared" si="38"/>
        <v>15.8</v>
      </c>
      <c r="I321" s="4">
        <f t="shared" si="37"/>
        <v>14.18</v>
      </c>
      <c r="J321" s="4">
        <v>0</v>
      </c>
      <c r="K321" s="4">
        <v>0</v>
      </c>
      <c r="L321" s="139" t="str">
        <f t="shared" si="34"/>
        <v xml:space="preserve"> </v>
      </c>
      <c r="M321" s="139" t="s">
        <v>867</v>
      </c>
      <c r="N321" s="139">
        <v>1.32</v>
      </c>
      <c r="O321" s="139">
        <f t="shared" si="36"/>
        <v>1.32</v>
      </c>
      <c r="P321" s="139" t="str">
        <f t="shared" si="35"/>
        <v xml:space="preserve"> </v>
      </c>
    </row>
    <row r="322" spans="1:16" x14ac:dyDescent="0.35">
      <c r="A322" s="14" t="s">
        <v>322</v>
      </c>
      <c r="B322" s="4">
        <v>29.66</v>
      </c>
      <c r="C322" s="4">
        <v>34.619999999999997</v>
      </c>
      <c r="D322" s="4">
        <v>11.44</v>
      </c>
      <c r="E322" s="4">
        <v>10.78</v>
      </c>
      <c r="F322" s="4">
        <v>6.24</v>
      </c>
      <c r="G322" s="4">
        <v>4.3499999999999996</v>
      </c>
      <c r="H322" s="4">
        <f t="shared" si="38"/>
        <v>17.68</v>
      </c>
      <c r="I322" s="4">
        <f t="shared" si="37"/>
        <v>15.129999999999999</v>
      </c>
      <c r="J322" s="4">
        <v>0</v>
      </c>
      <c r="K322" s="4">
        <v>0</v>
      </c>
      <c r="L322" s="139" t="str">
        <f t="shared" si="34"/>
        <v xml:space="preserve"> </v>
      </c>
      <c r="M322" s="139" t="s">
        <v>867</v>
      </c>
      <c r="N322" s="139">
        <v>1.32</v>
      </c>
      <c r="O322" s="139">
        <f t="shared" si="36"/>
        <v>1.32</v>
      </c>
      <c r="P322" s="139" t="str">
        <f t="shared" si="35"/>
        <v xml:space="preserve"> </v>
      </c>
    </row>
    <row r="323" spans="1:16" x14ac:dyDescent="0.35">
      <c r="A323" s="14" t="s">
        <v>261</v>
      </c>
      <c r="B323" s="4">
        <v>26.73</v>
      </c>
      <c r="C323" s="4">
        <v>29.79</v>
      </c>
      <c r="D323" s="4">
        <v>14.62</v>
      </c>
      <c r="E323" s="4">
        <v>11.28</v>
      </c>
      <c r="F323" s="4">
        <v>2.2599999999999998</v>
      </c>
      <c r="G323" s="4">
        <v>1.26</v>
      </c>
      <c r="H323" s="4">
        <f t="shared" si="38"/>
        <v>16.88</v>
      </c>
      <c r="I323" s="4">
        <f t="shared" si="37"/>
        <v>12.54</v>
      </c>
      <c r="J323" s="4">
        <v>1.32</v>
      </c>
      <c r="K323" s="4">
        <v>1.27</v>
      </c>
      <c r="L323" s="139" t="str">
        <f t="shared" si="34"/>
        <v xml:space="preserve"> </v>
      </c>
      <c r="M323" s="139">
        <v>1.32</v>
      </c>
      <c r="N323" s="139">
        <v>1.32</v>
      </c>
      <c r="O323" s="139">
        <f t="shared" si="36"/>
        <v>1.32</v>
      </c>
      <c r="P323" s="139">
        <f t="shared" si="35"/>
        <v>1.32</v>
      </c>
    </row>
    <row r="324" spans="1:16" x14ac:dyDescent="0.35">
      <c r="A324" s="14" t="s">
        <v>313</v>
      </c>
      <c r="B324" s="4">
        <v>21.58</v>
      </c>
      <c r="C324" s="4">
        <v>24.63</v>
      </c>
      <c r="D324" s="4">
        <v>15.5</v>
      </c>
      <c r="E324" s="4">
        <v>13.8</v>
      </c>
      <c r="F324" s="4">
        <v>1.3</v>
      </c>
      <c r="G324" s="4">
        <v>0.9</v>
      </c>
      <c r="H324" s="4">
        <f t="shared" si="38"/>
        <v>16.8</v>
      </c>
      <c r="I324" s="4">
        <f t="shared" si="37"/>
        <v>14.700000000000001</v>
      </c>
      <c r="J324" s="4">
        <v>0</v>
      </c>
      <c r="K324" s="4">
        <v>0</v>
      </c>
      <c r="L324" s="139" t="str">
        <f t="shared" si="34"/>
        <v xml:space="preserve"> </v>
      </c>
      <c r="M324" s="139" t="s">
        <v>867</v>
      </c>
      <c r="N324" s="139">
        <v>1.32</v>
      </c>
      <c r="O324" s="139">
        <f t="shared" si="36"/>
        <v>1.32</v>
      </c>
      <c r="P324" s="139" t="str">
        <f t="shared" si="35"/>
        <v xml:space="preserve"> </v>
      </c>
    </row>
    <row r="325" spans="1:16" x14ac:dyDescent="0.35">
      <c r="A325" s="14" t="s">
        <v>61</v>
      </c>
      <c r="B325" s="4">
        <v>27.35</v>
      </c>
      <c r="C325" s="4">
        <v>29.66</v>
      </c>
      <c r="D325" s="4">
        <v>14.68</v>
      </c>
      <c r="E325" s="4">
        <v>16.48</v>
      </c>
      <c r="F325" s="4">
        <v>5.43</v>
      </c>
      <c r="G325" s="4">
        <v>4.46</v>
      </c>
      <c r="H325" s="4">
        <f t="shared" si="38"/>
        <v>20.11</v>
      </c>
      <c r="I325" s="4">
        <f t="shared" si="37"/>
        <v>20.94</v>
      </c>
      <c r="J325" s="4">
        <v>1.32</v>
      </c>
      <c r="K325" s="4">
        <v>1.31</v>
      </c>
      <c r="L325" s="139" t="str">
        <f t="shared" si="34"/>
        <v xml:space="preserve"> </v>
      </c>
      <c r="M325" s="139">
        <v>1.32</v>
      </c>
      <c r="N325" s="139">
        <v>1.35</v>
      </c>
      <c r="O325" s="139">
        <f t="shared" si="36"/>
        <v>1.32</v>
      </c>
      <c r="P325" s="139">
        <f t="shared" si="35"/>
        <v>1.32</v>
      </c>
    </row>
    <row r="326" spans="1:16" x14ac:dyDescent="0.35">
      <c r="A326" s="14" t="s">
        <v>300</v>
      </c>
      <c r="B326" s="4">
        <v>24.3</v>
      </c>
      <c r="C326" s="4">
        <v>28.43</v>
      </c>
      <c r="D326" s="4">
        <v>8.27</v>
      </c>
      <c r="E326" s="4">
        <v>9.1999999999999993</v>
      </c>
      <c r="F326" s="4">
        <v>3.78</v>
      </c>
      <c r="G326" s="4">
        <v>2.52</v>
      </c>
      <c r="H326" s="4">
        <f t="shared" si="38"/>
        <v>12.049999999999999</v>
      </c>
      <c r="I326" s="4">
        <f t="shared" si="37"/>
        <v>11.719999999999999</v>
      </c>
      <c r="J326" s="4">
        <v>1.33</v>
      </c>
      <c r="K326" s="4">
        <v>1.32</v>
      </c>
      <c r="L326" s="139" t="str">
        <f t="shared" si="34"/>
        <v xml:space="preserve"> </v>
      </c>
      <c r="M326" s="139">
        <v>1.33</v>
      </c>
      <c r="N326" s="139">
        <v>1.32</v>
      </c>
      <c r="O326" s="139">
        <f t="shared" si="36"/>
        <v>1.33</v>
      </c>
      <c r="P326" s="139">
        <f t="shared" si="35"/>
        <v>1.33</v>
      </c>
    </row>
    <row r="327" spans="1:16" x14ac:dyDescent="0.35">
      <c r="A327" s="14" t="s">
        <v>301</v>
      </c>
      <c r="B327" s="4">
        <v>26.49</v>
      </c>
      <c r="C327" s="4">
        <v>33.22</v>
      </c>
      <c r="D327" s="4">
        <v>20.63</v>
      </c>
      <c r="E327" s="4">
        <v>17.54</v>
      </c>
      <c r="F327" s="4">
        <v>7.63</v>
      </c>
      <c r="G327" s="4">
        <v>8.67</v>
      </c>
      <c r="H327" s="4">
        <f t="shared" si="38"/>
        <v>28.259999999999998</v>
      </c>
      <c r="I327" s="4">
        <f t="shared" si="37"/>
        <v>26.21</v>
      </c>
      <c r="J327" s="4">
        <v>1.37</v>
      </c>
      <c r="K327" s="4">
        <v>1.26</v>
      </c>
      <c r="L327" s="139" t="str">
        <f t="shared" ref="L327:L390" si="39">IF(AND($B327&lt;L$3,$B327&gt;L$2,$H327&lt;L$5,$H327&gt;L$4),$J327," ")</f>
        <v xml:space="preserve"> </v>
      </c>
      <c r="M327" s="139">
        <v>1.37</v>
      </c>
      <c r="N327" s="139">
        <v>1.35</v>
      </c>
      <c r="O327" s="139">
        <f t="shared" si="36"/>
        <v>1.37</v>
      </c>
      <c r="P327" s="139">
        <f t="shared" ref="P327:P390" si="40">IF(M327&gt;0,M327," ")</f>
        <v>1.37</v>
      </c>
    </row>
    <row r="328" spans="1:16" x14ac:dyDescent="0.35">
      <c r="A328" s="14" t="s">
        <v>572</v>
      </c>
      <c r="B328" s="4">
        <v>23.87</v>
      </c>
      <c r="C328" s="4">
        <v>21.87</v>
      </c>
      <c r="D328" s="4">
        <v>19.059999999999999</v>
      </c>
      <c r="E328" s="4">
        <v>20.239999999999998</v>
      </c>
      <c r="F328" s="4">
        <v>28.6</v>
      </c>
      <c r="G328" s="4">
        <v>33.64</v>
      </c>
      <c r="H328" s="4">
        <f t="shared" si="38"/>
        <v>47.66</v>
      </c>
      <c r="I328" s="4">
        <f t="shared" si="37"/>
        <v>53.879999999999995</v>
      </c>
      <c r="J328" s="4">
        <v>1.42</v>
      </c>
      <c r="K328" s="4">
        <v>1.38</v>
      </c>
      <c r="L328" s="139" t="str">
        <f t="shared" si="39"/>
        <v xml:space="preserve"> </v>
      </c>
      <c r="M328" s="139">
        <v>1.42</v>
      </c>
      <c r="N328" s="139">
        <v>1.41</v>
      </c>
      <c r="O328" s="139">
        <f t="shared" ref="O328:O391" si="41">IF(M328=" ",N328,M328)</f>
        <v>1.42</v>
      </c>
      <c r="P328" s="139">
        <f t="shared" si="40"/>
        <v>1.42</v>
      </c>
    </row>
    <row r="329" spans="1:16" x14ac:dyDescent="0.35">
      <c r="A329" s="14" t="s">
        <v>79</v>
      </c>
      <c r="B329" s="4">
        <v>18.7</v>
      </c>
      <c r="C329" s="4">
        <v>20.2</v>
      </c>
      <c r="D329" s="4">
        <v>9.33</v>
      </c>
      <c r="E329" s="4">
        <v>8.9700000000000006</v>
      </c>
      <c r="F329" s="4">
        <v>15.8</v>
      </c>
      <c r="G329" s="4">
        <v>15.9</v>
      </c>
      <c r="H329" s="4">
        <f t="shared" si="38"/>
        <v>25.130000000000003</v>
      </c>
      <c r="I329" s="4">
        <f t="shared" si="37"/>
        <v>24.87</v>
      </c>
      <c r="J329" s="4">
        <v>0</v>
      </c>
      <c r="K329" s="4">
        <v>0</v>
      </c>
      <c r="L329" s="139" t="str">
        <f t="shared" si="39"/>
        <v xml:space="preserve"> </v>
      </c>
      <c r="M329" s="139" t="s">
        <v>867</v>
      </c>
      <c r="N329" s="139">
        <v>1.49</v>
      </c>
      <c r="O329" s="139">
        <f t="shared" si="41"/>
        <v>1.49</v>
      </c>
      <c r="P329" s="139" t="str">
        <f t="shared" si="40"/>
        <v xml:space="preserve"> </v>
      </c>
    </row>
    <row r="330" spans="1:16" x14ac:dyDescent="0.35">
      <c r="A330" s="14" t="s">
        <v>98</v>
      </c>
      <c r="B330" s="4">
        <v>19.23</v>
      </c>
      <c r="C330" s="4">
        <v>18.53</v>
      </c>
      <c r="D330" s="4">
        <v>23.38</v>
      </c>
      <c r="E330" s="4">
        <v>23.53</v>
      </c>
      <c r="F330" s="4">
        <v>4.66</v>
      </c>
      <c r="G330" s="4">
        <v>6.1</v>
      </c>
      <c r="H330" s="4">
        <f t="shared" si="38"/>
        <v>28.04</v>
      </c>
      <c r="I330" s="4">
        <f t="shared" si="37"/>
        <v>29.630000000000003</v>
      </c>
      <c r="J330" s="4">
        <v>0</v>
      </c>
      <c r="K330" s="4">
        <v>0</v>
      </c>
      <c r="L330" s="139" t="str">
        <f t="shared" si="39"/>
        <v xml:space="preserve"> </v>
      </c>
      <c r="M330" s="139" t="s">
        <v>867</v>
      </c>
      <c r="N330" s="139">
        <v>1.49</v>
      </c>
      <c r="O330" s="139">
        <f t="shared" si="41"/>
        <v>1.49</v>
      </c>
      <c r="P330" s="139" t="str">
        <f t="shared" si="40"/>
        <v xml:space="preserve"> </v>
      </c>
    </row>
    <row r="331" spans="1:16" x14ac:dyDescent="0.35">
      <c r="A331" s="14" t="s">
        <v>92</v>
      </c>
      <c r="B331" s="4">
        <v>25.03</v>
      </c>
      <c r="C331" s="4">
        <v>29.59</v>
      </c>
      <c r="D331" s="4">
        <v>16.100000000000001</v>
      </c>
      <c r="E331" s="4">
        <v>13.63</v>
      </c>
      <c r="F331" s="4">
        <v>7</v>
      </c>
      <c r="G331" s="4">
        <v>4.5</v>
      </c>
      <c r="H331" s="4">
        <f t="shared" si="38"/>
        <v>23.1</v>
      </c>
      <c r="I331" s="4">
        <f t="shared" si="37"/>
        <v>18.130000000000003</v>
      </c>
      <c r="J331" s="4">
        <v>0</v>
      </c>
      <c r="K331" s="4">
        <v>0</v>
      </c>
      <c r="L331" s="139" t="str">
        <f t="shared" si="39"/>
        <v xml:space="preserve"> </v>
      </c>
      <c r="M331" s="139" t="s">
        <v>867</v>
      </c>
      <c r="N331" s="139">
        <v>1.35</v>
      </c>
      <c r="O331" s="139">
        <f t="shared" si="41"/>
        <v>1.35</v>
      </c>
      <c r="P331" s="139" t="str">
        <f t="shared" si="40"/>
        <v xml:space="preserve"> </v>
      </c>
    </row>
    <row r="332" spans="1:16" x14ac:dyDescent="0.35">
      <c r="A332" s="14" t="s">
        <v>295</v>
      </c>
      <c r="B332" s="4">
        <v>12.34</v>
      </c>
      <c r="C332" s="4">
        <v>13.43</v>
      </c>
      <c r="D332" s="4">
        <v>14.2</v>
      </c>
      <c r="E332" s="4">
        <v>15.9</v>
      </c>
      <c r="F332" s="4">
        <v>34.53</v>
      </c>
      <c r="G332" s="4">
        <v>41.11</v>
      </c>
      <c r="H332" s="4">
        <f t="shared" si="38"/>
        <v>48.730000000000004</v>
      </c>
      <c r="I332" s="4">
        <f t="shared" ref="I332:I395" si="42">E332+G332</f>
        <v>57.01</v>
      </c>
      <c r="J332" s="4">
        <v>0</v>
      </c>
      <c r="K332" s="4">
        <v>0</v>
      </c>
      <c r="L332" s="139" t="str">
        <f t="shared" si="39"/>
        <v xml:space="preserve"> </v>
      </c>
      <c r="M332" s="139" t="s">
        <v>867</v>
      </c>
      <c r="N332" s="139">
        <v>1.52</v>
      </c>
      <c r="O332" s="139">
        <f t="shared" si="41"/>
        <v>1.52</v>
      </c>
      <c r="P332" s="139" t="str">
        <f t="shared" si="40"/>
        <v xml:space="preserve"> </v>
      </c>
    </row>
    <row r="333" spans="1:16" x14ac:dyDescent="0.35">
      <c r="A333" s="14" t="s">
        <v>62</v>
      </c>
      <c r="B333" s="4">
        <v>13.03</v>
      </c>
      <c r="C333" s="4">
        <v>14.41</v>
      </c>
      <c r="D333" s="4">
        <v>12.4</v>
      </c>
      <c r="E333" s="4">
        <v>12.28</v>
      </c>
      <c r="F333" s="4">
        <v>30.15</v>
      </c>
      <c r="G333" s="4">
        <v>30.43</v>
      </c>
      <c r="H333" s="4">
        <f t="shared" ref="H333:H396" si="43">D333+F333</f>
        <v>42.55</v>
      </c>
      <c r="I333" s="4">
        <f t="shared" si="42"/>
        <v>42.71</v>
      </c>
      <c r="J333" s="4">
        <v>1.47</v>
      </c>
      <c r="K333" s="4">
        <v>1.47</v>
      </c>
      <c r="L333" s="139" t="str">
        <f t="shared" si="39"/>
        <v xml:space="preserve"> </v>
      </c>
      <c r="M333" s="139">
        <v>1.47</v>
      </c>
      <c r="N333" s="139">
        <v>1.52</v>
      </c>
      <c r="O333" s="139">
        <f t="shared" si="41"/>
        <v>1.47</v>
      </c>
      <c r="P333" s="139">
        <f t="shared" si="40"/>
        <v>1.47</v>
      </c>
    </row>
    <row r="334" spans="1:16" x14ac:dyDescent="0.35">
      <c r="A334" s="14" t="s">
        <v>107</v>
      </c>
      <c r="B334" s="4">
        <v>11.12</v>
      </c>
      <c r="C334" s="4">
        <v>12.32</v>
      </c>
      <c r="D334" s="4">
        <v>29.37</v>
      </c>
      <c r="E334" s="4">
        <v>26.69</v>
      </c>
      <c r="F334" s="4">
        <v>10.01</v>
      </c>
      <c r="G334" s="4">
        <v>13.4</v>
      </c>
      <c r="H334" s="4">
        <f t="shared" si="43"/>
        <v>39.380000000000003</v>
      </c>
      <c r="I334" s="4">
        <f t="shared" si="42"/>
        <v>40.090000000000003</v>
      </c>
      <c r="J334" s="4">
        <v>0</v>
      </c>
      <c r="K334" s="4">
        <v>0</v>
      </c>
      <c r="L334" s="139" t="str">
        <f t="shared" si="39"/>
        <v xml:space="preserve"> </v>
      </c>
      <c r="M334" s="139" t="s">
        <v>867</v>
      </c>
      <c r="N334" s="139">
        <v>1.49</v>
      </c>
      <c r="O334" s="139">
        <f t="shared" si="41"/>
        <v>1.49</v>
      </c>
      <c r="P334" s="139" t="str">
        <f t="shared" si="40"/>
        <v xml:space="preserve"> </v>
      </c>
    </row>
    <row r="335" spans="1:16" x14ac:dyDescent="0.35">
      <c r="A335" s="14" t="s">
        <v>75</v>
      </c>
      <c r="B335" s="4">
        <v>8.69</v>
      </c>
      <c r="C335" s="4">
        <v>7.21</v>
      </c>
      <c r="D335" s="4">
        <v>31.97</v>
      </c>
      <c r="E335" s="4">
        <v>24.5</v>
      </c>
      <c r="F335" s="4">
        <v>47.17</v>
      </c>
      <c r="G335" s="4">
        <v>59.51</v>
      </c>
      <c r="H335" s="4">
        <f t="shared" si="43"/>
        <v>79.14</v>
      </c>
      <c r="I335" s="4">
        <f t="shared" si="42"/>
        <v>84.009999999999991</v>
      </c>
      <c r="J335" s="4">
        <v>0</v>
      </c>
      <c r="K335" s="4">
        <v>0</v>
      </c>
      <c r="L335" s="139" t="str">
        <f t="shared" si="39"/>
        <v xml:space="preserve"> </v>
      </c>
      <c r="M335" s="139" t="s">
        <v>867</v>
      </c>
      <c r="N335" s="139">
        <v>1.61</v>
      </c>
      <c r="O335" s="139">
        <f t="shared" si="41"/>
        <v>1.61</v>
      </c>
      <c r="P335" s="139" t="str">
        <f t="shared" si="40"/>
        <v xml:space="preserve"> </v>
      </c>
    </row>
    <row r="336" spans="1:16" x14ac:dyDescent="0.35">
      <c r="A336" s="14" t="s">
        <v>105</v>
      </c>
      <c r="B336" s="4">
        <v>15.02</v>
      </c>
      <c r="C336" s="4">
        <v>18.63</v>
      </c>
      <c r="D336" s="4">
        <v>17.75</v>
      </c>
      <c r="E336" s="4">
        <v>18</v>
      </c>
      <c r="F336" s="4">
        <v>21.25</v>
      </c>
      <c r="G336" s="4">
        <v>22.35</v>
      </c>
      <c r="H336" s="4">
        <f t="shared" si="43"/>
        <v>39</v>
      </c>
      <c r="I336" s="4">
        <f t="shared" si="42"/>
        <v>40.35</v>
      </c>
      <c r="J336" s="4">
        <v>0</v>
      </c>
      <c r="K336" s="4">
        <v>0</v>
      </c>
      <c r="L336" s="139" t="str">
        <f t="shared" si="39"/>
        <v xml:space="preserve"> </v>
      </c>
      <c r="M336" s="139" t="s">
        <v>867</v>
      </c>
      <c r="N336" s="139">
        <v>1.49</v>
      </c>
      <c r="O336" s="139">
        <f t="shared" si="41"/>
        <v>1.49</v>
      </c>
      <c r="P336" s="139" t="str">
        <f t="shared" si="40"/>
        <v xml:space="preserve"> </v>
      </c>
    </row>
    <row r="337" spans="1:16" x14ac:dyDescent="0.35">
      <c r="A337" s="14" t="s">
        <v>99</v>
      </c>
      <c r="B337" s="4">
        <v>15.91</v>
      </c>
      <c r="C337" s="4">
        <v>17.84</v>
      </c>
      <c r="D337" s="4">
        <v>9.0500000000000007</v>
      </c>
      <c r="E337" s="4">
        <v>10.19</v>
      </c>
      <c r="F337" s="4">
        <v>9.25</v>
      </c>
      <c r="G337" s="4">
        <v>13.11</v>
      </c>
      <c r="H337" s="4">
        <f t="shared" si="43"/>
        <v>18.3</v>
      </c>
      <c r="I337" s="4">
        <f t="shared" si="42"/>
        <v>23.299999999999997</v>
      </c>
      <c r="J337" s="4">
        <v>0</v>
      </c>
      <c r="K337" s="4">
        <v>0</v>
      </c>
      <c r="L337" s="139" t="str">
        <f t="shared" si="39"/>
        <v xml:space="preserve"> </v>
      </c>
      <c r="M337" s="139" t="s">
        <v>867</v>
      </c>
      <c r="N337" s="139">
        <v>1.41</v>
      </c>
      <c r="O337" s="139">
        <f t="shared" si="41"/>
        <v>1.41</v>
      </c>
      <c r="P337" s="139" t="str">
        <f t="shared" si="40"/>
        <v xml:space="preserve"> </v>
      </c>
    </row>
    <row r="338" spans="1:16" x14ac:dyDescent="0.35">
      <c r="A338" s="14" t="s">
        <v>26</v>
      </c>
      <c r="B338" s="4">
        <v>14.1</v>
      </c>
      <c r="C338" s="4">
        <v>11.94</v>
      </c>
      <c r="D338" s="4">
        <v>13.8</v>
      </c>
      <c r="E338" s="4">
        <v>16.38</v>
      </c>
      <c r="F338" s="4">
        <v>45</v>
      </c>
      <c r="G338" s="4">
        <v>47.96</v>
      </c>
      <c r="H338" s="4">
        <f t="shared" si="43"/>
        <v>58.8</v>
      </c>
      <c r="I338" s="4">
        <f t="shared" si="42"/>
        <v>64.34</v>
      </c>
      <c r="J338" s="4">
        <v>0</v>
      </c>
      <c r="K338" s="4">
        <v>0</v>
      </c>
      <c r="L338" s="139" t="str">
        <f t="shared" si="39"/>
        <v xml:space="preserve"> </v>
      </c>
      <c r="M338" s="139" t="s">
        <v>867</v>
      </c>
      <c r="N338" s="139">
        <v>1.52</v>
      </c>
      <c r="O338" s="139">
        <f t="shared" si="41"/>
        <v>1.52</v>
      </c>
      <c r="P338" s="139" t="str">
        <f t="shared" si="40"/>
        <v xml:space="preserve"> </v>
      </c>
    </row>
    <row r="339" spans="1:16" x14ac:dyDescent="0.35">
      <c r="A339" s="14" t="s">
        <v>573</v>
      </c>
      <c r="B339" s="4">
        <v>20.77</v>
      </c>
      <c r="C339" s="4">
        <v>20.16</v>
      </c>
      <c r="D339" s="4">
        <v>29.3</v>
      </c>
      <c r="E339" s="4">
        <v>27.57</v>
      </c>
      <c r="F339" s="4">
        <v>13.4</v>
      </c>
      <c r="G339" s="4">
        <v>12.49</v>
      </c>
      <c r="H339" s="4">
        <f t="shared" si="43"/>
        <v>42.7</v>
      </c>
      <c r="I339" s="4">
        <f t="shared" si="42"/>
        <v>40.06</v>
      </c>
      <c r="J339" s="4">
        <v>1.41</v>
      </c>
      <c r="K339" s="4">
        <v>1.41</v>
      </c>
      <c r="L339" s="139" t="str">
        <f t="shared" si="39"/>
        <v xml:space="preserve"> </v>
      </c>
      <c r="M339" s="139">
        <v>1.41</v>
      </c>
      <c r="N339" s="139">
        <v>1.41</v>
      </c>
      <c r="O339" s="139">
        <f t="shared" si="41"/>
        <v>1.41</v>
      </c>
      <c r="P339" s="139">
        <f t="shared" si="40"/>
        <v>1.41</v>
      </c>
    </row>
    <row r="340" spans="1:16" x14ac:dyDescent="0.35">
      <c r="A340" s="14" t="s">
        <v>104</v>
      </c>
      <c r="B340" s="4">
        <v>23.79</v>
      </c>
      <c r="C340" s="4">
        <v>27.28</v>
      </c>
      <c r="D340" s="4">
        <v>9.7100000000000009</v>
      </c>
      <c r="E340" s="4">
        <v>10.14</v>
      </c>
      <c r="F340" s="4">
        <v>21.77</v>
      </c>
      <c r="G340" s="4">
        <v>25.53</v>
      </c>
      <c r="H340" s="4">
        <f t="shared" si="43"/>
        <v>31.48</v>
      </c>
      <c r="I340" s="4">
        <f t="shared" si="42"/>
        <v>35.67</v>
      </c>
      <c r="J340" s="4">
        <v>1.37</v>
      </c>
      <c r="K340" s="4">
        <v>1.34</v>
      </c>
      <c r="L340" s="139" t="str">
        <f t="shared" si="39"/>
        <v xml:space="preserve"> </v>
      </c>
      <c r="M340" s="139">
        <v>1.37</v>
      </c>
      <c r="N340" s="139">
        <v>1.35</v>
      </c>
      <c r="O340" s="139">
        <f t="shared" si="41"/>
        <v>1.37</v>
      </c>
      <c r="P340" s="139">
        <f t="shared" si="40"/>
        <v>1.37</v>
      </c>
    </row>
    <row r="341" spans="1:16" x14ac:dyDescent="0.35">
      <c r="A341" s="14" t="s">
        <v>95</v>
      </c>
      <c r="B341" s="4">
        <v>17.04</v>
      </c>
      <c r="C341" s="4">
        <v>23.53</v>
      </c>
      <c r="D341" s="4">
        <v>9.64</v>
      </c>
      <c r="E341" s="4">
        <v>8</v>
      </c>
      <c r="F341" s="4">
        <v>13.32</v>
      </c>
      <c r="G341" s="4">
        <v>12.37</v>
      </c>
      <c r="H341" s="4">
        <f t="shared" si="43"/>
        <v>22.96</v>
      </c>
      <c r="I341" s="4">
        <f t="shared" si="42"/>
        <v>20.369999999999997</v>
      </c>
      <c r="J341" s="4">
        <v>0</v>
      </c>
      <c r="K341" s="4">
        <v>0</v>
      </c>
      <c r="L341" s="139" t="str">
        <f t="shared" si="39"/>
        <v xml:space="preserve"> </v>
      </c>
      <c r="M341" s="139" t="s">
        <v>867</v>
      </c>
      <c r="N341" s="139">
        <v>1.49</v>
      </c>
      <c r="O341" s="139">
        <f t="shared" si="41"/>
        <v>1.49</v>
      </c>
      <c r="P341" s="139" t="str">
        <f t="shared" si="40"/>
        <v xml:space="preserve"> </v>
      </c>
    </row>
    <row r="342" spans="1:16" x14ac:dyDescent="0.35">
      <c r="A342" s="14" t="s">
        <v>577</v>
      </c>
      <c r="B342" s="4">
        <v>40.98</v>
      </c>
      <c r="C342" s="4">
        <v>41.17</v>
      </c>
      <c r="D342" s="4">
        <v>10.93</v>
      </c>
      <c r="E342" s="4">
        <v>12.27</v>
      </c>
      <c r="F342" s="4">
        <v>16.5</v>
      </c>
      <c r="G342" s="4">
        <v>16.5</v>
      </c>
      <c r="H342" s="4">
        <f t="shared" si="43"/>
        <v>27.43</v>
      </c>
      <c r="I342" s="4">
        <f t="shared" si="42"/>
        <v>28.77</v>
      </c>
      <c r="J342" s="4">
        <v>1.28</v>
      </c>
      <c r="K342" s="4">
        <v>1.28</v>
      </c>
      <c r="L342" s="139" t="str">
        <f t="shared" si="39"/>
        <v xml:space="preserve"> </v>
      </c>
      <c r="M342" s="139">
        <v>1.28</v>
      </c>
      <c r="N342" s="139">
        <v>1.25</v>
      </c>
      <c r="O342" s="139">
        <f t="shared" si="41"/>
        <v>1.28</v>
      </c>
      <c r="P342" s="139">
        <f t="shared" si="40"/>
        <v>1.28</v>
      </c>
    </row>
    <row r="343" spans="1:16" x14ac:dyDescent="0.35">
      <c r="A343" s="14" t="s">
        <v>253</v>
      </c>
      <c r="B343" s="4">
        <v>10.65</v>
      </c>
      <c r="C343" s="4">
        <v>9.1</v>
      </c>
      <c r="D343" s="4">
        <v>30.97</v>
      </c>
      <c r="E343" s="4">
        <v>33.49</v>
      </c>
      <c r="F343" s="4">
        <v>21.23</v>
      </c>
      <c r="G343" s="4">
        <v>23.03</v>
      </c>
      <c r="H343" s="4">
        <f t="shared" si="43"/>
        <v>52.2</v>
      </c>
      <c r="I343" s="4">
        <f t="shared" si="42"/>
        <v>56.52</v>
      </c>
      <c r="J343" s="4">
        <v>1.5</v>
      </c>
      <c r="K343" s="4">
        <v>1.54</v>
      </c>
      <c r="L343" s="139" t="str">
        <f t="shared" si="39"/>
        <v xml:space="preserve"> </v>
      </c>
      <c r="M343" s="139">
        <v>1.5</v>
      </c>
      <c r="N343" s="139">
        <v>1.52</v>
      </c>
      <c r="O343" s="139">
        <f t="shared" si="41"/>
        <v>1.5</v>
      </c>
      <c r="P343" s="139">
        <f t="shared" si="40"/>
        <v>1.5</v>
      </c>
    </row>
    <row r="344" spans="1:16" x14ac:dyDescent="0.35">
      <c r="A344" s="14" t="s">
        <v>607</v>
      </c>
      <c r="B344" s="4">
        <v>12.18</v>
      </c>
      <c r="C344" s="4">
        <v>11.99</v>
      </c>
      <c r="D344" s="4">
        <v>57.37</v>
      </c>
      <c r="E344" s="4">
        <v>56.21</v>
      </c>
      <c r="F344" s="4">
        <v>2.2999999999999998</v>
      </c>
      <c r="G344" s="4">
        <v>2.73</v>
      </c>
      <c r="H344" s="4">
        <f t="shared" si="43"/>
        <v>59.669999999999995</v>
      </c>
      <c r="I344" s="4">
        <f t="shared" si="42"/>
        <v>58.94</v>
      </c>
      <c r="J344" s="4">
        <v>1.55</v>
      </c>
      <c r="K344" s="4">
        <v>1.48</v>
      </c>
      <c r="L344" s="139" t="str">
        <f t="shared" si="39"/>
        <v xml:space="preserve"> </v>
      </c>
      <c r="M344" s="139">
        <v>1.55</v>
      </c>
      <c r="N344" s="139">
        <v>1.52</v>
      </c>
      <c r="O344" s="139">
        <f t="shared" si="41"/>
        <v>1.55</v>
      </c>
      <c r="P344" s="139">
        <f t="shared" si="40"/>
        <v>1.55</v>
      </c>
    </row>
    <row r="345" spans="1:16" x14ac:dyDescent="0.35">
      <c r="A345" s="14" t="s">
        <v>613</v>
      </c>
      <c r="B345" s="4">
        <v>15.31</v>
      </c>
      <c r="C345" s="4">
        <v>16.920000000000002</v>
      </c>
      <c r="D345" s="4">
        <v>35.64</v>
      </c>
      <c r="E345" s="4">
        <v>34.71</v>
      </c>
      <c r="F345" s="4">
        <v>21.21</v>
      </c>
      <c r="G345" s="4">
        <v>19.899999999999999</v>
      </c>
      <c r="H345" s="4">
        <f t="shared" si="43"/>
        <v>56.85</v>
      </c>
      <c r="I345" s="4">
        <f t="shared" si="42"/>
        <v>54.61</v>
      </c>
      <c r="J345" s="4">
        <v>0</v>
      </c>
      <c r="K345" s="4">
        <v>0</v>
      </c>
      <c r="L345" s="139" t="str">
        <f t="shared" si="39"/>
        <v xml:space="preserve"> </v>
      </c>
      <c r="M345" s="139" t="s">
        <v>867</v>
      </c>
      <c r="N345" s="139">
        <v>1.52</v>
      </c>
      <c r="O345" s="139">
        <f t="shared" si="41"/>
        <v>1.52</v>
      </c>
      <c r="P345" s="139" t="str">
        <f t="shared" si="40"/>
        <v xml:space="preserve"> </v>
      </c>
    </row>
    <row r="346" spans="1:16" x14ac:dyDescent="0.35">
      <c r="A346" s="14" t="s">
        <v>606</v>
      </c>
      <c r="B346" s="4">
        <v>14.41</v>
      </c>
      <c r="C346" s="4">
        <v>16.14</v>
      </c>
      <c r="D346" s="4">
        <v>57.68</v>
      </c>
      <c r="E346" s="4">
        <v>53.41</v>
      </c>
      <c r="F346" s="4">
        <v>2.63</v>
      </c>
      <c r="G346" s="4">
        <v>2.4</v>
      </c>
      <c r="H346" s="4">
        <f t="shared" si="43"/>
        <v>60.31</v>
      </c>
      <c r="I346" s="4">
        <f t="shared" si="42"/>
        <v>55.809999999999995</v>
      </c>
      <c r="J346" s="4">
        <v>1.5</v>
      </c>
      <c r="K346" s="4">
        <v>1.44</v>
      </c>
      <c r="L346" s="139" t="str">
        <f t="shared" si="39"/>
        <v xml:space="preserve"> </v>
      </c>
      <c r="M346" s="139">
        <v>1.5</v>
      </c>
      <c r="N346" s="139">
        <v>1.52</v>
      </c>
      <c r="O346" s="139">
        <f t="shared" si="41"/>
        <v>1.5</v>
      </c>
      <c r="P346" s="139">
        <f t="shared" si="40"/>
        <v>1.5</v>
      </c>
    </row>
    <row r="347" spans="1:16" x14ac:dyDescent="0.35">
      <c r="A347" s="14" t="s">
        <v>618</v>
      </c>
      <c r="B347" s="4">
        <v>13.62</v>
      </c>
      <c r="C347" s="4">
        <v>16.25</v>
      </c>
      <c r="D347" s="4">
        <v>53.33</v>
      </c>
      <c r="E347" s="4">
        <v>53.68</v>
      </c>
      <c r="F347" s="4">
        <v>2.0699999999999998</v>
      </c>
      <c r="G347" s="4">
        <v>2.02</v>
      </c>
      <c r="H347" s="4">
        <f t="shared" si="43"/>
        <v>55.4</v>
      </c>
      <c r="I347" s="4">
        <f t="shared" si="42"/>
        <v>55.7</v>
      </c>
      <c r="J347" s="4">
        <v>0</v>
      </c>
      <c r="K347" s="4">
        <v>0</v>
      </c>
      <c r="L347" s="139" t="str">
        <f t="shared" si="39"/>
        <v xml:space="preserve"> </v>
      </c>
      <c r="M347" s="139" t="s">
        <v>867</v>
      </c>
      <c r="N347" s="139">
        <v>1.52</v>
      </c>
      <c r="O347" s="139">
        <f t="shared" si="41"/>
        <v>1.52</v>
      </c>
      <c r="P347" s="139" t="str">
        <f t="shared" si="40"/>
        <v xml:space="preserve"> </v>
      </c>
    </row>
    <row r="348" spans="1:16" x14ac:dyDescent="0.35">
      <c r="A348" s="14" t="s">
        <v>145</v>
      </c>
      <c r="B348" s="4">
        <v>8.09</v>
      </c>
      <c r="C348" s="4">
        <v>7.72</v>
      </c>
      <c r="D348" s="4">
        <v>62.47</v>
      </c>
      <c r="E348" s="4">
        <v>58.53</v>
      </c>
      <c r="F348" s="4">
        <v>4.21</v>
      </c>
      <c r="G348" s="4">
        <v>4.22</v>
      </c>
      <c r="H348" s="4">
        <f t="shared" si="43"/>
        <v>66.679999999999993</v>
      </c>
      <c r="I348" s="4">
        <f t="shared" si="42"/>
        <v>62.75</v>
      </c>
      <c r="J348" s="4">
        <v>1.6</v>
      </c>
      <c r="K348" s="4">
        <v>1.53</v>
      </c>
      <c r="L348" s="139" t="str">
        <f t="shared" si="39"/>
        <v xml:space="preserve"> </v>
      </c>
      <c r="M348" s="139">
        <v>1.6</v>
      </c>
      <c r="N348" s="139">
        <v>1.61</v>
      </c>
      <c r="O348" s="139">
        <f t="shared" si="41"/>
        <v>1.6</v>
      </c>
      <c r="P348" s="139">
        <f t="shared" si="40"/>
        <v>1.6</v>
      </c>
    </row>
    <row r="349" spans="1:16" x14ac:dyDescent="0.35">
      <c r="A349" s="14" t="s">
        <v>630</v>
      </c>
      <c r="B349" s="4">
        <v>10.92</v>
      </c>
      <c r="C349" s="4">
        <v>8.8699999999999992</v>
      </c>
      <c r="D349" s="4">
        <v>61.2</v>
      </c>
      <c r="E349" s="4">
        <v>65.400000000000006</v>
      </c>
      <c r="F349" s="4">
        <v>2.17</v>
      </c>
      <c r="G349" s="4">
        <v>2.11</v>
      </c>
      <c r="H349" s="4">
        <f t="shared" si="43"/>
        <v>63.370000000000005</v>
      </c>
      <c r="I349" s="4">
        <f t="shared" si="42"/>
        <v>67.510000000000005</v>
      </c>
      <c r="J349" s="4">
        <v>0</v>
      </c>
      <c r="K349" s="4">
        <v>0</v>
      </c>
      <c r="L349" s="139" t="str">
        <f t="shared" si="39"/>
        <v xml:space="preserve"> </v>
      </c>
      <c r="M349" s="139" t="s">
        <v>867</v>
      </c>
      <c r="N349" s="139">
        <v>1.52</v>
      </c>
      <c r="O349" s="139">
        <f t="shared" si="41"/>
        <v>1.52</v>
      </c>
      <c r="P349" s="139" t="str">
        <f t="shared" si="40"/>
        <v xml:space="preserve"> </v>
      </c>
    </row>
    <row r="350" spans="1:16" x14ac:dyDescent="0.35">
      <c r="A350" s="14" t="s">
        <v>130</v>
      </c>
      <c r="B350" s="4">
        <v>6.81</v>
      </c>
      <c r="C350" s="4">
        <v>5.8</v>
      </c>
      <c r="D350" s="4">
        <v>70.98</v>
      </c>
      <c r="E350" s="4">
        <v>70.48</v>
      </c>
      <c r="F350" s="4">
        <v>4.66</v>
      </c>
      <c r="G350" s="4">
        <v>4.95</v>
      </c>
      <c r="H350" s="4">
        <f t="shared" si="43"/>
        <v>75.64</v>
      </c>
      <c r="I350" s="4">
        <f t="shared" si="42"/>
        <v>75.430000000000007</v>
      </c>
      <c r="J350" s="4">
        <v>1.61</v>
      </c>
      <c r="K350" s="4">
        <v>1.68</v>
      </c>
      <c r="L350" s="139" t="str">
        <f t="shared" si="39"/>
        <v xml:space="preserve"> </v>
      </c>
      <c r="M350" s="139">
        <v>1.61</v>
      </c>
      <c r="N350" s="139">
        <v>1.61</v>
      </c>
      <c r="O350" s="139">
        <f t="shared" si="41"/>
        <v>1.61</v>
      </c>
      <c r="P350" s="139">
        <f t="shared" si="40"/>
        <v>1.61</v>
      </c>
    </row>
    <row r="351" spans="1:16" x14ac:dyDescent="0.35">
      <c r="A351" s="14" t="s">
        <v>581</v>
      </c>
      <c r="B351" s="4">
        <v>8</v>
      </c>
      <c r="C351" s="4">
        <v>7.31</v>
      </c>
      <c r="D351" s="4">
        <v>33.299999999999997</v>
      </c>
      <c r="E351" s="4">
        <v>33.29</v>
      </c>
      <c r="F351" s="4">
        <v>35.26</v>
      </c>
      <c r="G351" s="4">
        <v>37.42</v>
      </c>
      <c r="H351" s="4">
        <f t="shared" si="43"/>
        <v>68.56</v>
      </c>
      <c r="I351" s="4">
        <f t="shared" si="42"/>
        <v>70.710000000000008</v>
      </c>
      <c r="J351" s="4">
        <v>0</v>
      </c>
      <c r="K351" s="4">
        <v>0</v>
      </c>
      <c r="L351" s="139" t="str">
        <f t="shared" si="39"/>
        <v xml:space="preserve"> </v>
      </c>
      <c r="M351" s="139" t="s">
        <v>867</v>
      </c>
      <c r="N351" s="139">
        <v>1.61</v>
      </c>
      <c r="O351" s="139">
        <f t="shared" si="41"/>
        <v>1.61</v>
      </c>
      <c r="P351" s="139" t="str">
        <f t="shared" si="40"/>
        <v xml:space="preserve"> </v>
      </c>
    </row>
    <row r="352" spans="1:16" x14ac:dyDescent="0.35">
      <c r="A352" s="14" t="s">
        <v>140</v>
      </c>
      <c r="B352" s="4">
        <v>11.99</v>
      </c>
      <c r="C352" s="4">
        <v>13.24</v>
      </c>
      <c r="D352" s="4">
        <v>46.5</v>
      </c>
      <c r="E352" s="4">
        <v>46.58</v>
      </c>
      <c r="F352" s="4">
        <v>2.33</v>
      </c>
      <c r="G352" s="4">
        <v>2.0499999999999998</v>
      </c>
      <c r="H352" s="4">
        <f t="shared" si="43"/>
        <v>48.83</v>
      </c>
      <c r="I352" s="4">
        <f t="shared" si="42"/>
        <v>48.629999999999995</v>
      </c>
      <c r="J352" s="4">
        <v>1.51</v>
      </c>
      <c r="K352" s="4">
        <v>1.48</v>
      </c>
      <c r="L352" s="139" t="str">
        <f t="shared" si="39"/>
        <v xml:space="preserve"> </v>
      </c>
      <c r="M352" s="139">
        <v>1.51</v>
      </c>
      <c r="N352" s="139">
        <v>1.52</v>
      </c>
      <c r="O352" s="139">
        <f t="shared" si="41"/>
        <v>1.51</v>
      </c>
      <c r="P352" s="139">
        <f t="shared" si="40"/>
        <v>1.51</v>
      </c>
    </row>
    <row r="353" spans="1:16" x14ac:dyDescent="0.35">
      <c r="A353" s="14" t="s">
        <v>141</v>
      </c>
      <c r="B353" s="4">
        <v>5.52</v>
      </c>
      <c r="C353" s="4">
        <v>5.14</v>
      </c>
      <c r="D353" s="4">
        <v>27.99</v>
      </c>
      <c r="E353" s="4">
        <v>26.37</v>
      </c>
      <c r="F353" s="4">
        <v>50.08</v>
      </c>
      <c r="G353" s="4">
        <v>54.84</v>
      </c>
      <c r="H353" s="4">
        <f t="shared" si="43"/>
        <v>78.069999999999993</v>
      </c>
      <c r="I353" s="4">
        <f t="shared" si="42"/>
        <v>81.210000000000008</v>
      </c>
      <c r="J353" s="4">
        <v>0</v>
      </c>
      <c r="K353" s="4">
        <v>0</v>
      </c>
      <c r="L353" s="139" t="str">
        <f t="shared" si="39"/>
        <v xml:space="preserve"> </v>
      </c>
      <c r="M353" s="139" t="s">
        <v>867</v>
      </c>
      <c r="N353" s="139">
        <v>1.61</v>
      </c>
      <c r="O353" s="139">
        <f t="shared" si="41"/>
        <v>1.61</v>
      </c>
      <c r="P353" s="139" t="str">
        <f t="shared" si="40"/>
        <v xml:space="preserve"> </v>
      </c>
    </row>
    <row r="354" spans="1:16" x14ac:dyDescent="0.35">
      <c r="A354" s="14" t="s">
        <v>615</v>
      </c>
      <c r="B354" s="4">
        <v>16.52</v>
      </c>
      <c r="C354" s="4">
        <v>15.83</v>
      </c>
      <c r="D354" s="4">
        <v>49.63</v>
      </c>
      <c r="E354" s="4">
        <v>53.03</v>
      </c>
      <c r="F354" s="4">
        <v>2.34</v>
      </c>
      <c r="G354" s="4">
        <v>2.44</v>
      </c>
      <c r="H354" s="4">
        <f t="shared" si="43"/>
        <v>51.97</v>
      </c>
      <c r="I354" s="4">
        <f t="shared" si="42"/>
        <v>55.47</v>
      </c>
      <c r="J354" s="4">
        <v>1.45</v>
      </c>
      <c r="K354" s="4">
        <v>1.46</v>
      </c>
      <c r="L354" s="139" t="str">
        <f t="shared" si="39"/>
        <v xml:space="preserve"> </v>
      </c>
      <c r="M354" s="139">
        <v>1.45</v>
      </c>
      <c r="N354" s="139">
        <v>1.52</v>
      </c>
      <c r="O354" s="139">
        <f t="shared" si="41"/>
        <v>1.45</v>
      </c>
      <c r="P354" s="139">
        <f t="shared" si="40"/>
        <v>1.45</v>
      </c>
    </row>
    <row r="355" spans="1:16" x14ac:dyDescent="0.35">
      <c r="A355" s="14" t="s">
        <v>170</v>
      </c>
      <c r="B355" s="4">
        <v>11.39</v>
      </c>
      <c r="C355" s="4">
        <v>10.039999999999999</v>
      </c>
      <c r="D355" s="4">
        <v>33.65</v>
      </c>
      <c r="E355" s="4">
        <v>38.450000000000003</v>
      </c>
      <c r="F355" s="4">
        <v>10.050000000000001</v>
      </c>
      <c r="G355" s="4">
        <v>6.82</v>
      </c>
      <c r="H355" s="4">
        <f t="shared" si="43"/>
        <v>43.7</v>
      </c>
      <c r="I355" s="4">
        <f t="shared" si="42"/>
        <v>45.27</v>
      </c>
      <c r="J355" s="4">
        <v>0</v>
      </c>
      <c r="K355" s="4">
        <v>0</v>
      </c>
      <c r="L355" s="139" t="str">
        <f t="shared" si="39"/>
        <v xml:space="preserve"> </v>
      </c>
      <c r="M355" s="139" t="s">
        <v>867</v>
      </c>
      <c r="N355" s="139">
        <v>1.52</v>
      </c>
      <c r="O355" s="139">
        <f t="shared" si="41"/>
        <v>1.52</v>
      </c>
      <c r="P355" s="139" t="str">
        <f t="shared" si="40"/>
        <v xml:space="preserve"> </v>
      </c>
    </row>
    <row r="356" spans="1:16" x14ac:dyDescent="0.35">
      <c r="A356" s="14" t="s">
        <v>598</v>
      </c>
      <c r="B356" s="4">
        <v>9.61</v>
      </c>
      <c r="C356" s="4">
        <v>10.01</v>
      </c>
      <c r="D356" s="4">
        <v>23.77</v>
      </c>
      <c r="E356" s="4">
        <v>26.79</v>
      </c>
      <c r="F356" s="4">
        <v>30.65</v>
      </c>
      <c r="G356" s="4">
        <v>31.74</v>
      </c>
      <c r="H356" s="4">
        <f t="shared" si="43"/>
        <v>54.42</v>
      </c>
      <c r="I356" s="4">
        <f t="shared" si="42"/>
        <v>58.53</v>
      </c>
      <c r="J356" s="4">
        <v>1.57</v>
      </c>
      <c r="K356" s="4">
        <v>1.5</v>
      </c>
      <c r="L356" s="139" t="str">
        <f t="shared" si="39"/>
        <v xml:space="preserve"> </v>
      </c>
      <c r="M356" s="139">
        <v>1.57</v>
      </c>
      <c r="N356" s="139">
        <v>1.57</v>
      </c>
      <c r="O356" s="139">
        <f t="shared" si="41"/>
        <v>1.57</v>
      </c>
      <c r="P356" s="139">
        <f t="shared" si="40"/>
        <v>1.57</v>
      </c>
    </row>
    <row r="357" spans="1:16" x14ac:dyDescent="0.35">
      <c r="A357" s="14" t="s">
        <v>580</v>
      </c>
      <c r="B357" s="4">
        <v>8.64</v>
      </c>
      <c r="C357" s="4">
        <v>13.02</v>
      </c>
      <c r="D357" s="4">
        <v>49.34</v>
      </c>
      <c r="E357" s="4">
        <v>42.52</v>
      </c>
      <c r="F357" s="4">
        <v>5.74</v>
      </c>
      <c r="G357" s="4">
        <v>5.24</v>
      </c>
      <c r="H357" s="4">
        <f t="shared" si="43"/>
        <v>55.080000000000005</v>
      </c>
      <c r="I357" s="4">
        <f t="shared" si="42"/>
        <v>47.760000000000005</v>
      </c>
      <c r="J357" s="4">
        <v>1.59</v>
      </c>
      <c r="K357" s="4">
        <v>1.54</v>
      </c>
      <c r="L357" s="139" t="str">
        <f t="shared" si="39"/>
        <v xml:space="preserve"> </v>
      </c>
      <c r="M357" s="139">
        <v>1.59</v>
      </c>
      <c r="N357" s="139">
        <v>1.57</v>
      </c>
      <c r="O357" s="139">
        <f t="shared" si="41"/>
        <v>1.59</v>
      </c>
      <c r="P357" s="139">
        <f t="shared" si="40"/>
        <v>1.59</v>
      </c>
    </row>
    <row r="358" spans="1:16" x14ac:dyDescent="0.35">
      <c r="A358" s="14" t="s">
        <v>582</v>
      </c>
      <c r="B358" s="4">
        <v>13.2</v>
      </c>
      <c r="C358" s="4">
        <v>16.2</v>
      </c>
      <c r="D358" s="4">
        <v>23.75</v>
      </c>
      <c r="E358" s="4">
        <v>24.83</v>
      </c>
      <c r="F358" s="4">
        <v>22.14</v>
      </c>
      <c r="G358" s="4">
        <v>25.17</v>
      </c>
      <c r="H358" s="4">
        <f t="shared" si="43"/>
        <v>45.89</v>
      </c>
      <c r="I358" s="4">
        <f t="shared" si="42"/>
        <v>50</v>
      </c>
      <c r="J358" s="4">
        <v>0</v>
      </c>
      <c r="K358" s="4">
        <v>0</v>
      </c>
      <c r="L358" s="139" t="str">
        <f t="shared" si="39"/>
        <v xml:space="preserve"> </v>
      </c>
      <c r="M358" s="139" t="s">
        <v>867</v>
      </c>
      <c r="N358" s="139">
        <v>1.52</v>
      </c>
      <c r="O358" s="139">
        <f t="shared" si="41"/>
        <v>1.52</v>
      </c>
      <c r="P358" s="139" t="str">
        <f t="shared" si="40"/>
        <v xml:space="preserve"> </v>
      </c>
    </row>
    <row r="359" spans="1:16" x14ac:dyDescent="0.35">
      <c r="A359" s="14" t="s">
        <v>154</v>
      </c>
      <c r="B359" s="4">
        <v>14.3</v>
      </c>
      <c r="C359" s="4">
        <v>15.86</v>
      </c>
      <c r="D359" s="4">
        <v>28.33</v>
      </c>
      <c r="E359" s="4">
        <v>27.79</v>
      </c>
      <c r="F359" s="4">
        <v>31.52</v>
      </c>
      <c r="G359" s="4">
        <v>29.45</v>
      </c>
      <c r="H359" s="4">
        <f t="shared" si="43"/>
        <v>59.849999999999994</v>
      </c>
      <c r="I359" s="4">
        <f t="shared" si="42"/>
        <v>57.239999999999995</v>
      </c>
      <c r="J359" s="4">
        <v>1.51</v>
      </c>
      <c r="K359" s="4">
        <v>1.49</v>
      </c>
      <c r="L359" s="139" t="str">
        <f t="shared" si="39"/>
        <v xml:space="preserve"> </v>
      </c>
      <c r="M359" s="139">
        <v>1.51</v>
      </c>
      <c r="N359" s="139">
        <v>1.52</v>
      </c>
      <c r="O359" s="139">
        <f t="shared" si="41"/>
        <v>1.51</v>
      </c>
      <c r="P359" s="139">
        <f t="shared" si="40"/>
        <v>1.51</v>
      </c>
    </row>
    <row r="360" spans="1:16" x14ac:dyDescent="0.35">
      <c r="A360" s="14" t="s">
        <v>590</v>
      </c>
      <c r="B360" s="4">
        <v>7.24</v>
      </c>
      <c r="C360" s="4">
        <v>7.16</v>
      </c>
      <c r="D360" s="4">
        <v>29.07</v>
      </c>
      <c r="E360" s="4">
        <v>29.45</v>
      </c>
      <c r="F360" s="4">
        <v>28.1</v>
      </c>
      <c r="G360" s="4">
        <v>37.29</v>
      </c>
      <c r="H360" s="4">
        <f t="shared" si="43"/>
        <v>57.17</v>
      </c>
      <c r="I360" s="4">
        <f t="shared" si="42"/>
        <v>66.739999999999995</v>
      </c>
      <c r="J360" s="4">
        <v>0</v>
      </c>
      <c r="K360" s="4">
        <v>0</v>
      </c>
      <c r="L360" s="139" t="str">
        <f t="shared" si="39"/>
        <v xml:space="preserve"> </v>
      </c>
      <c r="M360" s="139" t="s">
        <v>867</v>
      </c>
      <c r="N360" s="139">
        <v>1.57</v>
      </c>
      <c r="O360" s="139">
        <f t="shared" si="41"/>
        <v>1.57</v>
      </c>
      <c r="P360" s="139" t="str">
        <f t="shared" si="40"/>
        <v xml:space="preserve"> </v>
      </c>
    </row>
    <row r="361" spans="1:16" x14ac:dyDescent="0.35">
      <c r="A361" s="14" t="s">
        <v>175</v>
      </c>
      <c r="B361" s="4">
        <v>11.69</v>
      </c>
      <c r="C361" s="4">
        <v>9.49</v>
      </c>
      <c r="D361" s="4">
        <v>26.85</v>
      </c>
      <c r="E361" s="4">
        <v>31.88</v>
      </c>
      <c r="F361" s="4">
        <v>24.7</v>
      </c>
      <c r="G361" s="4">
        <v>30.37</v>
      </c>
      <c r="H361" s="4">
        <f t="shared" si="43"/>
        <v>51.55</v>
      </c>
      <c r="I361" s="4">
        <f t="shared" si="42"/>
        <v>62.25</v>
      </c>
      <c r="J361" s="4">
        <v>1.52</v>
      </c>
      <c r="K361" s="4">
        <v>1.49</v>
      </c>
      <c r="L361" s="139" t="str">
        <f t="shared" si="39"/>
        <v xml:space="preserve"> </v>
      </c>
      <c r="M361" s="139">
        <v>1.52</v>
      </c>
      <c r="N361" s="139">
        <v>1.52</v>
      </c>
      <c r="O361" s="139">
        <f t="shared" si="41"/>
        <v>1.52</v>
      </c>
      <c r="P361" s="139">
        <f t="shared" si="40"/>
        <v>1.52</v>
      </c>
    </row>
    <row r="362" spans="1:16" x14ac:dyDescent="0.35">
      <c r="A362" s="14" t="s">
        <v>144</v>
      </c>
      <c r="B362" s="4">
        <v>6.82</v>
      </c>
      <c r="C362" s="4">
        <v>7.38</v>
      </c>
      <c r="D362" s="4">
        <v>36.82</v>
      </c>
      <c r="E362" s="4">
        <v>35.31</v>
      </c>
      <c r="F362" s="4">
        <v>40.799999999999997</v>
      </c>
      <c r="G362" s="4">
        <v>42.42</v>
      </c>
      <c r="H362" s="4">
        <f t="shared" si="43"/>
        <v>77.62</v>
      </c>
      <c r="I362" s="4">
        <f t="shared" si="42"/>
        <v>77.73</v>
      </c>
      <c r="J362" s="4">
        <v>1.65</v>
      </c>
      <c r="K362" s="4">
        <v>1.61</v>
      </c>
      <c r="L362" s="139" t="str">
        <f t="shared" si="39"/>
        <v xml:space="preserve"> </v>
      </c>
      <c r="M362" s="139">
        <v>1.65</v>
      </c>
      <c r="N362" s="139">
        <v>1.61</v>
      </c>
      <c r="O362" s="139">
        <f t="shared" si="41"/>
        <v>1.65</v>
      </c>
      <c r="P362" s="139">
        <f t="shared" si="40"/>
        <v>1.65</v>
      </c>
    </row>
    <row r="363" spans="1:16" x14ac:dyDescent="0.35">
      <c r="A363" s="14" t="s">
        <v>600</v>
      </c>
      <c r="B363" s="4">
        <v>11.82</v>
      </c>
      <c r="C363" s="4">
        <v>13.99</v>
      </c>
      <c r="D363" s="4">
        <v>36.619999999999997</v>
      </c>
      <c r="E363" s="4">
        <v>31.99</v>
      </c>
      <c r="F363" s="4">
        <v>13.37</v>
      </c>
      <c r="G363" s="4">
        <v>10.65</v>
      </c>
      <c r="H363" s="4">
        <f t="shared" si="43"/>
        <v>49.989999999999995</v>
      </c>
      <c r="I363" s="4">
        <f t="shared" si="42"/>
        <v>42.64</v>
      </c>
      <c r="J363" s="4">
        <v>1.56</v>
      </c>
      <c r="K363" s="4">
        <v>1.44</v>
      </c>
      <c r="L363" s="139" t="str">
        <f t="shared" si="39"/>
        <v xml:space="preserve"> </v>
      </c>
      <c r="M363" s="139">
        <v>1.56</v>
      </c>
      <c r="N363" s="139">
        <v>1.52</v>
      </c>
      <c r="O363" s="139">
        <f t="shared" si="41"/>
        <v>1.56</v>
      </c>
      <c r="P363" s="139">
        <f t="shared" si="40"/>
        <v>1.56</v>
      </c>
    </row>
    <row r="364" spans="1:16" x14ac:dyDescent="0.35">
      <c r="A364" s="14" t="s">
        <v>157</v>
      </c>
      <c r="B364" s="4">
        <v>12.47</v>
      </c>
      <c r="C364" s="4">
        <v>9.16</v>
      </c>
      <c r="D364" s="4">
        <v>30.38</v>
      </c>
      <c r="E364" s="4">
        <v>31.04</v>
      </c>
      <c r="F364" s="4">
        <v>43.5</v>
      </c>
      <c r="G364" s="4">
        <v>48.96</v>
      </c>
      <c r="H364" s="4">
        <f t="shared" si="43"/>
        <v>73.88</v>
      </c>
      <c r="I364" s="4">
        <f t="shared" si="42"/>
        <v>80</v>
      </c>
      <c r="J364" s="4">
        <v>1.52</v>
      </c>
      <c r="K364" s="4">
        <v>1.64</v>
      </c>
      <c r="L364" s="139" t="str">
        <f t="shared" si="39"/>
        <v xml:space="preserve"> </v>
      </c>
      <c r="M364" s="139">
        <v>1.52</v>
      </c>
      <c r="N364" s="139">
        <v>1.52</v>
      </c>
      <c r="O364" s="139">
        <f t="shared" si="41"/>
        <v>1.52</v>
      </c>
      <c r="P364" s="139">
        <f t="shared" si="40"/>
        <v>1.52</v>
      </c>
    </row>
    <row r="365" spans="1:16" x14ac:dyDescent="0.35">
      <c r="A365" s="14" t="s">
        <v>551</v>
      </c>
      <c r="B365" s="4">
        <v>11.24</v>
      </c>
      <c r="C365" s="4">
        <v>8.17</v>
      </c>
      <c r="D365" s="4">
        <v>19.16</v>
      </c>
      <c r="E365" s="4">
        <v>13.01</v>
      </c>
      <c r="F365" s="4">
        <v>20.41</v>
      </c>
      <c r="G365" s="4">
        <v>15.78</v>
      </c>
      <c r="H365" s="4">
        <f t="shared" si="43"/>
        <v>39.57</v>
      </c>
      <c r="I365" s="4">
        <f t="shared" si="42"/>
        <v>28.79</v>
      </c>
      <c r="J365" s="4">
        <v>0</v>
      </c>
      <c r="K365" s="4">
        <v>0</v>
      </c>
      <c r="L365" s="139" t="str">
        <f t="shared" si="39"/>
        <v xml:space="preserve"> </v>
      </c>
      <c r="M365" s="139" t="s">
        <v>867</v>
      </c>
      <c r="N365" s="139">
        <v>1.49</v>
      </c>
      <c r="O365" s="139">
        <f t="shared" si="41"/>
        <v>1.49</v>
      </c>
      <c r="P365" s="139" t="str">
        <f t="shared" si="40"/>
        <v xml:space="preserve"> </v>
      </c>
    </row>
    <row r="366" spans="1:16" x14ac:dyDescent="0.35">
      <c r="A366" s="14" t="s">
        <v>530</v>
      </c>
      <c r="B366" s="4">
        <v>8.18</v>
      </c>
      <c r="C366" s="4">
        <v>7.52</v>
      </c>
      <c r="D366" s="4">
        <v>19.8</v>
      </c>
      <c r="E366" s="4">
        <v>19.48</v>
      </c>
      <c r="F366" s="4">
        <v>48.55</v>
      </c>
      <c r="G366" s="4">
        <v>54.05</v>
      </c>
      <c r="H366" s="4">
        <f t="shared" si="43"/>
        <v>68.349999999999994</v>
      </c>
      <c r="I366" s="4">
        <f t="shared" si="42"/>
        <v>73.53</v>
      </c>
      <c r="J366" s="4">
        <v>0</v>
      </c>
      <c r="K366" s="4">
        <v>0</v>
      </c>
      <c r="L366" s="139" t="str">
        <f t="shared" si="39"/>
        <v xml:space="preserve"> </v>
      </c>
      <c r="M366" s="139" t="s">
        <v>867</v>
      </c>
      <c r="N366" s="139">
        <v>1.61</v>
      </c>
      <c r="O366" s="139">
        <f t="shared" si="41"/>
        <v>1.61</v>
      </c>
      <c r="P366" s="139" t="str">
        <f t="shared" si="40"/>
        <v xml:space="preserve"> </v>
      </c>
    </row>
    <row r="367" spans="1:16" x14ac:dyDescent="0.35">
      <c r="A367" s="14" t="s">
        <v>533</v>
      </c>
      <c r="B367" s="4">
        <v>20.94</v>
      </c>
      <c r="C367" s="4">
        <v>17.420000000000002</v>
      </c>
      <c r="D367" s="4">
        <v>35.549999999999997</v>
      </c>
      <c r="E367" s="4">
        <v>40.5</v>
      </c>
      <c r="F367" s="4">
        <v>17.02</v>
      </c>
      <c r="G367" s="4">
        <v>17.64</v>
      </c>
      <c r="H367" s="4">
        <f t="shared" si="43"/>
        <v>52.569999999999993</v>
      </c>
      <c r="I367" s="4">
        <f t="shared" si="42"/>
        <v>58.14</v>
      </c>
      <c r="J367" s="4">
        <v>0</v>
      </c>
      <c r="K367" s="4">
        <v>0</v>
      </c>
      <c r="L367" s="139" t="str">
        <f t="shared" si="39"/>
        <v xml:space="preserve"> </v>
      </c>
      <c r="M367" s="139" t="s">
        <v>867</v>
      </c>
      <c r="N367" s="139">
        <v>1.41</v>
      </c>
      <c r="O367" s="139">
        <f t="shared" si="41"/>
        <v>1.41</v>
      </c>
      <c r="P367" s="139" t="str">
        <f t="shared" si="40"/>
        <v xml:space="preserve"> </v>
      </c>
    </row>
    <row r="368" spans="1:16" x14ac:dyDescent="0.35">
      <c r="A368" s="14" t="s">
        <v>563</v>
      </c>
      <c r="B368" s="4">
        <v>14.59</v>
      </c>
      <c r="C368" s="4">
        <v>15.4</v>
      </c>
      <c r="D368" s="4">
        <v>27.92</v>
      </c>
      <c r="E368" s="4">
        <v>26.46</v>
      </c>
      <c r="F368" s="4">
        <v>26.06</v>
      </c>
      <c r="G368" s="4">
        <v>25.34</v>
      </c>
      <c r="H368" s="4">
        <f t="shared" si="43"/>
        <v>53.980000000000004</v>
      </c>
      <c r="I368" s="4">
        <f t="shared" si="42"/>
        <v>51.8</v>
      </c>
      <c r="J368" s="4">
        <v>0</v>
      </c>
      <c r="K368" s="4">
        <v>0</v>
      </c>
      <c r="L368" s="139" t="str">
        <f t="shared" si="39"/>
        <v xml:space="preserve"> </v>
      </c>
      <c r="M368" s="139" t="s">
        <v>867</v>
      </c>
      <c r="N368" s="139">
        <v>1.52</v>
      </c>
      <c r="O368" s="139">
        <f t="shared" si="41"/>
        <v>1.52</v>
      </c>
      <c r="P368" s="139" t="str">
        <f t="shared" si="40"/>
        <v xml:space="preserve"> </v>
      </c>
    </row>
    <row r="369" spans="1:16" x14ac:dyDescent="0.35">
      <c r="A369" s="14" t="s">
        <v>532</v>
      </c>
      <c r="B369" s="4">
        <v>13.74</v>
      </c>
      <c r="C369" s="4">
        <v>14.46</v>
      </c>
      <c r="D369" s="4">
        <v>17.89</v>
      </c>
      <c r="E369" s="4">
        <v>18.87</v>
      </c>
      <c r="F369" s="4">
        <v>23.94</v>
      </c>
      <c r="G369" s="4">
        <v>21.7</v>
      </c>
      <c r="H369" s="4">
        <f t="shared" si="43"/>
        <v>41.83</v>
      </c>
      <c r="I369" s="4">
        <f t="shared" si="42"/>
        <v>40.57</v>
      </c>
      <c r="J369" s="4">
        <v>1.48</v>
      </c>
      <c r="K369" s="4">
        <v>1.45</v>
      </c>
      <c r="L369" s="139" t="str">
        <f t="shared" si="39"/>
        <v xml:space="preserve"> </v>
      </c>
      <c r="M369" s="139">
        <v>1.48</v>
      </c>
      <c r="N369" s="139">
        <v>1.52</v>
      </c>
      <c r="O369" s="139">
        <f t="shared" si="41"/>
        <v>1.48</v>
      </c>
      <c r="P369" s="139">
        <f t="shared" si="40"/>
        <v>1.48</v>
      </c>
    </row>
    <row r="370" spans="1:16" x14ac:dyDescent="0.35">
      <c r="A370" s="14" t="s">
        <v>507</v>
      </c>
      <c r="B370" s="4">
        <v>14.78</v>
      </c>
      <c r="C370" s="4">
        <v>19.72</v>
      </c>
      <c r="D370" s="4">
        <v>20.83</v>
      </c>
      <c r="E370" s="4">
        <v>19.36</v>
      </c>
      <c r="F370" s="4">
        <v>22.33</v>
      </c>
      <c r="G370" s="4">
        <v>19.760000000000002</v>
      </c>
      <c r="H370" s="4">
        <f t="shared" si="43"/>
        <v>43.16</v>
      </c>
      <c r="I370" s="4">
        <f t="shared" si="42"/>
        <v>39.120000000000005</v>
      </c>
      <c r="J370" s="4">
        <v>0</v>
      </c>
      <c r="K370" s="4">
        <v>0</v>
      </c>
      <c r="L370" s="139" t="str">
        <f t="shared" si="39"/>
        <v xml:space="preserve"> </v>
      </c>
      <c r="M370" s="139" t="s">
        <v>867</v>
      </c>
      <c r="N370" s="139">
        <v>1.52</v>
      </c>
      <c r="O370" s="139">
        <f t="shared" si="41"/>
        <v>1.52</v>
      </c>
      <c r="P370" s="139" t="str">
        <f t="shared" si="40"/>
        <v xml:space="preserve"> </v>
      </c>
    </row>
    <row r="371" spans="1:16" x14ac:dyDescent="0.35">
      <c r="A371" s="14" t="s">
        <v>552</v>
      </c>
      <c r="B371" s="4">
        <v>13.96</v>
      </c>
      <c r="C371" s="4">
        <v>15.04</v>
      </c>
      <c r="D371" s="4">
        <v>20.190000000000001</v>
      </c>
      <c r="E371" s="4">
        <v>18.25</v>
      </c>
      <c r="F371" s="4">
        <v>38.32</v>
      </c>
      <c r="G371" s="4">
        <v>45.09</v>
      </c>
      <c r="H371" s="4">
        <f t="shared" si="43"/>
        <v>58.510000000000005</v>
      </c>
      <c r="I371" s="4">
        <f t="shared" si="42"/>
        <v>63.34</v>
      </c>
      <c r="J371" s="4">
        <v>0</v>
      </c>
      <c r="K371" s="4">
        <v>0</v>
      </c>
      <c r="L371" s="139" t="str">
        <f t="shared" si="39"/>
        <v xml:space="preserve"> </v>
      </c>
      <c r="M371" s="139" t="s">
        <v>867</v>
      </c>
      <c r="N371" s="139">
        <v>1.52</v>
      </c>
      <c r="O371" s="139">
        <f t="shared" si="41"/>
        <v>1.52</v>
      </c>
      <c r="P371" s="139" t="str">
        <f t="shared" si="40"/>
        <v xml:space="preserve"> </v>
      </c>
    </row>
    <row r="372" spans="1:16" x14ac:dyDescent="0.35">
      <c r="A372" s="14" t="s">
        <v>558</v>
      </c>
      <c r="B372" s="4">
        <v>6.44</v>
      </c>
      <c r="C372" s="4">
        <v>4.32</v>
      </c>
      <c r="D372" s="4">
        <v>20.37</v>
      </c>
      <c r="E372" s="4">
        <v>13.18</v>
      </c>
      <c r="F372" s="4">
        <v>63.04</v>
      </c>
      <c r="G372" s="4">
        <v>46.72</v>
      </c>
      <c r="H372" s="4">
        <f t="shared" si="43"/>
        <v>83.41</v>
      </c>
      <c r="I372" s="4">
        <f t="shared" si="42"/>
        <v>59.9</v>
      </c>
      <c r="J372" s="4">
        <v>0</v>
      </c>
      <c r="K372" s="4">
        <v>0</v>
      </c>
      <c r="L372" s="139" t="str">
        <f t="shared" si="39"/>
        <v xml:space="preserve"> </v>
      </c>
      <c r="M372" s="139" t="s">
        <v>867</v>
      </c>
      <c r="N372" s="139">
        <v>1.61</v>
      </c>
      <c r="O372" s="139">
        <f t="shared" si="41"/>
        <v>1.61</v>
      </c>
      <c r="P372" s="139" t="str">
        <f t="shared" si="40"/>
        <v xml:space="preserve"> </v>
      </c>
    </row>
    <row r="373" spans="1:16" x14ac:dyDescent="0.35">
      <c r="A373" s="14" t="s">
        <v>110</v>
      </c>
      <c r="B373" s="4">
        <v>7.45</v>
      </c>
      <c r="C373" s="4">
        <v>7.21</v>
      </c>
      <c r="D373" s="4">
        <v>38.58</v>
      </c>
      <c r="E373" s="4">
        <v>39.29</v>
      </c>
      <c r="F373" s="4">
        <v>34.770000000000003</v>
      </c>
      <c r="G373" s="4">
        <v>36.18</v>
      </c>
      <c r="H373" s="4">
        <f t="shared" si="43"/>
        <v>73.349999999999994</v>
      </c>
      <c r="I373" s="4">
        <f t="shared" si="42"/>
        <v>75.47</v>
      </c>
      <c r="J373" s="4">
        <v>0</v>
      </c>
      <c r="K373" s="4">
        <v>0</v>
      </c>
      <c r="L373" s="139" t="str">
        <f t="shared" si="39"/>
        <v xml:space="preserve"> </v>
      </c>
      <c r="M373" s="139" t="s">
        <v>867</v>
      </c>
      <c r="N373" s="139">
        <v>1.61</v>
      </c>
      <c r="O373" s="139">
        <f t="shared" si="41"/>
        <v>1.61</v>
      </c>
      <c r="P373" s="139" t="str">
        <f t="shared" si="40"/>
        <v xml:space="preserve"> </v>
      </c>
    </row>
    <row r="374" spans="1:16" x14ac:dyDescent="0.35">
      <c r="A374" s="14" t="s">
        <v>527</v>
      </c>
      <c r="B374" s="4">
        <v>13.11</v>
      </c>
      <c r="C374" s="4">
        <v>16.28</v>
      </c>
      <c r="D374" s="4">
        <v>12.24</v>
      </c>
      <c r="E374" s="4">
        <v>11.67</v>
      </c>
      <c r="F374" s="4">
        <v>9.64</v>
      </c>
      <c r="G374" s="4">
        <v>14.72</v>
      </c>
      <c r="H374" s="4">
        <f t="shared" si="43"/>
        <v>21.880000000000003</v>
      </c>
      <c r="I374" s="4">
        <f t="shared" si="42"/>
        <v>26.39</v>
      </c>
      <c r="J374" s="4">
        <v>1.43</v>
      </c>
      <c r="K374" s="4">
        <v>1.46</v>
      </c>
      <c r="L374" s="139" t="str">
        <f t="shared" si="39"/>
        <v xml:space="preserve"> </v>
      </c>
      <c r="M374" s="139">
        <v>1.43</v>
      </c>
      <c r="N374" s="139">
        <v>1.49</v>
      </c>
      <c r="O374" s="139">
        <f t="shared" si="41"/>
        <v>1.43</v>
      </c>
      <c r="P374" s="139">
        <f t="shared" si="40"/>
        <v>1.43</v>
      </c>
    </row>
    <row r="375" spans="1:16" x14ac:dyDescent="0.35">
      <c r="A375" s="14" t="s">
        <v>114</v>
      </c>
      <c r="B375" s="4">
        <v>18.77</v>
      </c>
      <c r="C375" s="4">
        <v>27.01</v>
      </c>
      <c r="D375" s="4">
        <v>16.100000000000001</v>
      </c>
      <c r="E375" s="4">
        <v>13.69</v>
      </c>
      <c r="F375" s="4">
        <v>25.2</v>
      </c>
      <c r="G375" s="4">
        <v>20</v>
      </c>
      <c r="H375" s="4">
        <f t="shared" si="43"/>
        <v>41.3</v>
      </c>
      <c r="I375" s="4">
        <f t="shared" si="42"/>
        <v>33.69</v>
      </c>
      <c r="J375" s="4">
        <v>0</v>
      </c>
      <c r="K375" s="4">
        <v>0</v>
      </c>
      <c r="L375" s="139" t="str">
        <f t="shared" si="39"/>
        <v xml:space="preserve"> </v>
      </c>
      <c r="M375" s="139" t="s">
        <v>867</v>
      </c>
      <c r="N375" s="139">
        <v>1.52</v>
      </c>
      <c r="O375" s="139">
        <f t="shared" si="41"/>
        <v>1.52</v>
      </c>
      <c r="P375" s="139" t="str">
        <f t="shared" si="40"/>
        <v xml:space="preserve"> </v>
      </c>
    </row>
    <row r="376" spans="1:16" x14ac:dyDescent="0.35">
      <c r="A376" s="14" t="s">
        <v>125</v>
      </c>
      <c r="B376" s="4">
        <v>8.86</v>
      </c>
      <c r="C376" s="4">
        <v>9.18</v>
      </c>
      <c r="D376" s="4">
        <v>20.78</v>
      </c>
      <c r="E376" s="4">
        <v>21.34</v>
      </c>
      <c r="F376" s="4">
        <v>46.72</v>
      </c>
      <c r="G376" s="4">
        <v>45.56</v>
      </c>
      <c r="H376" s="4">
        <f t="shared" si="43"/>
        <v>67.5</v>
      </c>
      <c r="I376" s="4">
        <f t="shared" si="42"/>
        <v>66.900000000000006</v>
      </c>
      <c r="J376" s="4">
        <v>0</v>
      </c>
      <c r="K376" s="4">
        <v>0</v>
      </c>
      <c r="L376" s="139" t="str">
        <f t="shared" si="39"/>
        <v xml:space="preserve"> </v>
      </c>
      <c r="M376" s="139" t="s">
        <v>867</v>
      </c>
      <c r="N376" s="139">
        <v>1.61</v>
      </c>
      <c r="O376" s="139">
        <f t="shared" si="41"/>
        <v>1.61</v>
      </c>
      <c r="P376" s="139" t="str">
        <f t="shared" si="40"/>
        <v xml:space="preserve"> </v>
      </c>
    </row>
    <row r="377" spans="1:16" x14ac:dyDescent="0.35">
      <c r="A377" s="14" t="s">
        <v>115</v>
      </c>
      <c r="B377" s="4">
        <v>14.72</v>
      </c>
      <c r="C377" s="4">
        <v>15.06</v>
      </c>
      <c r="D377" s="4">
        <v>23.02</v>
      </c>
      <c r="E377" s="4">
        <v>22.16</v>
      </c>
      <c r="F377" s="4">
        <v>23.53</v>
      </c>
      <c r="G377" s="4">
        <v>26.5</v>
      </c>
      <c r="H377" s="4">
        <f t="shared" si="43"/>
        <v>46.55</v>
      </c>
      <c r="I377" s="4">
        <f t="shared" si="42"/>
        <v>48.66</v>
      </c>
      <c r="J377" s="4">
        <v>0</v>
      </c>
      <c r="K377" s="4">
        <v>0</v>
      </c>
      <c r="L377" s="139" t="str">
        <f t="shared" si="39"/>
        <v xml:space="preserve"> </v>
      </c>
      <c r="M377" s="139" t="s">
        <v>867</v>
      </c>
      <c r="N377" s="139">
        <v>1.52</v>
      </c>
      <c r="O377" s="139">
        <f t="shared" si="41"/>
        <v>1.52</v>
      </c>
      <c r="P377" s="139" t="str">
        <f t="shared" si="40"/>
        <v xml:space="preserve"> </v>
      </c>
    </row>
    <row r="378" spans="1:16" x14ac:dyDescent="0.35">
      <c r="A378" s="14" t="s">
        <v>113</v>
      </c>
      <c r="B378" s="4">
        <v>12.23</v>
      </c>
      <c r="C378" s="4">
        <v>11.62</v>
      </c>
      <c r="D378" s="4">
        <v>32.64</v>
      </c>
      <c r="E378" s="4">
        <v>34.03</v>
      </c>
      <c r="F378" s="4">
        <v>19.12</v>
      </c>
      <c r="G378" s="4">
        <v>19.98</v>
      </c>
      <c r="H378" s="4">
        <f t="shared" si="43"/>
        <v>51.760000000000005</v>
      </c>
      <c r="I378" s="4">
        <f t="shared" si="42"/>
        <v>54.010000000000005</v>
      </c>
      <c r="J378" s="4">
        <v>0</v>
      </c>
      <c r="K378" s="4">
        <v>0</v>
      </c>
      <c r="L378" s="139" t="str">
        <f t="shared" si="39"/>
        <v xml:space="preserve"> </v>
      </c>
      <c r="M378" s="139" t="s">
        <v>867</v>
      </c>
      <c r="N378" s="139">
        <v>1.52</v>
      </c>
      <c r="O378" s="139">
        <f t="shared" si="41"/>
        <v>1.52</v>
      </c>
      <c r="P378" s="139" t="str">
        <f t="shared" si="40"/>
        <v xml:space="preserve"> </v>
      </c>
    </row>
    <row r="379" spans="1:16" x14ac:dyDescent="0.35">
      <c r="A379" s="14" t="s">
        <v>109</v>
      </c>
      <c r="B379" s="4">
        <v>12.89</v>
      </c>
      <c r="C379" s="4">
        <v>22.24</v>
      </c>
      <c r="D379" s="4">
        <v>20.69</v>
      </c>
      <c r="E379" s="4">
        <v>15.1</v>
      </c>
      <c r="F379" s="4">
        <v>20.98</v>
      </c>
      <c r="G379" s="4">
        <v>18.64</v>
      </c>
      <c r="H379" s="4">
        <f t="shared" si="43"/>
        <v>41.67</v>
      </c>
      <c r="I379" s="4">
        <f t="shared" si="42"/>
        <v>33.74</v>
      </c>
      <c r="J379" s="4">
        <v>1.57</v>
      </c>
      <c r="K379" s="4">
        <v>1.31</v>
      </c>
      <c r="L379" s="139" t="str">
        <f t="shared" si="39"/>
        <v xml:space="preserve"> </v>
      </c>
      <c r="M379" s="139">
        <v>1.57</v>
      </c>
      <c r="N379" s="139">
        <v>1.52</v>
      </c>
      <c r="O379" s="139">
        <f t="shared" si="41"/>
        <v>1.57</v>
      </c>
      <c r="P379" s="139">
        <f t="shared" si="40"/>
        <v>1.57</v>
      </c>
    </row>
    <row r="380" spans="1:16" x14ac:dyDescent="0.35">
      <c r="A380" s="14" t="s">
        <v>548</v>
      </c>
      <c r="B380" s="4">
        <v>14.45</v>
      </c>
      <c r="C380" s="4">
        <v>21.92</v>
      </c>
      <c r="D380" s="4">
        <v>30.95</v>
      </c>
      <c r="E380" s="4">
        <v>27.95</v>
      </c>
      <c r="F380" s="4">
        <v>16.16</v>
      </c>
      <c r="G380" s="4">
        <v>18.079999999999998</v>
      </c>
      <c r="H380" s="4">
        <f t="shared" si="43"/>
        <v>47.11</v>
      </c>
      <c r="I380" s="4">
        <f t="shared" si="42"/>
        <v>46.03</v>
      </c>
      <c r="J380" s="4">
        <v>0</v>
      </c>
      <c r="K380" s="4">
        <v>0</v>
      </c>
      <c r="L380" s="139" t="str">
        <f t="shared" si="39"/>
        <v xml:space="preserve"> </v>
      </c>
      <c r="M380" s="139" t="s">
        <v>867</v>
      </c>
      <c r="N380" s="139">
        <v>1.52</v>
      </c>
      <c r="O380" s="139">
        <f t="shared" si="41"/>
        <v>1.52</v>
      </c>
      <c r="P380" s="139" t="str">
        <f t="shared" si="40"/>
        <v xml:space="preserve"> </v>
      </c>
    </row>
    <row r="381" spans="1:16" x14ac:dyDescent="0.35">
      <c r="A381" s="14" t="s">
        <v>121</v>
      </c>
      <c r="B381" s="4">
        <v>6.16</v>
      </c>
      <c r="C381" s="4">
        <v>5.21</v>
      </c>
      <c r="D381" s="4">
        <v>17.399999999999999</v>
      </c>
      <c r="E381" s="4">
        <v>20.170000000000002</v>
      </c>
      <c r="F381" s="4">
        <v>58.19</v>
      </c>
      <c r="G381" s="4">
        <v>61.13</v>
      </c>
      <c r="H381" s="4">
        <f t="shared" si="43"/>
        <v>75.59</v>
      </c>
      <c r="I381" s="4">
        <f t="shared" si="42"/>
        <v>81.300000000000011</v>
      </c>
      <c r="J381" s="4">
        <v>0</v>
      </c>
      <c r="K381" s="4">
        <v>0</v>
      </c>
      <c r="L381" s="139" t="str">
        <f t="shared" si="39"/>
        <v xml:space="preserve"> </v>
      </c>
      <c r="M381" s="139" t="s">
        <v>867</v>
      </c>
      <c r="N381" s="139">
        <v>1.61</v>
      </c>
      <c r="O381" s="139">
        <f t="shared" si="41"/>
        <v>1.61</v>
      </c>
      <c r="P381" s="139" t="str">
        <f t="shared" si="40"/>
        <v xml:space="preserve"> </v>
      </c>
    </row>
    <row r="382" spans="1:16" x14ac:dyDescent="0.35">
      <c r="A382" s="14" t="s">
        <v>547</v>
      </c>
      <c r="B382" s="4">
        <v>12.38</v>
      </c>
      <c r="C382" s="4">
        <v>16.940000000000001</v>
      </c>
      <c r="D382" s="4">
        <v>26.05</v>
      </c>
      <c r="E382" s="4">
        <v>24</v>
      </c>
      <c r="F382" s="4">
        <v>6.41</v>
      </c>
      <c r="G382" s="4">
        <v>5.1100000000000003</v>
      </c>
      <c r="H382" s="4">
        <f t="shared" si="43"/>
        <v>32.46</v>
      </c>
      <c r="I382" s="4">
        <f t="shared" si="42"/>
        <v>29.11</v>
      </c>
      <c r="J382" s="4">
        <v>0</v>
      </c>
      <c r="K382" s="4">
        <v>0</v>
      </c>
      <c r="L382" s="139" t="str">
        <f t="shared" si="39"/>
        <v xml:space="preserve"> </v>
      </c>
      <c r="M382" s="139" t="s">
        <v>867</v>
      </c>
      <c r="N382" s="139">
        <v>1.49</v>
      </c>
      <c r="O382" s="139">
        <f t="shared" si="41"/>
        <v>1.49</v>
      </c>
      <c r="P382" s="139" t="str">
        <f t="shared" si="40"/>
        <v xml:space="preserve"> </v>
      </c>
    </row>
    <row r="383" spans="1:16" x14ac:dyDescent="0.35">
      <c r="A383" s="14" t="s">
        <v>192</v>
      </c>
      <c r="B383" s="4">
        <v>16.04</v>
      </c>
      <c r="C383" s="4">
        <v>20.52</v>
      </c>
      <c r="D383" s="4">
        <v>13.66</v>
      </c>
      <c r="E383" s="4">
        <v>13.49</v>
      </c>
      <c r="F383" s="4">
        <v>8.07</v>
      </c>
      <c r="G383" s="4">
        <v>8.44</v>
      </c>
      <c r="H383" s="4">
        <f t="shared" si="43"/>
        <v>21.73</v>
      </c>
      <c r="I383" s="4">
        <f t="shared" si="42"/>
        <v>21.93</v>
      </c>
      <c r="J383" s="4">
        <v>0</v>
      </c>
      <c r="K383" s="4">
        <v>0</v>
      </c>
      <c r="L383" s="139" t="str">
        <f t="shared" si="39"/>
        <v xml:space="preserve"> </v>
      </c>
      <c r="M383" s="139" t="s">
        <v>867</v>
      </c>
      <c r="N383" s="139">
        <v>1.49</v>
      </c>
      <c r="O383" s="139">
        <f t="shared" si="41"/>
        <v>1.49</v>
      </c>
      <c r="P383" s="139" t="str">
        <f t="shared" si="40"/>
        <v xml:space="preserve"> </v>
      </c>
    </row>
    <row r="384" spans="1:16" x14ac:dyDescent="0.35">
      <c r="A384" s="14" t="s">
        <v>204</v>
      </c>
      <c r="B384" s="4">
        <v>11.38</v>
      </c>
      <c r="C384" s="4">
        <v>16.22</v>
      </c>
      <c r="D384" s="4">
        <v>48.95</v>
      </c>
      <c r="E384" s="4">
        <v>46.04</v>
      </c>
      <c r="F384" s="4">
        <v>3.8</v>
      </c>
      <c r="G384" s="4">
        <v>2.73</v>
      </c>
      <c r="H384" s="4">
        <f t="shared" si="43"/>
        <v>52.75</v>
      </c>
      <c r="I384" s="4">
        <f t="shared" si="42"/>
        <v>48.769999999999996</v>
      </c>
      <c r="J384" s="4">
        <v>0</v>
      </c>
      <c r="K384" s="4">
        <v>0</v>
      </c>
      <c r="L384" s="139" t="str">
        <f t="shared" si="39"/>
        <v xml:space="preserve"> </v>
      </c>
      <c r="M384" s="139" t="s">
        <v>867</v>
      </c>
      <c r="N384" s="139">
        <v>1.52</v>
      </c>
      <c r="O384" s="139">
        <f t="shared" si="41"/>
        <v>1.52</v>
      </c>
      <c r="P384" s="139" t="str">
        <f t="shared" si="40"/>
        <v xml:space="preserve"> </v>
      </c>
    </row>
    <row r="385" spans="1:16" x14ac:dyDescent="0.35">
      <c r="A385" s="14" t="s">
        <v>56</v>
      </c>
      <c r="B385" s="4">
        <v>24.57</v>
      </c>
      <c r="C385" s="4">
        <v>30.02</v>
      </c>
      <c r="D385" s="4">
        <v>33.130000000000003</v>
      </c>
      <c r="E385" s="4">
        <v>33.15</v>
      </c>
      <c r="F385" s="4">
        <v>2.58</v>
      </c>
      <c r="G385" s="4">
        <v>2.2799999999999998</v>
      </c>
      <c r="H385" s="4">
        <f t="shared" si="43"/>
        <v>35.71</v>
      </c>
      <c r="I385" s="4">
        <f t="shared" si="42"/>
        <v>35.43</v>
      </c>
      <c r="J385" s="4">
        <v>0</v>
      </c>
      <c r="K385" s="4">
        <v>0</v>
      </c>
      <c r="L385" s="139" t="str">
        <f t="shared" si="39"/>
        <v xml:space="preserve"> </v>
      </c>
      <c r="M385" s="139" t="s">
        <v>867</v>
      </c>
      <c r="N385" s="139">
        <v>1.35</v>
      </c>
      <c r="O385" s="139">
        <f t="shared" si="41"/>
        <v>1.35</v>
      </c>
      <c r="P385" s="139" t="str">
        <f t="shared" si="40"/>
        <v xml:space="preserve"> </v>
      </c>
    </row>
    <row r="386" spans="1:16" x14ac:dyDescent="0.35">
      <c r="A386" s="14" t="s">
        <v>57</v>
      </c>
      <c r="B386" s="4">
        <v>25.7</v>
      </c>
      <c r="C386" s="4">
        <v>35.31</v>
      </c>
      <c r="D386" s="4">
        <v>13.13</v>
      </c>
      <c r="E386" s="4">
        <v>11.39</v>
      </c>
      <c r="F386" s="4">
        <v>2.83</v>
      </c>
      <c r="G386" s="4">
        <v>3.15</v>
      </c>
      <c r="H386" s="4">
        <f t="shared" si="43"/>
        <v>15.96</v>
      </c>
      <c r="I386" s="4">
        <f t="shared" si="42"/>
        <v>14.540000000000001</v>
      </c>
      <c r="J386" s="4">
        <v>1.35</v>
      </c>
      <c r="K386" s="4">
        <v>1.24</v>
      </c>
      <c r="L386" s="139" t="str">
        <f t="shared" si="39"/>
        <v xml:space="preserve"> </v>
      </c>
      <c r="M386" s="139">
        <v>1.35</v>
      </c>
      <c r="N386" s="139">
        <v>1.32</v>
      </c>
      <c r="O386" s="139">
        <f t="shared" si="41"/>
        <v>1.35</v>
      </c>
      <c r="P386" s="139">
        <f t="shared" si="40"/>
        <v>1.35</v>
      </c>
    </row>
    <row r="387" spans="1:16" x14ac:dyDescent="0.35">
      <c r="A387" s="14" t="s">
        <v>178</v>
      </c>
      <c r="B387" s="4">
        <v>23.57</v>
      </c>
      <c r="C387" s="4">
        <v>30.94</v>
      </c>
      <c r="D387" s="4">
        <v>26.7</v>
      </c>
      <c r="E387" s="4">
        <v>23.45</v>
      </c>
      <c r="F387" s="4">
        <v>7.13</v>
      </c>
      <c r="G387" s="4">
        <v>5.49</v>
      </c>
      <c r="H387" s="4">
        <f t="shared" si="43"/>
        <v>33.83</v>
      </c>
      <c r="I387" s="4">
        <f t="shared" si="42"/>
        <v>28.939999999999998</v>
      </c>
      <c r="J387" s="4">
        <v>1.39</v>
      </c>
      <c r="K387" s="4">
        <v>1.3</v>
      </c>
      <c r="L387" s="139" t="str">
        <f t="shared" si="39"/>
        <v xml:space="preserve"> </v>
      </c>
      <c r="M387" s="139">
        <v>1.39</v>
      </c>
      <c r="N387" s="139">
        <v>1.35</v>
      </c>
      <c r="O387" s="139">
        <f t="shared" si="41"/>
        <v>1.39</v>
      </c>
      <c r="P387" s="139">
        <f t="shared" si="40"/>
        <v>1.39</v>
      </c>
    </row>
    <row r="388" spans="1:16" x14ac:dyDescent="0.35">
      <c r="A388" s="14" t="s">
        <v>193</v>
      </c>
      <c r="B388" s="4">
        <v>10.94</v>
      </c>
      <c r="C388" s="4">
        <v>10.45</v>
      </c>
      <c r="D388" s="4">
        <v>28.57</v>
      </c>
      <c r="E388" s="4">
        <v>28.08</v>
      </c>
      <c r="F388" s="4">
        <v>26.48</v>
      </c>
      <c r="G388" s="4">
        <v>24.42</v>
      </c>
      <c r="H388" s="4">
        <f t="shared" si="43"/>
        <v>55.05</v>
      </c>
      <c r="I388" s="4">
        <f t="shared" si="42"/>
        <v>52.5</v>
      </c>
      <c r="J388" s="4">
        <v>0</v>
      </c>
      <c r="K388" s="4">
        <v>0</v>
      </c>
      <c r="L388" s="139" t="str">
        <f t="shared" si="39"/>
        <v xml:space="preserve"> </v>
      </c>
      <c r="M388" s="139" t="s">
        <v>867</v>
      </c>
      <c r="N388" s="139">
        <v>1.52</v>
      </c>
      <c r="O388" s="139">
        <f t="shared" si="41"/>
        <v>1.52</v>
      </c>
      <c r="P388" s="139" t="str">
        <f t="shared" si="40"/>
        <v xml:space="preserve"> </v>
      </c>
    </row>
    <row r="389" spans="1:16" x14ac:dyDescent="0.35">
      <c r="A389" s="14" t="s">
        <v>181</v>
      </c>
      <c r="B389" s="4">
        <v>19.329999999999998</v>
      </c>
      <c r="C389" s="4">
        <v>21.13</v>
      </c>
      <c r="D389" s="4">
        <v>23.25</v>
      </c>
      <c r="E389" s="4">
        <v>24.16</v>
      </c>
      <c r="F389" s="4">
        <v>9.1</v>
      </c>
      <c r="G389" s="4">
        <v>9.0500000000000007</v>
      </c>
      <c r="H389" s="4">
        <f t="shared" si="43"/>
        <v>32.35</v>
      </c>
      <c r="I389" s="4">
        <f t="shared" si="42"/>
        <v>33.21</v>
      </c>
      <c r="J389" s="4">
        <v>0</v>
      </c>
      <c r="K389" s="4">
        <v>0</v>
      </c>
      <c r="L389" s="139" t="str">
        <f t="shared" si="39"/>
        <v xml:space="preserve"> </v>
      </c>
      <c r="M389" s="139" t="s">
        <v>867</v>
      </c>
      <c r="N389" s="139">
        <v>1.49</v>
      </c>
      <c r="O389" s="139">
        <f t="shared" si="41"/>
        <v>1.49</v>
      </c>
      <c r="P389" s="139" t="str">
        <f t="shared" si="40"/>
        <v xml:space="preserve"> </v>
      </c>
    </row>
    <row r="390" spans="1:16" x14ac:dyDescent="0.35">
      <c r="A390" s="14" t="s">
        <v>182</v>
      </c>
      <c r="B390" s="4">
        <v>21.85</v>
      </c>
      <c r="C390" s="4">
        <v>30.74</v>
      </c>
      <c r="D390" s="4">
        <v>28.07</v>
      </c>
      <c r="E390" s="4">
        <v>24.78</v>
      </c>
      <c r="F390" s="4">
        <v>12.32</v>
      </c>
      <c r="G390" s="4">
        <v>13</v>
      </c>
      <c r="H390" s="4">
        <f t="shared" si="43"/>
        <v>40.39</v>
      </c>
      <c r="I390" s="4">
        <f t="shared" si="42"/>
        <v>37.78</v>
      </c>
      <c r="J390" s="4">
        <v>0</v>
      </c>
      <c r="K390" s="4">
        <v>0</v>
      </c>
      <c r="L390" s="139" t="str">
        <f t="shared" si="39"/>
        <v xml:space="preserve"> </v>
      </c>
      <c r="M390" s="139" t="s">
        <v>867</v>
      </c>
      <c r="N390" s="139">
        <v>1.41</v>
      </c>
      <c r="O390" s="139">
        <f t="shared" si="41"/>
        <v>1.41</v>
      </c>
      <c r="P390" s="139" t="str">
        <f t="shared" si="40"/>
        <v xml:space="preserve"> </v>
      </c>
    </row>
    <row r="391" spans="1:16" x14ac:dyDescent="0.35">
      <c r="A391" s="14" t="s">
        <v>203</v>
      </c>
      <c r="B391" s="4">
        <v>28.92</v>
      </c>
      <c r="C391" s="4">
        <v>26.74</v>
      </c>
      <c r="D391" s="4">
        <v>32.19</v>
      </c>
      <c r="E391" s="4">
        <v>31.44</v>
      </c>
      <c r="F391" s="4">
        <v>12.59</v>
      </c>
      <c r="G391" s="4">
        <v>16.25</v>
      </c>
      <c r="H391" s="4">
        <f t="shared" si="43"/>
        <v>44.78</v>
      </c>
      <c r="I391" s="4">
        <f t="shared" si="42"/>
        <v>47.69</v>
      </c>
      <c r="J391" s="4">
        <v>0</v>
      </c>
      <c r="K391" s="4">
        <v>0</v>
      </c>
      <c r="L391" s="139" t="str">
        <f t="shared" ref="L391:L454" si="44">IF(AND($B391&lt;L$3,$B391&gt;L$2,$H391&lt;L$5,$H391&gt;L$4),$J391," ")</f>
        <v xml:space="preserve"> </v>
      </c>
      <c r="M391" s="139" t="s">
        <v>867</v>
      </c>
      <c r="N391" s="139">
        <v>1.41</v>
      </c>
      <c r="O391" s="139">
        <f t="shared" si="41"/>
        <v>1.41</v>
      </c>
      <c r="P391" s="139" t="str">
        <f t="shared" ref="P391:P454" si="45">IF(M391&gt;0,M391," ")</f>
        <v xml:space="preserve"> </v>
      </c>
    </row>
    <row r="392" spans="1:16" x14ac:dyDescent="0.35">
      <c r="A392" s="14" t="s">
        <v>54</v>
      </c>
      <c r="B392" s="4">
        <v>20.04</v>
      </c>
      <c r="C392" s="4">
        <v>30.47</v>
      </c>
      <c r="D392" s="4">
        <v>33.4</v>
      </c>
      <c r="E392" s="4">
        <v>29.43</v>
      </c>
      <c r="F392" s="4">
        <v>12.88</v>
      </c>
      <c r="G392" s="4">
        <v>10.62</v>
      </c>
      <c r="H392" s="4">
        <f t="shared" si="43"/>
        <v>46.28</v>
      </c>
      <c r="I392" s="4">
        <f t="shared" si="42"/>
        <v>40.049999999999997</v>
      </c>
      <c r="J392" s="4">
        <v>1.45</v>
      </c>
      <c r="K392" s="4">
        <v>1.38</v>
      </c>
      <c r="L392" s="139" t="str">
        <f t="shared" si="44"/>
        <v xml:space="preserve"> </v>
      </c>
      <c r="M392" s="139">
        <v>1.45</v>
      </c>
      <c r="N392" s="139">
        <v>1.41</v>
      </c>
      <c r="O392" s="139">
        <f t="shared" ref="O392:O455" si="46">IF(M392=" ",N392,M392)</f>
        <v>1.45</v>
      </c>
      <c r="P392" s="139">
        <f t="shared" si="45"/>
        <v>1.45</v>
      </c>
    </row>
    <row r="393" spans="1:16" x14ac:dyDescent="0.35">
      <c r="A393" s="14" t="s">
        <v>196</v>
      </c>
      <c r="B393" s="4">
        <v>10.07</v>
      </c>
      <c r="C393" s="4">
        <v>5.85</v>
      </c>
      <c r="D393" s="4">
        <v>33.9</v>
      </c>
      <c r="E393" s="4">
        <v>19.440000000000001</v>
      </c>
      <c r="F393" s="4">
        <v>34.9</v>
      </c>
      <c r="G393" s="4">
        <v>21.1</v>
      </c>
      <c r="H393" s="4">
        <f t="shared" si="43"/>
        <v>68.8</v>
      </c>
      <c r="I393" s="4">
        <f t="shared" si="42"/>
        <v>40.540000000000006</v>
      </c>
      <c r="J393" s="4">
        <v>0</v>
      </c>
      <c r="K393" s="4">
        <v>0</v>
      </c>
      <c r="L393" s="139" t="str">
        <f t="shared" si="44"/>
        <v xml:space="preserve"> </v>
      </c>
      <c r="M393" s="139" t="s">
        <v>867</v>
      </c>
      <c r="N393" s="139">
        <v>1.52</v>
      </c>
      <c r="O393" s="139">
        <f t="shared" si="46"/>
        <v>1.52</v>
      </c>
      <c r="P393" s="139" t="str">
        <f t="shared" si="45"/>
        <v xml:space="preserve"> </v>
      </c>
    </row>
    <row r="394" spans="1:16" x14ac:dyDescent="0.35">
      <c r="A394" s="14" t="s">
        <v>53</v>
      </c>
      <c r="B394" s="4">
        <v>17.07</v>
      </c>
      <c r="C394" s="4">
        <v>17.79</v>
      </c>
      <c r="D394" s="4">
        <v>36.799999999999997</v>
      </c>
      <c r="E394" s="4">
        <v>37.549999999999997</v>
      </c>
      <c r="F394" s="4">
        <v>5.95</v>
      </c>
      <c r="G394" s="4">
        <v>5.58</v>
      </c>
      <c r="H394" s="4">
        <f t="shared" si="43"/>
        <v>42.75</v>
      </c>
      <c r="I394" s="4">
        <f t="shared" si="42"/>
        <v>43.129999999999995</v>
      </c>
      <c r="J394" s="4">
        <v>1.43</v>
      </c>
      <c r="K394" s="4">
        <v>1.44</v>
      </c>
      <c r="L394" s="139" t="str">
        <f t="shared" si="44"/>
        <v xml:space="preserve"> </v>
      </c>
      <c r="M394" s="139">
        <v>1.43</v>
      </c>
      <c r="N394" s="139">
        <v>1.52</v>
      </c>
      <c r="O394" s="139">
        <f t="shared" si="46"/>
        <v>1.43</v>
      </c>
      <c r="P394" s="139">
        <f t="shared" si="45"/>
        <v>1.43</v>
      </c>
    </row>
    <row r="395" spans="1:16" x14ac:dyDescent="0.35">
      <c r="A395" s="14" t="s">
        <v>471</v>
      </c>
      <c r="B395" s="4">
        <v>26.52</v>
      </c>
      <c r="C395" s="4">
        <v>34.65</v>
      </c>
      <c r="D395" s="4">
        <v>17.68</v>
      </c>
      <c r="E395" s="4">
        <v>15.96</v>
      </c>
      <c r="F395" s="4">
        <v>6.86</v>
      </c>
      <c r="G395" s="4">
        <v>4.9000000000000004</v>
      </c>
      <c r="H395" s="4">
        <f t="shared" si="43"/>
        <v>24.54</v>
      </c>
      <c r="I395" s="4">
        <f t="shared" si="42"/>
        <v>20.86</v>
      </c>
      <c r="J395" s="4">
        <v>0</v>
      </c>
      <c r="K395" s="4">
        <v>0</v>
      </c>
      <c r="L395" s="139" t="str">
        <f t="shared" si="44"/>
        <v xml:space="preserve"> </v>
      </c>
      <c r="M395" s="139" t="s">
        <v>867</v>
      </c>
      <c r="N395" s="139">
        <v>1.35</v>
      </c>
      <c r="O395" s="139">
        <f t="shared" si="46"/>
        <v>1.35</v>
      </c>
      <c r="P395" s="139" t="str">
        <f t="shared" si="45"/>
        <v xml:space="preserve"> </v>
      </c>
    </row>
    <row r="396" spans="1:16" x14ac:dyDescent="0.35">
      <c r="A396" s="14" t="s">
        <v>510</v>
      </c>
      <c r="B396" s="4">
        <v>18.82</v>
      </c>
      <c r="C396" s="4">
        <v>23.6</v>
      </c>
      <c r="D396" s="4">
        <v>21.5</v>
      </c>
      <c r="E396" s="4">
        <v>13.62</v>
      </c>
      <c r="F396" s="4">
        <v>1.9</v>
      </c>
      <c r="G396" s="4">
        <v>1.1299999999999999</v>
      </c>
      <c r="H396" s="4">
        <f t="shared" si="43"/>
        <v>23.4</v>
      </c>
      <c r="I396" s="4">
        <f t="shared" ref="I396:I459" si="47">E396+G396</f>
        <v>14.75</v>
      </c>
      <c r="J396" s="4">
        <v>0</v>
      </c>
      <c r="K396" s="4">
        <v>0</v>
      </c>
      <c r="L396" s="139" t="str">
        <f t="shared" si="44"/>
        <v xml:space="preserve"> </v>
      </c>
      <c r="M396" s="139" t="s">
        <v>867</v>
      </c>
      <c r="N396" s="139">
        <v>1.49</v>
      </c>
      <c r="O396" s="139">
        <f t="shared" si="46"/>
        <v>1.49</v>
      </c>
      <c r="P396" s="139" t="str">
        <f t="shared" si="45"/>
        <v xml:space="preserve"> </v>
      </c>
    </row>
    <row r="397" spans="1:16" x14ac:dyDescent="0.35">
      <c r="A397" s="14" t="s">
        <v>517</v>
      </c>
      <c r="B397" s="4">
        <v>14.68</v>
      </c>
      <c r="C397" s="4">
        <v>19.809999999999999</v>
      </c>
      <c r="D397" s="4">
        <v>8.4</v>
      </c>
      <c r="E397" s="4">
        <v>8.01</v>
      </c>
      <c r="F397" s="4">
        <v>1.9</v>
      </c>
      <c r="G397" s="4">
        <v>1.34</v>
      </c>
      <c r="H397" s="4">
        <f t="shared" ref="H397:H460" si="48">D397+F397</f>
        <v>10.3</v>
      </c>
      <c r="I397" s="4">
        <f t="shared" si="47"/>
        <v>9.35</v>
      </c>
      <c r="J397" s="4">
        <v>0</v>
      </c>
      <c r="K397" s="4">
        <v>0</v>
      </c>
      <c r="L397" s="139" t="str">
        <f t="shared" si="44"/>
        <v xml:space="preserve"> </v>
      </c>
      <c r="M397" s="139" t="s">
        <v>867</v>
      </c>
      <c r="N397" s="139">
        <v>1.41</v>
      </c>
      <c r="O397" s="139">
        <f t="shared" si="46"/>
        <v>1.41</v>
      </c>
      <c r="P397" s="139" t="str">
        <f t="shared" si="45"/>
        <v xml:space="preserve"> </v>
      </c>
    </row>
    <row r="398" spans="1:16" x14ac:dyDescent="0.35">
      <c r="A398" s="14" t="s">
        <v>513</v>
      </c>
      <c r="B398" s="4">
        <v>15.56</v>
      </c>
      <c r="C398" s="4">
        <v>18.100000000000001</v>
      </c>
      <c r="D398" s="4">
        <v>15.8</v>
      </c>
      <c r="E398" s="4">
        <v>12.65</v>
      </c>
      <c r="F398" s="4">
        <v>5.17</v>
      </c>
      <c r="G398" s="4">
        <v>3.76</v>
      </c>
      <c r="H398" s="4">
        <f t="shared" si="48"/>
        <v>20.97</v>
      </c>
      <c r="I398" s="4">
        <f t="shared" si="47"/>
        <v>16.41</v>
      </c>
      <c r="J398" s="4">
        <v>1.43</v>
      </c>
      <c r="K398" s="4">
        <v>1.36</v>
      </c>
      <c r="L398" s="139" t="str">
        <f t="shared" si="44"/>
        <v xml:space="preserve"> </v>
      </c>
      <c r="M398" s="139">
        <v>1.43</v>
      </c>
      <c r="N398" s="139">
        <v>1.49</v>
      </c>
      <c r="O398" s="139">
        <f t="shared" si="46"/>
        <v>1.43</v>
      </c>
      <c r="P398" s="139">
        <f t="shared" si="45"/>
        <v>1.43</v>
      </c>
    </row>
    <row r="399" spans="1:16" x14ac:dyDescent="0.35">
      <c r="A399" s="14" t="s">
        <v>567</v>
      </c>
      <c r="B399" s="4">
        <v>19.670000000000002</v>
      </c>
      <c r="C399" s="4">
        <v>22.7</v>
      </c>
      <c r="D399" s="4">
        <v>14.32</v>
      </c>
      <c r="E399" s="4">
        <v>13.82</v>
      </c>
      <c r="F399" s="4">
        <v>2.6</v>
      </c>
      <c r="G399" s="4">
        <v>1.95</v>
      </c>
      <c r="H399" s="4">
        <f t="shared" si="48"/>
        <v>16.920000000000002</v>
      </c>
      <c r="I399" s="4">
        <f t="shared" si="47"/>
        <v>15.77</v>
      </c>
      <c r="J399" s="4">
        <v>0</v>
      </c>
      <c r="K399" s="4">
        <v>0</v>
      </c>
      <c r="L399" s="139" t="str">
        <f t="shared" si="44"/>
        <v xml:space="preserve"> </v>
      </c>
      <c r="M399" s="139" t="s">
        <v>867</v>
      </c>
      <c r="N399" s="139">
        <v>1.41</v>
      </c>
      <c r="O399" s="139">
        <f t="shared" si="46"/>
        <v>1.41</v>
      </c>
      <c r="P399" s="139" t="str">
        <f t="shared" si="45"/>
        <v xml:space="preserve"> </v>
      </c>
    </row>
    <row r="400" spans="1:16" x14ac:dyDescent="0.35">
      <c r="A400" s="14" t="s">
        <v>512</v>
      </c>
      <c r="B400" s="4">
        <v>26.87</v>
      </c>
      <c r="C400" s="4">
        <v>29.26</v>
      </c>
      <c r="D400" s="4">
        <v>18.399999999999999</v>
      </c>
      <c r="E400" s="4">
        <v>17.14</v>
      </c>
      <c r="F400" s="4">
        <v>7.5</v>
      </c>
      <c r="G400" s="4">
        <v>6.03</v>
      </c>
      <c r="H400" s="4">
        <f t="shared" si="48"/>
        <v>25.9</v>
      </c>
      <c r="I400" s="4">
        <f t="shared" si="47"/>
        <v>23.17</v>
      </c>
      <c r="J400" s="4">
        <v>1.34</v>
      </c>
      <c r="K400" s="4">
        <v>1.3</v>
      </c>
      <c r="L400" s="139" t="str">
        <f t="shared" si="44"/>
        <v xml:space="preserve"> </v>
      </c>
      <c r="M400" s="139">
        <v>1.34</v>
      </c>
      <c r="N400" s="139">
        <v>1.35</v>
      </c>
      <c r="O400" s="139">
        <f t="shared" si="46"/>
        <v>1.34</v>
      </c>
      <c r="P400" s="139">
        <f t="shared" si="45"/>
        <v>1.34</v>
      </c>
    </row>
    <row r="401" spans="1:16" x14ac:dyDescent="0.35">
      <c r="A401" s="14" t="s">
        <v>508</v>
      </c>
      <c r="B401" s="4">
        <v>20.73</v>
      </c>
      <c r="C401" s="4">
        <v>20.58</v>
      </c>
      <c r="D401" s="4">
        <v>17.75</v>
      </c>
      <c r="E401" s="4">
        <v>19.88</v>
      </c>
      <c r="F401" s="4">
        <v>1.95</v>
      </c>
      <c r="G401" s="4">
        <v>1.1200000000000001</v>
      </c>
      <c r="H401" s="4">
        <f t="shared" si="48"/>
        <v>19.7</v>
      </c>
      <c r="I401" s="4">
        <f t="shared" si="47"/>
        <v>21</v>
      </c>
      <c r="J401" s="4">
        <v>0</v>
      </c>
      <c r="K401" s="4">
        <v>0</v>
      </c>
      <c r="L401" s="139" t="str">
        <f t="shared" si="44"/>
        <v xml:space="preserve"> </v>
      </c>
      <c r="M401" s="139" t="s">
        <v>867</v>
      </c>
      <c r="N401" s="139">
        <v>1.32</v>
      </c>
      <c r="O401" s="139">
        <f t="shared" si="46"/>
        <v>1.32</v>
      </c>
      <c r="P401" s="139" t="str">
        <f t="shared" si="45"/>
        <v xml:space="preserve"> </v>
      </c>
    </row>
    <row r="402" spans="1:16" x14ac:dyDescent="0.35">
      <c r="A402" s="14" t="s">
        <v>479</v>
      </c>
      <c r="B402" s="4"/>
      <c r="C402" s="4"/>
      <c r="D402" s="4"/>
      <c r="E402" s="4"/>
      <c r="F402" s="4"/>
      <c r="G402" s="4"/>
      <c r="H402" s="4">
        <f t="shared" si="48"/>
        <v>0</v>
      </c>
      <c r="I402" s="4">
        <f t="shared" si="47"/>
        <v>0</v>
      </c>
      <c r="J402" s="4">
        <v>0</v>
      </c>
      <c r="K402" s="4">
        <v>0</v>
      </c>
      <c r="L402" s="139" t="str">
        <f t="shared" si="44"/>
        <v xml:space="preserve"> </v>
      </c>
      <c r="M402" s="139" t="s">
        <v>867</v>
      </c>
      <c r="O402" s="139">
        <f t="shared" si="46"/>
        <v>0</v>
      </c>
      <c r="P402" s="139" t="str">
        <f t="shared" si="45"/>
        <v xml:space="preserve"> </v>
      </c>
    </row>
    <row r="403" spans="1:16" x14ac:dyDescent="0.35">
      <c r="A403" s="14" t="s">
        <v>475</v>
      </c>
      <c r="B403" s="4">
        <v>30.59</v>
      </c>
      <c r="C403" s="4">
        <v>34.479999999999997</v>
      </c>
      <c r="D403" s="4">
        <v>19.04</v>
      </c>
      <c r="E403" s="4">
        <v>13.87</v>
      </c>
      <c r="F403" s="4">
        <v>7.94</v>
      </c>
      <c r="G403" s="4">
        <v>7.02</v>
      </c>
      <c r="H403" s="4">
        <f t="shared" si="48"/>
        <v>26.98</v>
      </c>
      <c r="I403" s="4">
        <f t="shared" si="47"/>
        <v>20.89</v>
      </c>
      <c r="J403" s="4">
        <v>0</v>
      </c>
      <c r="K403" s="4">
        <v>0</v>
      </c>
      <c r="L403" s="139" t="str">
        <f t="shared" si="44"/>
        <v xml:space="preserve"> </v>
      </c>
      <c r="M403" s="139" t="s">
        <v>867</v>
      </c>
      <c r="N403" s="139">
        <v>1.35</v>
      </c>
      <c r="O403" s="139">
        <f t="shared" si="46"/>
        <v>1.35</v>
      </c>
      <c r="P403" s="139" t="str">
        <f t="shared" si="45"/>
        <v xml:space="preserve"> </v>
      </c>
    </row>
    <row r="404" spans="1:16" x14ac:dyDescent="0.35">
      <c r="A404" s="14" t="s">
        <v>491</v>
      </c>
      <c r="B404" s="4"/>
      <c r="C404" s="4"/>
      <c r="D404" s="4"/>
      <c r="E404" s="4"/>
      <c r="F404" s="4"/>
      <c r="G404" s="4"/>
      <c r="H404" s="4">
        <f t="shared" si="48"/>
        <v>0</v>
      </c>
      <c r="I404" s="4">
        <f t="shared" si="47"/>
        <v>0</v>
      </c>
      <c r="J404" s="4">
        <v>0</v>
      </c>
      <c r="K404" s="4">
        <v>0</v>
      </c>
      <c r="L404" s="139" t="str">
        <f t="shared" si="44"/>
        <v xml:space="preserve"> </v>
      </c>
      <c r="M404" s="139" t="s">
        <v>867</v>
      </c>
      <c r="O404" s="139">
        <f t="shared" si="46"/>
        <v>0</v>
      </c>
      <c r="P404" s="139" t="str">
        <f t="shared" si="45"/>
        <v xml:space="preserve"> </v>
      </c>
    </row>
    <row r="405" spans="1:16" x14ac:dyDescent="0.35">
      <c r="A405" s="14" t="s">
        <v>473</v>
      </c>
      <c r="B405" s="4"/>
      <c r="C405" s="4"/>
      <c r="D405" s="4"/>
      <c r="E405" s="4"/>
      <c r="F405" s="4"/>
      <c r="G405" s="4"/>
      <c r="H405" s="4">
        <f t="shared" si="48"/>
        <v>0</v>
      </c>
      <c r="I405" s="4">
        <f t="shared" si="47"/>
        <v>0</v>
      </c>
      <c r="J405" s="4">
        <v>0</v>
      </c>
      <c r="K405" s="4">
        <v>0</v>
      </c>
      <c r="L405" s="139" t="str">
        <f t="shared" si="44"/>
        <v xml:space="preserve"> </v>
      </c>
      <c r="M405" s="139" t="s">
        <v>867</v>
      </c>
      <c r="O405" s="139">
        <f t="shared" si="46"/>
        <v>0</v>
      </c>
      <c r="P405" s="139" t="str">
        <f t="shared" si="45"/>
        <v xml:space="preserve"> </v>
      </c>
    </row>
    <row r="406" spans="1:16" x14ac:dyDescent="0.35">
      <c r="A406" s="14" t="s">
        <v>476</v>
      </c>
      <c r="B406" s="4"/>
      <c r="C406" s="4"/>
      <c r="D406" s="4"/>
      <c r="E406" s="4"/>
      <c r="F406" s="4"/>
      <c r="G406" s="4"/>
      <c r="H406" s="4">
        <f t="shared" si="48"/>
        <v>0</v>
      </c>
      <c r="I406" s="4">
        <f t="shared" si="47"/>
        <v>0</v>
      </c>
      <c r="J406" s="4">
        <v>0</v>
      </c>
      <c r="K406" s="4">
        <v>0</v>
      </c>
      <c r="L406" s="139" t="str">
        <f t="shared" si="44"/>
        <v xml:space="preserve"> </v>
      </c>
      <c r="M406" s="139" t="s">
        <v>867</v>
      </c>
      <c r="O406" s="139">
        <f t="shared" si="46"/>
        <v>0</v>
      </c>
      <c r="P406" s="139" t="str">
        <f t="shared" si="45"/>
        <v xml:space="preserve"> </v>
      </c>
    </row>
    <row r="407" spans="1:16" x14ac:dyDescent="0.35">
      <c r="A407" s="14" t="s">
        <v>500</v>
      </c>
      <c r="B407" s="4"/>
      <c r="C407" s="4"/>
      <c r="D407" s="4"/>
      <c r="E407" s="4"/>
      <c r="F407" s="4"/>
      <c r="G407" s="4"/>
      <c r="H407" s="4">
        <f t="shared" si="48"/>
        <v>0</v>
      </c>
      <c r="I407" s="4">
        <f t="shared" si="47"/>
        <v>0</v>
      </c>
      <c r="J407" s="4">
        <v>0</v>
      </c>
      <c r="K407" s="4">
        <v>0</v>
      </c>
      <c r="L407" s="139" t="str">
        <f t="shared" si="44"/>
        <v xml:space="preserve"> </v>
      </c>
      <c r="M407" s="139" t="s">
        <v>867</v>
      </c>
      <c r="O407" s="139">
        <f t="shared" si="46"/>
        <v>0</v>
      </c>
      <c r="P407" s="139" t="str">
        <f t="shared" si="45"/>
        <v xml:space="preserve"> </v>
      </c>
    </row>
    <row r="408" spans="1:16" x14ac:dyDescent="0.35">
      <c r="A408" s="14" t="s">
        <v>489</v>
      </c>
      <c r="B408" s="4"/>
      <c r="C408" s="4"/>
      <c r="D408" s="4"/>
      <c r="E408" s="4"/>
      <c r="F408" s="4"/>
      <c r="G408" s="4"/>
      <c r="H408" s="4">
        <f t="shared" si="48"/>
        <v>0</v>
      </c>
      <c r="I408" s="4">
        <f t="shared" si="47"/>
        <v>0</v>
      </c>
      <c r="J408" s="4">
        <v>0</v>
      </c>
      <c r="K408" s="4">
        <v>0</v>
      </c>
      <c r="L408" s="139" t="str">
        <f t="shared" si="44"/>
        <v xml:space="preserve"> </v>
      </c>
      <c r="M408" s="139" t="s">
        <v>867</v>
      </c>
      <c r="O408" s="139">
        <f t="shared" si="46"/>
        <v>0</v>
      </c>
      <c r="P408" s="139" t="str">
        <f t="shared" si="45"/>
        <v xml:space="preserve"> </v>
      </c>
    </row>
    <row r="409" spans="1:16" x14ac:dyDescent="0.35">
      <c r="A409" s="14" t="s">
        <v>505</v>
      </c>
      <c r="B409" s="4"/>
      <c r="C409" s="4"/>
      <c r="D409" s="4"/>
      <c r="E409" s="4"/>
      <c r="F409" s="4"/>
      <c r="G409" s="4"/>
      <c r="H409" s="4">
        <f t="shared" si="48"/>
        <v>0</v>
      </c>
      <c r="I409" s="4">
        <f t="shared" si="47"/>
        <v>0</v>
      </c>
      <c r="J409" s="4">
        <v>0</v>
      </c>
      <c r="K409" s="4">
        <v>0</v>
      </c>
      <c r="L409" s="139" t="str">
        <f t="shared" si="44"/>
        <v xml:space="preserve"> </v>
      </c>
      <c r="M409" s="139" t="s">
        <v>867</v>
      </c>
      <c r="O409" s="139">
        <f t="shared" si="46"/>
        <v>0</v>
      </c>
      <c r="P409" s="139" t="str">
        <f t="shared" si="45"/>
        <v xml:space="preserve"> </v>
      </c>
    </row>
    <row r="410" spans="1:16" x14ac:dyDescent="0.35">
      <c r="A410" s="14" t="s">
        <v>492</v>
      </c>
      <c r="B410" s="4">
        <v>0.5</v>
      </c>
      <c r="C410" s="4">
        <v>10.44</v>
      </c>
      <c r="D410" s="4">
        <v>0.76</v>
      </c>
      <c r="E410" s="4">
        <v>13.78</v>
      </c>
      <c r="F410" s="4">
        <v>0.17</v>
      </c>
      <c r="G410" s="4">
        <v>2.73</v>
      </c>
      <c r="H410" s="4">
        <f t="shared" si="48"/>
        <v>0.93</v>
      </c>
      <c r="I410" s="4">
        <f t="shared" si="47"/>
        <v>16.509999999999998</v>
      </c>
      <c r="J410" s="4">
        <v>0</v>
      </c>
      <c r="K410" s="4">
        <v>0</v>
      </c>
      <c r="L410" s="139" t="str">
        <f t="shared" si="44"/>
        <v xml:space="preserve"> </v>
      </c>
      <c r="M410" s="139" t="s">
        <v>867</v>
      </c>
      <c r="N410" s="139">
        <v>1.57</v>
      </c>
      <c r="O410" s="139">
        <f t="shared" si="46"/>
        <v>1.57</v>
      </c>
      <c r="P410" s="139" t="str">
        <f t="shared" si="45"/>
        <v xml:space="preserve"> </v>
      </c>
    </row>
    <row r="411" spans="1:16" x14ac:dyDescent="0.35">
      <c r="A411" s="14" t="s">
        <v>486</v>
      </c>
      <c r="B411" s="4"/>
      <c r="C411" s="4"/>
      <c r="D411" s="4"/>
      <c r="E411" s="4"/>
      <c r="F411" s="4"/>
      <c r="G411" s="4"/>
      <c r="H411" s="4">
        <f t="shared" si="48"/>
        <v>0</v>
      </c>
      <c r="I411" s="4">
        <f t="shared" si="47"/>
        <v>0</v>
      </c>
      <c r="J411" s="4">
        <v>0</v>
      </c>
      <c r="K411" s="4">
        <v>0</v>
      </c>
      <c r="L411" s="139" t="str">
        <f t="shared" si="44"/>
        <v xml:space="preserve"> </v>
      </c>
      <c r="M411" s="139" t="s">
        <v>867</v>
      </c>
      <c r="O411" s="139">
        <f t="shared" si="46"/>
        <v>0</v>
      </c>
      <c r="P411" s="139" t="str">
        <f t="shared" si="45"/>
        <v xml:space="preserve"> </v>
      </c>
    </row>
    <row r="412" spans="1:16" x14ac:dyDescent="0.35">
      <c r="A412" s="14" t="s">
        <v>514</v>
      </c>
      <c r="B412" s="4">
        <v>16.3</v>
      </c>
      <c r="C412" s="4">
        <v>14.82</v>
      </c>
      <c r="D412" s="4">
        <v>20</v>
      </c>
      <c r="E412" s="4">
        <v>17.87</v>
      </c>
      <c r="F412" s="4">
        <v>11.82</v>
      </c>
      <c r="G412" s="4">
        <v>9.8000000000000007</v>
      </c>
      <c r="H412" s="4">
        <f t="shared" si="48"/>
        <v>31.82</v>
      </c>
      <c r="I412" s="4">
        <f t="shared" si="47"/>
        <v>27.67</v>
      </c>
      <c r="J412" s="4">
        <v>0</v>
      </c>
      <c r="K412" s="4">
        <v>0</v>
      </c>
      <c r="L412" s="139" t="str">
        <f t="shared" si="44"/>
        <v xml:space="preserve"> </v>
      </c>
      <c r="M412" s="139" t="s">
        <v>867</v>
      </c>
      <c r="N412" s="139">
        <v>1.49</v>
      </c>
      <c r="O412" s="139">
        <f t="shared" si="46"/>
        <v>1.49</v>
      </c>
      <c r="P412" s="139" t="str">
        <f t="shared" si="45"/>
        <v xml:space="preserve"> </v>
      </c>
    </row>
    <row r="413" spans="1:16" x14ac:dyDescent="0.35">
      <c r="A413" s="14" t="s">
        <v>503</v>
      </c>
      <c r="B413" s="4"/>
      <c r="C413" s="4"/>
      <c r="D413" s="4"/>
      <c r="E413" s="4"/>
      <c r="F413" s="4"/>
      <c r="G413" s="4"/>
      <c r="H413" s="4">
        <f t="shared" si="48"/>
        <v>0</v>
      </c>
      <c r="I413" s="4">
        <f t="shared" si="47"/>
        <v>0</v>
      </c>
      <c r="J413" s="4">
        <v>0</v>
      </c>
      <c r="K413" s="4">
        <v>0</v>
      </c>
      <c r="L413" s="139" t="str">
        <f t="shared" si="44"/>
        <v xml:space="preserve"> </v>
      </c>
      <c r="M413" s="139" t="s">
        <v>867</v>
      </c>
      <c r="O413" s="139">
        <f t="shared" si="46"/>
        <v>0</v>
      </c>
      <c r="P413" s="139" t="str">
        <f t="shared" si="45"/>
        <v xml:space="preserve"> </v>
      </c>
    </row>
    <row r="414" spans="1:16" x14ac:dyDescent="0.35">
      <c r="A414" s="14" t="s">
        <v>497</v>
      </c>
      <c r="B414" s="4"/>
      <c r="C414" s="4"/>
      <c r="D414" s="4"/>
      <c r="E414" s="4"/>
      <c r="F414" s="4"/>
      <c r="G414" s="4"/>
      <c r="H414" s="4">
        <f t="shared" si="48"/>
        <v>0</v>
      </c>
      <c r="I414" s="4">
        <f t="shared" si="47"/>
        <v>0</v>
      </c>
      <c r="J414" s="4">
        <v>0</v>
      </c>
      <c r="K414" s="4">
        <v>0</v>
      </c>
      <c r="L414" s="139" t="str">
        <f t="shared" si="44"/>
        <v xml:space="preserve"> </v>
      </c>
      <c r="M414" s="139" t="s">
        <v>867</v>
      </c>
      <c r="O414" s="139">
        <f t="shared" si="46"/>
        <v>0</v>
      </c>
      <c r="P414" s="139" t="str">
        <f t="shared" si="45"/>
        <v xml:space="preserve"> </v>
      </c>
    </row>
    <row r="415" spans="1:16" x14ac:dyDescent="0.35">
      <c r="A415" s="14" t="s">
        <v>502</v>
      </c>
      <c r="B415" s="4">
        <v>6.95</v>
      </c>
      <c r="C415" s="4">
        <v>6.65</v>
      </c>
      <c r="D415" s="4">
        <v>25.85</v>
      </c>
      <c r="E415" s="4">
        <v>24.42</v>
      </c>
      <c r="F415" s="4">
        <v>12.09</v>
      </c>
      <c r="G415" s="4">
        <v>12</v>
      </c>
      <c r="H415" s="4">
        <f t="shared" si="48"/>
        <v>37.94</v>
      </c>
      <c r="I415" s="4">
        <f t="shared" si="47"/>
        <v>36.42</v>
      </c>
      <c r="J415" s="4">
        <v>0</v>
      </c>
      <c r="K415" s="4">
        <v>0</v>
      </c>
      <c r="L415" s="139" t="str">
        <f t="shared" si="44"/>
        <v xml:space="preserve"> </v>
      </c>
      <c r="M415" s="139" t="s">
        <v>867</v>
      </c>
      <c r="N415" s="139">
        <v>1.57</v>
      </c>
      <c r="O415" s="139">
        <f t="shared" si="46"/>
        <v>1.57</v>
      </c>
      <c r="P415" s="139" t="str">
        <f t="shared" si="45"/>
        <v xml:space="preserve"> </v>
      </c>
    </row>
    <row r="416" spans="1:16" x14ac:dyDescent="0.35">
      <c r="A416" s="14" t="s">
        <v>254</v>
      </c>
      <c r="B416" s="4">
        <v>48</v>
      </c>
      <c r="C416" s="4">
        <v>57.68</v>
      </c>
      <c r="D416" s="4">
        <v>7.01</v>
      </c>
      <c r="E416" s="4">
        <v>4.0199999999999996</v>
      </c>
      <c r="F416" s="4">
        <v>12.71</v>
      </c>
      <c r="G416" s="4">
        <v>7.47</v>
      </c>
      <c r="H416" s="4">
        <f t="shared" si="48"/>
        <v>19.72</v>
      </c>
      <c r="I416" s="4">
        <f t="shared" si="47"/>
        <v>11.489999999999998</v>
      </c>
      <c r="J416" s="4">
        <v>0</v>
      </c>
      <c r="K416" s="4">
        <v>0</v>
      </c>
      <c r="L416" s="139" t="str">
        <f t="shared" si="44"/>
        <v xml:space="preserve"> </v>
      </c>
      <c r="M416" s="139" t="s">
        <v>867</v>
      </c>
      <c r="N416" s="139">
        <v>1.22</v>
      </c>
      <c r="O416" s="139">
        <f t="shared" si="46"/>
        <v>1.22</v>
      </c>
      <c r="P416" s="139" t="str">
        <f t="shared" si="45"/>
        <v xml:space="preserve"> </v>
      </c>
    </row>
    <row r="417" spans="1:16" x14ac:dyDescent="0.35">
      <c r="A417" s="14" t="s">
        <v>229</v>
      </c>
      <c r="B417" s="4">
        <v>20.64</v>
      </c>
      <c r="C417" s="4">
        <v>23.47</v>
      </c>
      <c r="D417" s="4">
        <v>7.88</v>
      </c>
      <c r="E417" s="4">
        <v>8.59</v>
      </c>
      <c r="F417" s="4">
        <v>2.5499999999999998</v>
      </c>
      <c r="G417" s="4">
        <v>1.68</v>
      </c>
      <c r="H417" s="4">
        <f t="shared" si="48"/>
        <v>10.43</v>
      </c>
      <c r="I417" s="4">
        <f t="shared" si="47"/>
        <v>10.27</v>
      </c>
      <c r="J417" s="4">
        <v>1.35</v>
      </c>
      <c r="K417" s="4">
        <v>1.32</v>
      </c>
      <c r="L417" s="139" t="str">
        <f t="shared" si="44"/>
        <v xml:space="preserve"> </v>
      </c>
      <c r="M417" s="139">
        <v>1.35</v>
      </c>
      <c r="N417" s="139">
        <v>1.32</v>
      </c>
      <c r="O417" s="139">
        <f t="shared" si="46"/>
        <v>1.35</v>
      </c>
      <c r="P417" s="139">
        <f t="shared" si="45"/>
        <v>1.35</v>
      </c>
    </row>
    <row r="418" spans="1:16" x14ac:dyDescent="0.35">
      <c r="A418" s="14" t="s">
        <v>255</v>
      </c>
      <c r="B418" s="4">
        <v>5.63</v>
      </c>
      <c r="C418" s="4">
        <v>5.78</v>
      </c>
      <c r="D418" s="4">
        <v>28.4</v>
      </c>
      <c r="E418" s="4">
        <v>29.18</v>
      </c>
      <c r="F418" s="4">
        <v>45.33</v>
      </c>
      <c r="G418" s="4">
        <v>43.59</v>
      </c>
      <c r="H418" s="4">
        <f t="shared" si="48"/>
        <v>73.72999999999999</v>
      </c>
      <c r="I418" s="4">
        <f t="shared" si="47"/>
        <v>72.77000000000001</v>
      </c>
      <c r="J418" s="4">
        <v>1.66</v>
      </c>
      <c r="K418" s="4">
        <v>1.65</v>
      </c>
      <c r="L418" s="139" t="str">
        <f t="shared" si="44"/>
        <v xml:space="preserve"> </v>
      </c>
      <c r="M418" s="139">
        <v>1.66</v>
      </c>
      <c r="N418" s="139">
        <v>1.61</v>
      </c>
      <c r="O418" s="139">
        <f t="shared" si="46"/>
        <v>1.66</v>
      </c>
      <c r="P418" s="139">
        <f t="shared" si="45"/>
        <v>1.66</v>
      </c>
    </row>
    <row r="419" spans="1:16" x14ac:dyDescent="0.35">
      <c r="A419" s="14" t="s">
        <v>224</v>
      </c>
      <c r="B419" s="4">
        <v>24.07</v>
      </c>
      <c r="C419" s="4">
        <v>36.200000000000003</v>
      </c>
      <c r="D419" s="4">
        <v>14.63</v>
      </c>
      <c r="E419" s="4">
        <v>10.97</v>
      </c>
      <c r="F419" s="4">
        <v>44.08</v>
      </c>
      <c r="G419" s="4">
        <v>30.86</v>
      </c>
      <c r="H419" s="4">
        <f t="shared" si="48"/>
        <v>58.71</v>
      </c>
      <c r="I419" s="4">
        <f t="shared" si="47"/>
        <v>41.83</v>
      </c>
      <c r="J419" s="4">
        <v>1.51</v>
      </c>
      <c r="K419" s="4">
        <v>1.27</v>
      </c>
      <c r="L419" s="139" t="str">
        <f t="shared" si="44"/>
        <v xml:space="preserve"> </v>
      </c>
      <c r="M419" s="139">
        <v>1.51</v>
      </c>
      <c r="N419" s="139">
        <v>1.41</v>
      </c>
      <c r="O419" s="139">
        <f t="shared" si="46"/>
        <v>1.51</v>
      </c>
      <c r="P419" s="139">
        <f t="shared" si="45"/>
        <v>1.51</v>
      </c>
    </row>
    <row r="420" spans="1:16" x14ac:dyDescent="0.35">
      <c r="A420" s="14" t="s">
        <v>217</v>
      </c>
      <c r="B420" s="4">
        <v>21.77</v>
      </c>
      <c r="C420" s="4">
        <v>22.25</v>
      </c>
      <c r="D420" s="4">
        <v>13.5</v>
      </c>
      <c r="E420" s="4">
        <v>14.25</v>
      </c>
      <c r="F420" s="4">
        <v>3.88</v>
      </c>
      <c r="G420" s="4">
        <v>3.34</v>
      </c>
      <c r="H420" s="4">
        <f t="shared" si="48"/>
        <v>17.38</v>
      </c>
      <c r="I420" s="4">
        <f t="shared" si="47"/>
        <v>17.59</v>
      </c>
      <c r="J420" s="4">
        <v>1.35</v>
      </c>
      <c r="K420" s="4">
        <v>1.34</v>
      </c>
      <c r="L420" s="139" t="str">
        <f t="shared" si="44"/>
        <v xml:space="preserve"> </v>
      </c>
      <c r="M420" s="139">
        <v>1.35</v>
      </c>
      <c r="N420" s="139">
        <v>1.32</v>
      </c>
      <c r="O420" s="139">
        <f t="shared" si="46"/>
        <v>1.35</v>
      </c>
      <c r="P420" s="139">
        <f t="shared" si="45"/>
        <v>1.35</v>
      </c>
    </row>
    <row r="421" spans="1:16" x14ac:dyDescent="0.35">
      <c r="A421" s="14" t="s">
        <v>97</v>
      </c>
      <c r="B421" s="4">
        <v>10.88</v>
      </c>
      <c r="C421" s="4">
        <v>11.28</v>
      </c>
      <c r="D421" s="4">
        <v>19.8</v>
      </c>
      <c r="E421" s="4">
        <v>17.8</v>
      </c>
      <c r="F421" s="4">
        <v>64.3</v>
      </c>
      <c r="G421" s="4">
        <v>64.930000000000007</v>
      </c>
      <c r="H421" s="4">
        <f t="shared" si="48"/>
        <v>84.1</v>
      </c>
      <c r="I421" s="4">
        <f t="shared" si="47"/>
        <v>82.73</v>
      </c>
      <c r="J421" s="4">
        <v>1.58</v>
      </c>
      <c r="K421" s="4">
        <v>1.56</v>
      </c>
      <c r="L421" s="139">
        <f t="shared" si="44"/>
        <v>1.58</v>
      </c>
      <c r="M421" s="139">
        <v>1.58</v>
      </c>
      <c r="N421" s="139">
        <v>1.52</v>
      </c>
      <c r="O421" s="139">
        <f t="shared" si="46"/>
        <v>1.58</v>
      </c>
      <c r="P421" s="139">
        <f t="shared" si="45"/>
        <v>1.58</v>
      </c>
    </row>
    <row r="422" spans="1:16" x14ac:dyDescent="0.35">
      <c r="A422" s="14" t="s">
        <v>210</v>
      </c>
      <c r="B422" s="4">
        <v>14.19</v>
      </c>
      <c r="C422" s="4">
        <v>19.45</v>
      </c>
      <c r="D422" s="4">
        <v>16.940000000000001</v>
      </c>
      <c r="E422" s="4">
        <v>12.3</v>
      </c>
      <c r="F422" s="4">
        <v>13.97</v>
      </c>
      <c r="G422" s="4">
        <v>12.27</v>
      </c>
      <c r="H422" s="4">
        <f t="shared" si="48"/>
        <v>30.910000000000004</v>
      </c>
      <c r="I422" s="4">
        <f t="shared" si="47"/>
        <v>24.57</v>
      </c>
      <c r="J422" s="4">
        <v>1.46</v>
      </c>
      <c r="K422" s="4">
        <v>1.4</v>
      </c>
      <c r="L422" s="139" t="str">
        <f t="shared" si="44"/>
        <v xml:space="preserve"> </v>
      </c>
      <c r="M422" s="139">
        <v>1.46</v>
      </c>
      <c r="N422" s="139">
        <v>1.49</v>
      </c>
      <c r="O422" s="139">
        <f t="shared" si="46"/>
        <v>1.46</v>
      </c>
      <c r="P422" s="139">
        <f t="shared" si="45"/>
        <v>1.46</v>
      </c>
    </row>
    <row r="423" spans="1:16" x14ac:dyDescent="0.35">
      <c r="A423" s="14" t="s">
        <v>249</v>
      </c>
      <c r="B423" s="4">
        <v>25.99</v>
      </c>
      <c r="C423" s="4">
        <v>31.09</v>
      </c>
      <c r="D423" s="4">
        <v>20.22</v>
      </c>
      <c r="E423" s="4">
        <v>19.66</v>
      </c>
      <c r="F423" s="4">
        <v>5.79</v>
      </c>
      <c r="G423" s="4">
        <v>3.65</v>
      </c>
      <c r="H423" s="4">
        <f t="shared" si="48"/>
        <v>26.009999999999998</v>
      </c>
      <c r="I423" s="4">
        <f t="shared" si="47"/>
        <v>23.31</v>
      </c>
      <c r="J423" s="4">
        <v>1.35</v>
      </c>
      <c r="K423" s="4">
        <v>1.28</v>
      </c>
      <c r="L423" s="139" t="str">
        <f t="shared" si="44"/>
        <v xml:space="preserve"> </v>
      </c>
      <c r="M423" s="139">
        <v>1.35</v>
      </c>
      <c r="N423" s="139">
        <v>1.35</v>
      </c>
      <c r="O423" s="139">
        <f t="shared" si="46"/>
        <v>1.35</v>
      </c>
      <c r="P423" s="139">
        <f t="shared" si="45"/>
        <v>1.35</v>
      </c>
    </row>
    <row r="424" spans="1:16" x14ac:dyDescent="0.35">
      <c r="A424" s="14" t="s">
        <v>248</v>
      </c>
      <c r="B424" s="4">
        <v>25.12</v>
      </c>
      <c r="C424" s="4">
        <v>25.68</v>
      </c>
      <c r="D424" s="4">
        <v>16.64</v>
      </c>
      <c r="E424" s="4">
        <v>15.46</v>
      </c>
      <c r="F424" s="4">
        <v>5.35</v>
      </c>
      <c r="G424" s="4">
        <v>4.1900000000000004</v>
      </c>
      <c r="H424" s="4">
        <f t="shared" si="48"/>
        <v>21.990000000000002</v>
      </c>
      <c r="I424" s="4">
        <f t="shared" si="47"/>
        <v>19.650000000000002</v>
      </c>
      <c r="J424" s="4">
        <v>1.34</v>
      </c>
      <c r="K424" s="4">
        <v>1.33</v>
      </c>
      <c r="L424" s="139" t="str">
        <f t="shared" si="44"/>
        <v xml:space="preserve"> </v>
      </c>
      <c r="M424" s="139">
        <v>1.34</v>
      </c>
      <c r="N424" s="139">
        <v>1.35</v>
      </c>
      <c r="O424" s="139">
        <f t="shared" si="46"/>
        <v>1.34</v>
      </c>
      <c r="P424" s="139">
        <f t="shared" si="45"/>
        <v>1.34</v>
      </c>
    </row>
    <row r="425" spans="1:16" x14ac:dyDescent="0.35">
      <c r="A425" s="14" t="s">
        <v>135</v>
      </c>
      <c r="B425" s="4">
        <v>13.09</v>
      </c>
      <c r="C425" s="4">
        <v>15.07</v>
      </c>
      <c r="D425" s="4">
        <v>9.1</v>
      </c>
      <c r="E425" s="4">
        <v>8.4700000000000006</v>
      </c>
      <c r="F425" s="4">
        <v>6.92</v>
      </c>
      <c r="G425" s="4">
        <v>5.91</v>
      </c>
      <c r="H425" s="4">
        <f t="shared" si="48"/>
        <v>16.02</v>
      </c>
      <c r="I425" s="4">
        <f t="shared" si="47"/>
        <v>14.38</v>
      </c>
      <c r="J425" s="4">
        <v>1.44</v>
      </c>
      <c r="K425" s="4">
        <v>1.42</v>
      </c>
      <c r="L425" s="139" t="str">
        <f t="shared" si="44"/>
        <v xml:space="preserve"> </v>
      </c>
      <c r="M425" s="139">
        <v>1.44</v>
      </c>
      <c r="N425" s="139">
        <v>1.41</v>
      </c>
      <c r="O425" s="139">
        <f t="shared" si="46"/>
        <v>1.44</v>
      </c>
      <c r="P425" s="139">
        <f t="shared" si="45"/>
        <v>1.44</v>
      </c>
    </row>
    <row r="426" spans="1:16" x14ac:dyDescent="0.35">
      <c r="A426" s="14" t="s">
        <v>650</v>
      </c>
      <c r="B426" s="4">
        <v>12.79</v>
      </c>
      <c r="C426" s="4">
        <v>19.55</v>
      </c>
      <c r="D426" s="4">
        <v>13.35</v>
      </c>
      <c r="E426" s="4">
        <v>12.73</v>
      </c>
      <c r="F426" s="4">
        <v>40.85</v>
      </c>
      <c r="G426" s="4">
        <v>42.55</v>
      </c>
      <c r="H426" s="4">
        <f t="shared" si="48"/>
        <v>54.2</v>
      </c>
      <c r="I426" s="4">
        <f t="shared" si="47"/>
        <v>55.28</v>
      </c>
      <c r="J426" s="4">
        <v>0</v>
      </c>
      <c r="K426" s="4">
        <v>0</v>
      </c>
      <c r="L426" s="139" t="str">
        <f t="shared" si="44"/>
        <v xml:space="preserve"> </v>
      </c>
      <c r="M426" s="139" t="s">
        <v>867</v>
      </c>
      <c r="N426" s="139">
        <v>1.52</v>
      </c>
      <c r="O426" s="139">
        <f t="shared" si="46"/>
        <v>1.52</v>
      </c>
      <c r="P426" s="139" t="str">
        <f t="shared" si="45"/>
        <v xml:space="preserve"> </v>
      </c>
    </row>
    <row r="427" spans="1:16" x14ac:dyDescent="0.35">
      <c r="A427" s="14" t="s">
        <v>643</v>
      </c>
      <c r="B427" s="4">
        <v>6.3</v>
      </c>
      <c r="C427" s="4">
        <v>5.08</v>
      </c>
      <c r="D427" s="4">
        <v>21.08</v>
      </c>
      <c r="E427" s="4">
        <v>16.61</v>
      </c>
      <c r="F427" s="4">
        <v>42.5</v>
      </c>
      <c r="G427" s="4">
        <v>35.57</v>
      </c>
      <c r="H427" s="4">
        <f t="shared" si="48"/>
        <v>63.58</v>
      </c>
      <c r="I427" s="4">
        <f t="shared" si="47"/>
        <v>52.18</v>
      </c>
      <c r="J427" s="4">
        <v>0</v>
      </c>
      <c r="K427" s="4">
        <v>0</v>
      </c>
      <c r="L427" s="139" t="str">
        <f t="shared" si="44"/>
        <v xml:space="preserve"> </v>
      </c>
      <c r="M427" s="139" t="s">
        <v>867</v>
      </c>
      <c r="N427" s="139">
        <v>1.61</v>
      </c>
      <c r="O427" s="139">
        <f t="shared" si="46"/>
        <v>1.61</v>
      </c>
      <c r="P427" s="139" t="str">
        <f t="shared" si="45"/>
        <v xml:space="preserve"> </v>
      </c>
    </row>
    <row r="428" spans="1:16" x14ac:dyDescent="0.35">
      <c r="A428" s="14" t="s">
        <v>644</v>
      </c>
      <c r="B428" s="4">
        <v>5.95</v>
      </c>
      <c r="C428" s="4">
        <v>6.97</v>
      </c>
      <c r="D428" s="4">
        <v>15.17</v>
      </c>
      <c r="E428" s="4">
        <v>14.48</v>
      </c>
      <c r="F428" s="4">
        <v>27.26</v>
      </c>
      <c r="G428" s="4">
        <v>30.7</v>
      </c>
      <c r="H428" s="4">
        <f t="shared" si="48"/>
        <v>42.43</v>
      </c>
      <c r="I428" s="4">
        <f t="shared" si="47"/>
        <v>45.18</v>
      </c>
      <c r="J428" s="4">
        <v>0</v>
      </c>
      <c r="K428" s="4">
        <v>0</v>
      </c>
      <c r="L428" s="139" t="str">
        <f t="shared" si="44"/>
        <v xml:space="preserve"> </v>
      </c>
      <c r="M428" s="139" t="s">
        <v>867</v>
      </c>
      <c r="N428" s="139">
        <v>1.57</v>
      </c>
      <c r="O428" s="139">
        <f t="shared" si="46"/>
        <v>1.57</v>
      </c>
      <c r="P428" s="139" t="str">
        <f t="shared" si="45"/>
        <v xml:space="preserve"> </v>
      </c>
    </row>
    <row r="429" spans="1:16" x14ac:dyDescent="0.35">
      <c r="A429" s="14" t="s">
        <v>138</v>
      </c>
      <c r="B429" s="4">
        <v>12.32</v>
      </c>
      <c r="C429" s="4">
        <v>13.57</v>
      </c>
      <c r="D429" s="4">
        <v>6.9</v>
      </c>
      <c r="E429" s="4">
        <v>5.52</v>
      </c>
      <c r="F429" s="4">
        <v>13.15</v>
      </c>
      <c r="G429" s="4">
        <v>7.84</v>
      </c>
      <c r="H429" s="4">
        <f t="shared" si="48"/>
        <v>20.05</v>
      </c>
      <c r="I429" s="4">
        <f t="shared" si="47"/>
        <v>13.36</v>
      </c>
      <c r="J429" s="4">
        <v>0</v>
      </c>
      <c r="K429" s="4">
        <v>0</v>
      </c>
      <c r="L429" s="139" t="str">
        <f t="shared" si="44"/>
        <v xml:space="preserve"> </v>
      </c>
      <c r="M429" s="139" t="s">
        <v>867</v>
      </c>
      <c r="N429" s="139">
        <v>1.49</v>
      </c>
      <c r="O429" s="139">
        <f t="shared" si="46"/>
        <v>1.49</v>
      </c>
      <c r="P429" s="139" t="str">
        <f t="shared" si="45"/>
        <v xml:space="preserve"> </v>
      </c>
    </row>
    <row r="430" spans="1:16" x14ac:dyDescent="0.35">
      <c r="A430" s="14" t="s">
        <v>244</v>
      </c>
      <c r="B430" s="4">
        <v>27.56</v>
      </c>
      <c r="C430" s="4">
        <v>28.94</v>
      </c>
      <c r="D430" s="4">
        <v>23.5</v>
      </c>
      <c r="E430" s="4">
        <v>25.2</v>
      </c>
      <c r="F430" s="4">
        <v>23.9</v>
      </c>
      <c r="G430" s="4">
        <v>24.7</v>
      </c>
      <c r="H430" s="4">
        <f t="shared" si="48"/>
        <v>47.4</v>
      </c>
      <c r="I430" s="4">
        <f t="shared" si="47"/>
        <v>49.9</v>
      </c>
      <c r="J430" s="4">
        <v>1.37</v>
      </c>
      <c r="K430" s="4">
        <v>1.37</v>
      </c>
      <c r="L430" s="139" t="str">
        <f t="shared" si="44"/>
        <v xml:space="preserve"> </v>
      </c>
      <c r="M430" s="139">
        <v>1.37</v>
      </c>
      <c r="N430" s="139">
        <v>1.41</v>
      </c>
      <c r="O430" s="139">
        <f t="shared" si="46"/>
        <v>1.37</v>
      </c>
      <c r="P430" s="139">
        <f t="shared" si="45"/>
        <v>1.37</v>
      </c>
    </row>
    <row r="431" spans="1:16" x14ac:dyDescent="0.35">
      <c r="A431" s="14" t="s">
        <v>246</v>
      </c>
      <c r="B431" s="4">
        <v>13.39</v>
      </c>
      <c r="C431" s="4">
        <v>12.48</v>
      </c>
      <c r="D431" s="4">
        <v>50.89</v>
      </c>
      <c r="E431" s="4">
        <v>52.23</v>
      </c>
      <c r="F431" s="4">
        <v>26.53</v>
      </c>
      <c r="G431" s="4">
        <v>29.31</v>
      </c>
      <c r="H431" s="4">
        <f t="shared" si="48"/>
        <v>77.42</v>
      </c>
      <c r="I431" s="4">
        <f t="shared" si="47"/>
        <v>81.539999999999992</v>
      </c>
      <c r="J431" s="4">
        <v>1.54</v>
      </c>
      <c r="K431" s="4">
        <v>1.55</v>
      </c>
      <c r="L431" s="139" t="str">
        <f t="shared" si="44"/>
        <v xml:space="preserve"> </v>
      </c>
      <c r="M431" s="139">
        <v>1.54</v>
      </c>
      <c r="N431" s="139">
        <v>1.52</v>
      </c>
      <c r="O431" s="139">
        <f t="shared" si="46"/>
        <v>1.54</v>
      </c>
      <c r="P431" s="139">
        <f t="shared" si="45"/>
        <v>1.54</v>
      </c>
    </row>
    <row r="432" spans="1:16" x14ac:dyDescent="0.35">
      <c r="A432" s="14" t="s">
        <v>90</v>
      </c>
      <c r="B432" s="4">
        <v>58.5</v>
      </c>
      <c r="C432" s="4">
        <v>59.88</v>
      </c>
      <c r="D432" s="4">
        <v>5.7</v>
      </c>
      <c r="E432" s="4">
        <v>6.4</v>
      </c>
      <c r="F432" s="4">
        <v>6.2</v>
      </c>
      <c r="G432" s="4">
        <v>6.2</v>
      </c>
      <c r="H432" s="4">
        <f t="shared" si="48"/>
        <v>11.9</v>
      </c>
      <c r="I432" s="4">
        <f t="shared" si="47"/>
        <v>12.600000000000001</v>
      </c>
      <c r="J432" s="4">
        <v>1.19</v>
      </c>
      <c r="K432" s="4">
        <v>1.19</v>
      </c>
      <c r="L432" s="139" t="str">
        <f t="shared" si="44"/>
        <v xml:space="preserve"> </v>
      </c>
      <c r="M432" s="139">
        <v>1.19</v>
      </c>
      <c r="N432" s="139">
        <v>1.22</v>
      </c>
      <c r="O432" s="139">
        <f t="shared" si="46"/>
        <v>1.19</v>
      </c>
      <c r="P432" s="139">
        <f t="shared" si="45"/>
        <v>1.19</v>
      </c>
    </row>
    <row r="433" spans="1:16" x14ac:dyDescent="0.35">
      <c r="A433" s="14" t="s">
        <v>209</v>
      </c>
      <c r="B433" s="4">
        <v>45.85</v>
      </c>
      <c r="C433" s="4">
        <v>45.33</v>
      </c>
      <c r="D433" s="4">
        <v>13.8</v>
      </c>
      <c r="E433" s="4">
        <v>14.85</v>
      </c>
      <c r="F433" s="4">
        <v>7</v>
      </c>
      <c r="G433" s="4">
        <v>6.35</v>
      </c>
      <c r="H433" s="4">
        <f t="shared" si="48"/>
        <v>20.8</v>
      </c>
      <c r="I433" s="4">
        <f t="shared" si="47"/>
        <v>21.2</v>
      </c>
      <c r="J433" s="4">
        <v>1.25</v>
      </c>
      <c r="K433" s="4">
        <v>1.25</v>
      </c>
      <c r="L433" s="139" t="str">
        <f t="shared" si="44"/>
        <v xml:space="preserve"> </v>
      </c>
      <c r="M433" s="139">
        <v>1.25</v>
      </c>
      <c r="N433" s="139">
        <v>1.25</v>
      </c>
      <c r="O433" s="139">
        <f t="shared" si="46"/>
        <v>1.25</v>
      </c>
      <c r="P433" s="139">
        <f t="shared" si="45"/>
        <v>1.25</v>
      </c>
    </row>
    <row r="434" spans="1:16" x14ac:dyDescent="0.35">
      <c r="A434" s="14" t="s">
        <v>49</v>
      </c>
      <c r="B434" s="4">
        <v>23.65</v>
      </c>
      <c r="C434" s="4">
        <v>25.94</v>
      </c>
      <c r="D434" s="4">
        <v>48.8</v>
      </c>
      <c r="E434" s="4">
        <v>47.1</v>
      </c>
      <c r="F434" s="4">
        <v>13.2</v>
      </c>
      <c r="G434" s="4">
        <v>14.11</v>
      </c>
      <c r="H434" s="4">
        <f t="shared" si="48"/>
        <v>62</v>
      </c>
      <c r="I434" s="4">
        <f t="shared" si="47"/>
        <v>61.21</v>
      </c>
      <c r="J434" s="4">
        <v>1.42</v>
      </c>
      <c r="K434" s="4">
        <v>1.4</v>
      </c>
      <c r="L434" s="139" t="str">
        <f t="shared" si="44"/>
        <v xml:space="preserve"> </v>
      </c>
      <c r="M434" s="139">
        <v>1.42</v>
      </c>
      <c r="N434">
        <v>1.42</v>
      </c>
      <c r="O434" s="139">
        <f t="shared" si="46"/>
        <v>1.42</v>
      </c>
      <c r="P434" s="139">
        <f t="shared" si="45"/>
        <v>1.42</v>
      </c>
    </row>
    <row r="435" spans="1:16" x14ac:dyDescent="0.35">
      <c r="A435" s="14" t="s">
        <v>22</v>
      </c>
      <c r="B435" s="4">
        <v>30.45</v>
      </c>
      <c r="C435" s="4">
        <v>31.36</v>
      </c>
      <c r="D435" s="4">
        <v>18.37</v>
      </c>
      <c r="E435" s="4">
        <v>18.28</v>
      </c>
      <c r="F435" s="4">
        <v>2.87</v>
      </c>
      <c r="G435" s="4">
        <v>1.78</v>
      </c>
      <c r="H435" s="4">
        <f t="shared" si="48"/>
        <v>21.240000000000002</v>
      </c>
      <c r="I435" s="4">
        <f t="shared" si="47"/>
        <v>20.060000000000002</v>
      </c>
      <c r="J435" s="4">
        <v>1.31</v>
      </c>
      <c r="K435" s="4">
        <v>1.3</v>
      </c>
      <c r="L435" s="139" t="str">
        <f t="shared" si="44"/>
        <v xml:space="preserve"> </v>
      </c>
      <c r="M435" s="139">
        <v>1.31</v>
      </c>
      <c r="N435" s="139">
        <v>1.35</v>
      </c>
      <c r="O435" s="139">
        <f t="shared" si="46"/>
        <v>1.31</v>
      </c>
      <c r="P435" s="139">
        <f t="shared" si="45"/>
        <v>1.31</v>
      </c>
    </row>
    <row r="436" spans="1:16" x14ac:dyDescent="0.35">
      <c r="A436" s="14" t="s">
        <v>41</v>
      </c>
      <c r="B436" s="4">
        <v>21</v>
      </c>
      <c r="C436" s="4">
        <v>30.4</v>
      </c>
      <c r="D436" s="4">
        <v>23.4</v>
      </c>
      <c r="E436" s="4">
        <v>21.67</v>
      </c>
      <c r="F436" s="4">
        <v>32.5</v>
      </c>
      <c r="G436" s="4">
        <v>19.97</v>
      </c>
      <c r="H436" s="4">
        <f t="shared" si="48"/>
        <v>55.9</v>
      </c>
      <c r="I436" s="4">
        <f t="shared" si="47"/>
        <v>41.64</v>
      </c>
      <c r="J436" s="4">
        <v>1.43</v>
      </c>
      <c r="K436" s="4">
        <v>1.35</v>
      </c>
      <c r="L436" s="139" t="str">
        <f t="shared" si="44"/>
        <v xml:space="preserve"> </v>
      </c>
      <c r="M436" s="139">
        <v>1.43</v>
      </c>
      <c r="N436" s="139">
        <v>1.41</v>
      </c>
      <c r="O436" s="139">
        <f t="shared" si="46"/>
        <v>1.43</v>
      </c>
      <c r="P436" s="139">
        <f t="shared" si="45"/>
        <v>1.43</v>
      </c>
    </row>
    <row r="437" spans="1:16" x14ac:dyDescent="0.35">
      <c r="A437" s="14" t="s">
        <v>82</v>
      </c>
      <c r="B437" s="4">
        <v>7.26</v>
      </c>
      <c r="C437" s="4">
        <v>7.26</v>
      </c>
      <c r="D437" s="4">
        <v>46.25</v>
      </c>
      <c r="E437" s="4">
        <v>46.25</v>
      </c>
      <c r="F437" s="4">
        <v>34.200000000000003</v>
      </c>
      <c r="G437" s="4">
        <v>34.200000000000003</v>
      </c>
      <c r="H437" s="4">
        <f t="shared" si="48"/>
        <v>80.45</v>
      </c>
      <c r="I437" s="4">
        <f t="shared" si="47"/>
        <v>80.45</v>
      </c>
      <c r="J437" s="4">
        <v>1.62</v>
      </c>
      <c r="K437" s="4">
        <v>1.66</v>
      </c>
      <c r="L437" s="139" t="str">
        <f t="shared" si="44"/>
        <v xml:space="preserve"> </v>
      </c>
      <c r="M437" s="139">
        <v>1.62</v>
      </c>
      <c r="N437" s="139">
        <v>1.61</v>
      </c>
      <c r="O437" s="139">
        <f t="shared" si="46"/>
        <v>1.62</v>
      </c>
      <c r="P437" s="139">
        <f t="shared" si="45"/>
        <v>1.62</v>
      </c>
    </row>
    <row r="438" spans="1:16" x14ac:dyDescent="0.35">
      <c r="A438" s="14" t="s">
        <v>85</v>
      </c>
      <c r="B438" s="4">
        <v>23.17</v>
      </c>
      <c r="C438" s="4">
        <v>30.9</v>
      </c>
      <c r="D438" s="4">
        <v>46.18</v>
      </c>
      <c r="E438" s="4">
        <v>44.12</v>
      </c>
      <c r="F438" s="4">
        <v>8.65</v>
      </c>
      <c r="G438" s="4">
        <v>6.29</v>
      </c>
      <c r="H438" s="4">
        <f t="shared" si="48"/>
        <v>54.83</v>
      </c>
      <c r="I438" s="4">
        <f t="shared" si="47"/>
        <v>50.41</v>
      </c>
      <c r="J438" s="4">
        <v>1.44</v>
      </c>
      <c r="K438" s="4">
        <v>1.38</v>
      </c>
      <c r="L438" s="139" t="str">
        <f t="shared" si="44"/>
        <v xml:space="preserve"> </v>
      </c>
      <c r="M438" s="139">
        <v>1.44</v>
      </c>
      <c r="N438" s="139">
        <v>1.41</v>
      </c>
      <c r="O438" s="139">
        <f t="shared" si="46"/>
        <v>1.44</v>
      </c>
      <c r="P438" s="139">
        <f t="shared" si="45"/>
        <v>1.44</v>
      </c>
    </row>
    <row r="439" spans="1:16" x14ac:dyDescent="0.35">
      <c r="A439" s="14" t="s">
        <v>3</v>
      </c>
      <c r="B439" s="4">
        <v>31.82</v>
      </c>
      <c r="C439" s="4">
        <v>31.15</v>
      </c>
      <c r="D439" s="4">
        <v>27.6</v>
      </c>
      <c r="E439" s="4">
        <v>29.6</v>
      </c>
      <c r="F439" s="4">
        <v>6.6</v>
      </c>
      <c r="G439" s="4">
        <v>4.1399999999999997</v>
      </c>
      <c r="H439" s="4">
        <f t="shared" si="48"/>
        <v>34.200000000000003</v>
      </c>
      <c r="I439" s="4">
        <f t="shared" si="47"/>
        <v>33.74</v>
      </c>
      <c r="J439" s="4">
        <v>1.33</v>
      </c>
      <c r="K439" s="4">
        <v>1.32</v>
      </c>
      <c r="L439" s="139" t="str">
        <f t="shared" si="44"/>
        <v xml:space="preserve"> </v>
      </c>
      <c r="M439" s="139">
        <v>1.33</v>
      </c>
      <c r="N439" s="139">
        <v>1.35</v>
      </c>
      <c r="O439" s="139">
        <f t="shared" si="46"/>
        <v>1.33</v>
      </c>
      <c r="P439" s="139">
        <f t="shared" si="45"/>
        <v>1.33</v>
      </c>
    </row>
    <row r="440" spans="1:16" x14ac:dyDescent="0.35">
      <c r="A440" s="14" t="s">
        <v>76</v>
      </c>
      <c r="B440" s="4">
        <v>21.2</v>
      </c>
      <c r="C440" s="4">
        <v>23.4</v>
      </c>
      <c r="D440" s="4">
        <v>15.13</v>
      </c>
      <c r="E440" s="4">
        <v>14.11</v>
      </c>
      <c r="F440" s="4">
        <v>1.49</v>
      </c>
      <c r="G440" s="4">
        <v>1.43</v>
      </c>
      <c r="H440" s="4">
        <f t="shared" si="48"/>
        <v>16.62</v>
      </c>
      <c r="I440" s="4">
        <f t="shared" si="47"/>
        <v>15.54</v>
      </c>
      <c r="J440" s="4">
        <v>0</v>
      </c>
      <c r="K440" s="4">
        <v>0</v>
      </c>
      <c r="L440" s="139" t="str">
        <f t="shared" si="44"/>
        <v xml:space="preserve"> </v>
      </c>
      <c r="M440" s="139" t="s">
        <v>867</v>
      </c>
      <c r="N440" s="139">
        <v>1.32</v>
      </c>
      <c r="O440" s="139">
        <f t="shared" si="46"/>
        <v>1.32</v>
      </c>
      <c r="P440" s="139" t="str">
        <f t="shared" si="45"/>
        <v xml:space="preserve"> </v>
      </c>
    </row>
    <row r="441" spans="1:16" x14ac:dyDescent="0.35">
      <c r="A441" s="14" t="s">
        <v>298</v>
      </c>
      <c r="B441" s="4">
        <v>13.68</v>
      </c>
      <c r="C441" s="4">
        <v>19.46</v>
      </c>
      <c r="D441" s="4">
        <v>16.100000000000001</v>
      </c>
      <c r="E441" s="4">
        <v>13.51</v>
      </c>
      <c r="F441" s="4">
        <v>13.93</v>
      </c>
      <c r="G441" s="4">
        <v>17.16</v>
      </c>
      <c r="H441" s="4">
        <f t="shared" si="48"/>
        <v>30.03</v>
      </c>
      <c r="I441" s="4">
        <f t="shared" si="47"/>
        <v>30.67</v>
      </c>
      <c r="J441" s="4">
        <v>0</v>
      </c>
      <c r="K441" s="4">
        <v>0</v>
      </c>
      <c r="L441" s="139" t="str">
        <f t="shared" si="44"/>
        <v xml:space="preserve"> </v>
      </c>
      <c r="M441" s="139" t="s">
        <v>867</v>
      </c>
      <c r="N441" s="139">
        <v>1.49</v>
      </c>
      <c r="O441" s="139">
        <f t="shared" si="46"/>
        <v>1.49</v>
      </c>
      <c r="P441" s="139" t="str">
        <f t="shared" si="45"/>
        <v xml:space="preserve"> </v>
      </c>
    </row>
    <row r="442" spans="1:16" x14ac:dyDescent="0.35">
      <c r="A442" s="14" t="s">
        <v>314</v>
      </c>
      <c r="B442" s="4">
        <v>20.079999999999998</v>
      </c>
      <c r="C442" s="4">
        <v>20.3</v>
      </c>
      <c r="D442" s="4">
        <v>17.8</v>
      </c>
      <c r="E442" s="4">
        <v>20.62</v>
      </c>
      <c r="F442" s="4">
        <v>6.3</v>
      </c>
      <c r="G442" s="4">
        <v>6.91</v>
      </c>
      <c r="H442" s="4">
        <f t="shared" si="48"/>
        <v>24.1</v>
      </c>
      <c r="I442" s="4">
        <f t="shared" si="47"/>
        <v>27.53</v>
      </c>
      <c r="J442" s="4">
        <v>1.38</v>
      </c>
      <c r="K442" s="4">
        <v>1.37</v>
      </c>
      <c r="L442" s="139" t="str">
        <f t="shared" si="44"/>
        <v xml:space="preserve"> </v>
      </c>
      <c r="M442" s="139">
        <v>1.38</v>
      </c>
      <c r="N442" s="139">
        <v>1.35</v>
      </c>
      <c r="O442" s="139">
        <f t="shared" si="46"/>
        <v>1.38</v>
      </c>
      <c r="P442" s="139">
        <f t="shared" si="45"/>
        <v>1.38</v>
      </c>
    </row>
    <row r="443" spans="1:16" x14ac:dyDescent="0.35">
      <c r="A443" s="14" t="s">
        <v>77</v>
      </c>
      <c r="B443" s="4">
        <v>30.09</v>
      </c>
      <c r="C443" s="4">
        <v>30.96</v>
      </c>
      <c r="D443" s="4">
        <v>14.17</v>
      </c>
      <c r="E443" s="4">
        <v>13.24</v>
      </c>
      <c r="F443" s="4">
        <v>7.57</v>
      </c>
      <c r="G443" s="4">
        <v>6.07</v>
      </c>
      <c r="H443" s="4">
        <f t="shared" si="48"/>
        <v>21.740000000000002</v>
      </c>
      <c r="I443" s="4">
        <f t="shared" si="47"/>
        <v>19.310000000000002</v>
      </c>
      <c r="J443" s="4">
        <v>0</v>
      </c>
      <c r="K443" s="4">
        <v>0</v>
      </c>
      <c r="L443" s="139" t="str">
        <f t="shared" si="44"/>
        <v xml:space="preserve"> </v>
      </c>
      <c r="M443" s="139" t="s">
        <v>867</v>
      </c>
      <c r="N443" s="139">
        <v>1.35</v>
      </c>
      <c r="O443" s="139">
        <f t="shared" si="46"/>
        <v>1.35</v>
      </c>
      <c r="P443" s="139" t="str">
        <f t="shared" si="45"/>
        <v xml:space="preserve"> </v>
      </c>
    </row>
    <row r="444" spans="1:16" x14ac:dyDescent="0.35">
      <c r="A444" s="14" t="s">
        <v>356</v>
      </c>
      <c r="B444" s="4">
        <v>26.75</v>
      </c>
      <c r="C444" s="4">
        <v>25.9</v>
      </c>
      <c r="D444" s="4">
        <v>7</v>
      </c>
      <c r="E444" s="4">
        <v>6.63</v>
      </c>
      <c r="F444" s="4">
        <v>1.1000000000000001</v>
      </c>
      <c r="G444" s="4">
        <v>0.73</v>
      </c>
      <c r="H444" s="4">
        <f t="shared" si="48"/>
        <v>8.1</v>
      </c>
      <c r="I444" s="4">
        <f t="shared" si="47"/>
        <v>7.3599999999999994</v>
      </c>
      <c r="J444" s="4">
        <v>0</v>
      </c>
      <c r="K444" s="4">
        <v>0</v>
      </c>
      <c r="L444" s="139" t="str">
        <f t="shared" si="44"/>
        <v xml:space="preserve"> </v>
      </c>
      <c r="M444" s="139" t="s">
        <v>867</v>
      </c>
      <c r="N444" s="139">
        <v>1.32</v>
      </c>
      <c r="O444" s="139">
        <f t="shared" si="46"/>
        <v>1.32</v>
      </c>
      <c r="P444" s="139" t="str">
        <f t="shared" si="45"/>
        <v xml:space="preserve"> </v>
      </c>
    </row>
    <row r="445" spans="1:16" x14ac:dyDescent="0.35">
      <c r="A445" s="14" t="s">
        <v>417</v>
      </c>
      <c r="B445" s="4">
        <v>32.049999999999997</v>
      </c>
      <c r="C445" s="4">
        <v>33.020000000000003</v>
      </c>
      <c r="D445" s="4">
        <v>12.6</v>
      </c>
      <c r="E445" s="4">
        <v>10.9</v>
      </c>
      <c r="F445" s="4">
        <v>2.6</v>
      </c>
      <c r="G445" s="4">
        <v>2.2999999999999998</v>
      </c>
      <c r="H445" s="4">
        <f t="shared" si="48"/>
        <v>15.2</v>
      </c>
      <c r="I445" s="4">
        <f t="shared" si="47"/>
        <v>13.2</v>
      </c>
      <c r="J445" s="4">
        <v>0</v>
      </c>
      <c r="K445" s="4">
        <v>0</v>
      </c>
      <c r="L445" s="139" t="str">
        <f t="shared" si="44"/>
        <v xml:space="preserve"> </v>
      </c>
      <c r="M445" s="139" t="s">
        <v>867</v>
      </c>
      <c r="N445" s="139">
        <v>1.32</v>
      </c>
      <c r="O445" s="139">
        <f t="shared" si="46"/>
        <v>1.32</v>
      </c>
      <c r="P445" s="139" t="str">
        <f t="shared" si="45"/>
        <v xml:space="preserve"> </v>
      </c>
    </row>
    <row r="446" spans="1:16" x14ac:dyDescent="0.35">
      <c r="A446" s="14" t="s">
        <v>352</v>
      </c>
      <c r="B446" s="4">
        <v>27.56</v>
      </c>
      <c r="C446" s="4">
        <v>29.48</v>
      </c>
      <c r="D446" s="4">
        <v>10.9</v>
      </c>
      <c r="E446" s="4">
        <v>8.94</v>
      </c>
      <c r="F446" s="4">
        <v>2.2999999999999998</v>
      </c>
      <c r="G446" s="4">
        <v>1.27</v>
      </c>
      <c r="H446" s="4">
        <f t="shared" si="48"/>
        <v>13.2</v>
      </c>
      <c r="I446" s="4">
        <f t="shared" si="47"/>
        <v>10.209999999999999</v>
      </c>
      <c r="J446" s="4">
        <v>0</v>
      </c>
      <c r="K446" s="4">
        <v>0</v>
      </c>
      <c r="L446" s="139" t="str">
        <f t="shared" si="44"/>
        <v xml:space="preserve"> </v>
      </c>
      <c r="M446" s="139" t="s">
        <v>867</v>
      </c>
      <c r="N446" s="139">
        <v>1.32</v>
      </c>
      <c r="O446" s="139">
        <f t="shared" si="46"/>
        <v>1.32</v>
      </c>
      <c r="P446" s="139" t="str">
        <f t="shared" si="45"/>
        <v xml:space="preserve"> </v>
      </c>
    </row>
    <row r="447" spans="1:16" x14ac:dyDescent="0.35">
      <c r="A447" s="14" t="s">
        <v>427</v>
      </c>
      <c r="B447" s="4">
        <v>27.84</v>
      </c>
      <c r="C447" s="4">
        <v>27.81</v>
      </c>
      <c r="D447" s="4">
        <v>10.29</v>
      </c>
      <c r="E447" s="4">
        <v>11.61</v>
      </c>
      <c r="F447" s="4">
        <v>5.95</v>
      </c>
      <c r="G447" s="4">
        <v>4.25</v>
      </c>
      <c r="H447" s="4">
        <f t="shared" si="48"/>
        <v>16.239999999999998</v>
      </c>
      <c r="I447" s="4">
        <f t="shared" si="47"/>
        <v>15.86</v>
      </c>
      <c r="J447" s="4">
        <v>0</v>
      </c>
      <c r="K447" s="4">
        <v>0</v>
      </c>
      <c r="L447" s="139" t="str">
        <f t="shared" si="44"/>
        <v xml:space="preserve"> </v>
      </c>
      <c r="M447" s="139" t="s">
        <v>867</v>
      </c>
      <c r="N447" s="139">
        <v>1.32</v>
      </c>
      <c r="O447" s="139">
        <f t="shared" si="46"/>
        <v>1.32</v>
      </c>
      <c r="P447" s="139" t="str">
        <f t="shared" si="45"/>
        <v xml:space="preserve"> </v>
      </c>
    </row>
    <row r="448" spans="1:16" x14ac:dyDescent="0.35">
      <c r="A448" s="14" t="s">
        <v>325</v>
      </c>
      <c r="B448" s="4">
        <v>30.74</v>
      </c>
      <c r="C448" s="4">
        <v>30.93</v>
      </c>
      <c r="D448" s="4">
        <v>6.82</v>
      </c>
      <c r="E448" s="4">
        <v>9.86</v>
      </c>
      <c r="F448" s="4">
        <v>1.83</v>
      </c>
      <c r="G448" s="4">
        <v>1.67</v>
      </c>
      <c r="H448" s="4">
        <f t="shared" si="48"/>
        <v>8.65</v>
      </c>
      <c r="I448" s="4">
        <f t="shared" si="47"/>
        <v>11.53</v>
      </c>
      <c r="J448" s="4">
        <v>0</v>
      </c>
      <c r="K448" s="4">
        <v>0</v>
      </c>
      <c r="L448" s="139" t="str">
        <f t="shared" si="44"/>
        <v xml:space="preserve"> </v>
      </c>
      <c r="M448" s="139" t="s">
        <v>867</v>
      </c>
      <c r="N448" s="139">
        <v>1.32</v>
      </c>
      <c r="O448" s="139">
        <f t="shared" si="46"/>
        <v>1.32</v>
      </c>
      <c r="P448" s="139" t="str">
        <f t="shared" si="45"/>
        <v xml:space="preserve"> </v>
      </c>
    </row>
    <row r="449" spans="1:16" x14ac:dyDescent="0.35">
      <c r="A449" s="14" t="s">
        <v>355</v>
      </c>
      <c r="B449" s="4">
        <v>25.95</v>
      </c>
      <c r="C449" s="4">
        <v>26.3</v>
      </c>
      <c r="D449" s="4">
        <v>6.1</v>
      </c>
      <c r="E449" s="4">
        <v>7.82</v>
      </c>
      <c r="F449" s="4">
        <v>0.7</v>
      </c>
      <c r="G449" s="4">
        <v>0.62</v>
      </c>
      <c r="H449" s="4">
        <f t="shared" si="48"/>
        <v>6.8</v>
      </c>
      <c r="I449" s="4">
        <f t="shared" si="47"/>
        <v>8.44</v>
      </c>
      <c r="J449" s="4">
        <v>0</v>
      </c>
      <c r="K449" s="4">
        <v>0</v>
      </c>
      <c r="L449" s="139" t="str">
        <f t="shared" si="44"/>
        <v xml:space="preserve"> </v>
      </c>
      <c r="M449" s="139" t="s">
        <v>867</v>
      </c>
      <c r="N449" s="139">
        <v>1.32</v>
      </c>
      <c r="O449" s="139">
        <f t="shared" si="46"/>
        <v>1.32</v>
      </c>
      <c r="P449" s="139" t="str">
        <f t="shared" si="45"/>
        <v xml:space="preserve"> </v>
      </c>
    </row>
    <row r="450" spans="1:16" x14ac:dyDescent="0.35">
      <c r="A450" s="14" t="s">
        <v>435</v>
      </c>
      <c r="B450" s="4">
        <v>26.86</v>
      </c>
      <c r="C450" s="4">
        <v>29.49</v>
      </c>
      <c r="D450" s="4">
        <v>16.02</v>
      </c>
      <c r="E450" s="4">
        <v>14.56</v>
      </c>
      <c r="F450" s="4">
        <v>10.61</v>
      </c>
      <c r="G450" s="4">
        <v>7.72</v>
      </c>
      <c r="H450" s="4">
        <f t="shared" si="48"/>
        <v>26.63</v>
      </c>
      <c r="I450" s="4">
        <f t="shared" si="47"/>
        <v>22.28</v>
      </c>
      <c r="J450" s="4">
        <v>0</v>
      </c>
      <c r="K450" s="4">
        <v>0</v>
      </c>
      <c r="L450" s="139" t="str">
        <f t="shared" si="44"/>
        <v xml:space="preserve"> </v>
      </c>
      <c r="M450" s="139" t="s">
        <v>867</v>
      </c>
      <c r="N450" s="139">
        <v>1.35</v>
      </c>
      <c r="O450" s="139">
        <f t="shared" si="46"/>
        <v>1.35</v>
      </c>
      <c r="P450" s="139" t="str">
        <f t="shared" si="45"/>
        <v xml:space="preserve"> </v>
      </c>
    </row>
    <row r="451" spans="1:16" x14ac:dyDescent="0.35">
      <c r="A451" s="14" t="s">
        <v>349</v>
      </c>
      <c r="B451" s="4">
        <v>24.34</v>
      </c>
      <c r="C451" s="4">
        <v>25.02</v>
      </c>
      <c r="D451" s="4">
        <v>17</v>
      </c>
      <c r="E451" s="4">
        <v>13.14</v>
      </c>
      <c r="F451" s="4">
        <v>5.7</v>
      </c>
      <c r="G451" s="4">
        <v>3.53</v>
      </c>
      <c r="H451" s="4">
        <f t="shared" si="48"/>
        <v>22.7</v>
      </c>
      <c r="I451" s="4">
        <f t="shared" si="47"/>
        <v>16.670000000000002</v>
      </c>
      <c r="J451" s="4">
        <v>0</v>
      </c>
      <c r="K451" s="4">
        <v>0</v>
      </c>
      <c r="L451" s="139" t="str">
        <f t="shared" si="44"/>
        <v xml:space="preserve"> </v>
      </c>
      <c r="M451" s="139" t="s">
        <v>867</v>
      </c>
      <c r="N451" s="139">
        <v>1.35</v>
      </c>
      <c r="O451" s="139">
        <f t="shared" si="46"/>
        <v>1.35</v>
      </c>
      <c r="P451" s="139" t="str">
        <f t="shared" si="45"/>
        <v xml:space="preserve"> </v>
      </c>
    </row>
    <row r="452" spans="1:16" x14ac:dyDescent="0.35">
      <c r="A452" s="14" t="s">
        <v>353</v>
      </c>
      <c r="B452" s="4">
        <v>25.14</v>
      </c>
      <c r="C452" s="4">
        <v>25.27</v>
      </c>
      <c r="D452" s="4">
        <v>14.5</v>
      </c>
      <c r="E452" s="4">
        <v>14.65</v>
      </c>
      <c r="F452" s="4">
        <v>5.6</v>
      </c>
      <c r="G452" s="4">
        <v>5.81</v>
      </c>
      <c r="H452" s="4">
        <f t="shared" si="48"/>
        <v>20.100000000000001</v>
      </c>
      <c r="I452" s="4">
        <f t="shared" si="47"/>
        <v>20.46</v>
      </c>
      <c r="J452" s="4">
        <v>0</v>
      </c>
      <c r="K452" s="4">
        <v>0</v>
      </c>
      <c r="L452" s="139" t="str">
        <f t="shared" si="44"/>
        <v xml:space="preserve"> </v>
      </c>
      <c r="M452" s="139" t="s">
        <v>867</v>
      </c>
      <c r="N452" s="139">
        <v>1.35</v>
      </c>
      <c r="O452" s="139">
        <f t="shared" si="46"/>
        <v>1.35</v>
      </c>
      <c r="P452" s="139" t="str">
        <f t="shared" si="45"/>
        <v xml:space="preserve"> </v>
      </c>
    </row>
    <row r="453" spans="1:16" x14ac:dyDescent="0.35">
      <c r="A453" s="14" t="s">
        <v>332</v>
      </c>
      <c r="B453" s="4">
        <v>31.13</v>
      </c>
      <c r="C453" s="4">
        <v>33.42</v>
      </c>
      <c r="D453" s="4">
        <v>25.35</v>
      </c>
      <c r="E453" s="4">
        <v>19.63</v>
      </c>
      <c r="F453" s="4">
        <v>7.31</v>
      </c>
      <c r="G453" s="4">
        <v>4.51</v>
      </c>
      <c r="H453" s="4">
        <f t="shared" si="48"/>
        <v>32.660000000000004</v>
      </c>
      <c r="I453" s="4">
        <f t="shared" si="47"/>
        <v>24.14</v>
      </c>
      <c r="J453" s="4">
        <v>0</v>
      </c>
      <c r="K453" s="4">
        <v>0</v>
      </c>
      <c r="L453" s="139" t="str">
        <f t="shared" si="44"/>
        <v xml:space="preserve"> </v>
      </c>
      <c r="M453" s="139" t="s">
        <v>867</v>
      </c>
      <c r="N453" s="139">
        <v>1.35</v>
      </c>
      <c r="O453" s="139">
        <f t="shared" si="46"/>
        <v>1.35</v>
      </c>
      <c r="P453" s="139" t="str">
        <f t="shared" si="45"/>
        <v xml:space="preserve"> </v>
      </c>
    </row>
    <row r="454" spans="1:16" x14ac:dyDescent="0.35">
      <c r="A454" s="14" t="s">
        <v>335</v>
      </c>
      <c r="B454" s="4">
        <v>19.95</v>
      </c>
      <c r="C454" s="4">
        <v>19.47</v>
      </c>
      <c r="D454" s="4">
        <v>18.3</v>
      </c>
      <c r="E454" s="4">
        <v>15.68</v>
      </c>
      <c r="F454" s="4">
        <v>30.13</v>
      </c>
      <c r="G454" s="4">
        <v>35.47</v>
      </c>
      <c r="H454" s="4">
        <f t="shared" si="48"/>
        <v>48.43</v>
      </c>
      <c r="I454" s="4">
        <f t="shared" si="47"/>
        <v>51.15</v>
      </c>
      <c r="J454" s="4">
        <v>0</v>
      </c>
      <c r="K454" s="4">
        <v>0</v>
      </c>
      <c r="L454" s="139" t="str">
        <f t="shared" si="44"/>
        <v xml:space="preserve"> </v>
      </c>
      <c r="M454" s="139" t="s">
        <v>867</v>
      </c>
      <c r="N454" s="139">
        <v>1.52</v>
      </c>
      <c r="O454" s="139">
        <f t="shared" si="46"/>
        <v>1.52</v>
      </c>
      <c r="P454" s="139" t="str">
        <f t="shared" si="45"/>
        <v xml:space="preserve"> </v>
      </c>
    </row>
    <row r="455" spans="1:16" x14ac:dyDescent="0.35">
      <c r="A455" s="14" t="s">
        <v>333</v>
      </c>
      <c r="B455" s="4">
        <v>20.77</v>
      </c>
      <c r="C455" s="4">
        <v>22.76</v>
      </c>
      <c r="D455" s="4">
        <v>24</v>
      </c>
      <c r="E455" s="4">
        <v>22.69</v>
      </c>
      <c r="F455" s="4">
        <v>5.9</v>
      </c>
      <c r="G455" s="4">
        <v>4.91</v>
      </c>
      <c r="H455" s="4">
        <f t="shared" si="48"/>
        <v>29.9</v>
      </c>
      <c r="I455" s="4">
        <f t="shared" si="47"/>
        <v>27.6</v>
      </c>
      <c r="J455" s="4">
        <v>0</v>
      </c>
      <c r="K455" s="4">
        <v>0</v>
      </c>
      <c r="L455" s="139" t="str">
        <f t="shared" ref="L455:L518" si="49">IF(AND($B455&lt;L$3,$B455&gt;L$2,$H455&lt;L$5,$H455&gt;L$4),$J455," ")</f>
        <v xml:space="preserve"> </v>
      </c>
      <c r="M455" s="139" t="s">
        <v>867</v>
      </c>
      <c r="N455" s="139">
        <v>1.35</v>
      </c>
      <c r="O455" s="139">
        <f t="shared" si="46"/>
        <v>1.35</v>
      </c>
      <c r="P455" s="139" t="str">
        <f t="shared" ref="P455:P518" si="50">IF(M455&gt;0,M455," ")</f>
        <v xml:space="preserve"> </v>
      </c>
    </row>
    <row r="456" spans="1:16" x14ac:dyDescent="0.35">
      <c r="A456" s="14" t="s">
        <v>480</v>
      </c>
      <c r="B456" s="4">
        <v>25.88</v>
      </c>
      <c r="C456" s="4">
        <v>28.25</v>
      </c>
      <c r="D456" s="4">
        <v>13.39</v>
      </c>
      <c r="E456" s="4">
        <v>12.41</v>
      </c>
      <c r="F456" s="4">
        <v>2.4300000000000002</v>
      </c>
      <c r="G456" s="4">
        <v>2.61</v>
      </c>
      <c r="H456" s="4">
        <f t="shared" si="48"/>
        <v>15.82</v>
      </c>
      <c r="I456" s="4">
        <f t="shared" si="47"/>
        <v>15.02</v>
      </c>
      <c r="J456" s="4">
        <v>0</v>
      </c>
      <c r="K456" s="4">
        <v>0</v>
      </c>
      <c r="L456" s="139" t="str">
        <f t="shared" si="49"/>
        <v xml:space="preserve"> </v>
      </c>
      <c r="M456" s="139" t="s">
        <v>867</v>
      </c>
      <c r="N456" s="139">
        <v>1.32</v>
      </c>
      <c r="O456" s="139">
        <f t="shared" ref="O456:O519" si="51">IF(M456=" ",N456,M456)</f>
        <v>1.32</v>
      </c>
      <c r="P456" s="139" t="str">
        <f t="shared" si="50"/>
        <v xml:space="preserve"> </v>
      </c>
    </row>
    <row r="457" spans="1:16" x14ac:dyDescent="0.35">
      <c r="A457" s="14" t="s">
        <v>429</v>
      </c>
      <c r="B457" s="4">
        <v>23.01</v>
      </c>
      <c r="C457" s="4">
        <v>25.14</v>
      </c>
      <c r="D457" s="4">
        <v>6.94</v>
      </c>
      <c r="E457" s="4">
        <v>7</v>
      </c>
      <c r="F457" s="4">
        <v>1.46</v>
      </c>
      <c r="G457" s="4">
        <v>1.1200000000000001</v>
      </c>
      <c r="H457" s="4">
        <f t="shared" si="48"/>
        <v>8.4</v>
      </c>
      <c r="I457" s="4">
        <f t="shared" si="47"/>
        <v>8.120000000000001</v>
      </c>
      <c r="J457" s="4">
        <v>0</v>
      </c>
      <c r="K457" s="4">
        <v>0</v>
      </c>
      <c r="L457" s="139" t="str">
        <f t="shared" si="49"/>
        <v xml:space="preserve"> </v>
      </c>
      <c r="M457" s="139" t="s">
        <v>867</v>
      </c>
      <c r="N457" s="139">
        <v>1.32</v>
      </c>
      <c r="O457" s="139">
        <f t="shared" si="51"/>
        <v>1.32</v>
      </c>
      <c r="P457" s="139" t="str">
        <f t="shared" si="50"/>
        <v xml:space="preserve"> </v>
      </c>
    </row>
    <row r="458" spans="1:16" x14ac:dyDescent="0.35">
      <c r="A458" s="14" t="s">
        <v>437</v>
      </c>
      <c r="B458" s="4">
        <v>14.79</v>
      </c>
      <c r="C458" s="4">
        <v>15.35</v>
      </c>
      <c r="D458" s="4">
        <v>11.2</v>
      </c>
      <c r="E458" s="4">
        <v>12.98</v>
      </c>
      <c r="F458" s="4">
        <v>5.3</v>
      </c>
      <c r="G458" s="4">
        <v>5.18</v>
      </c>
      <c r="H458" s="4">
        <f t="shared" si="48"/>
        <v>16.5</v>
      </c>
      <c r="I458" s="4">
        <f t="shared" si="47"/>
        <v>18.16</v>
      </c>
      <c r="J458" s="4">
        <v>0</v>
      </c>
      <c r="K458" s="4">
        <v>0</v>
      </c>
      <c r="L458" s="139" t="str">
        <f t="shared" si="49"/>
        <v xml:space="preserve"> </v>
      </c>
      <c r="M458" s="139" t="s">
        <v>867</v>
      </c>
      <c r="N458" s="139">
        <v>1.41</v>
      </c>
      <c r="O458" s="139">
        <f t="shared" si="51"/>
        <v>1.41</v>
      </c>
      <c r="P458" s="139" t="str">
        <f t="shared" si="50"/>
        <v xml:space="preserve"> </v>
      </c>
    </row>
    <row r="459" spans="1:16" x14ac:dyDescent="0.35">
      <c r="A459" s="14" t="s">
        <v>430</v>
      </c>
      <c r="B459" s="4">
        <v>28.83</v>
      </c>
      <c r="C459" s="4">
        <v>34.520000000000003</v>
      </c>
      <c r="D459" s="4">
        <v>8.8699999999999992</v>
      </c>
      <c r="E459" s="4">
        <v>7.99</v>
      </c>
      <c r="F459" s="4">
        <v>2.79</v>
      </c>
      <c r="G459" s="4">
        <v>2.69</v>
      </c>
      <c r="H459" s="4">
        <f t="shared" si="48"/>
        <v>11.66</v>
      </c>
      <c r="I459" s="4">
        <f t="shared" si="47"/>
        <v>10.68</v>
      </c>
      <c r="J459" s="4">
        <v>0</v>
      </c>
      <c r="K459" s="4">
        <v>0</v>
      </c>
      <c r="L459" s="139" t="str">
        <f t="shared" si="49"/>
        <v xml:space="preserve"> </v>
      </c>
      <c r="M459" s="139" t="s">
        <v>867</v>
      </c>
      <c r="N459" s="139">
        <v>1.32</v>
      </c>
      <c r="O459" s="139">
        <f t="shared" si="51"/>
        <v>1.32</v>
      </c>
      <c r="P459" s="139" t="str">
        <f t="shared" si="50"/>
        <v xml:space="preserve"> </v>
      </c>
    </row>
    <row r="460" spans="1:16" x14ac:dyDescent="0.35">
      <c r="A460" s="14" t="s">
        <v>439</v>
      </c>
      <c r="B460" s="4">
        <v>25.26</v>
      </c>
      <c r="C460" s="4">
        <v>29.23</v>
      </c>
      <c r="D460" s="4">
        <v>16.100000000000001</v>
      </c>
      <c r="E460" s="4">
        <v>14.23</v>
      </c>
      <c r="F460" s="4">
        <v>9.1999999999999993</v>
      </c>
      <c r="G460" s="4">
        <v>10</v>
      </c>
      <c r="H460" s="4">
        <f t="shared" si="48"/>
        <v>25.3</v>
      </c>
      <c r="I460" s="4">
        <f t="shared" ref="I460:I523" si="52">E460+G460</f>
        <v>24.23</v>
      </c>
      <c r="J460" s="4">
        <v>0</v>
      </c>
      <c r="K460" s="4">
        <v>0</v>
      </c>
      <c r="L460" s="139" t="str">
        <f t="shared" si="49"/>
        <v xml:space="preserve"> </v>
      </c>
      <c r="M460" s="139" t="s">
        <v>867</v>
      </c>
      <c r="N460" s="139">
        <v>1.35</v>
      </c>
      <c r="O460" s="139">
        <f t="shared" si="51"/>
        <v>1.35</v>
      </c>
      <c r="P460" s="139" t="str">
        <f t="shared" si="50"/>
        <v xml:space="preserve"> </v>
      </c>
    </row>
    <row r="461" spans="1:16" x14ac:dyDescent="0.35">
      <c r="A461" s="14" t="s">
        <v>423</v>
      </c>
      <c r="B461" s="4">
        <v>25.11</v>
      </c>
      <c r="C461" s="4">
        <v>32.17</v>
      </c>
      <c r="D461" s="4">
        <v>11.31</v>
      </c>
      <c r="E461" s="4">
        <v>10.53</v>
      </c>
      <c r="F461" s="4">
        <v>6.27</v>
      </c>
      <c r="G461" s="4">
        <v>6.81</v>
      </c>
      <c r="H461" s="4">
        <f t="shared" ref="H461:H524" si="53">D461+F461</f>
        <v>17.579999999999998</v>
      </c>
      <c r="I461" s="4">
        <f t="shared" si="52"/>
        <v>17.34</v>
      </c>
      <c r="J461" s="4">
        <v>0</v>
      </c>
      <c r="K461" s="4">
        <v>0</v>
      </c>
      <c r="L461" s="139" t="str">
        <f t="shared" si="49"/>
        <v xml:space="preserve"> </v>
      </c>
      <c r="M461" s="139" t="s">
        <v>867</v>
      </c>
      <c r="N461" s="139">
        <v>1.32</v>
      </c>
      <c r="O461" s="139">
        <f t="shared" si="51"/>
        <v>1.32</v>
      </c>
      <c r="P461" s="139" t="str">
        <f t="shared" si="50"/>
        <v xml:space="preserve"> </v>
      </c>
    </row>
    <row r="462" spans="1:16" x14ac:dyDescent="0.35">
      <c r="A462" s="14" t="s">
        <v>481</v>
      </c>
      <c r="B462" s="4">
        <v>24.45</v>
      </c>
      <c r="C462" s="4">
        <v>28.57</v>
      </c>
      <c r="D462" s="4">
        <v>9.5</v>
      </c>
      <c r="E462" s="4">
        <v>9.9</v>
      </c>
      <c r="F462" s="4">
        <v>2.5</v>
      </c>
      <c r="G462" s="4">
        <v>3.07</v>
      </c>
      <c r="H462" s="4">
        <f t="shared" si="53"/>
        <v>12</v>
      </c>
      <c r="I462" s="4">
        <f t="shared" si="52"/>
        <v>12.97</v>
      </c>
      <c r="J462" s="4">
        <v>0</v>
      </c>
      <c r="K462" s="4">
        <v>0</v>
      </c>
      <c r="L462" s="139" t="str">
        <f t="shared" si="49"/>
        <v xml:space="preserve"> </v>
      </c>
      <c r="M462" s="139" t="s">
        <v>867</v>
      </c>
      <c r="N462" s="139">
        <v>1.32</v>
      </c>
      <c r="O462" s="139">
        <f t="shared" si="51"/>
        <v>1.32</v>
      </c>
      <c r="P462" s="139" t="str">
        <f t="shared" si="50"/>
        <v xml:space="preserve"> </v>
      </c>
    </row>
    <row r="463" spans="1:16" x14ac:dyDescent="0.35">
      <c r="A463" s="14" t="s">
        <v>420</v>
      </c>
      <c r="B463" s="4">
        <v>24.36</v>
      </c>
      <c r="C463" s="4">
        <v>27.63</v>
      </c>
      <c r="D463" s="4">
        <v>14.62</v>
      </c>
      <c r="E463" s="4">
        <v>12.06</v>
      </c>
      <c r="F463" s="4">
        <v>9.26</v>
      </c>
      <c r="G463" s="4">
        <v>8.58</v>
      </c>
      <c r="H463" s="4">
        <f t="shared" si="53"/>
        <v>23.88</v>
      </c>
      <c r="I463" s="4">
        <f t="shared" si="52"/>
        <v>20.64</v>
      </c>
      <c r="J463" s="4">
        <v>1.36</v>
      </c>
      <c r="K463" s="4">
        <v>1.3</v>
      </c>
      <c r="L463" s="139" t="str">
        <f t="shared" si="49"/>
        <v xml:space="preserve"> </v>
      </c>
      <c r="M463" s="139">
        <v>1.36</v>
      </c>
      <c r="N463" s="139">
        <v>1.35</v>
      </c>
      <c r="O463" s="139">
        <f t="shared" si="51"/>
        <v>1.36</v>
      </c>
      <c r="P463" s="139">
        <f t="shared" si="50"/>
        <v>1.36</v>
      </c>
    </row>
    <row r="464" spans="1:16" x14ac:dyDescent="0.35">
      <c r="A464" s="14" t="s">
        <v>431</v>
      </c>
      <c r="B464" s="4">
        <v>33.31</v>
      </c>
      <c r="C464" s="4">
        <v>34.29</v>
      </c>
      <c r="D464" s="4">
        <v>14.6</v>
      </c>
      <c r="E464" s="4">
        <v>12.97</v>
      </c>
      <c r="F464" s="4">
        <v>0.8</v>
      </c>
      <c r="G464" s="4">
        <v>1.92</v>
      </c>
      <c r="H464" s="4">
        <f t="shared" si="53"/>
        <v>15.4</v>
      </c>
      <c r="I464" s="4">
        <f t="shared" si="52"/>
        <v>14.89</v>
      </c>
      <c r="J464" s="4">
        <v>0</v>
      </c>
      <c r="K464" s="4">
        <v>0</v>
      </c>
      <c r="L464" s="139" t="str">
        <f t="shared" si="49"/>
        <v xml:space="preserve"> </v>
      </c>
      <c r="M464" s="139" t="s">
        <v>867</v>
      </c>
      <c r="N464" s="139">
        <v>1.32</v>
      </c>
      <c r="O464" s="139">
        <f t="shared" si="51"/>
        <v>1.32</v>
      </c>
      <c r="P464" s="139" t="str">
        <f t="shared" si="50"/>
        <v xml:space="preserve"> </v>
      </c>
    </row>
    <row r="465" spans="1:16" x14ac:dyDescent="0.35">
      <c r="A465" s="14" t="s">
        <v>433</v>
      </c>
      <c r="B465" s="4">
        <v>10.3</v>
      </c>
      <c r="C465" s="4">
        <v>16.559999999999999</v>
      </c>
      <c r="D465" s="4">
        <v>19.78</v>
      </c>
      <c r="E465" s="4">
        <v>18.13</v>
      </c>
      <c r="F465" s="4">
        <v>19.86</v>
      </c>
      <c r="G465" s="4">
        <v>18.97</v>
      </c>
      <c r="H465" s="4">
        <f t="shared" si="53"/>
        <v>39.64</v>
      </c>
      <c r="I465" s="4">
        <f t="shared" si="52"/>
        <v>37.099999999999994</v>
      </c>
      <c r="J465" s="4">
        <v>0</v>
      </c>
      <c r="K465" s="4">
        <v>0</v>
      </c>
      <c r="L465" s="139" t="str">
        <f t="shared" si="49"/>
        <v xml:space="preserve"> </v>
      </c>
      <c r="M465" s="139" t="s">
        <v>867</v>
      </c>
      <c r="N465" s="139">
        <v>1.49</v>
      </c>
      <c r="O465" s="139">
        <f t="shared" si="51"/>
        <v>1.49</v>
      </c>
      <c r="P465" s="139" t="str">
        <f t="shared" si="50"/>
        <v xml:space="preserve"> </v>
      </c>
    </row>
    <row r="466" spans="1:16" x14ac:dyDescent="0.35">
      <c r="A466" s="14" t="s">
        <v>482</v>
      </c>
      <c r="B466" s="4">
        <v>19.05</v>
      </c>
      <c r="C466" s="4">
        <v>25.15</v>
      </c>
      <c r="D466" s="4">
        <v>11.7</v>
      </c>
      <c r="E466" s="4">
        <v>10.37</v>
      </c>
      <c r="F466" s="4">
        <v>4.9000000000000004</v>
      </c>
      <c r="G466" s="4">
        <v>4.96</v>
      </c>
      <c r="H466" s="4">
        <f t="shared" si="53"/>
        <v>16.600000000000001</v>
      </c>
      <c r="I466" s="4">
        <f t="shared" si="52"/>
        <v>15.329999999999998</v>
      </c>
      <c r="J466" s="4">
        <v>0</v>
      </c>
      <c r="K466" s="4">
        <v>0</v>
      </c>
      <c r="L466" s="139" t="str">
        <f t="shared" si="49"/>
        <v xml:space="preserve"> </v>
      </c>
      <c r="M466" s="139" t="s">
        <v>867</v>
      </c>
      <c r="N466" s="139">
        <v>1.41</v>
      </c>
      <c r="O466" s="139">
        <f t="shared" si="51"/>
        <v>1.41</v>
      </c>
      <c r="P466" s="139" t="str">
        <f t="shared" si="50"/>
        <v xml:space="preserve"> </v>
      </c>
    </row>
    <row r="467" spans="1:16" x14ac:dyDescent="0.35">
      <c r="A467" s="14" t="s">
        <v>472</v>
      </c>
      <c r="B467" s="4">
        <v>27.9</v>
      </c>
      <c r="C467" s="4">
        <v>36.6</v>
      </c>
      <c r="D467" s="4">
        <v>9.9</v>
      </c>
      <c r="E467" s="4">
        <v>10.91</v>
      </c>
      <c r="F467" s="4">
        <v>6.8</v>
      </c>
      <c r="G467" s="4">
        <v>4.8899999999999997</v>
      </c>
      <c r="H467" s="4">
        <f t="shared" si="53"/>
        <v>16.7</v>
      </c>
      <c r="I467" s="4">
        <f t="shared" si="52"/>
        <v>15.8</v>
      </c>
      <c r="J467" s="4">
        <v>0</v>
      </c>
      <c r="K467" s="4">
        <v>0</v>
      </c>
      <c r="L467" s="139" t="str">
        <f t="shared" si="49"/>
        <v xml:space="preserve"> </v>
      </c>
      <c r="M467" s="139" t="s">
        <v>867</v>
      </c>
      <c r="N467" s="139">
        <v>1.32</v>
      </c>
      <c r="O467" s="139">
        <f t="shared" si="51"/>
        <v>1.32</v>
      </c>
      <c r="P467" s="139" t="str">
        <f t="shared" si="50"/>
        <v xml:space="preserve"> </v>
      </c>
    </row>
    <row r="468" spans="1:16" x14ac:dyDescent="0.35">
      <c r="A468" s="14" t="s">
        <v>438</v>
      </c>
      <c r="B468" s="4">
        <v>10.74</v>
      </c>
      <c r="C468" s="4">
        <v>14.76</v>
      </c>
      <c r="D468" s="4">
        <v>13.46</v>
      </c>
      <c r="E468" s="4">
        <v>11.21</v>
      </c>
      <c r="F468" s="4">
        <v>13.64</v>
      </c>
      <c r="G468" s="4">
        <v>11.49</v>
      </c>
      <c r="H468" s="4">
        <f t="shared" si="53"/>
        <v>27.1</v>
      </c>
      <c r="I468" s="4">
        <f t="shared" si="52"/>
        <v>22.700000000000003</v>
      </c>
      <c r="J468" s="4">
        <v>0</v>
      </c>
      <c r="K468" s="4">
        <v>0</v>
      </c>
      <c r="L468" s="139" t="str">
        <f t="shared" si="49"/>
        <v xml:space="preserve"> </v>
      </c>
      <c r="M468" s="139" t="s">
        <v>867</v>
      </c>
      <c r="N468" s="139">
        <v>1.49</v>
      </c>
      <c r="O468" s="139">
        <f t="shared" si="51"/>
        <v>1.49</v>
      </c>
      <c r="P468" s="139" t="str">
        <f t="shared" si="50"/>
        <v xml:space="preserve"> </v>
      </c>
    </row>
    <row r="469" spans="1:16" x14ac:dyDescent="0.35">
      <c r="A469" s="14" t="s">
        <v>436</v>
      </c>
      <c r="B469" s="4">
        <v>7.75</v>
      </c>
      <c r="C469" s="4">
        <v>12.44</v>
      </c>
      <c r="D469" s="4">
        <v>18.88</v>
      </c>
      <c r="E469" s="4">
        <v>17.07</v>
      </c>
      <c r="F469" s="4">
        <v>9.26</v>
      </c>
      <c r="G469" s="4">
        <v>8.3000000000000007</v>
      </c>
      <c r="H469" s="4">
        <f t="shared" si="53"/>
        <v>28.14</v>
      </c>
      <c r="I469" s="4">
        <f t="shared" si="52"/>
        <v>25.37</v>
      </c>
      <c r="J469" s="4">
        <v>0</v>
      </c>
      <c r="K469" s="4">
        <v>0</v>
      </c>
      <c r="L469" s="139" t="str">
        <f t="shared" si="49"/>
        <v xml:space="preserve"> </v>
      </c>
      <c r="M469" s="139" t="s">
        <v>867</v>
      </c>
      <c r="N469" s="139">
        <v>1.57</v>
      </c>
      <c r="O469" s="139">
        <f t="shared" si="51"/>
        <v>1.57</v>
      </c>
      <c r="P469" s="139" t="str">
        <f t="shared" si="50"/>
        <v xml:space="preserve"> </v>
      </c>
    </row>
    <row r="470" spans="1:16" x14ac:dyDescent="0.35">
      <c r="A470" s="14" t="s">
        <v>421</v>
      </c>
      <c r="B470" s="4">
        <v>14.5</v>
      </c>
      <c r="C470" s="4">
        <v>20.37</v>
      </c>
      <c r="D470" s="4">
        <v>19.11</v>
      </c>
      <c r="E470" s="4">
        <v>18.739999999999998</v>
      </c>
      <c r="F470" s="4">
        <v>19.59</v>
      </c>
      <c r="G470" s="4">
        <v>17.37</v>
      </c>
      <c r="H470" s="4">
        <f t="shared" si="53"/>
        <v>38.700000000000003</v>
      </c>
      <c r="I470" s="4">
        <f t="shared" si="52"/>
        <v>36.11</v>
      </c>
      <c r="J470" s="4">
        <v>1.48</v>
      </c>
      <c r="K470" s="4">
        <v>1.49</v>
      </c>
      <c r="L470" s="139" t="str">
        <f t="shared" si="49"/>
        <v xml:space="preserve"> </v>
      </c>
      <c r="M470" s="139">
        <v>1.48</v>
      </c>
      <c r="N470" s="139">
        <v>1.49</v>
      </c>
      <c r="O470" s="139">
        <f t="shared" si="51"/>
        <v>1.48</v>
      </c>
      <c r="P470" s="139">
        <f t="shared" si="50"/>
        <v>1.48</v>
      </c>
    </row>
    <row r="471" spans="1:16" x14ac:dyDescent="0.35">
      <c r="A471" s="14" t="s">
        <v>339</v>
      </c>
      <c r="B471" s="4">
        <v>21.71</v>
      </c>
      <c r="C471" s="4">
        <v>31.5</v>
      </c>
      <c r="D471" s="4">
        <v>12.02</v>
      </c>
      <c r="E471" s="4">
        <v>9.0399999999999991</v>
      </c>
      <c r="F471" s="4">
        <v>33.15</v>
      </c>
      <c r="G471" s="4">
        <v>20.2</v>
      </c>
      <c r="H471" s="4">
        <f t="shared" si="53"/>
        <v>45.17</v>
      </c>
      <c r="I471" s="4">
        <f t="shared" si="52"/>
        <v>29.24</v>
      </c>
      <c r="J471" s="4">
        <v>0</v>
      </c>
      <c r="K471" s="4">
        <v>0</v>
      </c>
      <c r="L471" s="139" t="str">
        <f t="shared" si="49"/>
        <v xml:space="preserve"> </v>
      </c>
      <c r="M471" s="139" t="s">
        <v>867</v>
      </c>
      <c r="N471" s="139">
        <v>1.41</v>
      </c>
      <c r="O471" s="139">
        <f t="shared" si="51"/>
        <v>1.41</v>
      </c>
      <c r="P471" s="139" t="str">
        <f t="shared" si="50"/>
        <v xml:space="preserve"> </v>
      </c>
    </row>
    <row r="472" spans="1:16" x14ac:dyDescent="0.35">
      <c r="A472" s="14" t="s">
        <v>334</v>
      </c>
      <c r="B472" s="4">
        <v>23.37</v>
      </c>
      <c r="C472" s="4">
        <v>28.94</v>
      </c>
      <c r="D472" s="4">
        <v>36.86</v>
      </c>
      <c r="E472" s="4">
        <v>30.87</v>
      </c>
      <c r="F472" s="4">
        <v>13.9</v>
      </c>
      <c r="G472" s="4">
        <v>12.06</v>
      </c>
      <c r="H472" s="4">
        <f t="shared" si="53"/>
        <v>50.76</v>
      </c>
      <c r="I472" s="4">
        <f t="shared" si="52"/>
        <v>42.93</v>
      </c>
      <c r="J472" s="4">
        <v>0</v>
      </c>
      <c r="K472" s="4">
        <v>0</v>
      </c>
      <c r="L472" s="139" t="str">
        <f t="shared" si="49"/>
        <v xml:space="preserve"> </v>
      </c>
      <c r="M472" s="139" t="s">
        <v>867</v>
      </c>
      <c r="N472" s="139">
        <v>1.41</v>
      </c>
      <c r="O472" s="139">
        <f t="shared" si="51"/>
        <v>1.41</v>
      </c>
      <c r="P472" s="139" t="str">
        <f t="shared" si="50"/>
        <v xml:space="preserve"> </v>
      </c>
    </row>
    <row r="473" spans="1:16" x14ac:dyDescent="0.35">
      <c r="A473" s="14" t="s">
        <v>328</v>
      </c>
      <c r="B473" s="4">
        <v>20.100000000000001</v>
      </c>
      <c r="C473" s="4">
        <v>21.86</v>
      </c>
      <c r="D473" s="4">
        <v>25.71</v>
      </c>
      <c r="E473" s="4">
        <v>23.81</v>
      </c>
      <c r="F473" s="4">
        <v>34.03</v>
      </c>
      <c r="G473" s="4">
        <v>35.159999999999997</v>
      </c>
      <c r="H473" s="4">
        <f t="shared" si="53"/>
        <v>59.74</v>
      </c>
      <c r="I473" s="4">
        <f t="shared" si="52"/>
        <v>58.97</v>
      </c>
      <c r="J473" s="4">
        <v>0</v>
      </c>
      <c r="K473" s="4">
        <v>0</v>
      </c>
      <c r="L473" s="139" t="str">
        <f t="shared" si="49"/>
        <v xml:space="preserve"> </v>
      </c>
      <c r="M473" s="139" t="s">
        <v>867</v>
      </c>
      <c r="N473" s="139">
        <v>1.41</v>
      </c>
      <c r="O473" s="139">
        <f t="shared" si="51"/>
        <v>1.41</v>
      </c>
      <c r="P473" s="139" t="str">
        <f t="shared" si="50"/>
        <v xml:space="preserve"> </v>
      </c>
    </row>
    <row r="474" spans="1:16" x14ac:dyDescent="0.35">
      <c r="A474" s="14" t="s">
        <v>340</v>
      </c>
      <c r="B474" s="4">
        <v>16.190000000000001</v>
      </c>
      <c r="C474" s="4">
        <v>27.42</v>
      </c>
      <c r="D474" s="4">
        <v>17.5</v>
      </c>
      <c r="E474" s="4">
        <v>13.18</v>
      </c>
      <c r="F474" s="4">
        <v>14.98</v>
      </c>
      <c r="G474" s="4">
        <v>10.17</v>
      </c>
      <c r="H474" s="4">
        <f t="shared" si="53"/>
        <v>32.480000000000004</v>
      </c>
      <c r="I474" s="4">
        <f t="shared" si="52"/>
        <v>23.35</v>
      </c>
      <c r="J474" s="4">
        <v>0</v>
      </c>
      <c r="K474" s="4">
        <v>0</v>
      </c>
      <c r="L474" s="139" t="str">
        <f t="shared" si="49"/>
        <v xml:space="preserve"> </v>
      </c>
      <c r="M474" s="139" t="s">
        <v>867</v>
      </c>
      <c r="N474" s="139">
        <v>1.49</v>
      </c>
      <c r="O474" s="139">
        <f t="shared" si="51"/>
        <v>1.49</v>
      </c>
      <c r="P474" s="139" t="str">
        <f t="shared" si="50"/>
        <v xml:space="preserve"> </v>
      </c>
    </row>
    <row r="475" spans="1:16" x14ac:dyDescent="0.35">
      <c r="A475" s="14" t="s">
        <v>343</v>
      </c>
      <c r="B475" s="4">
        <v>12.78</v>
      </c>
      <c r="C475" s="4">
        <v>13.65</v>
      </c>
      <c r="D475" s="4">
        <v>17.52</v>
      </c>
      <c r="E475" s="4">
        <v>16.43</v>
      </c>
      <c r="F475" s="4">
        <v>54.23</v>
      </c>
      <c r="G475" s="4">
        <v>56.1</v>
      </c>
      <c r="H475" s="4">
        <f t="shared" si="53"/>
        <v>71.75</v>
      </c>
      <c r="I475" s="4">
        <f t="shared" si="52"/>
        <v>72.53</v>
      </c>
      <c r="J475" s="4">
        <v>0</v>
      </c>
      <c r="K475" s="4">
        <v>0</v>
      </c>
      <c r="L475" s="139" t="str">
        <f t="shared" si="49"/>
        <v xml:space="preserve"> </v>
      </c>
      <c r="M475" s="139" t="s">
        <v>867</v>
      </c>
      <c r="N475" s="139">
        <v>1.52</v>
      </c>
      <c r="O475" s="139">
        <f t="shared" si="51"/>
        <v>1.52</v>
      </c>
      <c r="P475" s="139" t="str">
        <f t="shared" si="50"/>
        <v xml:space="preserve"> </v>
      </c>
    </row>
    <row r="476" spans="1:16" x14ac:dyDescent="0.35">
      <c r="A476" s="14" t="s">
        <v>344</v>
      </c>
      <c r="B476" s="4">
        <v>10.69</v>
      </c>
      <c r="C476" s="4">
        <v>11.59</v>
      </c>
      <c r="D476" s="4">
        <v>11.43</v>
      </c>
      <c r="E476" s="4">
        <v>10.33</v>
      </c>
      <c r="F476" s="4">
        <v>61.76</v>
      </c>
      <c r="G476" s="4">
        <v>63.3</v>
      </c>
      <c r="H476" s="4">
        <f t="shared" si="53"/>
        <v>73.19</v>
      </c>
      <c r="I476" s="4">
        <f t="shared" si="52"/>
        <v>73.63</v>
      </c>
      <c r="J476" s="4">
        <v>0</v>
      </c>
      <c r="K476" s="4">
        <v>0</v>
      </c>
      <c r="L476" s="139" t="str">
        <f t="shared" si="49"/>
        <v xml:space="preserve"> </v>
      </c>
      <c r="M476" s="139" t="s">
        <v>867</v>
      </c>
      <c r="N476" s="139">
        <v>1.52</v>
      </c>
      <c r="O476" s="139">
        <f t="shared" si="51"/>
        <v>1.52</v>
      </c>
      <c r="P476" s="139" t="str">
        <f t="shared" si="50"/>
        <v xml:space="preserve"> </v>
      </c>
    </row>
    <row r="477" spans="1:16" x14ac:dyDescent="0.35">
      <c r="A477" s="14" t="s">
        <v>347</v>
      </c>
      <c r="B477" s="4">
        <v>6.88</v>
      </c>
      <c r="C477" s="4">
        <v>6.69</v>
      </c>
      <c r="D477" s="4">
        <v>22.19</v>
      </c>
      <c r="E477" s="4">
        <v>19.57</v>
      </c>
      <c r="F477" s="4">
        <v>50.83</v>
      </c>
      <c r="G477" s="4">
        <v>53.28</v>
      </c>
      <c r="H477" s="4">
        <f t="shared" si="53"/>
        <v>73.02</v>
      </c>
      <c r="I477" s="4">
        <f t="shared" si="52"/>
        <v>72.849999999999994</v>
      </c>
      <c r="J477" s="4">
        <v>0</v>
      </c>
      <c r="K477" s="4">
        <v>0</v>
      </c>
      <c r="L477" s="139" t="str">
        <f t="shared" si="49"/>
        <v xml:space="preserve"> </v>
      </c>
      <c r="M477" s="139" t="s">
        <v>867</v>
      </c>
      <c r="N477" s="139">
        <v>1.61</v>
      </c>
      <c r="O477" s="139">
        <f t="shared" si="51"/>
        <v>1.61</v>
      </c>
      <c r="P477" s="139" t="str">
        <f t="shared" si="50"/>
        <v xml:space="preserve"> </v>
      </c>
    </row>
    <row r="478" spans="1:16" x14ac:dyDescent="0.35">
      <c r="A478" s="14" t="s">
        <v>440</v>
      </c>
      <c r="B478" s="4">
        <v>15.77</v>
      </c>
      <c r="C478" s="4">
        <v>15.41</v>
      </c>
      <c r="D478" s="4">
        <v>15.85</v>
      </c>
      <c r="E478" s="4">
        <v>14.82</v>
      </c>
      <c r="F478" s="4">
        <v>9.6199999999999992</v>
      </c>
      <c r="G478" s="4">
        <v>10.43</v>
      </c>
      <c r="H478" s="4">
        <f t="shared" si="53"/>
        <v>25.47</v>
      </c>
      <c r="I478" s="4">
        <f t="shared" si="52"/>
        <v>25.25</v>
      </c>
      <c r="J478" s="4">
        <v>1.41</v>
      </c>
      <c r="K478" s="4">
        <v>1.39</v>
      </c>
      <c r="L478" s="139" t="str">
        <f t="shared" si="49"/>
        <v xml:space="preserve"> </v>
      </c>
      <c r="M478" s="139">
        <v>1.41</v>
      </c>
      <c r="N478" s="139">
        <v>1.49</v>
      </c>
      <c r="O478" s="139">
        <f t="shared" si="51"/>
        <v>1.41</v>
      </c>
      <c r="P478" s="139">
        <f t="shared" si="50"/>
        <v>1.41</v>
      </c>
    </row>
    <row r="479" spans="1:16" x14ac:dyDescent="0.35">
      <c r="A479" s="14" t="s">
        <v>425</v>
      </c>
      <c r="B479" s="4">
        <v>28.71</v>
      </c>
      <c r="C479" s="4">
        <v>36.270000000000003</v>
      </c>
      <c r="D479" s="4">
        <v>13.4</v>
      </c>
      <c r="E479" s="4">
        <v>12.83</v>
      </c>
      <c r="F479" s="4">
        <v>5.8</v>
      </c>
      <c r="G479" s="4">
        <v>6.95</v>
      </c>
      <c r="H479" s="4">
        <f t="shared" si="53"/>
        <v>19.2</v>
      </c>
      <c r="I479" s="4">
        <f t="shared" si="52"/>
        <v>19.78</v>
      </c>
      <c r="J479" s="4">
        <v>0</v>
      </c>
      <c r="K479" s="4">
        <v>0</v>
      </c>
      <c r="L479" s="139" t="str">
        <f t="shared" si="49"/>
        <v xml:space="preserve"> </v>
      </c>
      <c r="M479" s="139" t="s">
        <v>867</v>
      </c>
      <c r="N479" s="139">
        <v>1.32</v>
      </c>
      <c r="O479" s="139">
        <f t="shared" si="51"/>
        <v>1.32</v>
      </c>
      <c r="P479" s="139" t="str">
        <f t="shared" si="50"/>
        <v xml:space="preserve"> </v>
      </c>
    </row>
    <row r="480" spans="1:16" x14ac:dyDescent="0.35">
      <c r="A480" s="14" t="s">
        <v>422</v>
      </c>
      <c r="B480" s="4">
        <v>10.63</v>
      </c>
      <c r="C480" s="4">
        <v>12.42</v>
      </c>
      <c r="D480" s="4">
        <v>18.03</v>
      </c>
      <c r="E480" s="4">
        <v>14.57</v>
      </c>
      <c r="F480" s="4">
        <v>41.1</v>
      </c>
      <c r="G480" s="4">
        <v>41.41</v>
      </c>
      <c r="H480" s="4">
        <f t="shared" si="53"/>
        <v>59.13</v>
      </c>
      <c r="I480" s="4">
        <f t="shared" si="52"/>
        <v>55.98</v>
      </c>
      <c r="J480" s="4">
        <v>0</v>
      </c>
      <c r="K480" s="4">
        <v>0</v>
      </c>
      <c r="L480" s="139" t="str">
        <f t="shared" si="49"/>
        <v xml:space="preserve"> </v>
      </c>
      <c r="M480" s="139" t="s">
        <v>867</v>
      </c>
      <c r="N480" s="139">
        <v>1.52</v>
      </c>
      <c r="O480" s="139">
        <f t="shared" si="51"/>
        <v>1.52</v>
      </c>
      <c r="P480" s="139" t="str">
        <f t="shared" si="50"/>
        <v xml:space="preserve"> </v>
      </c>
    </row>
    <row r="481" spans="1:16" x14ac:dyDescent="0.35">
      <c r="A481" s="14" t="s">
        <v>350</v>
      </c>
      <c r="B481" s="4">
        <v>14.13</v>
      </c>
      <c r="C481" s="4">
        <v>14.13</v>
      </c>
      <c r="D481" s="4">
        <v>37.369999999999997</v>
      </c>
      <c r="E481" s="4">
        <v>37.369999999999997</v>
      </c>
      <c r="F481" s="4">
        <v>30.21</v>
      </c>
      <c r="G481" s="4">
        <v>30.21</v>
      </c>
      <c r="H481" s="4">
        <f t="shared" si="53"/>
        <v>67.58</v>
      </c>
      <c r="I481" s="4">
        <f t="shared" si="52"/>
        <v>67.58</v>
      </c>
      <c r="J481" s="4">
        <v>0</v>
      </c>
      <c r="K481" s="4">
        <v>0</v>
      </c>
      <c r="L481" s="139" t="str">
        <f t="shared" si="49"/>
        <v xml:space="preserve"> </v>
      </c>
      <c r="M481" s="139" t="s">
        <v>867</v>
      </c>
      <c r="N481" s="139">
        <v>1.52</v>
      </c>
      <c r="O481" s="139">
        <f t="shared" si="51"/>
        <v>1.52</v>
      </c>
      <c r="P481" s="139" t="str">
        <f t="shared" si="50"/>
        <v xml:space="preserve"> </v>
      </c>
    </row>
    <row r="482" spans="1:16" x14ac:dyDescent="0.35">
      <c r="A482" s="14" t="s">
        <v>418</v>
      </c>
      <c r="B482" s="4">
        <v>30.34</v>
      </c>
      <c r="C482" s="4">
        <v>34.53</v>
      </c>
      <c r="D482" s="4">
        <v>11.94</v>
      </c>
      <c r="E482" s="4">
        <v>16.02</v>
      </c>
      <c r="F482" s="4">
        <v>5.14</v>
      </c>
      <c r="G482" s="4">
        <v>5.22</v>
      </c>
      <c r="H482" s="4">
        <f t="shared" si="53"/>
        <v>17.079999999999998</v>
      </c>
      <c r="I482" s="4">
        <f t="shared" si="52"/>
        <v>21.24</v>
      </c>
      <c r="J482" s="4">
        <v>0</v>
      </c>
      <c r="K482" s="4">
        <v>0</v>
      </c>
      <c r="L482" s="139" t="str">
        <f t="shared" si="49"/>
        <v xml:space="preserve"> </v>
      </c>
      <c r="M482" s="139" t="s">
        <v>867</v>
      </c>
      <c r="N482" s="139">
        <v>1.32</v>
      </c>
      <c r="O482" s="139">
        <f t="shared" si="51"/>
        <v>1.32</v>
      </c>
      <c r="P482" s="139" t="str">
        <f t="shared" si="50"/>
        <v xml:space="preserve"> </v>
      </c>
    </row>
    <row r="483" spans="1:16" x14ac:dyDescent="0.35">
      <c r="A483" s="14" t="s">
        <v>330</v>
      </c>
      <c r="B483" s="4">
        <v>35.42</v>
      </c>
      <c r="C483" s="4">
        <v>31.13</v>
      </c>
      <c r="D483" s="4">
        <v>11.17</v>
      </c>
      <c r="E483" s="4">
        <v>15.37</v>
      </c>
      <c r="F483" s="4">
        <v>8.8699999999999992</v>
      </c>
      <c r="G483" s="4">
        <v>10.43</v>
      </c>
      <c r="H483" s="4">
        <f t="shared" si="53"/>
        <v>20.04</v>
      </c>
      <c r="I483" s="4">
        <f t="shared" si="52"/>
        <v>25.799999999999997</v>
      </c>
      <c r="J483" s="4">
        <v>0</v>
      </c>
      <c r="K483" s="4">
        <v>0</v>
      </c>
      <c r="L483" s="139" t="str">
        <f t="shared" si="49"/>
        <v xml:space="preserve"> </v>
      </c>
      <c r="M483" s="139" t="s">
        <v>867</v>
      </c>
      <c r="N483" s="139">
        <v>1.35</v>
      </c>
      <c r="O483" s="139">
        <f t="shared" si="51"/>
        <v>1.35</v>
      </c>
      <c r="P483" s="139" t="str">
        <f t="shared" si="50"/>
        <v xml:space="preserve"> </v>
      </c>
    </row>
    <row r="484" spans="1:16" x14ac:dyDescent="0.35">
      <c r="A484" s="14" t="s">
        <v>327</v>
      </c>
      <c r="B484" s="4">
        <v>41.99</v>
      </c>
      <c r="C484" s="4">
        <v>39.99</v>
      </c>
      <c r="D484" s="4">
        <v>13.83</v>
      </c>
      <c r="E484" s="4">
        <v>11.02</v>
      </c>
      <c r="F484" s="4">
        <v>2.63</v>
      </c>
      <c r="G484" s="4">
        <v>1.7</v>
      </c>
      <c r="H484" s="4">
        <f t="shared" si="53"/>
        <v>16.46</v>
      </c>
      <c r="I484" s="4">
        <f t="shared" si="52"/>
        <v>12.719999999999999</v>
      </c>
      <c r="J484" s="4">
        <v>0</v>
      </c>
      <c r="K484" s="4">
        <v>0</v>
      </c>
      <c r="L484" s="139" t="str">
        <f t="shared" si="49"/>
        <v xml:space="preserve"> </v>
      </c>
      <c r="M484" s="139" t="s">
        <v>867</v>
      </c>
      <c r="N484" s="139">
        <v>1.22</v>
      </c>
      <c r="O484" s="139">
        <f t="shared" si="51"/>
        <v>1.22</v>
      </c>
      <c r="P484" s="139" t="str">
        <f t="shared" si="50"/>
        <v xml:space="preserve"> </v>
      </c>
    </row>
    <row r="485" spans="1:16" x14ac:dyDescent="0.35">
      <c r="A485" s="14" t="s">
        <v>346</v>
      </c>
      <c r="B485" s="4">
        <v>25.92</v>
      </c>
      <c r="C485" s="4">
        <v>26.51</v>
      </c>
      <c r="D485" s="4">
        <v>26.08</v>
      </c>
      <c r="E485" s="4">
        <v>21.74</v>
      </c>
      <c r="F485" s="4">
        <v>8.4700000000000006</v>
      </c>
      <c r="G485" s="4">
        <v>5.43</v>
      </c>
      <c r="H485" s="4">
        <f t="shared" si="53"/>
        <v>34.549999999999997</v>
      </c>
      <c r="I485" s="4">
        <f t="shared" si="52"/>
        <v>27.169999999999998</v>
      </c>
      <c r="J485" s="4">
        <v>0</v>
      </c>
      <c r="K485" s="4">
        <v>0</v>
      </c>
      <c r="L485" s="139" t="str">
        <f t="shared" si="49"/>
        <v xml:space="preserve"> </v>
      </c>
      <c r="M485" s="139" t="s">
        <v>867</v>
      </c>
      <c r="N485" s="139">
        <v>1.35</v>
      </c>
      <c r="O485" s="139">
        <f t="shared" si="51"/>
        <v>1.35</v>
      </c>
      <c r="P485" s="139" t="str">
        <f t="shared" si="50"/>
        <v xml:space="preserve"> </v>
      </c>
    </row>
    <row r="486" spans="1:16" x14ac:dyDescent="0.35">
      <c r="A486" s="14" t="s">
        <v>336</v>
      </c>
      <c r="B486" s="4">
        <v>26.29</v>
      </c>
      <c r="C486" s="4">
        <v>27.85</v>
      </c>
      <c r="D486" s="4">
        <v>17.3</v>
      </c>
      <c r="E486" s="4">
        <v>17.03</v>
      </c>
      <c r="F486" s="4">
        <v>9.5</v>
      </c>
      <c r="G486" s="4">
        <v>9.1999999999999993</v>
      </c>
      <c r="H486" s="4">
        <f t="shared" si="53"/>
        <v>26.8</v>
      </c>
      <c r="I486" s="4">
        <f t="shared" si="52"/>
        <v>26.23</v>
      </c>
      <c r="J486" s="4">
        <v>0</v>
      </c>
      <c r="K486" s="4">
        <v>0</v>
      </c>
      <c r="L486" s="139" t="str">
        <f t="shared" si="49"/>
        <v xml:space="preserve"> </v>
      </c>
      <c r="M486" s="139" t="s">
        <v>867</v>
      </c>
      <c r="N486" s="139">
        <v>1.35</v>
      </c>
      <c r="O486" s="139">
        <f t="shared" si="51"/>
        <v>1.35</v>
      </c>
      <c r="P486" s="139" t="str">
        <f t="shared" si="50"/>
        <v xml:space="preserve"> </v>
      </c>
    </row>
    <row r="487" spans="1:16" x14ac:dyDescent="0.35">
      <c r="A487" s="14" t="s">
        <v>341</v>
      </c>
      <c r="B487" s="4">
        <v>37.78</v>
      </c>
      <c r="C487" s="4">
        <v>32.159999999999997</v>
      </c>
      <c r="D487" s="4">
        <v>14.14</v>
      </c>
      <c r="E487" s="4">
        <v>11.77</v>
      </c>
      <c r="F487" s="4">
        <v>7.7</v>
      </c>
      <c r="G487" s="4">
        <v>5.85</v>
      </c>
      <c r="H487" s="4">
        <f t="shared" si="53"/>
        <v>21.84</v>
      </c>
      <c r="I487" s="4">
        <f t="shared" si="52"/>
        <v>17.619999999999997</v>
      </c>
      <c r="J487" s="4">
        <v>0</v>
      </c>
      <c r="K487" s="4">
        <v>0</v>
      </c>
      <c r="L487" s="139" t="str">
        <f t="shared" si="49"/>
        <v xml:space="preserve"> </v>
      </c>
      <c r="M487" s="139" t="s">
        <v>867</v>
      </c>
      <c r="N487" s="139">
        <v>1.35</v>
      </c>
      <c r="O487" s="139">
        <f t="shared" si="51"/>
        <v>1.35</v>
      </c>
      <c r="P487" s="139" t="str">
        <f t="shared" si="50"/>
        <v xml:space="preserve"> </v>
      </c>
    </row>
    <row r="488" spans="1:16" x14ac:dyDescent="0.35">
      <c r="A488" s="14" t="s">
        <v>426</v>
      </c>
      <c r="B488" s="4">
        <v>28.86</v>
      </c>
      <c r="C488" s="4">
        <v>37.049999999999997</v>
      </c>
      <c r="D488" s="4">
        <v>14.05</v>
      </c>
      <c r="E488" s="4">
        <v>14.19</v>
      </c>
      <c r="F488" s="4">
        <v>7.61</v>
      </c>
      <c r="G488" s="4">
        <v>8.0399999999999991</v>
      </c>
      <c r="H488" s="4">
        <f t="shared" si="53"/>
        <v>21.66</v>
      </c>
      <c r="I488" s="4">
        <f t="shared" si="52"/>
        <v>22.229999999999997</v>
      </c>
      <c r="J488" s="4">
        <v>0</v>
      </c>
      <c r="K488" s="4">
        <v>0</v>
      </c>
      <c r="L488" s="139" t="str">
        <f t="shared" si="49"/>
        <v xml:space="preserve"> </v>
      </c>
      <c r="M488" s="139" t="s">
        <v>867</v>
      </c>
      <c r="N488" s="139">
        <v>1.35</v>
      </c>
      <c r="O488" s="139">
        <f t="shared" si="51"/>
        <v>1.35</v>
      </c>
      <c r="P488" s="139" t="str">
        <f t="shared" si="50"/>
        <v xml:space="preserve"> </v>
      </c>
    </row>
    <row r="489" spans="1:16" x14ac:dyDescent="0.35">
      <c r="A489" s="14" t="s">
        <v>342</v>
      </c>
      <c r="B489" s="4">
        <v>22.15</v>
      </c>
      <c r="C489" s="4">
        <v>29.42</v>
      </c>
      <c r="D489" s="4">
        <v>15.2</v>
      </c>
      <c r="E489" s="4">
        <v>12.34</v>
      </c>
      <c r="F489" s="4">
        <v>8.6</v>
      </c>
      <c r="G489" s="4">
        <v>4.53</v>
      </c>
      <c r="H489" s="4">
        <f t="shared" si="53"/>
        <v>23.799999999999997</v>
      </c>
      <c r="I489" s="4">
        <f t="shared" si="52"/>
        <v>16.87</v>
      </c>
      <c r="J489" s="4">
        <v>0</v>
      </c>
      <c r="K489" s="4">
        <v>0</v>
      </c>
      <c r="L489" s="139" t="str">
        <f t="shared" si="49"/>
        <v xml:space="preserve"> </v>
      </c>
      <c r="M489" s="139" t="s">
        <v>867</v>
      </c>
      <c r="N489" s="139">
        <v>1.35</v>
      </c>
      <c r="O489" s="139">
        <f t="shared" si="51"/>
        <v>1.35</v>
      </c>
      <c r="P489" s="139" t="str">
        <f t="shared" si="50"/>
        <v xml:space="preserve"> </v>
      </c>
    </row>
    <row r="490" spans="1:16" x14ac:dyDescent="0.35">
      <c r="A490" s="14" t="s">
        <v>308</v>
      </c>
      <c r="B490" s="4">
        <v>24.85</v>
      </c>
      <c r="C490" s="4">
        <v>29.14</v>
      </c>
      <c r="D490" s="4">
        <v>7.83</v>
      </c>
      <c r="E490" s="4">
        <v>6.83</v>
      </c>
      <c r="F490" s="4">
        <v>3.26</v>
      </c>
      <c r="G490" s="4">
        <v>3</v>
      </c>
      <c r="H490" s="4">
        <f t="shared" si="53"/>
        <v>11.09</v>
      </c>
      <c r="I490" s="4">
        <f t="shared" si="52"/>
        <v>9.83</v>
      </c>
      <c r="J490" s="4">
        <v>0</v>
      </c>
      <c r="K490" s="4">
        <v>0</v>
      </c>
      <c r="L490" s="139" t="str">
        <f t="shared" si="49"/>
        <v xml:space="preserve"> </v>
      </c>
      <c r="M490" s="139" t="s">
        <v>867</v>
      </c>
      <c r="N490" s="139">
        <v>1.32</v>
      </c>
      <c r="O490" s="139">
        <f t="shared" si="51"/>
        <v>1.32</v>
      </c>
      <c r="P490" s="139" t="str">
        <f t="shared" si="50"/>
        <v xml:space="preserve"> </v>
      </c>
    </row>
    <row r="491" spans="1:16" x14ac:dyDescent="0.35">
      <c r="A491" s="14" t="s">
        <v>305</v>
      </c>
      <c r="B491" s="4">
        <v>21.42</v>
      </c>
      <c r="C491" s="4">
        <v>24.32</v>
      </c>
      <c r="D491" s="4">
        <v>11.72</v>
      </c>
      <c r="E491" s="4">
        <v>11.66</v>
      </c>
      <c r="F491" s="4">
        <v>1.68</v>
      </c>
      <c r="G491" s="4">
        <v>1.34</v>
      </c>
      <c r="H491" s="4">
        <f t="shared" si="53"/>
        <v>13.4</v>
      </c>
      <c r="I491" s="4">
        <f t="shared" si="52"/>
        <v>13</v>
      </c>
      <c r="J491" s="4">
        <v>1.35</v>
      </c>
      <c r="K491" s="4">
        <v>1.33</v>
      </c>
      <c r="L491" s="139" t="str">
        <f t="shared" si="49"/>
        <v xml:space="preserve"> </v>
      </c>
      <c r="M491" s="139">
        <v>1.35</v>
      </c>
      <c r="N491" s="139">
        <v>1.32</v>
      </c>
      <c r="O491" s="139">
        <f t="shared" si="51"/>
        <v>1.35</v>
      </c>
      <c r="P491" s="139">
        <f t="shared" si="50"/>
        <v>1.35</v>
      </c>
    </row>
    <row r="492" spans="1:16" x14ac:dyDescent="0.35">
      <c r="A492" s="14" t="s">
        <v>309</v>
      </c>
      <c r="B492" s="4">
        <v>18.09</v>
      </c>
      <c r="C492" s="4">
        <v>21.85</v>
      </c>
      <c r="D492" s="4">
        <v>6.34</v>
      </c>
      <c r="E492" s="4">
        <v>10.119999999999999</v>
      </c>
      <c r="F492" s="4">
        <v>11.9</v>
      </c>
      <c r="G492" s="4">
        <v>6.3</v>
      </c>
      <c r="H492" s="4">
        <f t="shared" si="53"/>
        <v>18.240000000000002</v>
      </c>
      <c r="I492" s="4">
        <f t="shared" si="52"/>
        <v>16.419999999999998</v>
      </c>
      <c r="J492" s="4">
        <v>0</v>
      </c>
      <c r="K492" s="4">
        <v>0</v>
      </c>
      <c r="L492" s="139" t="str">
        <f t="shared" si="49"/>
        <v xml:space="preserve"> </v>
      </c>
      <c r="M492" s="139" t="s">
        <v>867</v>
      </c>
      <c r="N492" s="139">
        <v>1.41</v>
      </c>
      <c r="O492" s="139">
        <f t="shared" si="51"/>
        <v>1.41</v>
      </c>
      <c r="P492" s="139" t="str">
        <f t="shared" si="50"/>
        <v xml:space="preserve"> </v>
      </c>
    </row>
    <row r="493" spans="1:16" x14ac:dyDescent="0.35">
      <c r="A493" s="14" t="s">
        <v>294</v>
      </c>
      <c r="B493" s="4">
        <v>19.05</v>
      </c>
      <c r="C493" s="4">
        <v>22.43</v>
      </c>
      <c r="D493" s="4">
        <v>14.5</v>
      </c>
      <c r="E493" s="4">
        <v>12.91</v>
      </c>
      <c r="F493" s="4">
        <v>5.6</v>
      </c>
      <c r="G493" s="4">
        <v>4.43</v>
      </c>
      <c r="H493" s="4">
        <f t="shared" si="53"/>
        <v>20.100000000000001</v>
      </c>
      <c r="I493" s="4">
        <f t="shared" si="52"/>
        <v>17.34</v>
      </c>
      <c r="J493" s="4">
        <v>0</v>
      </c>
      <c r="K493" s="4">
        <v>0</v>
      </c>
      <c r="L493" s="139" t="str">
        <f t="shared" si="49"/>
        <v xml:space="preserve"> </v>
      </c>
      <c r="M493" s="139" t="s">
        <v>867</v>
      </c>
      <c r="N493" s="139">
        <v>1.49</v>
      </c>
      <c r="O493" s="139">
        <f t="shared" si="51"/>
        <v>1.49</v>
      </c>
      <c r="P493" s="139" t="str">
        <f t="shared" si="50"/>
        <v xml:space="preserve"> </v>
      </c>
    </row>
    <row r="494" spans="1:16" x14ac:dyDescent="0.35">
      <c r="A494" s="14" t="s">
        <v>292</v>
      </c>
      <c r="B494" s="4">
        <v>18.7</v>
      </c>
      <c r="C494" s="4">
        <v>23.23</v>
      </c>
      <c r="D494" s="4">
        <v>10.1</v>
      </c>
      <c r="E494" s="4">
        <v>9.48</v>
      </c>
      <c r="F494" s="4">
        <v>3.4</v>
      </c>
      <c r="G494" s="4">
        <v>2.92</v>
      </c>
      <c r="H494" s="4">
        <f t="shared" si="53"/>
        <v>13.5</v>
      </c>
      <c r="I494" s="4">
        <f t="shared" si="52"/>
        <v>12.4</v>
      </c>
      <c r="J494" s="4">
        <v>1.36</v>
      </c>
      <c r="K494" s="4">
        <v>1.34</v>
      </c>
      <c r="L494" s="139" t="str">
        <f t="shared" si="49"/>
        <v xml:space="preserve"> </v>
      </c>
      <c r="M494" s="139">
        <v>1.36</v>
      </c>
      <c r="N494" s="139">
        <v>1.41</v>
      </c>
      <c r="O494" s="139">
        <f t="shared" si="51"/>
        <v>1.36</v>
      </c>
      <c r="P494" s="139">
        <f t="shared" si="50"/>
        <v>1.36</v>
      </c>
    </row>
    <row r="495" spans="1:16" x14ac:dyDescent="0.35">
      <c r="A495" s="14" t="s">
        <v>312</v>
      </c>
      <c r="B495" s="4">
        <v>22.34</v>
      </c>
      <c r="C495" s="4">
        <v>22.93</v>
      </c>
      <c r="D495" s="4">
        <v>15.38</v>
      </c>
      <c r="E495" s="4">
        <v>14.74</v>
      </c>
      <c r="F495" s="4">
        <v>5.8</v>
      </c>
      <c r="G495" s="4">
        <v>4.5999999999999996</v>
      </c>
      <c r="H495" s="4">
        <f t="shared" si="53"/>
        <v>21.18</v>
      </c>
      <c r="I495" s="4">
        <f t="shared" si="52"/>
        <v>19.34</v>
      </c>
      <c r="J495" s="4">
        <v>0</v>
      </c>
      <c r="K495" s="4">
        <v>0</v>
      </c>
      <c r="L495" s="139" t="str">
        <f t="shared" si="49"/>
        <v xml:space="preserve"> </v>
      </c>
      <c r="M495" s="139" t="s">
        <v>867</v>
      </c>
      <c r="N495" s="139">
        <v>1.35</v>
      </c>
      <c r="O495" s="139">
        <f t="shared" si="51"/>
        <v>1.35</v>
      </c>
      <c r="P495" s="139" t="str">
        <f t="shared" si="50"/>
        <v xml:space="preserve"> </v>
      </c>
    </row>
    <row r="496" spans="1:16" x14ac:dyDescent="0.35">
      <c r="A496" s="14" t="s">
        <v>78</v>
      </c>
      <c r="B496" s="4">
        <v>22.91</v>
      </c>
      <c r="C496" s="4">
        <v>29.12</v>
      </c>
      <c r="D496" s="4">
        <v>12.49</v>
      </c>
      <c r="E496" s="4">
        <v>10.18</v>
      </c>
      <c r="F496" s="4">
        <v>2.02</v>
      </c>
      <c r="G496" s="4">
        <v>1.43</v>
      </c>
      <c r="H496" s="4">
        <f t="shared" si="53"/>
        <v>14.51</v>
      </c>
      <c r="I496" s="4">
        <f t="shared" si="52"/>
        <v>11.61</v>
      </c>
      <c r="J496" s="4">
        <v>0</v>
      </c>
      <c r="K496" s="4">
        <v>0</v>
      </c>
      <c r="L496" s="139" t="str">
        <f t="shared" si="49"/>
        <v xml:space="preserve"> </v>
      </c>
      <c r="M496" s="139" t="s">
        <v>867</v>
      </c>
      <c r="N496" s="139">
        <v>1.32</v>
      </c>
      <c r="O496" s="139">
        <f t="shared" si="51"/>
        <v>1.32</v>
      </c>
      <c r="P496" s="139" t="str">
        <f t="shared" si="50"/>
        <v xml:space="preserve"> </v>
      </c>
    </row>
    <row r="497" spans="1:16" x14ac:dyDescent="0.35">
      <c r="A497" s="14" t="s">
        <v>81</v>
      </c>
      <c r="B497" s="4">
        <v>20.34</v>
      </c>
      <c r="C497" s="4">
        <v>24.55</v>
      </c>
      <c r="D497" s="4">
        <v>10.55</v>
      </c>
      <c r="E497" s="4">
        <v>10.119999999999999</v>
      </c>
      <c r="F497" s="4">
        <v>1.76</v>
      </c>
      <c r="G497" s="4">
        <v>1.28</v>
      </c>
      <c r="H497" s="4">
        <f t="shared" si="53"/>
        <v>12.31</v>
      </c>
      <c r="I497" s="4">
        <f t="shared" si="52"/>
        <v>11.399999999999999</v>
      </c>
      <c r="J497" s="4">
        <v>0</v>
      </c>
      <c r="K497" s="4">
        <v>0</v>
      </c>
      <c r="L497" s="139" t="str">
        <f t="shared" si="49"/>
        <v xml:space="preserve"> </v>
      </c>
      <c r="M497" s="139" t="s">
        <v>867</v>
      </c>
      <c r="N497" s="139">
        <v>1.32</v>
      </c>
      <c r="O497" s="139">
        <f t="shared" si="51"/>
        <v>1.32</v>
      </c>
      <c r="P497" s="139" t="str">
        <f t="shared" si="50"/>
        <v xml:space="preserve"> </v>
      </c>
    </row>
    <row r="498" spans="1:16" x14ac:dyDescent="0.35">
      <c r="A498" s="14" t="s">
        <v>306</v>
      </c>
      <c r="B498" s="4">
        <v>24.25</v>
      </c>
      <c r="C498" s="4">
        <v>30.34</v>
      </c>
      <c r="D498" s="4">
        <v>14.1</v>
      </c>
      <c r="E498" s="4">
        <v>15.72</v>
      </c>
      <c r="F498" s="4">
        <v>6.15</v>
      </c>
      <c r="G498" s="4">
        <v>5.66</v>
      </c>
      <c r="H498" s="4">
        <f t="shared" si="53"/>
        <v>20.25</v>
      </c>
      <c r="I498" s="4">
        <f t="shared" si="52"/>
        <v>21.380000000000003</v>
      </c>
      <c r="J498" s="4">
        <v>1.35</v>
      </c>
      <c r="K498" s="4">
        <v>1.29</v>
      </c>
      <c r="L498" s="139" t="str">
        <f t="shared" si="49"/>
        <v xml:space="preserve"> </v>
      </c>
      <c r="M498" s="139">
        <v>1.35</v>
      </c>
      <c r="N498" s="139">
        <v>1.35</v>
      </c>
      <c r="O498" s="139">
        <f t="shared" si="51"/>
        <v>1.35</v>
      </c>
      <c r="P498" s="139">
        <f t="shared" si="50"/>
        <v>1.35</v>
      </c>
    </row>
    <row r="499" spans="1:16" x14ac:dyDescent="0.35">
      <c r="A499" s="14" t="s">
        <v>307</v>
      </c>
      <c r="B499" s="4">
        <v>17.34</v>
      </c>
      <c r="C499" s="4">
        <v>23.7</v>
      </c>
      <c r="D499" s="4">
        <v>9.67</v>
      </c>
      <c r="E499" s="4">
        <v>8.34</v>
      </c>
      <c r="F499" s="4">
        <v>3.19</v>
      </c>
      <c r="G499" s="4">
        <v>2.27</v>
      </c>
      <c r="H499" s="4">
        <f t="shared" si="53"/>
        <v>12.86</v>
      </c>
      <c r="I499" s="4">
        <f t="shared" si="52"/>
        <v>10.61</v>
      </c>
      <c r="J499" s="4">
        <v>0</v>
      </c>
      <c r="K499" s="4">
        <v>0</v>
      </c>
      <c r="L499" s="139" t="str">
        <f t="shared" si="49"/>
        <v xml:space="preserve"> </v>
      </c>
      <c r="M499" s="139" t="s">
        <v>867</v>
      </c>
      <c r="N499" s="139">
        <v>1.41</v>
      </c>
      <c r="O499" s="139">
        <f t="shared" si="51"/>
        <v>1.41</v>
      </c>
      <c r="P499" s="139" t="str">
        <f t="shared" si="50"/>
        <v xml:space="preserve"> </v>
      </c>
    </row>
    <row r="500" spans="1:16" x14ac:dyDescent="0.35">
      <c r="A500" s="14" t="s">
        <v>304</v>
      </c>
      <c r="B500" s="4">
        <v>20.54</v>
      </c>
      <c r="C500" s="4">
        <v>26.36</v>
      </c>
      <c r="D500" s="4">
        <v>10.97</v>
      </c>
      <c r="E500" s="4">
        <v>9.68</v>
      </c>
      <c r="F500" s="4">
        <v>18.37</v>
      </c>
      <c r="G500" s="4">
        <v>19.600000000000001</v>
      </c>
      <c r="H500" s="4">
        <f t="shared" si="53"/>
        <v>29.340000000000003</v>
      </c>
      <c r="I500" s="4">
        <f t="shared" si="52"/>
        <v>29.28</v>
      </c>
      <c r="J500" s="4">
        <v>0</v>
      </c>
      <c r="K500" s="4">
        <v>0</v>
      </c>
      <c r="L500" s="139" t="str">
        <f t="shared" si="49"/>
        <v xml:space="preserve"> </v>
      </c>
      <c r="M500" s="139" t="s">
        <v>867</v>
      </c>
      <c r="N500" s="139">
        <v>1.35</v>
      </c>
      <c r="O500" s="139">
        <f t="shared" si="51"/>
        <v>1.35</v>
      </c>
      <c r="P500" s="139" t="str">
        <f t="shared" si="50"/>
        <v xml:space="preserve"> </v>
      </c>
    </row>
    <row r="501" spans="1:16" x14ac:dyDescent="0.35">
      <c r="A501" s="14" t="s">
        <v>293</v>
      </c>
      <c r="B501" s="4">
        <v>18.329999999999998</v>
      </c>
      <c r="C501" s="4">
        <v>25.43</v>
      </c>
      <c r="D501" s="4">
        <v>10.35</v>
      </c>
      <c r="E501" s="4">
        <v>9.57</v>
      </c>
      <c r="F501" s="4">
        <v>22.84</v>
      </c>
      <c r="G501" s="4">
        <v>21.2</v>
      </c>
      <c r="H501" s="4">
        <f t="shared" si="53"/>
        <v>33.19</v>
      </c>
      <c r="I501" s="4">
        <f t="shared" si="52"/>
        <v>30.77</v>
      </c>
      <c r="J501" s="4">
        <v>1.44</v>
      </c>
      <c r="K501" s="4">
        <v>1.35</v>
      </c>
      <c r="L501" s="139" t="str">
        <f t="shared" si="49"/>
        <v xml:space="preserve"> </v>
      </c>
      <c r="M501" s="139">
        <v>1.44</v>
      </c>
      <c r="N501" s="139">
        <v>1.49</v>
      </c>
      <c r="O501" s="139">
        <f t="shared" si="51"/>
        <v>1.44</v>
      </c>
      <c r="P501" s="139">
        <f t="shared" si="50"/>
        <v>1.44</v>
      </c>
    </row>
    <row r="502" spans="1:16" x14ac:dyDescent="0.35">
      <c r="A502" s="14" t="s">
        <v>303</v>
      </c>
      <c r="B502" s="4">
        <v>13.99</v>
      </c>
      <c r="C502" s="4">
        <v>20.28</v>
      </c>
      <c r="D502" s="4">
        <v>9.94</v>
      </c>
      <c r="E502" s="4">
        <v>17.87</v>
      </c>
      <c r="F502" s="4">
        <v>7.22</v>
      </c>
      <c r="G502" s="4">
        <v>4.7300000000000004</v>
      </c>
      <c r="H502" s="4">
        <f t="shared" si="53"/>
        <v>17.16</v>
      </c>
      <c r="I502" s="4">
        <f t="shared" si="52"/>
        <v>22.6</v>
      </c>
      <c r="J502" s="4">
        <v>0</v>
      </c>
      <c r="K502" s="4">
        <v>0</v>
      </c>
      <c r="L502" s="139" t="str">
        <f t="shared" si="49"/>
        <v xml:space="preserve"> </v>
      </c>
      <c r="M502" s="139" t="s">
        <v>867</v>
      </c>
      <c r="N502" s="139">
        <v>1.41</v>
      </c>
      <c r="O502" s="139">
        <f t="shared" si="51"/>
        <v>1.41</v>
      </c>
      <c r="P502" s="139" t="str">
        <f t="shared" si="50"/>
        <v xml:space="preserve"> </v>
      </c>
    </row>
    <row r="503" spans="1:16" x14ac:dyDescent="0.35">
      <c r="A503" s="14" t="s">
        <v>106</v>
      </c>
      <c r="B503" s="4">
        <v>20.71</v>
      </c>
      <c r="C503" s="4">
        <v>24.69</v>
      </c>
      <c r="D503" s="4">
        <v>9.35</v>
      </c>
      <c r="E503" s="4">
        <v>9.51</v>
      </c>
      <c r="F503" s="4">
        <v>5.86</v>
      </c>
      <c r="G503" s="4">
        <v>5.35</v>
      </c>
      <c r="H503" s="4">
        <f t="shared" si="53"/>
        <v>15.21</v>
      </c>
      <c r="I503" s="4">
        <f t="shared" si="52"/>
        <v>14.86</v>
      </c>
      <c r="J503" s="4">
        <v>0</v>
      </c>
      <c r="K503" s="4">
        <v>0</v>
      </c>
      <c r="L503" s="139" t="str">
        <f t="shared" si="49"/>
        <v xml:space="preserve"> </v>
      </c>
      <c r="M503" s="139" t="s">
        <v>867</v>
      </c>
      <c r="N503" s="139">
        <v>1.32</v>
      </c>
      <c r="O503" s="139">
        <f t="shared" si="51"/>
        <v>1.32</v>
      </c>
      <c r="P503" s="139" t="str">
        <f t="shared" si="50"/>
        <v xml:space="preserve"> </v>
      </c>
    </row>
    <row r="504" spans="1:16" x14ac:dyDescent="0.35">
      <c r="A504" s="14" t="s">
        <v>96</v>
      </c>
      <c r="B504" s="4">
        <v>15.01</v>
      </c>
      <c r="C504" s="4">
        <v>23.3</v>
      </c>
      <c r="D504" s="4">
        <v>9.44</v>
      </c>
      <c r="E504" s="4">
        <v>10.199999999999999</v>
      </c>
      <c r="F504" s="4">
        <v>21.56</v>
      </c>
      <c r="G504" s="4">
        <v>19.75</v>
      </c>
      <c r="H504" s="4">
        <f t="shared" si="53"/>
        <v>31</v>
      </c>
      <c r="I504" s="4">
        <f t="shared" si="52"/>
        <v>29.95</v>
      </c>
      <c r="J504" s="4">
        <v>0</v>
      </c>
      <c r="K504" s="4">
        <v>0</v>
      </c>
      <c r="L504" s="139" t="str">
        <f t="shared" si="49"/>
        <v xml:space="preserve"> </v>
      </c>
      <c r="M504" s="139" t="s">
        <v>867</v>
      </c>
      <c r="N504" s="139">
        <v>1.49</v>
      </c>
      <c r="O504" s="139">
        <f t="shared" si="51"/>
        <v>1.49</v>
      </c>
      <c r="P504" s="139" t="str">
        <f t="shared" si="50"/>
        <v xml:space="preserve"> </v>
      </c>
    </row>
    <row r="505" spans="1:16" x14ac:dyDescent="0.35">
      <c r="A505" s="14" t="s">
        <v>103</v>
      </c>
      <c r="B505" s="4">
        <v>14.48</v>
      </c>
      <c r="C505" s="4">
        <v>21.93</v>
      </c>
      <c r="D505" s="4">
        <v>5.27</v>
      </c>
      <c r="E505" s="4">
        <v>4.49</v>
      </c>
      <c r="F505" s="4">
        <v>6.57</v>
      </c>
      <c r="G505" s="4">
        <v>4.57</v>
      </c>
      <c r="H505" s="4">
        <f t="shared" si="53"/>
        <v>11.84</v>
      </c>
      <c r="I505" s="4">
        <f t="shared" si="52"/>
        <v>9.06</v>
      </c>
      <c r="J505" s="4">
        <v>1.42</v>
      </c>
      <c r="K505" s="4">
        <v>1.36</v>
      </c>
      <c r="L505" s="139" t="str">
        <f t="shared" si="49"/>
        <v xml:space="preserve"> </v>
      </c>
      <c r="M505" s="139">
        <v>1.42</v>
      </c>
      <c r="N505" s="139">
        <v>1.41</v>
      </c>
      <c r="O505" s="139">
        <f t="shared" si="51"/>
        <v>1.42</v>
      </c>
      <c r="P505" s="139">
        <f t="shared" si="50"/>
        <v>1.42</v>
      </c>
    </row>
    <row r="506" spans="1:16" x14ac:dyDescent="0.35">
      <c r="A506" s="14" t="s">
        <v>297</v>
      </c>
      <c r="B506" s="4">
        <v>11.84</v>
      </c>
      <c r="C506" s="4">
        <v>18.100000000000001</v>
      </c>
      <c r="D506" s="4">
        <v>18.43</v>
      </c>
      <c r="E506" s="4">
        <v>18.670000000000002</v>
      </c>
      <c r="F506" s="4">
        <v>21.37</v>
      </c>
      <c r="G506" s="4">
        <v>21.76</v>
      </c>
      <c r="H506" s="4">
        <f t="shared" si="53"/>
        <v>39.799999999999997</v>
      </c>
      <c r="I506" s="4">
        <f t="shared" si="52"/>
        <v>40.430000000000007</v>
      </c>
      <c r="J506" s="4">
        <v>0</v>
      </c>
      <c r="K506" s="4">
        <v>0</v>
      </c>
      <c r="L506" s="139" t="str">
        <f t="shared" si="49"/>
        <v xml:space="preserve"> </v>
      </c>
      <c r="M506" s="139" t="s">
        <v>867</v>
      </c>
      <c r="N506" s="139">
        <v>1.49</v>
      </c>
      <c r="O506" s="139">
        <f t="shared" si="51"/>
        <v>1.49</v>
      </c>
      <c r="P506" s="139" t="str">
        <f t="shared" si="50"/>
        <v xml:space="preserve"> </v>
      </c>
    </row>
    <row r="507" spans="1:16" x14ac:dyDescent="0.35">
      <c r="A507" s="14" t="s">
        <v>101</v>
      </c>
      <c r="B507" s="4">
        <v>10.7</v>
      </c>
      <c r="C507" s="4">
        <v>17.64</v>
      </c>
      <c r="D507" s="4">
        <v>13.31</v>
      </c>
      <c r="E507" s="4">
        <v>10.9</v>
      </c>
      <c r="F507" s="4">
        <v>17.59</v>
      </c>
      <c r="G507" s="4">
        <v>14.39</v>
      </c>
      <c r="H507" s="4">
        <f t="shared" si="53"/>
        <v>30.9</v>
      </c>
      <c r="I507" s="4">
        <f t="shared" si="52"/>
        <v>25.29</v>
      </c>
      <c r="J507" s="4">
        <v>0</v>
      </c>
      <c r="K507" s="4">
        <v>0</v>
      </c>
      <c r="L507" s="139" t="str">
        <f t="shared" si="49"/>
        <v xml:space="preserve"> </v>
      </c>
      <c r="M507" s="139" t="s">
        <v>867</v>
      </c>
      <c r="N507" s="139">
        <v>1.49</v>
      </c>
      <c r="O507" s="139">
        <f t="shared" si="51"/>
        <v>1.49</v>
      </c>
      <c r="P507" s="139" t="str">
        <f t="shared" si="50"/>
        <v xml:space="preserve"> </v>
      </c>
    </row>
    <row r="508" spans="1:16" x14ac:dyDescent="0.35">
      <c r="A508" s="14" t="s">
        <v>93</v>
      </c>
      <c r="B508" s="4">
        <v>17.739999999999998</v>
      </c>
      <c r="C508" s="4">
        <v>20.43</v>
      </c>
      <c r="D508" s="4">
        <v>9.98</v>
      </c>
      <c r="E508" s="4">
        <v>9.0299999999999994</v>
      </c>
      <c r="F508" s="4">
        <v>9.33</v>
      </c>
      <c r="G508" s="4">
        <v>10.39</v>
      </c>
      <c r="H508" s="4">
        <f t="shared" si="53"/>
        <v>19.310000000000002</v>
      </c>
      <c r="I508" s="4">
        <f t="shared" si="52"/>
        <v>19.420000000000002</v>
      </c>
      <c r="J508" s="4">
        <v>0</v>
      </c>
      <c r="K508" s="4">
        <v>0</v>
      </c>
      <c r="L508" s="139" t="str">
        <f t="shared" si="49"/>
        <v xml:space="preserve"> </v>
      </c>
      <c r="M508" s="139" t="s">
        <v>867</v>
      </c>
      <c r="N508" s="139">
        <v>1.41</v>
      </c>
      <c r="O508" s="139">
        <f t="shared" si="51"/>
        <v>1.41</v>
      </c>
      <c r="P508" s="139" t="str">
        <f t="shared" si="50"/>
        <v xml:space="preserve"> </v>
      </c>
    </row>
    <row r="509" spans="1:16" x14ac:dyDescent="0.35">
      <c r="A509" s="14" t="s">
        <v>296</v>
      </c>
      <c r="B509" s="4">
        <v>12.72</v>
      </c>
      <c r="C509" s="4">
        <v>17.559999999999999</v>
      </c>
      <c r="D509" s="4">
        <v>9.9</v>
      </c>
      <c r="E509" s="4">
        <v>9.83</v>
      </c>
      <c r="F509" s="4">
        <v>16.829999999999998</v>
      </c>
      <c r="G509" s="4">
        <v>15.34</v>
      </c>
      <c r="H509" s="4">
        <f t="shared" si="53"/>
        <v>26.729999999999997</v>
      </c>
      <c r="I509" s="4">
        <f t="shared" si="52"/>
        <v>25.17</v>
      </c>
      <c r="J509" s="4">
        <v>0</v>
      </c>
      <c r="K509" s="4">
        <v>0</v>
      </c>
      <c r="L509" s="139" t="str">
        <f t="shared" si="49"/>
        <v xml:space="preserve"> </v>
      </c>
      <c r="M509" s="139" t="s">
        <v>867</v>
      </c>
      <c r="N509" s="139">
        <v>1.49</v>
      </c>
      <c r="O509" s="139">
        <f t="shared" si="51"/>
        <v>1.49</v>
      </c>
      <c r="P509" s="139" t="str">
        <f t="shared" si="50"/>
        <v xml:space="preserve"> </v>
      </c>
    </row>
    <row r="510" spans="1:16" x14ac:dyDescent="0.35">
      <c r="A510" s="14" t="s">
        <v>302</v>
      </c>
      <c r="B510" s="4">
        <v>18.86</v>
      </c>
      <c r="C510" s="4">
        <v>25.09</v>
      </c>
      <c r="D510" s="4">
        <v>12.07</v>
      </c>
      <c r="E510" s="4">
        <v>10.210000000000001</v>
      </c>
      <c r="F510" s="4">
        <v>8.17</v>
      </c>
      <c r="G510" s="4">
        <v>7.09</v>
      </c>
      <c r="H510" s="4">
        <f t="shared" si="53"/>
        <v>20.240000000000002</v>
      </c>
      <c r="I510" s="4">
        <f t="shared" si="52"/>
        <v>17.3</v>
      </c>
      <c r="J510" s="4">
        <v>0</v>
      </c>
      <c r="K510" s="4">
        <v>0</v>
      </c>
      <c r="L510" s="139" t="str">
        <f t="shared" si="49"/>
        <v xml:space="preserve"> </v>
      </c>
      <c r="M510" s="139" t="s">
        <v>867</v>
      </c>
      <c r="N510" s="139">
        <v>1.49</v>
      </c>
      <c r="O510" s="139">
        <f t="shared" si="51"/>
        <v>1.49</v>
      </c>
      <c r="P510" s="139" t="str">
        <f t="shared" si="50"/>
        <v xml:space="preserve"> </v>
      </c>
    </row>
    <row r="511" spans="1:16" x14ac:dyDescent="0.35">
      <c r="A511" s="14" t="s">
        <v>102</v>
      </c>
      <c r="B511" s="4">
        <v>7.75</v>
      </c>
      <c r="C511" s="4">
        <v>7.29</v>
      </c>
      <c r="D511" s="4">
        <v>25.06</v>
      </c>
      <c r="E511" s="4">
        <v>25.44</v>
      </c>
      <c r="F511" s="4">
        <v>39.44</v>
      </c>
      <c r="G511" s="4">
        <v>44.01</v>
      </c>
      <c r="H511" s="4">
        <f t="shared" si="53"/>
        <v>64.5</v>
      </c>
      <c r="I511" s="4">
        <f t="shared" si="52"/>
        <v>69.45</v>
      </c>
      <c r="J511" s="4">
        <v>0</v>
      </c>
      <c r="K511" s="4">
        <v>0</v>
      </c>
      <c r="L511" s="139" t="str">
        <f t="shared" si="49"/>
        <v xml:space="preserve"> </v>
      </c>
      <c r="M511" s="139" t="s">
        <v>867</v>
      </c>
      <c r="N511" s="139">
        <v>1.61</v>
      </c>
      <c r="O511" s="139">
        <f t="shared" si="51"/>
        <v>1.61</v>
      </c>
      <c r="P511" s="139" t="str">
        <f t="shared" si="50"/>
        <v xml:space="preserve"> </v>
      </c>
    </row>
    <row r="512" spans="1:16" x14ac:dyDescent="0.35">
      <c r="A512" s="14" t="s">
        <v>291</v>
      </c>
      <c r="B512" s="4">
        <v>10.47</v>
      </c>
      <c r="C512" s="4">
        <v>9.1199999999999992</v>
      </c>
      <c r="D512" s="4">
        <v>24.99</v>
      </c>
      <c r="E512" s="4">
        <v>26.54</v>
      </c>
      <c r="F512" s="4">
        <v>25.05</v>
      </c>
      <c r="G512" s="4">
        <v>30.95</v>
      </c>
      <c r="H512" s="4">
        <f t="shared" si="53"/>
        <v>50.04</v>
      </c>
      <c r="I512" s="4">
        <f t="shared" si="52"/>
        <v>57.489999999999995</v>
      </c>
      <c r="J512" s="4">
        <v>0</v>
      </c>
      <c r="K512" s="4">
        <v>0</v>
      </c>
      <c r="L512" s="139" t="str">
        <f t="shared" si="49"/>
        <v xml:space="preserve"> </v>
      </c>
      <c r="M512" s="139" t="s">
        <v>867</v>
      </c>
      <c r="N512" s="139">
        <v>1.52</v>
      </c>
      <c r="O512" s="139">
        <f t="shared" si="51"/>
        <v>1.52</v>
      </c>
      <c r="P512" s="139" t="str">
        <f t="shared" si="50"/>
        <v xml:space="preserve"> </v>
      </c>
    </row>
    <row r="513" spans="1:16" x14ac:dyDescent="0.35">
      <c r="A513" s="14" t="s">
        <v>23</v>
      </c>
      <c r="B513" s="4">
        <v>7.76</v>
      </c>
      <c r="C513" s="4">
        <v>7.28</v>
      </c>
      <c r="D513" s="4">
        <v>21.71</v>
      </c>
      <c r="E513" s="4">
        <v>25.13</v>
      </c>
      <c r="F513" s="4">
        <v>39.409999999999997</v>
      </c>
      <c r="G513" s="4">
        <v>37.83</v>
      </c>
      <c r="H513" s="4">
        <f t="shared" si="53"/>
        <v>61.12</v>
      </c>
      <c r="I513" s="4">
        <f t="shared" si="52"/>
        <v>62.959999999999994</v>
      </c>
      <c r="J513" s="4">
        <v>1.58</v>
      </c>
      <c r="K513" s="4">
        <v>1.61</v>
      </c>
      <c r="L513" s="139" t="str">
        <f t="shared" si="49"/>
        <v xml:space="preserve"> </v>
      </c>
      <c r="M513" s="139">
        <v>1.58</v>
      </c>
      <c r="N513" s="139">
        <v>1.61</v>
      </c>
      <c r="O513" s="139">
        <f t="shared" si="51"/>
        <v>1.58</v>
      </c>
      <c r="P513" s="139">
        <f t="shared" si="50"/>
        <v>1.58</v>
      </c>
    </row>
    <row r="514" spans="1:16" x14ac:dyDescent="0.35">
      <c r="A514" s="14" t="s">
        <v>311</v>
      </c>
      <c r="B514" s="4">
        <v>12.35</v>
      </c>
      <c r="C514" s="4">
        <v>10.76</v>
      </c>
      <c r="D514" s="4">
        <v>30.8</v>
      </c>
      <c r="E514" s="4">
        <v>32.46</v>
      </c>
      <c r="F514" s="4">
        <v>21.6</v>
      </c>
      <c r="G514" s="4">
        <v>30.65</v>
      </c>
      <c r="H514" s="4">
        <f t="shared" si="53"/>
        <v>52.400000000000006</v>
      </c>
      <c r="I514" s="4">
        <f t="shared" si="52"/>
        <v>63.11</v>
      </c>
      <c r="J514" s="4">
        <v>0</v>
      </c>
      <c r="K514" s="4">
        <v>0</v>
      </c>
      <c r="L514" s="139" t="str">
        <f t="shared" si="49"/>
        <v xml:space="preserve"> </v>
      </c>
      <c r="M514" s="139" t="s">
        <v>867</v>
      </c>
      <c r="N514" s="139">
        <v>1.52</v>
      </c>
      <c r="O514" s="139">
        <f t="shared" si="51"/>
        <v>1.52</v>
      </c>
      <c r="P514" s="139" t="str">
        <f t="shared" si="50"/>
        <v xml:space="preserve"> </v>
      </c>
    </row>
    <row r="515" spans="1:16" x14ac:dyDescent="0.35">
      <c r="A515" s="14" t="s">
        <v>24</v>
      </c>
      <c r="B515" s="4">
        <v>9.91</v>
      </c>
      <c r="C515" s="4">
        <v>10.96</v>
      </c>
      <c r="D515" s="4">
        <v>22.93</v>
      </c>
      <c r="E515" s="4">
        <v>25.99</v>
      </c>
      <c r="F515" s="4">
        <v>21.9</v>
      </c>
      <c r="G515" s="4">
        <v>23.28</v>
      </c>
      <c r="H515" s="4">
        <f t="shared" si="53"/>
        <v>44.83</v>
      </c>
      <c r="I515" s="4">
        <f t="shared" si="52"/>
        <v>49.269999999999996</v>
      </c>
      <c r="J515" s="4">
        <v>1.53</v>
      </c>
      <c r="K515" s="4">
        <v>1.54</v>
      </c>
      <c r="L515" s="139" t="str">
        <f t="shared" si="49"/>
        <v xml:space="preserve"> </v>
      </c>
      <c r="M515" s="139">
        <v>1.53</v>
      </c>
      <c r="N515" s="139">
        <v>1.57</v>
      </c>
      <c r="O515" s="139">
        <f t="shared" si="51"/>
        <v>1.53</v>
      </c>
      <c r="P515" s="139">
        <f t="shared" si="50"/>
        <v>1.53</v>
      </c>
    </row>
    <row r="516" spans="1:16" x14ac:dyDescent="0.35">
      <c r="A516" s="14" t="s">
        <v>63</v>
      </c>
      <c r="B516" s="4">
        <v>9.82</v>
      </c>
      <c r="C516" s="4">
        <v>12.01</v>
      </c>
      <c r="D516" s="4">
        <v>14.87</v>
      </c>
      <c r="E516" s="4">
        <v>16.350000000000001</v>
      </c>
      <c r="F516" s="4">
        <v>19.34</v>
      </c>
      <c r="G516" s="4">
        <v>20.079999999999998</v>
      </c>
      <c r="H516" s="4">
        <f t="shared" si="53"/>
        <v>34.21</v>
      </c>
      <c r="I516" s="4">
        <f t="shared" si="52"/>
        <v>36.43</v>
      </c>
      <c r="J516" s="4">
        <v>0</v>
      </c>
      <c r="K516" s="4">
        <v>0</v>
      </c>
      <c r="L516" s="139" t="str">
        <f t="shared" si="49"/>
        <v xml:space="preserve"> </v>
      </c>
      <c r="M516" s="139" t="s">
        <v>867</v>
      </c>
      <c r="N516" s="139">
        <v>1.57</v>
      </c>
      <c r="O516" s="139">
        <f t="shared" si="51"/>
        <v>1.57</v>
      </c>
      <c r="P516" s="139" t="str">
        <f t="shared" si="50"/>
        <v xml:space="preserve"> </v>
      </c>
    </row>
    <row r="517" spans="1:16" x14ac:dyDescent="0.35">
      <c r="A517" s="14" t="s">
        <v>25</v>
      </c>
      <c r="B517" s="4">
        <v>11.3</v>
      </c>
      <c r="C517" s="4">
        <v>11.04</v>
      </c>
      <c r="D517" s="4">
        <v>19</v>
      </c>
      <c r="E517" s="4">
        <v>19.98</v>
      </c>
      <c r="F517" s="4">
        <v>23.9</v>
      </c>
      <c r="G517" s="4">
        <v>26.42</v>
      </c>
      <c r="H517" s="4">
        <f t="shared" si="53"/>
        <v>42.9</v>
      </c>
      <c r="I517" s="4">
        <f t="shared" si="52"/>
        <v>46.400000000000006</v>
      </c>
      <c r="J517" s="4">
        <v>0</v>
      </c>
      <c r="K517" s="4">
        <v>0</v>
      </c>
      <c r="L517" s="139" t="str">
        <f t="shared" si="49"/>
        <v xml:space="preserve"> </v>
      </c>
      <c r="M517" s="139" t="s">
        <v>867</v>
      </c>
      <c r="N517" s="139">
        <v>1.52</v>
      </c>
      <c r="O517" s="139">
        <f t="shared" si="51"/>
        <v>1.52</v>
      </c>
      <c r="P517" s="139" t="str">
        <f t="shared" si="50"/>
        <v xml:space="preserve"> </v>
      </c>
    </row>
    <row r="518" spans="1:16" x14ac:dyDescent="0.35">
      <c r="A518" s="14" t="s">
        <v>100</v>
      </c>
      <c r="B518" s="4">
        <v>10.94</v>
      </c>
      <c r="C518" s="4">
        <v>12.96</v>
      </c>
      <c r="D518" s="4">
        <v>22.29</v>
      </c>
      <c r="E518" s="4">
        <v>23.67</v>
      </c>
      <c r="F518" s="4">
        <v>29.41</v>
      </c>
      <c r="G518" s="4">
        <v>30.13</v>
      </c>
      <c r="H518" s="4">
        <f t="shared" si="53"/>
        <v>51.7</v>
      </c>
      <c r="I518" s="4">
        <f t="shared" si="52"/>
        <v>53.8</v>
      </c>
      <c r="J518" s="4">
        <v>0</v>
      </c>
      <c r="K518" s="4">
        <v>0</v>
      </c>
      <c r="L518" s="139" t="str">
        <f t="shared" si="49"/>
        <v xml:space="preserve"> </v>
      </c>
      <c r="M518" s="139" t="s">
        <v>867</v>
      </c>
      <c r="N518" s="139">
        <v>1.52</v>
      </c>
      <c r="O518" s="139">
        <f t="shared" si="51"/>
        <v>1.52</v>
      </c>
      <c r="P518" s="139" t="str">
        <f t="shared" si="50"/>
        <v xml:space="preserve"> </v>
      </c>
    </row>
    <row r="519" spans="1:16" x14ac:dyDescent="0.35">
      <c r="A519" s="14" t="s">
        <v>310</v>
      </c>
      <c r="B519" s="4">
        <v>11.21</v>
      </c>
      <c r="C519" s="4">
        <v>11.27</v>
      </c>
      <c r="D519" s="4">
        <v>19.61</v>
      </c>
      <c r="E519" s="4">
        <v>16.45</v>
      </c>
      <c r="F519" s="4">
        <v>41.47</v>
      </c>
      <c r="G519" s="4">
        <v>48.37</v>
      </c>
      <c r="H519" s="4">
        <f t="shared" si="53"/>
        <v>61.08</v>
      </c>
      <c r="I519" s="4">
        <f t="shared" si="52"/>
        <v>64.819999999999993</v>
      </c>
      <c r="J519" s="4">
        <v>1.52</v>
      </c>
      <c r="K519" s="4">
        <v>1.56</v>
      </c>
      <c r="L519" s="139" t="str">
        <f t="shared" ref="L519:L582" si="54">IF(AND($B519&lt;L$3,$B519&gt;L$2,$H519&lt;L$5,$H519&gt;L$4),$J519," ")</f>
        <v xml:space="preserve"> </v>
      </c>
      <c r="M519" s="139">
        <v>1.52</v>
      </c>
      <c r="N519" s="139">
        <v>1.52</v>
      </c>
      <c r="O519" s="139">
        <f t="shared" si="51"/>
        <v>1.52</v>
      </c>
      <c r="P519" s="139">
        <f t="shared" ref="P519:P582" si="55">IF(M519&gt;0,M519," ")</f>
        <v>1.52</v>
      </c>
    </row>
    <row r="520" spans="1:16" x14ac:dyDescent="0.35">
      <c r="A520" s="14" t="s">
        <v>91</v>
      </c>
      <c r="B520" s="4">
        <v>6.22</v>
      </c>
      <c r="C520" s="4">
        <v>5.26</v>
      </c>
      <c r="D520" s="4">
        <v>28.96</v>
      </c>
      <c r="E520" s="4">
        <v>25.25</v>
      </c>
      <c r="F520" s="4">
        <v>48.25</v>
      </c>
      <c r="G520" s="4">
        <v>57.82</v>
      </c>
      <c r="H520" s="4">
        <f t="shared" si="53"/>
        <v>77.210000000000008</v>
      </c>
      <c r="I520" s="4">
        <f t="shared" si="52"/>
        <v>83.07</v>
      </c>
      <c r="J520" s="4">
        <v>1.64</v>
      </c>
      <c r="K520" s="4">
        <v>1.67</v>
      </c>
      <c r="L520" s="139" t="str">
        <f t="shared" si="54"/>
        <v xml:space="preserve"> </v>
      </c>
      <c r="M520" s="139">
        <v>1.64</v>
      </c>
      <c r="N520" s="139">
        <v>1.61</v>
      </c>
      <c r="O520" s="139">
        <f t="shared" ref="O520:O583" si="56">IF(M520=" ",N520,M520)</f>
        <v>1.64</v>
      </c>
      <c r="P520" s="139">
        <f t="shared" si="55"/>
        <v>1.64</v>
      </c>
    </row>
    <row r="521" spans="1:16" x14ac:dyDescent="0.35">
      <c r="A521" s="14" t="s">
        <v>315</v>
      </c>
      <c r="B521" s="4">
        <v>12.12</v>
      </c>
      <c r="C521" s="4">
        <v>10.19</v>
      </c>
      <c r="D521" s="4">
        <v>29.14</v>
      </c>
      <c r="E521" s="4">
        <v>23.93</v>
      </c>
      <c r="F521" s="4">
        <v>48.2</v>
      </c>
      <c r="G521" s="4">
        <v>58.8</v>
      </c>
      <c r="H521" s="4">
        <f t="shared" si="53"/>
        <v>77.34</v>
      </c>
      <c r="I521" s="4">
        <f t="shared" si="52"/>
        <v>82.72999999999999</v>
      </c>
      <c r="J521" s="4">
        <v>1.54</v>
      </c>
      <c r="K521" s="4">
        <v>1.56</v>
      </c>
      <c r="L521" s="139" t="str">
        <f t="shared" si="54"/>
        <v xml:space="preserve"> </v>
      </c>
      <c r="M521" s="139">
        <v>1.54</v>
      </c>
      <c r="N521" s="139">
        <v>1.52</v>
      </c>
      <c r="O521" s="139">
        <f t="shared" si="56"/>
        <v>1.54</v>
      </c>
      <c r="P521" s="139">
        <f t="shared" si="55"/>
        <v>1.54</v>
      </c>
    </row>
    <row r="522" spans="1:16" x14ac:dyDescent="0.35">
      <c r="A522" s="14" t="s">
        <v>290</v>
      </c>
      <c r="B522" s="4">
        <v>5.79</v>
      </c>
      <c r="C522" s="4">
        <v>5.05</v>
      </c>
      <c r="D522" s="4">
        <v>22.05</v>
      </c>
      <c r="E522" s="4">
        <v>18.04</v>
      </c>
      <c r="F522" s="4">
        <v>68.099999999999994</v>
      </c>
      <c r="G522" s="4">
        <v>74.680000000000007</v>
      </c>
      <c r="H522" s="4">
        <f t="shared" si="53"/>
        <v>90.149999999999991</v>
      </c>
      <c r="I522" s="4">
        <f t="shared" si="52"/>
        <v>92.72</v>
      </c>
      <c r="J522" s="4">
        <v>1.67</v>
      </c>
      <c r="K522" s="4">
        <v>1.71</v>
      </c>
      <c r="L522" s="139" t="str">
        <f t="shared" si="54"/>
        <v xml:space="preserve"> </v>
      </c>
      <c r="M522" s="139">
        <v>1.67</v>
      </c>
      <c r="N522" s="139">
        <v>1.61</v>
      </c>
      <c r="O522" s="139">
        <f t="shared" si="56"/>
        <v>1.67</v>
      </c>
      <c r="P522" s="139">
        <f t="shared" si="55"/>
        <v>1.67</v>
      </c>
    </row>
    <row r="523" spans="1:16" x14ac:dyDescent="0.35">
      <c r="A523" s="14" t="s">
        <v>94</v>
      </c>
      <c r="B523" s="4">
        <v>12.98</v>
      </c>
      <c r="C523" s="4">
        <v>13.05</v>
      </c>
      <c r="D523" s="4">
        <v>23.43</v>
      </c>
      <c r="E523" s="4">
        <v>22.5</v>
      </c>
      <c r="F523" s="4">
        <v>24.51</v>
      </c>
      <c r="G523" s="4">
        <v>29.93</v>
      </c>
      <c r="H523" s="4">
        <f t="shared" si="53"/>
        <v>47.94</v>
      </c>
      <c r="I523" s="4">
        <f t="shared" si="52"/>
        <v>52.43</v>
      </c>
      <c r="J523" s="4">
        <v>0</v>
      </c>
      <c r="K523" s="4">
        <v>0</v>
      </c>
      <c r="L523" s="139" t="str">
        <f t="shared" si="54"/>
        <v xml:space="preserve"> </v>
      </c>
      <c r="M523" s="139" t="s">
        <v>867</v>
      </c>
      <c r="N523" s="139">
        <v>1.52</v>
      </c>
      <c r="O523" s="139">
        <f t="shared" si="56"/>
        <v>1.52</v>
      </c>
      <c r="P523" s="139" t="str">
        <f t="shared" si="55"/>
        <v xml:space="preserve"> </v>
      </c>
    </row>
    <row r="524" spans="1:16" x14ac:dyDescent="0.35">
      <c r="A524" s="14" t="s">
        <v>299</v>
      </c>
      <c r="B524" s="4">
        <v>21.58</v>
      </c>
      <c r="C524" s="4">
        <v>19.36</v>
      </c>
      <c r="D524" s="4">
        <v>20.46</v>
      </c>
      <c r="E524" s="4">
        <v>25.54</v>
      </c>
      <c r="F524" s="4">
        <v>4.47</v>
      </c>
      <c r="G524" s="4">
        <v>4.71</v>
      </c>
      <c r="H524" s="4">
        <f t="shared" si="53"/>
        <v>24.93</v>
      </c>
      <c r="I524" s="4">
        <f t="shared" ref="I524:I587" si="57">E524+G524</f>
        <v>30.25</v>
      </c>
      <c r="J524" s="4">
        <v>1.36</v>
      </c>
      <c r="K524" s="4">
        <v>1.41</v>
      </c>
      <c r="L524" s="139" t="str">
        <f t="shared" si="54"/>
        <v xml:space="preserve"> </v>
      </c>
      <c r="M524" s="139">
        <v>1.36</v>
      </c>
      <c r="N524" s="139">
        <v>1.35</v>
      </c>
      <c r="O524" s="139">
        <f t="shared" si="56"/>
        <v>1.36</v>
      </c>
      <c r="P524" s="139">
        <f t="shared" si="55"/>
        <v>1.36</v>
      </c>
    </row>
    <row r="525" spans="1:16" x14ac:dyDescent="0.35">
      <c r="A525" s="14" t="s">
        <v>80</v>
      </c>
      <c r="B525" s="4">
        <v>13.99</v>
      </c>
      <c r="C525" s="4">
        <v>14.05</v>
      </c>
      <c r="D525" s="4">
        <v>29.6</v>
      </c>
      <c r="E525" s="4">
        <v>30.31</v>
      </c>
      <c r="F525" s="4">
        <v>31.5</v>
      </c>
      <c r="G525" s="4">
        <v>38.880000000000003</v>
      </c>
      <c r="H525" s="4">
        <f t="shared" ref="H525:H588" si="58">D525+F525</f>
        <v>61.1</v>
      </c>
      <c r="I525" s="4">
        <f t="shared" si="57"/>
        <v>69.19</v>
      </c>
      <c r="J525" s="4">
        <v>0</v>
      </c>
      <c r="K525" s="4">
        <v>0</v>
      </c>
      <c r="L525" s="139" t="str">
        <f t="shared" si="54"/>
        <v xml:space="preserve"> </v>
      </c>
      <c r="M525" s="139" t="s">
        <v>867</v>
      </c>
      <c r="N525" s="139">
        <v>1.52</v>
      </c>
      <c r="O525" s="139">
        <f t="shared" si="56"/>
        <v>1.52</v>
      </c>
      <c r="P525" s="139" t="str">
        <f t="shared" si="55"/>
        <v xml:space="preserve"> </v>
      </c>
    </row>
    <row r="526" spans="1:16" x14ac:dyDescent="0.35">
      <c r="A526" s="14" t="s">
        <v>345</v>
      </c>
      <c r="B526" s="4">
        <v>15.73</v>
      </c>
      <c r="C526" s="4">
        <v>15.07</v>
      </c>
      <c r="D526" s="4">
        <v>31.08</v>
      </c>
      <c r="E526" s="4">
        <v>34.17</v>
      </c>
      <c r="F526" s="4">
        <v>24.05</v>
      </c>
      <c r="G526" s="4">
        <v>21.92</v>
      </c>
      <c r="H526" s="4">
        <f t="shared" si="58"/>
        <v>55.129999999999995</v>
      </c>
      <c r="I526" s="4">
        <f t="shared" si="57"/>
        <v>56.09</v>
      </c>
      <c r="J526" s="4">
        <v>0</v>
      </c>
      <c r="K526" s="4">
        <v>0</v>
      </c>
      <c r="L526" s="139" t="str">
        <f t="shared" si="54"/>
        <v xml:space="preserve"> </v>
      </c>
      <c r="M526" s="139" t="s">
        <v>867</v>
      </c>
      <c r="N526" s="139">
        <v>1.52</v>
      </c>
      <c r="O526" s="139">
        <f t="shared" si="56"/>
        <v>1.52</v>
      </c>
      <c r="P526" s="139" t="str">
        <f t="shared" si="55"/>
        <v xml:space="preserve"> </v>
      </c>
    </row>
    <row r="527" spans="1:16" x14ac:dyDescent="0.35">
      <c r="A527" s="14" t="s">
        <v>428</v>
      </c>
      <c r="B527" s="4">
        <v>14.33</v>
      </c>
      <c r="C527" s="4">
        <v>17.670000000000002</v>
      </c>
      <c r="D527" s="4">
        <v>22.53</v>
      </c>
      <c r="E527" s="4">
        <v>18.37</v>
      </c>
      <c r="F527" s="4">
        <v>8.5</v>
      </c>
      <c r="G527" s="4">
        <v>5.67</v>
      </c>
      <c r="H527" s="4">
        <f t="shared" si="58"/>
        <v>31.03</v>
      </c>
      <c r="I527" s="4">
        <f t="shared" si="57"/>
        <v>24.04</v>
      </c>
      <c r="J527" s="4">
        <v>0</v>
      </c>
      <c r="K527" s="4">
        <v>0</v>
      </c>
      <c r="L527" s="139" t="str">
        <f t="shared" si="54"/>
        <v xml:space="preserve"> </v>
      </c>
      <c r="M527" s="139" t="s">
        <v>867</v>
      </c>
      <c r="N527" s="139">
        <v>1.49</v>
      </c>
      <c r="O527" s="139">
        <f t="shared" si="56"/>
        <v>1.49</v>
      </c>
      <c r="P527" s="139" t="str">
        <f t="shared" si="55"/>
        <v xml:space="preserve"> </v>
      </c>
    </row>
    <row r="528" spans="1:16" x14ac:dyDescent="0.35">
      <c r="A528" s="14" t="s">
        <v>419</v>
      </c>
      <c r="B528" s="4">
        <v>21.72</v>
      </c>
      <c r="C528" s="4">
        <v>24.07</v>
      </c>
      <c r="D528" s="4">
        <v>5.38</v>
      </c>
      <c r="E528" s="4">
        <v>4.67</v>
      </c>
      <c r="F528" s="4">
        <v>3.18</v>
      </c>
      <c r="G528" s="4">
        <v>2.11</v>
      </c>
      <c r="H528" s="4">
        <f t="shared" si="58"/>
        <v>8.56</v>
      </c>
      <c r="I528" s="4">
        <f t="shared" si="57"/>
        <v>6.7799999999999994</v>
      </c>
      <c r="J528" s="4">
        <v>0</v>
      </c>
      <c r="K528" s="4">
        <v>0</v>
      </c>
      <c r="L528" s="139" t="str">
        <f t="shared" si="54"/>
        <v xml:space="preserve"> </v>
      </c>
      <c r="M528" s="139" t="s">
        <v>867</v>
      </c>
      <c r="N528" s="139">
        <v>1.32</v>
      </c>
      <c r="O528" s="139">
        <f t="shared" si="56"/>
        <v>1.32</v>
      </c>
      <c r="P528" s="139" t="str">
        <f t="shared" si="55"/>
        <v xml:space="preserve"> </v>
      </c>
    </row>
    <row r="529" spans="1:16" x14ac:dyDescent="0.35">
      <c r="A529" s="14" t="s">
        <v>323</v>
      </c>
      <c r="B529" s="4">
        <v>38.51</v>
      </c>
      <c r="C529" s="4">
        <v>37.47</v>
      </c>
      <c r="D529" s="4">
        <v>8.91</v>
      </c>
      <c r="E529" s="4">
        <v>7.99</v>
      </c>
      <c r="F529" s="4">
        <v>1.93</v>
      </c>
      <c r="G529" s="4">
        <v>2.57</v>
      </c>
      <c r="H529" s="4">
        <f t="shared" si="58"/>
        <v>10.84</v>
      </c>
      <c r="I529" s="4">
        <f t="shared" si="57"/>
        <v>10.56</v>
      </c>
      <c r="J529" s="4">
        <v>0</v>
      </c>
      <c r="K529" s="4">
        <v>0</v>
      </c>
      <c r="L529" s="139" t="str">
        <f t="shared" si="54"/>
        <v xml:space="preserve"> </v>
      </c>
      <c r="M529" s="139" t="s">
        <v>867</v>
      </c>
      <c r="N529" s="139">
        <v>1.32</v>
      </c>
      <c r="O529" s="139">
        <f t="shared" si="56"/>
        <v>1.32</v>
      </c>
      <c r="P529" s="139" t="str">
        <f t="shared" si="55"/>
        <v xml:space="preserve"> </v>
      </c>
    </row>
    <row r="530" spans="1:16" x14ac:dyDescent="0.35">
      <c r="A530" s="14" t="s">
        <v>351</v>
      </c>
      <c r="B530" s="4">
        <v>42.26</v>
      </c>
      <c r="C530" s="4">
        <v>36</v>
      </c>
      <c r="D530" s="4">
        <v>11.4</v>
      </c>
      <c r="E530" s="4">
        <v>18.5</v>
      </c>
      <c r="F530" s="4">
        <v>1.71</v>
      </c>
      <c r="G530" s="4">
        <v>2.16</v>
      </c>
      <c r="H530" s="4">
        <f t="shared" si="58"/>
        <v>13.11</v>
      </c>
      <c r="I530" s="4">
        <f t="shared" si="57"/>
        <v>20.66</v>
      </c>
      <c r="J530" s="4">
        <v>0</v>
      </c>
      <c r="K530" s="4">
        <v>0</v>
      </c>
      <c r="L530" s="139" t="str">
        <f t="shared" si="54"/>
        <v xml:space="preserve"> </v>
      </c>
      <c r="M530" s="139" t="s">
        <v>867</v>
      </c>
      <c r="N530" s="139">
        <v>1.22</v>
      </c>
      <c r="O530" s="139">
        <f t="shared" si="56"/>
        <v>1.22</v>
      </c>
      <c r="P530" s="139" t="str">
        <f t="shared" si="55"/>
        <v xml:space="preserve"> </v>
      </c>
    </row>
    <row r="531" spans="1:16" x14ac:dyDescent="0.35">
      <c r="A531" s="14" t="s">
        <v>424</v>
      </c>
      <c r="B531" s="4">
        <v>15.8</v>
      </c>
      <c r="C531" s="4">
        <v>21.28</v>
      </c>
      <c r="D531" s="4">
        <v>21.64</v>
      </c>
      <c r="E531" s="4">
        <v>16.32</v>
      </c>
      <c r="F531" s="4">
        <v>8.9499999999999993</v>
      </c>
      <c r="G531" s="4">
        <v>5.13</v>
      </c>
      <c r="H531" s="4">
        <f t="shared" si="58"/>
        <v>30.59</v>
      </c>
      <c r="I531" s="4">
        <f t="shared" si="57"/>
        <v>21.45</v>
      </c>
      <c r="J531" s="4">
        <v>0</v>
      </c>
      <c r="K531" s="4">
        <v>0</v>
      </c>
      <c r="L531" s="139" t="str">
        <f t="shared" si="54"/>
        <v xml:space="preserve"> </v>
      </c>
      <c r="M531" s="139" t="s">
        <v>867</v>
      </c>
      <c r="N531" s="139">
        <v>1.49</v>
      </c>
      <c r="O531" s="139">
        <f t="shared" si="56"/>
        <v>1.49</v>
      </c>
      <c r="P531" s="139" t="str">
        <f t="shared" si="55"/>
        <v xml:space="preserve"> </v>
      </c>
    </row>
    <row r="532" spans="1:16" x14ac:dyDescent="0.35">
      <c r="A532" s="14" t="s">
        <v>250</v>
      </c>
      <c r="B532" s="4">
        <v>27.58</v>
      </c>
      <c r="C532" s="4">
        <v>26.96</v>
      </c>
      <c r="D532" s="4">
        <v>13.18</v>
      </c>
      <c r="E532" s="4">
        <v>13.56</v>
      </c>
      <c r="F532" s="4">
        <v>2.82</v>
      </c>
      <c r="G532" s="4">
        <v>1.91</v>
      </c>
      <c r="H532" s="4">
        <f t="shared" si="58"/>
        <v>16</v>
      </c>
      <c r="I532" s="4">
        <f t="shared" si="57"/>
        <v>15.47</v>
      </c>
      <c r="J532" s="4">
        <v>1.32</v>
      </c>
      <c r="K532" s="4">
        <v>1.31</v>
      </c>
      <c r="L532" s="139" t="str">
        <f t="shared" si="54"/>
        <v xml:space="preserve"> </v>
      </c>
      <c r="M532" s="139">
        <v>1.32</v>
      </c>
      <c r="N532" s="139">
        <v>1.32</v>
      </c>
      <c r="O532" s="139">
        <f t="shared" si="56"/>
        <v>1.32</v>
      </c>
      <c r="P532" s="139">
        <f t="shared" si="55"/>
        <v>1.32</v>
      </c>
    </row>
    <row r="533" spans="1:16" x14ac:dyDescent="0.35">
      <c r="A533" s="14" t="s">
        <v>218</v>
      </c>
      <c r="B533" s="4">
        <v>24.54</v>
      </c>
      <c r="C533" s="4">
        <v>27.61</v>
      </c>
      <c r="D533" s="4">
        <v>13.15</v>
      </c>
      <c r="E533" s="4">
        <v>13.16</v>
      </c>
      <c r="F533" s="4">
        <v>1.83</v>
      </c>
      <c r="G533" s="4">
        <v>1.26</v>
      </c>
      <c r="H533" s="4">
        <f t="shared" si="58"/>
        <v>14.98</v>
      </c>
      <c r="I533" s="4">
        <f t="shared" si="57"/>
        <v>14.42</v>
      </c>
      <c r="J533" s="4">
        <v>1.34</v>
      </c>
      <c r="K533" s="4">
        <v>1.3</v>
      </c>
      <c r="L533" s="139" t="str">
        <f t="shared" si="54"/>
        <v xml:space="preserve"> </v>
      </c>
      <c r="M533" s="139">
        <v>1.34</v>
      </c>
      <c r="N533" s="139">
        <v>1.32</v>
      </c>
      <c r="O533" s="139">
        <f t="shared" si="56"/>
        <v>1.34</v>
      </c>
      <c r="P533" s="139">
        <f t="shared" si="55"/>
        <v>1.34</v>
      </c>
    </row>
    <row r="534" spans="1:16" x14ac:dyDescent="0.35">
      <c r="A534" s="14" t="s">
        <v>215</v>
      </c>
      <c r="B534" s="4">
        <v>37.47</v>
      </c>
      <c r="C534" s="4">
        <v>37.58</v>
      </c>
      <c r="D534" s="4">
        <v>11.58</v>
      </c>
      <c r="E534" s="4">
        <v>15.09</v>
      </c>
      <c r="F534" s="4">
        <v>26.68</v>
      </c>
      <c r="G534" s="4">
        <v>24.79</v>
      </c>
      <c r="H534" s="4">
        <f t="shared" si="58"/>
        <v>38.26</v>
      </c>
      <c r="I534" s="4">
        <f t="shared" si="57"/>
        <v>39.879999999999995</v>
      </c>
      <c r="J534" s="4">
        <v>1.31</v>
      </c>
      <c r="K534" s="4">
        <v>1.32</v>
      </c>
      <c r="L534" s="139" t="str">
        <f t="shared" si="54"/>
        <v xml:space="preserve"> </v>
      </c>
      <c r="M534" s="139">
        <v>1.31</v>
      </c>
      <c r="N534" s="139">
        <v>1.35</v>
      </c>
      <c r="O534" s="139">
        <f t="shared" si="56"/>
        <v>1.31</v>
      </c>
      <c r="P534" s="139">
        <f t="shared" si="55"/>
        <v>1.31</v>
      </c>
    </row>
    <row r="535" spans="1:16" x14ac:dyDescent="0.35">
      <c r="A535" s="14" t="s">
        <v>213</v>
      </c>
      <c r="B535" s="4">
        <v>42.7</v>
      </c>
      <c r="C535" s="4">
        <v>38.86</v>
      </c>
      <c r="D535" s="4">
        <v>8.19</v>
      </c>
      <c r="E535" s="4">
        <v>10.32</v>
      </c>
      <c r="F535" s="4">
        <v>23.28</v>
      </c>
      <c r="G535" s="4">
        <v>16.05</v>
      </c>
      <c r="H535" s="4">
        <f t="shared" si="58"/>
        <v>31.47</v>
      </c>
      <c r="I535" s="4">
        <f t="shared" si="57"/>
        <v>26.37</v>
      </c>
      <c r="J535" s="4">
        <v>0</v>
      </c>
      <c r="K535" s="4">
        <v>0</v>
      </c>
      <c r="L535" s="139" t="str">
        <f t="shared" si="54"/>
        <v xml:space="preserve"> </v>
      </c>
      <c r="M535" s="139" t="s">
        <v>867</v>
      </c>
      <c r="N535" s="139">
        <v>1.25</v>
      </c>
      <c r="O535" s="139">
        <f t="shared" si="56"/>
        <v>1.25</v>
      </c>
      <c r="P535" s="139" t="str">
        <f t="shared" si="55"/>
        <v xml:space="preserve"> </v>
      </c>
    </row>
    <row r="536" spans="1:16" x14ac:dyDescent="0.35">
      <c r="A536" s="14" t="s">
        <v>172</v>
      </c>
      <c r="B536" s="4">
        <v>8.48</v>
      </c>
      <c r="C536" s="4">
        <v>8.24</v>
      </c>
      <c r="D536" s="4">
        <v>35.57</v>
      </c>
      <c r="E536" s="4">
        <v>38.49</v>
      </c>
      <c r="F536" s="4">
        <v>13.86</v>
      </c>
      <c r="G536" s="4">
        <v>12.25</v>
      </c>
      <c r="H536" s="4">
        <f t="shared" si="58"/>
        <v>49.43</v>
      </c>
      <c r="I536" s="4">
        <f t="shared" si="57"/>
        <v>50.74</v>
      </c>
      <c r="J536" s="4">
        <v>1.56</v>
      </c>
      <c r="K536" s="4">
        <v>1.5</v>
      </c>
      <c r="L536" s="139" t="str">
        <f t="shared" si="54"/>
        <v xml:space="preserve"> </v>
      </c>
      <c r="M536" s="139">
        <v>1.56</v>
      </c>
      <c r="N536" s="139">
        <v>1.57</v>
      </c>
      <c r="O536" s="139">
        <f t="shared" si="56"/>
        <v>1.56</v>
      </c>
      <c r="P536" s="139">
        <f t="shared" si="55"/>
        <v>1.56</v>
      </c>
    </row>
    <row r="537" spans="1:16" x14ac:dyDescent="0.35">
      <c r="A537" s="14" t="s">
        <v>587</v>
      </c>
      <c r="B537" s="4">
        <v>8.3800000000000008</v>
      </c>
      <c r="C537" s="4">
        <v>8.19</v>
      </c>
      <c r="D537" s="4">
        <v>37.03</v>
      </c>
      <c r="E537" s="4">
        <v>37.97</v>
      </c>
      <c r="F537" s="4">
        <v>18.75</v>
      </c>
      <c r="G537" s="4">
        <v>21.87</v>
      </c>
      <c r="H537" s="4">
        <f t="shared" si="58"/>
        <v>55.78</v>
      </c>
      <c r="I537" s="4">
        <f t="shared" si="57"/>
        <v>59.84</v>
      </c>
      <c r="J537" s="4">
        <v>1.54</v>
      </c>
      <c r="K537" s="4">
        <v>1.59</v>
      </c>
      <c r="L537" s="139" t="str">
        <f t="shared" si="54"/>
        <v xml:space="preserve"> </v>
      </c>
      <c r="M537" s="139">
        <v>1.54</v>
      </c>
      <c r="N537" s="139">
        <v>1.57</v>
      </c>
      <c r="O537" s="139">
        <f t="shared" si="56"/>
        <v>1.54</v>
      </c>
      <c r="P537" s="139">
        <f t="shared" si="55"/>
        <v>1.54</v>
      </c>
    </row>
    <row r="538" spans="1:16" x14ac:dyDescent="0.35">
      <c r="A538" s="14" t="s">
        <v>156</v>
      </c>
      <c r="B538" s="4">
        <v>9.69</v>
      </c>
      <c r="C538" s="4">
        <v>10.11</v>
      </c>
      <c r="D538" s="4">
        <v>28.77</v>
      </c>
      <c r="E538" s="4">
        <v>30.13</v>
      </c>
      <c r="F538" s="4">
        <v>9.4</v>
      </c>
      <c r="G538" s="4">
        <v>9.1</v>
      </c>
      <c r="H538" s="4">
        <f t="shared" si="58"/>
        <v>38.17</v>
      </c>
      <c r="I538" s="4">
        <f t="shared" si="57"/>
        <v>39.229999999999997</v>
      </c>
      <c r="J538" s="4">
        <v>0</v>
      </c>
      <c r="K538" s="4">
        <v>0</v>
      </c>
      <c r="L538" s="139" t="str">
        <f t="shared" si="54"/>
        <v xml:space="preserve"> </v>
      </c>
      <c r="M538" s="139" t="s">
        <v>867</v>
      </c>
      <c r="N538" s="139">
        <v>1.57</v>
      </c>
      <c r="O538" s="139">
        <f t="shared" si="56"/>
        <v>1.57</v>
      </c>
      <c r="P538" s="139" t="str">
        <f t="shared" si="55"/>
        <v xml:space="preserve"> </v>
      </c>
    </row>
    <row r="539" spans="1:16" x14ac:dyDescent="0.35">
      <c r="A539" s="14" t="s">
        <v>142</v>
      </c>
      <c r="B539" s="4">
        <v>11.34</v>
      </c>
      <c r="C539" s="4">
        <v>10.19</v>
      </c>
      <c r="D539" s="4">
        <v>23.98</v>
      </c>
      <c r="E539" s="4">
        <v>26.54</v>
      </c>
      <c r="F539" s="4">
        <v>15.06</v>
      </c>
      <c r="G539" s="4">
        <v>16.38</v>
      </c>
      <c r="H539" s="4">
        <f t="shared" si="58"/>
        <v>39.04</v>
      </c>
      <c r="I539" s="4">
        <f t="shared" si="57"/>
        <v>42.92</v>
      </c>
      <c r="J539" s="4">
        <v>0</v>
      </c>
      <c r="K539" s="4">
        <v>0</v>
      </c>
      <c r="L539" s="139" t="str">
        <f t="shared" si="54"/>
        <v xml:space="preserve"> </v>
      </c>
      <c r="M539" s="139" t="s">
        <v>867</v>
      </c>
      <c r="N539" s="139">
        <v>1.49</v>
      </c>
      <c r="O539" s="139">
        <f t="shared" si="56"/>
        <v>1.49</v>
      </c>
      <c r="P539" s="139" t="str">
        <f t="shared" si="55"/>
        <v xml:space="preserve"> </v>
      </c>
    </row>
    <row r="540" spans="1:16" x14ac:dyDescent="0.35">
      <c r="A540" s="14" t="s">
        <v>152</v>
      </c>
      <c r="B540" s="4">
        <v>17.02</v>
      </c>
      <c r="C540" s="4">
        <v>19.7</v>
      </c>
      <c r="D540" s="4">
        <v>9.6999999999999993</v>
      </c>
      <c r="E540" s="4">
        <v>8.64</v>
      </c>
      <c r="F540" s="4">
        <v>8.98</v>
      </c>
      <c r="G540" s="4">
        <v>7.94</v>
      </c>
      <c r="H540" s="4">
        <f t="shared" si="58"/>
        <v>18.68</v>
      </c>
      <c r="I540" s="4">
        <f t="shared" si="57"/>
        <v>16.580000000000002</v>
      </c>
      <c r="J540" s="4">
        <v>0</v>
      </c>
      <c r="K540" s="4">
        <v>0</v>
      </c>
      <c r="L540" s="139" t="str">
        <f t="shared" si="54"/>
        <v xml:space="preserve"> </v>
      </c>
      <c r="M540" s="139" t="s">
        <v>867</v>
      </c>
      <c r="N540" s="139">
        <v>1.41</v>
      </c>
      <c r="O540" s="139">
        <f t="shared" si="56"/>
        <v>1.41</v>
      </c>
      <c r="P540" s="139" t="str">
        <f t="shared" si="55"/>
        <v xml:space="preserve"> </v>
      </c>
    </row>
    <row r="541" spans="1:16" x14ac:dyDescent="0.35">
      <c r="A541" s="14" t="s">
        <v>166</v>
      </c>
      <c r="B541" s="4">
        <v>17.899999999999999</v>
      </c>
      <c r="C541" s="4">
        <v>17.440000000000001</v>
      </c>
      <c r="D541" s="4">
        <v>16.399999999999999</v>
      </c>
      <c r="E541" s="4">
        <v>17.100000000000001</v>
      </c>
      <c r="F541" s="4">
        <v>7.27</v>
      </c>
      <c r="G541" s="4">
        <v>8.33</v>
      </c>
      <c r="H541" s="4">
        <f t="shared" si="58"/>
        <v>23.669999999999998</v>
      </c>
      <c r="I541" s="4">
        <f t="shared" si="57"/>
        <v>25.43</v>
      </c>
      <c r="J541" s="4">
        <v>1.39</v>
      </c>
      <c r="K541" s="4">
        <v>1.41</v>
      </c>
      <c r="L541" s="139" t="str">
        <f t="shared" si="54"/>
        <v xml:space="preserve"> </v>
      </c>
      <c r="M541" s="139">
        <v>1.39</v>
      </c>
      <c r="N541" s="139">
        <v>1.49</v>
      </c>
      <c r="O541" s="139">
        <f t="shared" si="56"/>
        <v>1.39</v>
      </c>
      <c r="P541" s="139">
        <f t="shared" si="55"/>
        <v>1.39</v>
      </c>
    </row>
    <row r="542" spans="1:16" x14ac:dyDescent="0.35">
      <c r="A542" s="14" t="s">
        <v>149</v>
      </c>
      <c r="B542" s="4">
        <v>12.65</v>
      </c>
      <c r="C542" s="4">
        <v>13.58</v>
      </c>
      <c r="D542" s="4">
        <v>18.78</v>
      </c>
      <c r="E542" s="4">
        <v>20.77</v>
      </c>
      <c r="F542" s="4">
        <v>9.3000000000000007</v>
      </c>
      <c r="G542" s="4">
        <v>9.5</v>
      </c>
      <c r="H542" s="4">
        <f t="shared" si="58"/>
        <v>28.080000000000002</v>
      </c>
      <c r="I542" s="4">
        <f t="shared" si="57"/>
        <v>30.27</v>
      </c>
      <c r="J542" s="4">
        <v>0</v>
      </c>
      <c r="K542" s="4">
        <v>0</v>
      </c>
      <c r="L542" s="139" t="str">
        <f t="shared" si="54"/>
        <v xml:space="preserve"> </v>
      </c>
      <c r="M542" s="139" t="s">
        <v>867</v>
      </c>
      <c r="N542" s="139">
        <v>1.49</v>
      </c>
      <c r="O542" s="139">
        <f t="shared" si="56"/>
        <v>1.49</v>
      </c>
      <c r="P542" s="139" t="str">
        <f t="shared" si="55"/>
        <v xml:space="preserve"> </v>
      </c>
    </row>
    <row r="543" spans="1:16" x14ac:dyDescent="0.35">
      <c r="A543" s="14" t="s">
        <v>146</v>
      </c>
      <c r="B543" s="4">
        <v>13.99</v>
      </c>
      <c r="C543" s="4">
        <v>17.12</v>
      </c>
      <c r="D543" s="4">
        <v>9.56</v>
      </c>
      <c r="E543" s="4">
        <v>8.48</v>
      </c>
      <c r="F543" s="4">
        <v>0.76</v>
      </c>
      <c r="G543" s="4">
        <v>0.81</v>
      </c>
      <c r="H543" s="4">
        <f t="shared" si="58"/>
        <v>10.32</v>
      </c>
      <c r="I543" s="4">
        <f t="shared" si="57"/>
        <v>9.2900000000000009</v>
      </c>
      <c r="J543" s="4">
        <v>1.46</v>
      </c>
      <c r="K543" s="4">
        <v>1.37</v>
      </c>
      <c r="L543" s="139" t="str">
        <f t="shared" si="54"/>
        <v xml:space="preserve"> </v>
      </c>
      <c r="M543" s="139">
        <v>1.46</v>
      </c>
      <c r="N543" s="139">
        <v>1.41</v>
      </c>
      <c r="O543" s="139">
        <f t="shared" si="56"/>
        <v>1.46</v>
      </c>
      <c r="P543" s="139">
        <f t="shared" si="55"/>
        <v>1.46</v>
      </c>
    </row>
    <row r="544" spans="1:16" x14ac:dyDescent="0.35">
      <c r="A544" s="14" t="s">
        <v>219</v>
      </c>
      <c r="B544" s="4">
        <v>25.5</v>
      </c>
      <c r="C544" s="4">
        <v>28.46</v>
      </c>
      <c r="D544" s="4">
        <v>7.65</v>
      </c>
      <c r="E544" s="4">
        <v>8.69</v>
      </c>
      <c r="F544" s="4">
        <v>0.95</v>
      </c>
      <c r="G544" s="4">
        <v>0.63</v>
      </c>
      <c r="H544" s="4">
        <f t="shared" si="58"/>
        <v>8.6</v>
      </c>
      <c r="I544" s="4">
        <f t="shared" si="57"/>
        <v>9.32</v>
      </c>
      <c r="J544" s="4">
        <v>1.31</v>
      </c>
      <c r="K544" s="4">
        <v>1.29</v>
      </c>
      <c r="L544" s="139" t="str">
        <f t="shared" si="54"/>
        <v xml:space="preserve"> </v>
      </c>
      <c r="M544" s="139">
        <v>1.31</v>
      </c>
      <c r="N544" s="139">
        <v>1.32</v>
      </c>
      <c r="O544" s="139">
        <f t="shared" si="56"/>
        <v>1.31</v>
      </c>
      <c r="P544" s="139">
        <f t="shared" si="55"/>
        <v>1.31</v>
      </c>
    </row>
    <row r="545" spans="1:16" x14ac:dyDescent="0.35">
      <c r="A545" s="14" t="s">
        <v>230</v>
      </c>
      <c r="B545" s="4">
        <v>19.940000000000001</v>
      </c>
      <c r="C545" s="4">
        <v>25.52</v>
      </c>
      <c r="D545" s="4">
        <v>14.06</v>
      </c>
      <c r="E545" s="4">
        <v>12.26</v>
      </c>
      <c r="F545" s="4">
        <v>3.78</v>
      </c>
      <c r="G545" s="4">
        <v>2.2000000000000002</v>
      </c>
      <c r="H545" s="4">
        <f t="shared" si="58"/>
        <v>17.84</v>
      </c>
      <c r="I545" s="4">
        <f t="shared" si="57"/>
        <v>14.46</v>
      </c>
      <c r="J545" s="4">
        <v>1.37</v>
      </c>
      <c r="K545" s="4">
        <v>1.35</v>
      </c>
      <c r="L545" s="139" t="str">
        <f t="shared" si="54"/>
        <v xml:space="preserve"> </v>
      </c>
      <c r="M545" s="139">
        <v>1.37</v>
      </c>
      <c r="N545" s="139">
        <v>1.41</v>
      </c>
      <c r="O545" s="139">
        <f t="shared" si="56"/>
        <v>1.37</v>
      </c>
      <c r="P545" s="139">
        <f t="shared" si="55"/>
        <v>1.37</v>
      </c>
    </row>
    <row r="546" spans="1:16" x14ac:dyDescent="0.35">
      <c r="A546" s="14" t="s">
        <v>131</v>
      </c>
      <c r="B546" s="4">
        <v>21.94</v>
      </c>
      <c r="C546" s="4">
        <v>23.54</v>
      </c>
      <c r="D546" s="4">
        <v>9.66</v>
      </c>
      <c r="E546" s="4">
        <v>11.14</v>
      </c>
      <c r="F546" s="4">
        <v>1.85</v>
      </c>
      <c r="G546" s="4">
        <v>4.26</v>
      </c>
      <c r="H546" s="4">
        <f t="shared" si="58"/>
        <v>11.51</v>
      </c>
      <c r="I546" s="4">
        <f t="shared" si="57"/>
        <v>15.4</v>
      </c>
      <c r="J546" s="4">
        <v>0</v>
      </c>
      <c r="K546" s="4">
        <v>0</v>
      </c>
      <c r="L546" s="139" t="str">
        <f t="shared" si="54"/>
        <v xml:space="preserve"> </v>
      </c>
      <c r="M546" s="139" t="s">
        <v>867</v>
      </c>
      <c r="N546" s="139">
        <v>1.32</v>
      </c>
      <c r="O546" s="139">
        <f t="shared" si="56"/>
        <v>1.32</v>
      </c>
      <c r="P546" s="139" t="str">
        <f t="shared" si="55"/>
        <v xml:space="preserve"> </v>
      </c>
    </row>
    <row r="547" spans="1:16" x14ac:dyDescent="0.35">
      <c r="A547" s="14" t="s">
        <v>245</v>
      </c>
      <c r="B547" s="4">
        <v>26.28</v>
      </c>
      <c r="C547" s="4">
        <v>27.27</v>
      </c>
      <c r="D547" s="4">
        <v>16.88</v>
      </c>
      <c r="E547" s="4">
        <v>14.54</v>
      </c>
      <c r="F547" s="4">
        <v>7.6</v>
      </c>
      <c r="G547" s="4">
        <v>4.9000000000000004</v>
      </c>
      <c r="H547" s="4">
        <f t="shared" si="58"/>
        <v>24.479999999999997</v>
      </c>
      <c r="I547" s="4">
        <f t="shared" si="57"/>
        <v>19.439999999999998</v>
      </c>
      <c r="J547" s="4">
        <v>1.34</v>
      </c>
      <c r="K547" s="4">
        <v>1.31</v>
      </c>
      <c r="L547" s="139" t="str">
        <f t="shared" si="54"/>
        <v xml:space="preserve"> </v>
      </c>
      <c r="M547" s="139">
        <v>1.34</v>
      </c>
      <c r="N547" s="139">
        <v>1.35</v>
      </c>
      <c r="O547" s="139">
        <f t="shared" si="56"/>
        <v>1.34</v>
      </c>
      <c r="P547" s="139">
        <f t="shared" si="55"/>
        <v>1.34</v>
      </c>
    </row>
    <row r="548" spans="1:16" x14ac:dyDescent="0.35">
      <c r="A548" s="14" t="s">
        <v>214</v>
      </c>
      <c r="B548" s="4">
        <v>13.01</v>
      </c>
      <c r="C548" s="4">
        <v>10.51</v>
      </c>
      <c r="D548" s="4">
        <v>7.37</v>
      </c>
      <c r="E548" s="4">
        <v>8.2100000000000009</v>
      </c>
      <c r="F548" s="4">
        <v>71.83</v>
      </c>
      <c r="G548" s="4">
        <v>77.040000000000006</v>
      </c>
      <c r="H548" s="4">
        <f t="shared" si="58"/>
        <v>79.2</v>
      </c>
      <c r="I548" s="4">
        <f t="shared" si="57"/>
        <v>85.25</v>
      </c>
      <c r="J548" s="4">
        <v>1.53</v>
      </c>
      <c r="K548" s="4">
        <v>1.62</v>
      </c>
      <c r="L548" s="139" t="str">
        <f t="shared" si="54"/>
        <v xml:space="preserve"> </v>
      </c>
      <c r="M548" s="139">
        <v>1.53</v>
      </c>
      <c r="N548" s="139">
        <v>1.52</v>
      </c>
      <c r="O548" s="139">
        <f t="shared" si="56"/>
        <v>1.53</v>
      </c>
      <c r="P548" s="139">
        <f t="shared" si="55"/>
        <v>1.53</v>
      </c>
    </row>
    <row r="549" spans="1:16" x14ac:dyDescent="0.35">
      <c r="A549" s="14" t="s">
        <v>212</v>
      </c>
      <c r="B549" s="4">
        <v>42.14</v>
      </c>
      <c r="C549" s="4">
        <v>36.19</v>
      </c>
      <c r="D549" s="4">
        <v>13.57</v>
      </c>
      <c r="E549" s="4">
        <v>13.1</v>
      </c>
      <c r="F549" s="4">
        <v>15.53</v>
      </c>
      <c r="G549" s="4">
        <v>9.9600000000000009</v>
      </c>
      <c r="H549" s="4">
        <f t="shared" si="58"/>
        <v>29.1</v>
      </c>
      <c r="I549" s="4">
        <f t="shared" si="57"/>
        <v>23.060000000000002</v>
      </c>
      <c r="J549" s="4">
        <v>0</v>
      </c>
      <c r="K549" s="4">
        <v>0</v>
      </c>
      <c r="L549" s="139" t="str">
        <f t="shared" si="54"/>
        <v xml:space="preserve"> </v>
      </c>
      <c r="M549" s="139" t="s">
        <v>867</v>
      </c>
      <c r="N549" s="139">
        <v>1.25</v>
      </c>
      <c r="O549" s="139">
        <f t="shared" si="56"/>
        <v>1.25</v>
      </c>
      <c r="P549" s="139" t="str">
        <f t="shared" si="55"/>
        <v xml:space="preserve"> </v>
      </c>
    </row>
    <row r="550" spans="1:16" x14ac:dyDescent="0.35">
      <c r="A550" s="14" t="s">
        <v>234</v>
      </c>
      <c r="B550" s="4">
        <v>30.32</v>
      </c>
      <c r="C550" s="4">
        <v>25.01</v>
      </c>
      <c r="D550" s="4">
        <v>28</v>
      </c>
      <c r="E550" s="4">
        <v>23.4</v>
      </c>
      <c r="F550" s="4">
        <v>27.3</v>
      </c>
      <c r="G550" s="4">
        <v>32.909999999999997</v>
      </c>
      <c r="H550" s="4">
        <f t="shared" si="58"/>
        <v>55.3</v>
      </c>
      <c r="I550" s="4">
        <f t="shared" si="57"/>
        <v>56.309999999999995</v>
      </c>
      <c r="J550" s="4">
        <v>0</v>
      </c>
      <c r="K550" s="4">
        <v>0</v>
      </c>
      <c r="L550" s="139" t="str">
        <f t="shared" si="54"/>
        <v xml:space="preserve"> </v>
      </c>
      <c r="M550" s="139" t="s">
        <v>867</v>
      </c>
      <c r="N550" s="139">
        <v>1.41</v>
      </c>
      <c r="O550" s="139">
        <f t="shared" si="56"/>
        <v>1.41</v>
      </c>
      <c r="P550" s="139" t="str">
        <f t="shared" si="55"/>
        <v xml:space="preserve"> </v>
      </c>
    </row>
    <row r="551" spans="1:16" x14ac:dyDescent="0.35">
      <c r="A551" s="14" t="s">
        <v>231</v>
      </c>
      <c r="B551" s="4">
        <v>21.47</v>
      </c>
      <c r="C551" s="4">
        <v>25.33</v>
      </c>
      <c r="D551" s="4">
        <v>2.93</v>
      </c>
      <c r="E551" s="4">
        <v>3.2</v>
      </c>
      <c r="F551" s="4">
        <v>1.26</v>
      </c>
      <c r="G551" s="4">
        <v>1.03</v>
      </c>
      <c r="H551" s="4">
        <f t="shared" si="58"/>
        <v>4.1900000000000004</v>
      </c>
      <c r="I551" s="4">
        <f t="shared" si="57"/>
        <v>4.2300000000000004</v>
      </c>
      <c r="J551" s="4">
        <v>1.33</v>
      </c>
      <c r="K551" s="4">
        <v>1.33</v>
      </c>
      <c r="L551" s="139" t="str">
        <f t="shared" si="54"/>
        <v xml:space="preserve"> </v>
      </c>
      <c r="M551" s="139">
        <v>1.33</v>
      </c>
      <c r="N551" s="139">
        <v>1.32</v>
      </c>
      <c r="O551" s="139">
        <f t="shared" si="56"/>
        <v>1.33</v>
      </c>
      <c r="P551" s="139">
        <f t="shared" si="55"/>
        <v>1.33</v>
      </c>
    </row>
    <row r="552" spans="1:16" x14ac:dyDescent="0.35">
      <c r="A552" s="14" t="s">
        <v>220</v>
      </c>
      <c r="B552" s="4">
        <v>19.62</v>
      </c>
      <c r="C552" s="4">
        <v>25.24</v>
      </c>
      <c r="D552" s="4">
        <v>6.21</v>
      </c>
      <c r="E552" s="4">
        <v>7.23</v>
      </c>
      <c r="F552" s="4">
        <v>1.33</v>
      </c>
      <c r="G552" s="4">
        <v>0.78</v>
      </c>
      <c r="H552" s="4">
        <f t="shared" si="58"/>
        <v>7.54</v>
      </c>
      <c r="I552" s="4">
        <f t="shared" si="57"/>
        <v>8.01</v>
      </c>
      <c r="J552" s="4">
        <v>1.36</v>
      </c>
      <c r="K552" s="4">
        <v>1.32</v>
      </c>
      <c r="L552" s="139" t="str">
        <f t="shared" si="54"/>
        <v xml:space="preserve"> </v>
      </c>
      <c r="M552" s="139">
        <v>1.36</v>
      </c>
      <c r="N552" s="139">
        <v>1.41</v>
      </c>
      <c r="O552" s="139">
        <f t="shared" si="56"/>
        <v>1.36</v>
      </c>
      <c r="P552" s="139">
        <f t="shared" si="55"/>
        <v>1.36</v>
      </c>
    </row>
    <row r="553" spans="1:16" x14ac:dyDescent="0.35">
      <c r="A553" s="14" t="s">
        <v>222</v>
      </c>
      <c r="B553" s="4">
        <v>22.36</v>
      </c>
      <c r="C553" s="4">
        <v>29.22</v>
      </c>
      <c r="D553" s="4">
        <v>12.24</v>
      </c>
      <c r="E553" s="4">
        <v>10.51</v>
      </c>
      <c r="F553" s="4">
        <v>1.54</v>
      </c>
      <c r="G553" s="4">
        <v>1.03</v>
      </c>
      <c r="H553" s="4">
        <f t="shared" si="58"/>
        <v>13.780000000000001</v>
      </c>
      <c r="I553" s="4">
        <f t="shared" si="57"/>
        <v>11.54</v>
      </c>
      <c r="J553" s="4">
        <v>1.37</v>
      </c>
      <c r="K553" s="4">
        <v>1.26</v>
      </c>
      <c r="L553" s="139" t="str">
        <f t="shared" si="54"/>
        <v xml:space="preserve"> </v>
      </c>
      <c r="M553" s="139">
        <v>1.37</v>
      </c>
      <c r="N553" s="139">
        <v>1.32</v>
      </c>
      <c r="O553" s="139">
        <f t="shared" si="56"/>
        <v>1.37</v>
      </c>
      <c r="P553" s="139">
        <f t="shared" si="55"/>
        <v>1.37</v>
      </c>
    </row>
    <row r="554" spans="1:16" x14ac:dyDescent="0.35">
      <c r="A554" s="14" t="s">
        <v>223</v>
      </c>
      <c r="B554" s="4">
        <v>26.03</v>
      </c>
      <c r="C554" s="4">
        <v>29.87</v>
      </c>
      <c r="D554" s="4">
        <v>17.37</v>
      </c>
      <c r="E554" s="4">
        <v>13.12</v>
      </c>
      <c r="F554" s="4">
        <v>2.84</v>
      </c>
      <c r="G554" s="4">
        <v>1.73</v>
      </c>
      <c r="H554" s="4">
        <f t="shared" si="58"/>
        <v>20.21</v>
      </c>
      <c r="I554" s="4">
        <f t="shared" si="57"/>
        <v>14.85</v>
      </c>
      <c r="J554" s="4">
        <v>1.34</v>
      </c>
      <c r="K554" s="4">
        <v>1.32</v>
      </c>
      <c r="L554" s="139" t="str">
        <f t="shared" si="54"/>
        <v xml:space="preserve"> </v>
      </c>
      <c r="M554" s="139">
        <v>1.34</v>
      </c>
      <c r="N554" s="139">
        <v>1.35</v>
      </c>
      <c r="O554" s="139">
        <f t="shared" si="56"/>
        <v>1.34</v>
      </c>
      <c r="P554" s="139">
        <f t="shared" si="55"/>
        <v>1.34</v>
      </c>
    </row>
    <row r="555" spans="1:16" x14ac:dyDescent="0.35">
      <c r="A555" s="14" t="s">
        <v>240</v>
      </c>
      <c r="B555" s="4">
        <v>20.49</v>
      </c>
      <c r="C555" s="4">
        <v>22.31</v>
      </c>
      <c r="D555" s="4">
        <v>15.42</v>
      </c>
      <c r="E555" s="4">
        <v>14.18</v>
      </c>
      <c r="F555" s="4">
        <v>2.72</v>
      </c>
      <c r="G555" s="4">
        <v>2.76</v>
      </c>
      <c r="H555" s="4">
        <f t="shared" si="58"/>
        <v>18.14</v>
      </c>
      <c r="I555" s="4">
        <f t="shared" si="57"/>
        <v>16.939999999999998</v>
      </c>
      <c r="J555" s="4">
        <v>1.37</v>
      </c>
      <c r="K555" s="4">
        <v>1.34</v>
      </c>
      <c r="L555" s="139" t="str">
        <f t="shared" si="54"/>
        <v xml:space="preserve"> </v>
      </c>
      <c r="M555" s="139">
        <v>1.37</v>
      </c>
      <c r="N555" s="139">
        <v>1.32</v>
      </c>
      <c r="O555" s="139">
        <f t="shared" si="56"/>
        <v>1.37</v>
      </c>
      <c r="P555" s="139">
        <f t="shared" si="55"/>
        <v>1.37</v>
      </c>
    </row>
    <row r="556" spans="1:16" x14ac:dyDescent="0.35">
      <c r="A556" s="14" t="s">
        <v>227</v>
      </c>
      <c r="B556" s="4">
        <v>16.14</v>
      </c>
      <c r="C556" s="4">
        <v>23.16</v>
      </c>
      <c r="D556" s="4">
        <v>12.25</v>
      </c>
      <c r="E556" s="4">
        <v>11.16</v>
      </c>
      <c r="F556" s="4">
        <v>3.17</v>
      </c>
      <c r="G556" s="4">
        <v>2.97</v>
      </c>
      <c r="H556" s="4">
        <f t="shared" si="58"/>
        <v>15.42</v>
      </c>
      <c r="I556" s="4">
        <f t="shared" si="57"/>
        <v>14.13</v>
      </c>
      <c r="J556" s="4">
        <v>1.4</v>
      </c>
      <c r="K556" s="4">
        <v>1.3</v>
      </c>
      <c r="L556" s="139" t="str">
        <f t="shared" si="54"/>
        <v xml:space="preserve"> </v>
      </c>
      <c r="M556" s="139">
        <v>1.4</v>
      </c>
      <c r="N556" s="139">
        <v>1.41</v>
      </c>
      <c r="O556" s="139">
        <f t="shared" si="56"/>
        <v>1.4</v>
      </c>
      <c r="P556" s="139">
        <f t="shared" si="55"/>
        <v>1.4</v>
      </c>
    </row>
    <row r="557" spans="1:16" x14ac:dyDescent="0.35">
      <c r="A557" s="14" t="s">
        <v>137</v>
      </c>
      <c r="B557" s="4">
        <v>14.39</v>
      </c>
      <c r="C557" s="4">
        <v>18.05</v>
      </c>
      <c r="D557" s="4">
        <v>14.04</v>
      </c>
      <c r="E557" s="4">
        <v>12.92</v>
      </c>
      <c r="F557" s="4">
        <v>6.29</v>
      </c>
      <c r="G557" s="4">
        <v>4.0999999999999996</v>
      </c>
      <c r="H557" s="4">
        <f t="shared" si="58"/>
        <v>20.329999999999998</v>
      </c>
      <c r="I557" s="4">
        <f t="shared" si="57"/>
        <v>17.02</v>
      </c>
      <c r="J557" s="4">
        <v>1.42</v>
      </c>
      <c r="K557" s="4">
        <v>1.37</v>
      </c>
      <c r="L557" s="139" t="str">
        <f t="shared" si="54"/>
        <v xml:space="preserve"> </v>
      </c>
      <c r="M557" s="139">
        <v>1.42</v>
      </c>
      <c r="N557" s="139">
        <v>1.49</v>
      </c>
      <c r="O557" s="139">
        <f t="shared" si="56"/>
        <v>1.42</v>
      </c>
      <c r="P557" s="139">
        <f t="shared" si="55"/>
        <v>1.42</v>
      </c>
    </row>
    <row r="558" spans="1:16" x14ac:dyDescent="0.35">
      <c r="A558" s="14" t="s">
        <v>207</v>
      </c>
      <c r="B558" s="4">
        <v>19.63</v>
      </c>
      <c r="C558" s="4">
        <v>27.67</v>
      </c>
      <c r="D558" s="4">
        <v>9.18</v>
      </c>
      <c r="E558" s="4">
        <v>7.38</v>
      </c>
      <c r="F558" s="4">
        <v>3.35</v>
      </c>
      <c r="G558" s="4">
        <v>2.4300000000000002</v>
      </c>
      <c r="H558" s="4">
        <f t="shared" si="58"/>
        <v>12.53</v>
      </c>
      <c r="I558" s="4">
        <f t="shared" si="57"/>
        <v>9.81</v>
      </c>
      <c r="J558" s="4">
        <v>1.37</v>
      </c>
      <c r="K558" s="4">
        <v>1.26</v>
      </c>
      <c r="L558" s="139" t="str">
        <f t="shared" si="54"/>
        <v xml:space="preserve"> </v>
      </c>
      <c r="M558" s="139">
        <v>1.37</v>
      </c>
      <c r="N558" s="139">
        <v>1.41</v>
      </c>
      <c r="O558" s="139">
        <f t="shared" si="56"/>
        <v>1.37</v>
      </c>
      <c r="P558" s="139">
        <f t="shared" si="55"/>
        <v>1.37</v>
      </c>
    </row>
    <row r="559" spans="1:16" x14ac:dyDescent="0.35">
      <c r="A559" s="14" t="s">
        <v>232</v>
      </c>
      <c r="B559" s="4">
        <v>16.170000000000002</v>
      </c>
      <c r="C559" s="4">
        <v>18.71</v>
      </c>
      <c r="D559" s="4">
        <v>13.8</v>
      </c>
      <c r="E559" s="4">
        <v>12.6</v>
      </c>
      <c r="F559" s="4">
        <v>3.9</v>
      </c>
      <c r="G559" s="4">
        <v>2.85</v>
      </c>
      <c r="H559" s="4">
        <f t="shared" si="58"/>
        <v>17.7</v>
      </c>
      <c r="I559" s="4">
        <f t="shared" si="57"/>
        <v>15.45</v>
      </c>
      <c r="J559" s="4">
        <v>1.4</v>
      </c>
      <c r="K559" s="4">
        <v>1.42</v>
      </c>
      <c r="L559" s="139" t="str">
        <f t="shared" si="54"/>
        <v xml:space="preserve"> </v>
      </c>
      <c r="M559" s="139">
        <v>1.4</v>
      </c>
      <c r="N559" s="139">
        <v>1.41</v>
      </c>
      <c r="O559" s="139">
        <f t="shared" si="56"/>
        <v>1.4</v>
      </c>
      <c r="P559" s="139">
        <f t="shared" si="55"/>
        <v>1.4</v>
      </c>
    </row>
    <row r="560" spans="1:16" x14ac:dyDescent="0.35">
      <c r="A560" s="14" t="s">
        <v>651</v>
      </c>
      <c r="B560" s="4">
        <v>13.99</v>
      </c>
      <c r="C560" s="4">
        <v>19.61</v>
      </c>
      <c r="D560" s="4">
        <v>9.44</v>
      </c>
      <c r="E560" s="4">
        <v>8.2100000000000009</v>
      </c>
      <c r="F560" s="4">
        <v>6.4</v>
      </c>
      <c r="G560" s="4">
        <v>5.04</v>
      </c>
      <c r="H560" s="4">
        <f t="shared" si="58"/>
        <v>15.84</v>
      </c>
      <c r="I560" s="4">
        <f t="shared" si="57"/>
        <v>13.25</v>
      </c>
      <c r="J560" s="4">
        <v>1.44</v>
      </c>
      <c r="K560" s="4">
        <v>1.34</v>
      </c>
      <c r="L560" s="139" t="str">
        <f t="shared" si="54"/>
        <v xml:space="preserve"> </v>
      </c>
      <c r="M560" s="139">
        <v>1.44</v>
      </c>
      <c r="N560" s="139">
        <v>1.41</v>
      </c>
      <c r="O560" s="139">
        <f t="shared" si="56"/>
        <v>1.44</v>
      </c>
      <c r="P560" s="139">
        <f t="shared" si="55"/>
        <v>1.44</v>
      </c>
    </row>
    <row r="561" spans="1:16" x14ac:dyDescent="0.35">
      <c r="A561" s="14" t="s">
        <v>211</v>
      </c>
      <c r="B561" s="4">
        <v>19.16</v>
      </c>
      <c r="C561" s="4">
        <v>23.35</v>
      </c>
      <c r="D561" s="4">
        <v>9.1999999999999993</v>
      </c>
      <c r="E561" s="4">
        <v>7.14</v>
      </c>
      <c r="F561" s="4">
        <v>4.7</v>
      </c>
      <c r="G561" s="4">
        <v>3.4</v>
      </c>
      <c r="H561" s="4">
        <f t="shared" si="58"/>
        <v>13.899999999999999</v>
      </c>
      <c r="I561" s="4">
        <f t="shared" si="57"/>
        <v>10.54</v>
      </c>
      <c r="J561" s="4">
        <v>1.36</v>
      </c>
      <c r="K561" s="4">
        <v>1.29</v>
      </c>
      <c r="L561" s="139" t="str">
        <f t="shared" si="54"/>
        <v xml:space="preserve"> </v>
      </c>
      <c r="M561" s="139">
        <v>1.36</v>
      </c>
      <c r="N561" s="139">
        <v>1.41</v>
      </c>
      <c r="O561" s="139">
        <f t="shared" si="56"/>
        <v>1.36</v>
      </c>
      <c r="P561" s="139">
        <f t="shared" si="55"/>
        <v>1.36</v>
      </c>
    </row>
    <row r="562" spans="1:16" x14ac:dyDescent="0.35">
      <c r="A562" s="14" t="s">
        <v>208</v>
      </c>
      <c r="B562" s="4">
        <v>18.66</v>
      </c>
      <c r="C562" s="4">
        <v>23.89</v>
      </c>
      <c r="D562" s="4">
        <v>8.66</v>
      </c>
      <c r="E562" s="4">
        <v>8.18</v>
      </c>
      <c r="F562" s="4">
        <v>6.46</v>
      </c>
      <c r="G562" s="4">
        <v>5.1100000000000003</v>
      </c>
      <c r="H562" s="4">
        <f t="shared" si="58"/>
        <v>15.120000000000001</v>
      </c>
      <c r="I562" s="4">
        <f t="shared" si="57"/>
        <v>13.29</v>
      </c>
      <c r="J562" s="4">
        <v>1.38</v>
      </c>
      <c r="K562" s="4">
        <v>1.32</v>
      </c>
      <c r="L562" s="139" t="str">
        <f t="shared" si="54"/>
        <v xml:space="preserve"> </v>
      </c>
      <c r="M562" s="139">
        <v>1.38</v>
      </c>
      <c r="N562" s="139">
        <v>1.41</v>
      </c>
      <c r="O562" s="139">
        <f t="shared" si="56"/>
        <v>1.38</v>
      </c>
      <c r="P562" s="139">
        <f t="shared" si="55"/>
        <v>1.38</v>
      </c>
    </row>
    <row r="563" spans="1:16" x14ac:dyDescent="0.35">
      <c r="A563" s="14" t="s">
        <v>226</v>
      </c>
      <c r="B563" s="4">
        <v>15.14</v>
      </c>
      <c r="C563" s="4">
        <v>19.03</v>
      </c>
      <c r="D563" s="4">
        <v>11.9</v>
      </c>
      <c r="E563" s="4">
        <v>10.18</v>
      </c>
      <c r="F563" s="4">
        <v>2.4</v>
      </c>
      <c r="G563" s="4">
        <v>1.7</v>
      </c>
      <c r="H563" s="4">
        <f t="shared" si="58"/>
        <v>14.3</v>
      </c>
      <c r="I563" s="4">
        <f t="shared" si="57"/>
        <v>11.879999999999999</v>
      </c>
      <c r="J563" s="4">
        <v>1.4</v>
      </c>
      <c r="K563" s="4">
        <v>1.36</v>
      </c>
      <c r="L563" s="139" t="str">
        <f t="shared" si="54"/>
        <v xml:space="preserve"> </v>
      </c>
      <c r="M563" s="139">
        <v>1.4</v>
      </c>
      <c r="N563" s="139">
        <v>1.41</v>
      </c>
      <c r="O563" s="139">
        <f t="shared" si="56"/>
        <v>1.4</v>
      </c>
      <c r="P563" s="139">
        <f t="shared" si="55"/>
        <v>1.4</v>
      </c>
    </row>
    <row r="564" spans="1:16" x14ac:dyDescent="0.35">
      <c r="A564" s="14" t="s">
        <v>239</v>
      </c>
      <c r="B564" s="4">
        <v>11.41</v>
      </c>
      <c r="C564" s="4">
        <v>21.04</v>
      </c>
      <c r="D564" s="4">
        <v>20.99</v>
      </c>
      <c r="E564" s="4">
        <v>21.55</v>
      </c>
      <c r="F564" s="4">
        <v>25.08</v>
      </c>
      <c r="G564" s="4">
        <v>27.05</v>
      </c>
      <c r="H564" s="4">
        <f t="shared" si="58"/>
        <v>46.069999999999993</v>
      </c>
      <c r="I564" s="4">
        <f t="shared" si="57"/>
        <v>48.6</v>
      </c>
      <c r="J564" s="4">
        <v>1.51</v>
      </c>
      <c r="K564" s="4">
        <v>1.49</v>
      </c>
      <c r="L564" s="139" t="str">
        <f t="shared" si="54"/>
        <v xml:space="preserve"> </v>
      </c>
      <c r="M564" s="139">
        <v>1.51</v>
      </c>
      <c r="N564" s="139">
        <v>1.52</v>
      </c>
      <c r="O564" s="139">
        <f t="shared" si="56"/>
        <v>1.51</v>
      </c>
      <c r="P564" s="139">
        <f t="shared" si="55"/>
        <v>1.51</v>
      </c>
    </row>
    <row r="565" spans="1:16" x14ac:dyDescent="0.35">
      <c r="A565" s="14" t="s">
        <v>241</v>
      </c>
      <c r="B565" s="4">
        <v>15.63</v>
      </c>
      <c r="C565" s="4">
        <v>21.74</v>
      </c>
      <c r="D565" s="4">
        <v>19.38</v>
      </c>
      <c r="E565" s="4">
        <v>15.41</v>
      </c>
      <c r="F565" s="4">
        <v>20.85</v>
      </c>
      <c r="G565" s="4">
        <v>17.98</v>
      </c>
      <c r="H565" s="4">
        <f t="shared" si="58"/>
        <v>40.230000000000004</v>
      </c>
      <c r="I565" s="4">
        <f t="shared" si="57"/>
        <v>33.39</v>
      </c>
      <c r="J565" s="4">
        <v>0</v>
      </c>
      <c r="K565" s="4">
        <v>0</v>
      </c>
      <c r="L565" s="139" t="str">
        <f t="shared" si="54"/>
        <v xml:space="preserve"> </v>
      </c>
      <c r="M565" s="139" t="s">
        <v>867</v>
      </c>
      <c r="N565" s="139">
        <v>1.52</v>
      </c>
      <c r="O565" s="139">
        <f t="shared" si="56"/>
        <v>1.52</v>
      </c>
      <c r="P565" s="139" t="str">
        <f t="shared" si="55"/>
        <v xml:space="preserve"> </v>
      </c>
    </row>
    <row r="566" spans="1:16" x14ac:dyDescent="0.35">
      <c r="A566" s="14" t="s">
        <v>645</v>
      </c>
      <c r="B566" s="4">
        <v>4.51</v>
      </c>
      <c r="C566" s="4">
        <v>3.37</v>
      </c>
      <c r="D566" s="4">
        <v>31.37</v>
      </c>
      <c r="E566" s="4">
        <v>23.11</v>
      </c>
      <c r="F566" s="4">
        <v>46.89</v>
      </c>
      <c r="G566" s="4">
        <v>39.51</v>
      </c>
      <c r="H566" s="4">
        <f t="shared" si="58"/>
        <v>78.260000000000005</v>
      </c>
      <c r="I566" s="4">
        <f t="shared" si="57"/>
        <v>62.62</v>
      </c>
      <c r="J566" s="4">
        <v>0</v>
      </c>
      <c r="K566" s="4">
        <v>0</v>
      </c>
      <c r="L566" s="139" t="str">
        <f t="shared" si="54"/>
        <v xml:space="preserve"> </v>
      </c>
      <c r="M566" s="139" t="s">
        <v>867</v>
      </c>
      <c r="N566" s="139">
        <v>1.61</v>
      </c>
      <c r="O566" s="139">
        <f t="shared" si="56"/>
        <v>1.61</v>
      </c>
      <c r="P566" s="139" t="str">
        <f t="shared" si="55"/>
        <v xml:space="preserve"> </v>
      </c>
    </row>
    <row r="567" spans="1:16" x14ac:dyDescent="0.35">
      <c r="A567" s="14" t="s">
        <v>646</v>
      </c>
      <c r="B567" s="4">
        <v>6.33</v>
      </c>
      <c r="C567" s="4">
        <v>5.8</v>
      </c>
      <c r="D567" s="4">
        <v>23.51</v>
      </c>
      <c r="E567" s="4">
        <v>24.22</v>
      </c>
      <c r="F567" s="4">
        <v>18.03</v>
      </c>
      <c r="G567" s="4">
        <v>18.25</v>
      </c>
      <c r="H567" s="4">
        <f t="shared" si="58"/>
        <v>41.540000000000006</v>
      </c>
      <c r="I567" s="4">
        <f t="shared" si="57"/>
        <v>42.47</v>
      </c>
      <c r="J567" s="4">
        <v>1.56</v>
      </c>
      <c r="K567" s="4">
        <v>1.56</v>
      </c>
      <c r="L567" s="139" t="str">
        <f t="shared" si="54"/>
        <v xml:space="preserve"> </v>
      </c>
      <c r="M567" s="139">
        <v>1.56</v>
      </c>
      <c r="N567" s="139">
        <v>1.57</v>
      </c>
      <c r="O567" s="139">
        <f t="shared" si="56"/>
        <v>1.56</v>
      </c>
      <c r="P567" s="139">
        <f t="shared" si="55"/>
        <v>1.56</v>
      </c>
    </row>
    <row r="568" spans="1:16" x14ac:dyDescent="0.35">
      <c r="A568" s="14" t="s">
        <v>647</v>
      </c>
      <c r="B568" s="4">
        <v>8.66</v>
      </c>
      <c r="C568" s="4">
        <v>9.84</v>
      </c>
      <c r="D568" s="4">
        <v>30.3</v>
      </c>
      <c r="E568" s="4">
        <v>27.52</v>
      </c>
      <c r="F568" s="4">
        <v>18.12</v>
      </c>
      <c r="G568" s="4">
        <v>19.34</v>
      </c>
      <c r="H568" s="4">
        <f t="shared" si="58"/>
        <v>48.42</v>
      </c>
      <c r="I568" s="4">
        <f t="shared" si="57"/>
        <v>46.86</v>
      </c>
      <c r="J568" s="4">
        <v>0</v>
      </c>
      <c r="K568" s="4">
        <v>0</v>
      </c>
      <c r="L568" s="139" t="str">
        <f t="shared" si="54"/>
        <v xml:space="preserve"> </v>
      </c>
      <c r="M568" s="139" t="s">
        <v>867</v>
      </c>
      <c r="N568" s="139">
        <v>1.57</v>
      </c>
      <c r="O568" s="139">
        <f t="shared" si="56"/>
        <v>1.57</v>
      </c>
      <c r="P568" s="139" t="str">
        <f t="shared" si="55"/>
        <v xml:space="preserve"> </v>
      </c>
    </row>
    <row r="569" spans="1:16" x14ac:dyDescent="0.35">
      <c r="A569" s="14" t="s">
        <v>649</v>
      </c>
      <c r="B569" s="4">
        <v>8.48</v>
      </c>
      <c r="C569" s="4">
        <v>8.9600000000000009</v>
      </c>
      <c r="D569" s="4">
        <v>34.61</v>
      </c>
      <c r="E569" s="4">
        <v>39.25</v>
      </c>
      <c r="F569" s="4">
        <v>23.3</v>
      </c>
      <c r="G569" s="4">
        <v>18.71</v>
      </c>
      <c r="H569" s="4">
        <f t="shared" si="58"/>
        <v>57.91</v>
      </c>
      <c r="I569" s="4">
        <f t="shared" si="57"/>
        <v>57.96</v>
      </c>
      <c r="J569" s="4">
        <v>1.58</v>
      </c>
      <c r="K569" s="4">
        <v>1.55</v>
      </c>
      <c r="L569" s="139" t="str">
        <f t="shared" si="54"/>
        <v xml:space="preserve"> </v>
      </c>
      <c r="M569" s="139">
        <v>1.58</v>
      </c>
      <c r="N569" s="139">
        <v>1.57</v>
      </c>
      <c r="O569" s="139">
        <f t="shared" si="56"/>
        <v>1.58</v>
      </c>
      <c r="P569" s="139">
        <f t="shared" si="55"/>
        <v>1.58</v>
      </c>
    </row>
    <row r="570" spans="1:16" x14ac:dyDescent="0.35">
      <c r="A570" s="14" t="s">
        <v>132</v>
      </c>
      <c r="B570" s="4">
        <v>7.74</v>
      </c>
      <c r="C570" s="4">
        <v>14.6</v>
      </c>
      <c r="D570" s="4">
        <v>15.22</v>
      </c>
      <c r="E570" s="4">
        <v>23.36</v>
      </c>
      <c r="F570" s="4">
        <v>52.61</v>
      </c>
      <c r="G570" s="4">
        <v>42.61</v>
      </c>
      <c r="H570" s="4">
        <f t="shared" si="58"/>
        <v>67.83</v>
      </c>
      <c r="I570" s="4">
        <f t="shared" si="57"/>
        <v>65.97</v>
      </c>
      <c r="J570" s="4">
        <v>0</v>
      </c>
      <c r="K570" s="4">
        <v>0</v>
      </c>
      <c r="L570" s="139" t="str">
        <f t="shared" si="54"/>
        <v xml:space="preserve"> </v>
      </c>
      <c r="M570" s="139" t="s">
        <v>867</v>
      </c>
      <c r="N570" s="139">
        <v>1.61</v>
      </c>
      <c r="O570" s="139">
        <f t="shared" si="56"/>
        <v>1.61</v>
      </c>
      <c r="P570" s="139" t="str">
        <f t="shared" si="55"/>
        <v xml:space="preserve"> </v>
      </c>
    </row>
    <row r="571" spans="1:16" x14ac:dyDescent="0.35">
      <c r="A571" s="14" t="s">
        <v>235</v>
      </c>
      <c r="B571" s="4">
        <v>21.01</v>
      </c>
      <c r="C571" s="4">
        <v>26.22</v>
      </c>
      <c r="D571" s="4">
        <v>28.73</v>
      </c>
      <c r="E571" s="4">
        <v>31.79</v>
      </c>
      <c r="F571" s="4">
        <v>28.85</v>
      </c>
      <c r="G571" s="4">
        <v>20.46</v>
      </c>
      <c r="H571" s="4">
        <f t="shared" si="58"/>
        <v>57.58</v>
      </c>
      <c r="I571" s="4">
        <f t="shared" si="57"/>
        <v>52.25</v>
      </c>
      <c r="J571" s="4">
        <v>0</v>
      </c>
      <c r="K571" s="4">
        <v>0</v>
      </c>
      <c r="L571" s="139" t="str">
        <f t="shared" si="54"/>
        <v xml:space="preserve"> </v>
      </c>
      <c r="M571" s="139" t="s">
        <v>867</v>
      </c>
      <c r="N571" s="139">
        <v>1.41</v>
      </c>
      <c r="O571" s="139">
        <f t="shared" si="56"/>
        <v>1.41</v>
      </c>
      <c r="P571" s="139" t="str">
        <f t="shared" si="55"/>
        <v xml:space="preserve"> </v>
      </c>
    </row>
    <row r="572" spans="1:16" x14ac:dyDescent="0.35">
      <c r="A572" s="14" t="s">
        <v>236</v>
      </c>
      <c r="B572" s="4">
        <v>8.24</v>
      </c>
      <c r="C572" s="4">
        <v>8.01</v>
      </c>
      <c r="D572" s="4">
        <v>13.44</v>
      </c>
      <c r="E572" s="4">
        <v>12.42</v>
      </c>
      <c r="F572" s="4">
        <v>74.59</v>
      </c>
      <c r="G572" s="4">
        <v>76.319999999999993</v>
      </c>
      <c r="H572" s="4">
        <f t="shared" si="58"/>
        <v>88.03</v>
      </c>
      <c r="I572" s="4">
        <f t="shared" si="57"/>
        <v>88.74</v>
      </c>
      <c r="J572" s="4">
        <v>1.63</v>
      </c>
      <c r="K572" s="4">
        <v>1.64</v>
      </c>
      <c r="L572" s="139" t="str">
        <f t="shared" si="54"/>
        <v xml:space="preserve"> </v>
      </c>
      <c r="M572" s="139">
        <v>1.63</v>
      </c>
      <c r="N572" s="139">
        <v>1.61</v>
      </c>
      <c r="O572" s="139">
        <f t="shared" si="56"/>
        <v>1.63</v>
      </c>
      <c r="P572" s="139">
        <f t="shared" si="55"/>
        <v>1.63</v>
      </c>
    </row>
    <row r="573" spans="1:16" x14ac:dyDescent="0.35">
      <c r="A573" s="14" t="s">
        <v>225</v>
      </c>
      <c r="B573" s="4">
        <v>8.5399999999999991</v>
      </c>
      <c r="C573" s="4">
        <v>8.5399999999999991</v>
      </c>
      <c r="D573" s="4">
        <v>14.77</v>
      </c>
      <c r="E573" s="4">
        <v>14.77</v>
      </c>
      <c r="F573" s="4">
        <v>71.03</v>
      </c>
      <c r="G573" s="4">
        <v>71.03</v>
      </c>
      <c r="H573" s="4">
        <f t="shared" si="58"/>
        <v>85.8</v>
      </c>
      <c r="I573" s="4">
        <f t="shared" si="57"/>
        <v>85.8</v>
      </c>
      <c r="J573" s="4">
        <v>1.61</v>
      </c>
      <c r="K573" s="4">
        <v>1.63</v>
      </c>
      <c r="L573" s="139" t="str">
        <f t="shared" si="54"/>
        <v xml:space="preserve"> </v>
      </c>
      <c r="M573" s="139">
        <v>1.61</v>
      </c>
      <c r="N573" s="139">
        <v>1.61</v>
      </c>
      <c r="O573" s="139">
        <f t="shared" si="56"/>
        <v>1.61</v>
      </c>
      <c r="P573" s="139">
        <f t="shared" si="55"/>
        <v>1.61</v>
      </c>
    </row>
    <row r="574" spans="1:16" x14ac:dyDescent="0.35">
      <c r="A574" s="14" t="s">
        <v>238</v>
      </c>
      <c r="B574" s="4">
        <v>18.420000000000002</v>
      </c>
      <c r="C574" s="4">
        <v>16.79</v>
      </c>
      <c r="D574" s="4">
        <v>25.2</v>
      </c>
      <c r="E574" s="4">
        <v>22.25</v>
      </c>
      <c r="F574" s="4">
        <v>27.1</v>
      </c>
      <c r="G574" s="4">
        <v>36.07</v>
      </c>
      <c r="H574" s="4">
        <f t="shared" si="58"/>
        <v>52.3</v>
      </c>
      <c r="I574" s="4">
        <f t="shared" si="57"/>
        <v>58.32</v>
      </c>
      <c r="J574" s="4">
        <v>0</v>
      </c>
      <c r="K574" s="4">
        <v>0</v>
      </c>
      <c r="L574" s="139" t="str">
        <f t="shared" si="54"/>
        <v xml:space="preserve"> </v>
      </c>
      <c r="M574" s="139" t="s">
        <v>867</v>
      </c>
      <c r="N574" s="139">
        <v>1.52</v>
      </c>
      <c r="O574" s="139">
        <f t="shared" si="56"/>
        <v>1.52</v>
      </c>
      <c r="P574" s="139" t="str">
        <f t="shared" si="55"/>
        <v xml:space="preserve"> </v>
      </c>
    </row>
    <row r="575" spans="1:16" x14ac:dyDescent="0.35">
      <c r="A575" s="14" t="s">
        <v>247</v>
      </c>
      <c r="B575" s="4">
        <v>48.95</v>
      </c>
      <c r="C575" s="4">
        <v>49.71</v>
      </c>
      <c r="D575" s="4">
        <v>8.9</v>
      </c>
      <c r="E575" s="4">
        <v>6.95</v>
      </c>
      <c r="F575" s="4">
        <v>18.100000000000001</v>
      </c>
      <c r="G575" s="4">
        <v>12.09</v>
      </c>
      <c r="H575" s="4">
        <f t="shared" si="58"/>
        <v>27</v>
      </c>
      <c r="I575" s="4">
        <f t="shared" si="57"/>
        <v>19.04</v>
      </c>
      <c r="J575" s="4">
        <v>0</v>
      </c>
      <c r="K575" s="4">
        <v>0</v>
      </c>
      <c r="L575" s="139" t="str">
        <f t="shared" si="54"/>
        <v xml:space="preserve"> </v>
      </c>
      <c r="M575" s="139" t="s">
        <v>867</v>
      </c>
      <c r="N575" s="139">
        <v>1.25</v>
      </c>
      <c r="O575" s="139">
        <f t="shared" si="56"/>
        <v>1.25</v>
      </c>
      <c r="P575" s="139" t="str">
        <f t="shared" si="55"/>
        <v xml:space="preserve"> </v>
      </c>
    </row>
    <row r="576" spans="1:16" x14ac:dyDescent="0.35">
      <c r="A576" s="14" t="s">
        <v>252</v>
      </c>
      <c r="B576" s="4">
        <v>18.7</v>
      </c>
      <c r="C576" s="4">
        <v>31.73</v>
      </c>
      <c r="D576" s="4">
        <v>19.600000000000001</v>
      </c>
      <c r="E576" s="4">
        <v>14.63</v>
      </c>
      <c r="F576" s="4">
        <v>51.6</v>
      </c>
      <c r="G576" s="4">
        <v>34.450000000000003</v>
      </c>
      <c r="H576" s="4">
        <f t="shared" si="58"/>
        <v>71.2</v>
      </c>
      <c r="I576" s="4">
        <f t="shared" si="57"/>
        <v>49.080000000000005</v>
      </c>
      <c r="J576" s="4">
        <v>1.47</v>
      </c>
      <c r="K576" s="4">
        <v>1.48</v>
      </c>
      <c r="L576" s="139" t="str">
        <f t="shared" si="54"/>
        <v xml:space="preserve"> </v>
      </c>
      <c r="M576" s="139">
        <v>1.47</v>
      </c>
      <c r="N576" s="139">
        <v>1.52</v>
      </c>
      <c r="O576" s="139">
        <f t="shared" si="56"/>
        <v>1.47</v>
      </c>
      <c r="P576" s="139">
        <f t="shared" si="55"/>
        <v>1.47</v>
      </c>
    </row>
    <row r="577" spans="1:16" x14ac:dyDescent="0.35">
      <c r="A577" s="14" t="s">
        <v>228</v>
      </c>
      <c r="B577" s="4">
        <v>24.29</v>
      </c>
      <c r="C577" s="4">
        <v>26.13</v>
      </c>
      <c r="D577" s="4">
        <v>10.9</v>
      </c>
      <c r="E577" s="4">
        <v>8.15</v>
      </c>
      <c r="F577" s="4">
        <v>6.25</v>
      </c>
      <c r="G577" s="4">
        <v>6.88</v>
      </c>
      <c r="H577" s="4">
        <f t="shared" si="58"/>
        <v>17.149999999999999</v>
      </c>
      <c r="I577" s="4">
        <f t="shared" si="57"/>
        <v>15.030000000000001</v>
      </c>
      <c r="J577" s="4">
        <v>1.35</v>
      </c>
      <c r="K577" s="4">
        <v>1.32</v>
      </c>
      <c r="L577" s="139" t="str">
        <f t="shared" si="54"/>
        <v xml:space="preserve"> </v>
      </c>
      <c r="M577" s="139">
        <v>1.35</v>
      </c>
      <c r="N577" s="139">
        <v>1.32</v>
      </c>
      <c r="O577" s="139">
        <f t="shared" si="56"/>
        <v>1.35</v>
      </c>
      <c r="P577" s="139">
        <f t="shared" si="55"/>
        <v>1.35</v>
      </c>
    </row>
    <row r="578" spans="1:16" x14ac:dyDescent="0.35">
      <c r="A578" s="14" t="s">
        <v>216</v>
      </c>
      <c r="B578" s="4">
        <v>18.82</v>
      </c>
      <c r="C578" s="4">
        <v>19.190000000000001</v>
      </c>
      <c r="D578" s="4">
        <v>26.9</v>
      </c>
      <c r="E578" s="4">
        <v>30.61</v>
      </c>
      <c r="F578" s="4">
        <v>22</v>
      </c>
      <c r="G578" s="4">
        <v>15.39</v>
      </c>
      <c r="H578" s="4">
        <f t="shared" si="58"/>
        <v>48.9</v>
      </c>
      <c r="I578" s="4">
        <f t="shared" si="57"/>
        <v>46</v>
      </c>
      <c r="J578" s="4">
        <v>1.43</v>
      </c>
      <c r="K578" s="4">
        <v>1.42</v>
      </c>
      <c r="L578" s="139" t="str">
        <f t="shared" si="54"/>
        <v xml:space="preserve"> </v>
      </c>
      <c r="M578" s="139">
        <v>1.43</v>
      </c>
      <c r="N578" s="139">
        <v>1.52</v>
      </c>
      <c r="O578" s="139">
        <f t="shared" si="56"/>
        <v>1.43</v>
      </c>
      <c r="P578" s="139">
        <f t="shared" si="55"/>
        <v>1.43</v>
      </c>
    </row>
    <row r="579" spans="1:16" x14ac:dyDescent="0.35">
      <c r="A579" s="14" t="s">
        <v>242</v>
      </c>
      <c r="B579" s="4">
        <v>27.08</v>
      </c>
      <c r="C579" s="4">
        <v>24.52</v>
      </c>
      <c r="D579" s="4">
        <v>7.77</v>
      </c>
      <c r="E579" s="4">
        <v>9.67</v>
      </c>
      <c r="F579" s="4">
        <v>1.55</v>
      </c>
      <c r="G579" s="4">
        <v>1.43</v>
      </c>
      <c r="H579" s="4">
        <f t="shared" si="58"/>
        <v>9.32</v>
      </c>
      <c r="I579" s="4">
        <f t="shared" si="57"/>
        <v>11.1</v>
      </c>
      <c r="J579" s="4">
        <v>1.3</v>
      </c>
      <c r="K579" s="4">
        <v>1.32</v>
      </c>
      <c r="L579" s="139" t="str">
        <f t="shared" si="54"/>
        <v xml:space="preserve"> </v>
      </c>
      <c r="M579" s="139">
        <v>1.3</v>
      </c>
      <c r="N579" s="139">
        <v>1.32</v>
      </c>
      <c r="O579" s="139">
        <f t="shared" si="56"/>
        <v>1.3</v>
      </c>
      <c r="P579" s="139">
        <f t="shared" si="55"/>
        <v>1.3</v>
      </c>
    </row>
    <row r="580" spans="1:16" x14ac:dyDescent="0.35">
      <c r="A580" s="14" t="s">
        <v>648</v>
      </c>
      <c r="B580" s="4">
        <v>17.25</v>
      </c>
      <c r="C580" s="4">
        <v>19.98</v>
      </c>
      <c r="D580" s="4">
        <v>16.75</v>
      </c>
      <c r="E580" s="4">
        <v>14.42</v>
      </c>
      <c r="F580" s="4">
        <v>1.2</v>
      </c>
      <c r="G580" s="4">
        <v>1.1000000000000001</v>
      </c>
      <c r="H580" s="4">
        <f t="shared" si="58"/>
        <v>17.95</v>
      </c>
      <c r="I580" s="4">
        <f t="shared" si="57"/>
        <v>15.52</v>
      </c>
      <c r="J580" s="4">
        <v>0</v>
      </c>
      <c r="K580" s="4">
        <v>0</v>
      </c>
      <c r="L580" s="139" t="str">
        <f t="shared" si="54"/>
        <v xml:space="preserve"> </v>
      </c>
      <c r="M580" s="139" t="s">
        <v>867</v>
      </c>
      <c r="N580" s="139">
        <v>1.41</v>
      </c>
      <c r="O580" s="139">
        <f t="shared" si="56"/>
        <v>1.41</v>
      </c>
      <c r="P580" s="139" t="str">
        <f t="shared" si="55"/>
        <v xml:space="preserve"> </v>
      </c>
    </row>
    <row r="581" spans="1:16" x14ac:dyDescent="0.35">
      <c r="A581" s="14" t="s">
        <v>237</v>
      </c>
      <c r="B581" s="4">
        <v>14.97</v>
      </c>
      <c r="C581" s="4">
        <v>22.1</v>
      </c>
      <c r="D581" s="4">
        <v>18.32</v>
      </c>
      <c r="E581" s="4">
        <v>13.99</v>
      </c>
      <c r="F581" s="4">
        <v>32.19</v>
      </c>
      <c r="G581" s="4">
        <v>25.69</v>
      </c>
      <c r="H581" s="4">
        <f t="shared" si="58"/>
        <v>50.51</v>
      </c>
      <c r="I581" s="4">
        <f t="shared" si="57"/>
        <v>39.68</v>
      </c>
      <c r="J581" s="4">
        <v>1.46</v>
      </c>
      <c r="K581" s="4">
        <v>1.48</v>
      </c>
      <c r="L581" s="139" t="str">
        <f t="shared" si="54"/>
        <v xml:space="preserve"> </v>
      </c>
      <c r="M581" s="139">
        <v>1.46</v>
      </c>
      <c r="N581" s="139">
        <v>1.52</v>
      </c>
      <c r="O581" s="139">
        <f t="shared" si="56"/>
        <v>1.46</v>
      </c>
      <c r="P581" s="139">
        <f t="shared" si="55"/>
        <v>1.46</v>
      </c>
    </row>
    <row r="582" spans="1:16" x14ac:dyDescent="0.35">
      <c r="A582" s="14" t="s">
        <v>251</v>
      </c>
      <c r="B582" s="4">
        <v>38.950000000000003</v>
      </c>
      <c r="C582" s="4">
        <v>43.72</v>
      </c>
      <c r="D582" s="4">
        <v>5.8</v>
      </c>
      <c r="E582" s="4">
        <v>5.0999999999999996</v>
      </c>
      <c r="F582" s="4">
        <v>1.3</v>
      </c>
      <c r="G582" s="4">
        <v>1.35</v>
      </c>
      <c r="H582" s="4">
        <f t="shared" si="58"/>
        <v>7.1</v>
      </c>
      <c r="I582" s="4">
        <f t="shared" si="57"/>
        <v>6.4499999999999993</v>
      </c>
      <c r="J582" s="4">
        <v>0</v>
      </c>
      <c r="K582" s="4">
        <v>0</v>
      </c>
      <c r="L582" s="139" t="str">
        <f t="shared" si="54"/>
        <v xml:space="preserve"> </v>
      </c>
      <c r="M582" s="139" t="s">
        <v>867</v>
      </c>
      <c r="N582" s="139">
        <v>1.32</v>
      </c>
      <c r="O582" s="139">
        <f t="shared" si="56"/>
        <v>1.32</v>
      </c>
      <c r="P582" s="139" t="str">
        <f t="shared" si="55"/>
        <v xml:space="preserve"> </v>
      </c>
    </row>
    <row r="583" spans="1:16" x14ac:dyDescent="0.35">
      <c r="A583" s="14" t="s">
        <v>221</v>
      </c>
      <c r="B583" s="4">
        <v>24.61</v>
      </c>
      <c r="C583" s="4">
        <v>27.66</v>
      </c>
      <c r="D583" s="4">
        <v>17.989999999999998</v>
      </c>
      <c r="E583" s="4">
        <v>19.68</v>
      </c>
      <c r="F583" s="4">
        <v>45.01</v>
      </c>
      <c r="G583" s="4">
        <v>40.35</v>
      </c>
      <c r="H583" s="4">
        <f t="shared" si="58"/>
        <v>63</v>
      </c>
      <c r="I583" s="4">
        <f t="shared" si="57"/>
        <v>60.03</v>
      </c>
      <c r="J583" s="4">
        <v>1.42</v>
      </c>
      <c r="K583" s="4">
        <v>1.39</v>
      </c>
      <c r="L583" s="139" t="str">
        <f t="shared" ref="L583:L646" si="59">IF(AND($B583&lt;L$3,$B583&gt;L$2,$H583&lt;L$5,$H583&gt;L$4),$J583," ")</f>
        <v xml:space="preserve"> </v>
      </c>
      <c r="M583" s="139">
        <v>1.42</v>
      </c>
      <c r="N583" s="139">
        <v>1.42</v>
      </c>
      <c r="O583" s="139">
        <f t="shared" si="56"/>
        <v>1.42</v>
      </c>
      <c r="P583" s="139">
        <f t="shared" ref="P583:P646" si="60">IF(M583&gt;0,M583," ")</f>
        <v>1.42</v>
      </c>
    </row>
    <row r="584" spans="1:16" x14ac:dyDescent="0.35">
      <c r="A584" s="14" t="s">
        <v>233</v>
      </c>
      <c r="B584" s="4">
        <v>14.71</v>
      </c>
      <c r="C584" s="4">
        <v>14.35</v>
      </c>
      <c r="D584" s="4">
        <v>12.25</v>
      </c>
      <c r="E584" s="4">
        <v>12.03</v>
      </c>
      <c r="F584" s="4">
        <v>65.86</v>
      </c>
      <c r="G584" s="4">
        <v>67.930000000000007</v>
      </c>
      <c r="H584" s="4">
        <f t="shared" si="58"/>
        <v>78.11</v>
      </c>
      <c r="I584" s="4">
        <f t="shared" si="57"/>
        <v>79.960000000000008</v>
      </c>
      <c r="J584" s="4">
        <v>1.52</v>
      </c>
      <c r="K584" s="4">
        <v>1.54</v>
      </c>
      <c r="L584" s="139" t="str">
        <f t="shared" si="59"/>
        <v xml:space="preserve"> </v>
      </c>
      <c r="M584" s="139">
        <v>1.52</v>
      </c>
      <c r="N584" s="139">
        <v>1.52</v>
      </c>
      <c r="O584" s="139">
        <f t="shared" ref="O584:O647" si="61">IF(M584=" ",N584,M584)</f>
        <v>1.52</v>
      </c>
      <c r="P584" s="139">
        <f t="shared" si="60"/>
        <v>1.52</v>
      </c>
    </row>
    <row r="585" spans="1:16" x14ac:dyDescent="0.35">
      <c r="A585" s="14" t="s">
        <v>5</v>
      </c>
      <c r="B585" s="4">
        <v>52.18</v>
      </c>
      <c r="C585" s="4">
        <v>54.65</v>
      </c>
      <c r="D585" s="4">
        <v>6</v>
      </c>
      <c r="E585" s="4">
        <v>6.95</v>
      </c>
      <c r="F585" s="4">
        <v>8.4</v>
      </c>
      <c r="G585" s="4">
        <v>8.35</v>
      </c>
      <c r="H585" s="4">
        <f t="shared" si="58"/>
        <v>14.4</v>
      </c>
      <c r="I585" s="4">
        <f t="shared" si="57"/>
        <v>15.3</v>
      </c>
      <c r="J585" s="4">
        <v>0</v>
      </c>
      <c r="K585" s="4">
        <v>0</v>
      </c>
      <c r="L585" s="139" t="str">
        <f t="shared" si="59"/>
        <v xml:space="preserve"> </v>
      </c>
      <c r="M585" s="139" t="s">
        <v>867</v>
      </c>
      <c r="N585" s="139">
        <v>1.22</v>
      </c>
      <c r="O585" s="139">
        <f t="shared" si="61"/>
        <v>1.22</v>
      </c>
      <c r="P585" s="139" t="str">
        <f t="shared" si="60"/>
        <v xml:space="preserve"> </v>
      </c>
    </row>
    <row r="586" spans="1:16" x14ac:dyDescent="0.35">
      <c r="A586" s="14" t="s">
        <v>133</v>
      </c>
      <c r="B586" s="4">
        <v>24.91</v>
      </c>
      <c r="C586" s="4">
        <v>24.94</v>
      </c>
      <c r="D586" s="4">
        <v>9.5</v>
      </c>
      <c r="E586" s="4">
        <v>11.08</v>
      </c>
      <c r="F586" s="4">
        <v>6.7</v>
      </c>
      <c r="G586" s="4">
        <v>5.44</v>
      </c>
      <c r="H586" s="4">
        <f t="shared" si="58"/>
        <v>16.2</v>
      </c>
      <c r="I586" s="4">
        <f t="shared" si="57"/>
        <v>16.52</v>
      </c>
      <c r="J586" s="4">
        <v>1.33</v>
      </c>
      <c r="K586" s="4">
        <v>1.3</v>
      </c>
      <c r="L586" s="139" t="str">
        <f t="shared" si="59"/>
        <v xml:space="preserve"> </v>
      </c>
      <c r="M586" s="139">
        <v>1.33</v>
      </c>
      <c r="N586" s="139">
        <v>1.32</v>
      </c>
      <c r="O586" s="139">
        <f t="shared" si="61"/>
        <v>1.33</v>
      </c>
      <c r="P586" s="139">
        <f t="shared" si="60"/>
        <v>1.33</v>
      </c>
    </row>
    <row r="587" spans="1:16" x14ac:dyDescent="0.35">
      <c r="A587" s="14" t="s">
        <v>6</v>
      </c>
      <c r="B587" s="4">
        <v>19.71</v>
      </c>
      <c r="C587" s="4">
        <v>19.63</v>
      </c>
      <c r="D587" s="4">
        <v>30.92</v>
      </c>
      <c r="E587" s="4">
        <v>31.48</v>
      </c>
      <c r="F587" s="4">
        <v>29.02</v>
      </c>
      <c r="G587" s="4">
        <v>32.64</v>
      </c>
      <c r="H587" s="4">
        <f t="shared" si="58"/>
        <v>59.94</v>
      </c>
      <c r="I587" s="4">
        <f t="shared" si="57"/>
        <v>64.12</v>
      </c>
      <c r="J587" s="4">
        <v>0</v>
      </c>
      <c r="K587" s="4">
        <v>0</v>
      </c>
      <c r="L587" s="139" t="str">
        <f t="shared" si="59"/>
        <v xml:space="preserve"> </v>
      </c>
      <c r="M587" s="139" t="s">
        <v>867</v>
      </c>
      <c r="N587" s="139">
        <v>1.52</v>
      </c>
      <c r="O587" s="139">
        <f t="shared" si="61"/>
        <v>1.52</v>
      </c>
      <c r="P587" s="139" t="str">
        <f t="shared" si="60"/>
        <v xml:space="preserve"> </v>
      </c>
    </row>
    <row r="588" spans="1:16" x14ac:dyDescent="0.35">
      <c r="A588" s="14" t="s">
        <v>31</v>
      </c>
      <c r="B588" s="4">
        <v>48.62</v>
      </c>
      <c r="C588" s="4">
        <v>52.7</v>
      </c>
      <c r="D588" s="4">
        <v>14.51</v>
      </c>
      <c r="E588" s="4">
        <v>12.45</v>
      </c>
      <c r="F588" s="4">
        <v>7.55</v>
      </c>
      <c r="G588" s="4">
        <v>5.83</v>
      </c>
      <c r="H588" s="4">
        <f t="shared" si="58"/>
        <v>22.06</v>
      </c>
      <c r="I588" s="4">
        <f t="shared" ref="I588:I651" si="62">E588+G588</f>
        <v>18.28</v>
      </c>
      <c r="J588" s="4">
        <v>0</v>
      </c>
      <c r="K588" s="4">
        <v>0</v>
      </c>
      <c r="L588" s="139" t="str">
        <f t="shared" si="59"/>
        <v xml:space="preserve"> </v>
      </c>
      <c r="M588" s="139" t="s">
        <v>867</v>
      </c>
      <c r="N588" s="139">
        <v>1.25</v>
      </c>
      <c r="O588" s="139">
        <f t="shared" si="61"/>
        <v>1.25</v>
      </c>
      <c r="P588" s="139" t="str">
        <f t="shared" si="60"/>
        <v xml:space="preserve"> </v>
      </c>
    </row>
    <row r="589" spans="1:16" x14ac:dyDescent="0.35">
      <c r="A589" s="14" t="s">
        <v>674</v>
      </c>
      <c r="B589" s="4">
        <v>44.05</v>
      </c>
      <c r="C589" s="4">
        <v>42.41</v>
      </c>
      <c r="D589" s="4">
        <v>10.59</v>
      </c>
      <c r="E589" s="4">
        <v>6.74</v>
      </c>
      <c r="F589" s="4">
        <v>9.59</v>
      </c>
      <c r="G589" s="4">
        <v>5.7</v>
      </c>
      <c r="H589" s="4">
        <f t="shared" ref="H589:H652" si="63">D589+F589</f>
        <v>20.18</v>
      </c>
      <c r="I589" s="4">
        <f t="shared" si="62"/>
        <v>12.440000000000001</v>
      </c>
      <c r="J589" s="4">
        <v>1.26</v>
      </c>
      <c r="K589" s="4">
        <v>1.24</v>
      </c>
      <c r="L589" s="139" t="str">
        <f t="shared" si="59"/>
        <v xml:space="preserve"> </v>
      </c>
      <c r="M589" s="139">
        <v>1.26</v>
      </c>
      <c r="N589" s="139">
        <v>1.25</v>
      </c>
      <c r="O589" s="139">
        <f t="shared" si="61"/>
        <v>1.26</v>
      </c>
      <c r="P589" s="139">
        <f t="shared" si="60"/>
        <v>1.26</v>
      </c>
    </row>
    <row r="590" spans="1:16" x14ac:dyDescent="0.35">
      <c r="A590" s="14" t="s">
        <v>7</v>
      </c>
      <c r="B590" s="4">
        <v>73.680000000000007</v>
      </c>
      <c r="C590" s="4">
        <v>77.94</v>
      </c>
      <c r="D590" s="4">
        <v>0.23</v>
      </c>
      <c r="E590" s="4">
        <v>0.26</v>
      </c>
      <c r="F590" s="4">
        <v>1.37</v>
      </c>
      <c r="G590" s="4">
        <v>1.34</v>
      </c>
      <c r="H590" s="4">
        <f t="shared" si="63"/>
        <v>1.6</v>
      </c>
      <c r="I590" s="4">
        <f t="shared" si="62"/>
        <v>1.6</v>
      </c>
      <c r="J590" s="4">
        <v>0</v>
      </c>
      <c r="K590" s="4">
        <v>0</v>
      </c>
      <c r="L590" s="139" t="str">
        <f t="shared" si="59"/>
        <v xml:space="preserve"> </v>
      </c>
      <c r="M590" s="139" t="s">
        <v>867</v>
      </c>
      <c r="O590" s="139">
        <f t="shared" si="61"/>
        <v>0</v>
      </c>
      <c r="P590" s="139" t="str">
        <f t="shared" si="60"/>
        <v xml:space="preserve"> </v>
      </c>
    </row>
    <row r="591" spans="1:16" x14ac:dyDescent="0.35">
      <c r="A591" s="14" t="s">
        <v>29</v>
      </c>
      <c r="B591" s="4">
        <v>51.03</v>
      </c>
      <c r="C591" s="4">
        <v>56.11</v>
      </c>
      <c r="D591" s="4">
        <v>8.1199999999999992</v>
      </c>
      <c r="E591" s="4">
        <v>6.76</v>
      </c>
      <c r="F591" s="4">
        <v>2.86</v>
      </c>
      <c r="G591" s="4">
        <v>2.35</v>
      </c>
      <c r="H591" s="4">
        <f t="shared" si="63"/>
        <v>10.979999999999999</v>
      </c>
      <c r="I591" s="4">
        <f t="shared" si="62"/>
        <v>9.11</v>
      </c>
      <c r="J591" s="4">
        <v>1.21</v>
      </c>
      <c r="K591" s="4">
        <v>1.2</v>
      </c>
      <c r="L591" s="139" t="str">
        <f t="shared" si="59"/>
        <v xml:space="preserve"> </v>
      </c>
      <c r="M591" s="139">
        <v>1.21</v>
      </c>
      <c r="N591" s="139">
        <v>1.22</v>
      </c>
      <c r="O591" s="139">
        <f t="shared" si="61"/>
        <v>1.21</v>
      </c>
      <c r="P591" s="139">
        <f t="shared" si="60"/>
        <v>1.21</v>
      </c>
    </row>
    <row r="592" spans="1:16" x14ac:dyDescent="0.35">
      <c r="A592" s="14" t="s">
        <v>28</v>
      </c>
      <c r="B592" s="4">
        <v>50.78</v>
      </c>
      <c r="C592" s="4">
        <v>46.91</v>
      </c>
      <c r="D592" s="4">
        <v>13.93</v>
      </c>
      <c r="E592" s="4">
        <v>12.9</v>
      </c>
      <c r="F592" s="4">
        <v>7.43</v>
      </c>
      <c r="G592" s="4">
        <v>5.72</v>
      </c>
      <c r="H592" s="4">
        <f t="shared" si="63"/>
        <v>21.36</v>
      </c>
      <c r="I592" s="4">
        <f t="shared" si="62"/>
        <v>18.62</v>
      </c>
      <c r="J592" s="4">
        <v>1.23</v>
      </c>
      <c r="K592" s="4">
        <v>1.24</v>
      </c>
      <c r="L592" s="139" t="str">
        <f t="shared" si="59"/>
        <v xml:space="preserve"> </v>
      </c>
      <c r="M592" s="139">
        <v>1.23</v>
      </c>
      <c r="N592" s="139">
        <v>1.25</v>
      </c>
      <c r="O592" s="139">
        <f t="shared" si="61"/>
        <v>1.23</v>
      </c>
      <c r="P592" s="139">
        <f t="shared" si="60"/>
        <v>1.23</v>
      </c>
    </row>
    <row r="593" spans="1:16" x14ac:dyDescent="0.35">
      <c r="A593" s="14" t="s">
        <v>46</v>
      </c>
      <c r="B593" s="4">
        <v>39.78</v>
      </c>
      <c r="C593" s="4">
        <v>40.74</v>
      </c>
      <c r="D593" s="4">
        <v>32.119999999999997</v>
      </c>
      <c r="E593" s="4">
        <v>28.76</v>
      </c>
      <c r="F593" s="4">
        <v>5.55</v>
      </c>
      <c r="G593" s="4">
        <v>8.73</v>
      </c>
      <c r="H593" s="4">
        <f t="shared" si="63"/>
        <v>37.669999999999995</v>
      </c>
      <c r="I593" s="4">
        <f t="shared" si="62"/>
        <v>37.49</v>
      </c>
      <c r="J593" s="4">
        <v>0</v>
      </c>
      <c r="K593" s="4">
        <v>0</v>
      </c>
      <c r="L593" s="139" t="str">
        <f t="shared" si="59"/>
        <v xml:space="preserve"> </v>
      </c>
      <c r="M593" s="139" t="s">
        <v>867</v>
      </c>
      <c r="N593" s="139">
        <v>1.35</v>
      </c>
      <c r="O593" s="139">
        <f t="shared" si="61"/>
        <v>1.35</v>
      </c>
      <c r="P593" s="139" t="str">
        <f t="shared" si="60"/>
        <v xml:space="preserve"> </v>
      </c>
    </row>
    <row r="594" spans="1:16" x14ac:dyDescent="0.35">
      <c r="A594" s="14" t="s">
        <v>34</v>
      </c>
      <c r="B594" s="4">
        <v>58.84</v>
      </c>
      <c r="C594" s="4">
        <v>58.44</v>
      </c>
      <c r="D594" s="4">
        <v>6.97</v>
      </c>
      <c r="E594" s="4">
        <v>7.54</v>
      </c>
      <c r="F594" s="4">
        <v>2.7</v>
      </c>
      <c r="G594" s="4">
        <v>3.35</v>
      </c>
      <c r="H594" s="4">
        <f t="shared" si="63"/>
        <v>9.67</v>
      </c>
      <c r="I594" s="4">
        <f t="shared" si="62"/>
        <v>10.89</v>
      </c>
      <c r="J594" s="4">
        <v>1.19</v>
      </c>
      <c r="K594" s="4">
        <v>1.2</v>
      </c>
      <c r="L594" s="139" t="str">
        <f t="shared" si="59"/>
        <v xml:space="preserve"> </v>
      </c>
      <c r="M594" s="139">
        <v>1.19</v>
      </c>
      <c r="N594" s="139">
        <v>1.22</v>
      </c>
      <c r="O594" s="139">
        <f t="shared" si="61"/>
        <v>1.19</v>
      </c>
      <c r="P594" s="139">
        <f t="shared" si="60"/>
        <v>1.19</v>
      </c>
    </row>
    <row r="595" spans="1:16" x14ac:dyDescent="0.35">
      <c r="A595" s="14" t="s">
        <v>30</v>
      </c>
      <c r="B595" s="4">
        <v>48.57</v>
      </c>
      <c r="C595" s="4">
        <v>49.38</v>
      </c>
      <c r="D595" s="4">
        <v>10.07</v>
      </c>
      <c r="E595" s="4">
        <v>9.11</v>
      </c>
      <c r="F595" s="4">
        <v>7.25</v>
      </c>
      <c r="G595" s="4">
        <v>5.55</v>
      </c>
      <c r="H595" s="4">
        <f t="shared" si="63"/>
        <v>17.32</v>
      </c>
      <c r="I595" s="4">
        <f t="shared" si="62"/>
        <v>14.66</v>
      </c>
      <c r="J595" s="4">
        <v>1.24</v>
      </c>
      <c r="K595" s="4">
        <v>1.22</v>
      </c>
      <c r="L595" s="139" t="str">
        <f t="shared" si="59"/>
        <v xml:space="preserve"> </v>
      </c>
      <c r="M595" s="139">
        <v>1.24</v>
      </c>
      <c r="N595" s="139">
        <v>1.22</v>
      </c>
      <c r="O595" s="139">
        <f t="shared" si="61"/>
        <v>1.24</v>
      </c>
      <c r="P595" s="139">
        <f t="shared" si="60"/>
        <v>1.24</v>
      </c>
    </row>
    <row r="596" spans="1:16" x14ac:dyDescent="0.35">
      <c r="A596" s="14" t="s">
        <v>50</v>
      </c>
      <c r="B596" s="4">
        <v>46.29</v>
      </c>
      <c r="C596" s="4">
        <v>43.29</v>
      </c>
      <c r="D596" s="4">
        <v>12.7</v>
      </c>
      <c r="E596" s="4">
        <v>18.329999999999998</v>
      </c>
      <c r="F596" s="4">
        <v>5.64</v>
      </c>
      <c r="G596" s="4">
        <v>6.69</v>
      </c>
      <c r="H596" s="4">
        <f t="shared" si="63"/>
        <v>18.34</v>
      </c>
      <c r="I596" s="4">
        <f t="shared" si="62"/>
        <v>25.02</v>
      </c>
      <c r="J596" s="4">
        <v>0</v>
      </c>
      <c r="K596" s="4">
        <v>0</v>
      </c>
      <c r="L596" s="139" t="str">
        <f t="shared" si="59"/>
        <v xml:space="preserve"> </v>
      </c>
      <c r="M596" s="139" t="s">
        <v>867</v>
      </c>
      <c r="N596" s="139">
        <v>1.22</v>
      </c>
      <c r="O596" s="139">
        <f t="shared" si="61"/>
        <v>1.22</v>
      </c>
      <c r="P596" s="139" t="str">
        <f t="shared" si="60"/>
        <v xml:space="preserve"> </v>
      </c>
    </row>
    <row r="597" spans="1:16" x14ac:dyDescent="0.35">
      <c r="A597" s="14" t="s">
        <v>19</v>
      </c>
      <c r="B597" s="4">
        <v>23.07</v>
      </c>
      <c r="C597" s="4">
        <v>22.73</v>
      </c>
      <c r="D597" s="4">
        <v>35.200000000000003</v>
      </c>
      <c r="E597" s="4">
        <v>35.68</v>
      </c>
      <c r="F597" s="4">
        <v>12.4</v>
      </c>
      <c r="G597" s="4">
        <v>11.33</v>
      </c>
      <c r="H597" s="4">
        <f t="shared" si="63"/>
        <v>47.6</v>
      </c>
      <c r="I597" s="4">
        <f t="shared" si="62"/>
        <v>47.01</v>
      </c>
      <c r="J597" s="4">
        <v>0</v>
      </c>
      <c r="K597" s="4">
        <v>0</v>
      </c>
      <c r="L597" s="139" t="str">
        <f t="shared" si="59"/>
        <v xml:space="preserve"> </v>
      </c>
      <c r="M597" s="139" t="s">
        <v>867</v>
      </c>
      <c r="N597" s="139">
        <v>1.41</v>
      </c>
      <c r="O597" s="139">
        <f t="shared" si="61"/>
        <v>1.41</v>
      </c>
      <c r="P597" s="139" t="str">
        <f t="shared" si="60"/>
        <v xml:space="preserve"> </v>
      </c>
    </row>
    <row r="598" spans="1:16" x14ac:dyDescent="0.35">
      <c r="A598" s="14" t="s">
        <v>136</v>
      </c>
      <c r="B598" s="4">
        <v>27.79</v>
      </c>
      <c r="C598" s="4">
        <v>31.77</v>
      </c>
      <c r="D598" s="4">
        <v>13</v>
      </c>
      <c r="E598" s="4">
        <v>12.71</v>
      </c>
      <c r="F598" s="4">
        <v>2.8</v>
      </c>
      <c r="G598" s="4">
        <v>2.0499999999999998</v>
      </c>
      <c r="H598" s="4">
        <f t="shared" si="63"/>
        <v>15.8</v>
      </c>
      <c r="I598" s="4">
        <f t="shared" si="62"/>
        <v>14.760000000000002</v>
      </c>
      <c r="J598" s="4">
        <v>1.31</v>
      </c>
      <c r="K598" s="4">
        <v>1.26</v>
      </c>
      <c r="L598" s="139" t="str">
        <f t="shared" si="59"/>
        <v xml:space="preserve"> </v>
      </c>
      <c r="M598" s="139">
        <v>1.31</v>
      </c>
      <c r="N598" s="139">
        <v>1.32</v>
      </c>
      <c r="O598" s="139">
        <f t="shared" si="61"/>
        <v>1.31</v>
      </c>
      <c r="P598" s="139">
        <f t="shared" si="60"/>
        <v>1.31</v>
      </c>
    </row>
    <row r="599" spans="1:16" x14ac:dyDescent="0.35">
      <c r="A599" s="14" t="s">
        <v>134</v>
      </c>
      <c r="B599" s="4">
        <v>18.3</v>
      </c>
      <c r="C599" s="4">
        <v>25.11</v>
      </c>
      <c r="D599" s="4">
        <v>9.49</v>
      </c>
      <c r="E599" s="4">
        <v>10.23</v>
      </c>
      <c r="F599" s="4">
        <v>7.55</v>
      </c>
      <c r="G599" s="4">
        <v>6.25</v>
      </c>
      <c r="H599" s="4">
        <f t="shared" si="63"/>
        <v>17.04</v>
      </c>
      <c r="I599" s="4">
        <f t="shared" si="62"/>
        <v>16.48</v>
      </c>
      <c r="J599" s="4">
        <v>1.38</v>
      </c>
      <c r="K599" s="4">
        <v>1.35</v>
      </c>
      <c r="L599" s="139" t="str">
        <f t="shared" si="59"/>
        <v xml:space="preserve"> </v>
      </c>
      <c r="M599" s="139">
        <v>1.38</v>
      </c>
      <c r="N599" s="139">
        <v>1.41</v>
      </c>
      <c r="O599" s="139">
        <f t="shared" si="61"/>
        <v>1.38</v>
      </c>
      <c r="P599" s="139">
        <f t="shared" si="60"/>
        <v>1.38</v>
      </c>
    </row>
    <row r="600" spans="1:16" x14ac:dyDescent="0.35">
      <c r="A600" s="14" t="s">
        <v>12</v>
      </c>
      <c r="B600" s="4">
        <v>6.51</v>
      </c>
      <c r="C600" s="4">
        <v>11</v>
      </c>
      <c r="D600" s="4">
        <v>29.8</v>
      </c>
      <c r="E600" s="4">
        <v>26.81</v>
      </c>
      <c r="F600" s="4">
        <v>31.8</v>
      </c>
      <c r="G600" s="4">
        <v>30.77</v>
      </c>
      <c r="H600" s="4">
        <f t="shared" si="63"/>
        <v>61.6</v>
      </c>
      <c r="I600" s="4">
        <f t="shared" si="62"/>
        <v>57.58</v>
      </c>
      <c r="J600" s="4">
        <v>1.61</v>
      </c>
      <c r="K600" s="4">
        <v>1.51</v>
      </c>
      <c r="L600" s="139" t="str">
        <f t="shared" si="59"/>
        <v xml:space="preserve"> </v>
      </c>
      <c r="M600" s="139">
        <v>1.61</v>
      </c>
      <c r="N600" s="139">
        <v>1.61</v>
      </c>
      <c r="O600" s="139">
        <f t="shared" si="61"/>
        <v>1.61</v>
      </c>
      <c r="P600" s="139">
        <f t="shared" si="60"/>
        <v>1.61</v>
      </c>
    </row>
    <row r="601" spans="1:16" x14ac:dyDescent="0.35">
      <c r="A601" s="14" t="s">
        <v>10</v>
      </c>
      <c r="B601" s="4">
        <v>8.2799999999999994</v>
      </c>
      <c r="C601" s="4">
        <v>15.83</v>
      </c>
      <c r="D601" s="4">
        <v>19.28</v>
      </c>
      <c r="E601" s="4">
        <v>18.13</v>
      </c>
      <c r="F601" s="4">
        <v>43.98</v>
      </c>
      <c r="G601" s="4">
        <v>42.79</v>
      </c>
      <c r="H601" s="4">
        <f t="shared" si="63"/>
        <v>63.26</v>
      </c>
      <c r="I601" s="4">
        <f t="shared" si="62"/>
        <v>60.92</v>
      </c>
      <c r="J601" s="4">
        <v>1.6</v>
      </c>
      <c r="K601" s="4">
        <v>1.57</v>
      </c>
      <c r="L601" s="139" t="str">
        <f t="shared" si="59"/>
        <v xml:space="preserve"> </v>
      </c>
      <c r="M601" s="139">
        <v>1.6</v>
      </c>
      <c r="N601" s="139">
        <v>1.61</v>
      </c>
      <c r="O601" s="139">
        <f t="shared" si="61"/>
        <v>1.6</v>
      </c>
      <c r="P601" s="139">
        <f t="shared" si="60"/>
        <v>1.6</v>
      </c>
    </row>
    <row r="602" spans="1:16" x14ac:dyDescent="0.35">
      <c r="A602" s="14" t="s">
        <v>35</v>
      </c>
      <c r="B602" s="4">
        <v>34.39</v>
      </c>
      <c r="C602" s="4">
        <v>39.549999999999997</v>
      </c>
      <c r="D602" s="4">
        <v>16.25</v>
      </c>
      <c r="E602" s="4">
        <v>15.18</v>
      </c>
      <c r="F602" s="4">
        <v>23.8</v>
      </c>
      <c r="G602" s="4">
        <v>29.42</v>
      </c>
      <c r="H602" s="4">
        <f t="shared" si="63"/>
        <v>40.049999999999997</v>
      </c>
      <c r="I602" s="4">
        <f t="shared" si="62"/>
        <v>44.6</v>
      </c>
      <c r="J602" s="4">
        <v>1.33</v>
      </c>
      <c r="K602" s="4">
        <v>1.26</v>
      </c>
      <c r="L602" s="139" t="str">
        <f t="shared" si="59"/>
        <v xml:space="preserve"> </v>
      </c>
      <c r="M602" s="139">
        <v>1.33</v>
      </c>
      <c r="N602" s="139">
        <v>1.41</v>
      </c>
      <c r="O602" s="139">
        <f t="shared" si="61"/>
        <v>1.33</v>
      </c>
      <c r="P602" s="139">
        <f t="shared" si="60"/>
        <v>1.33</v>
      </c>
    </row>
    <row r="603" spans="1:16" x14ac:dyDescent="0.35">
      <c r="A603" s="14" t="s">
        <v>21</v>
      </c>
      <c r="B603" s="4">
        <v>12.1</v>
      </c>
      <c r="C603" s="4">
        <v>18.309999999999999</v>
      </c>
      <c r="D603" s="4">
        <v>9.25</v>
      </c>
      <c r="E603" s="4">
        <v>6.8</v>
      </c>
      <c r="F603" s="4">
        <v>62.21</v>
      </c>
      <c r="G603" s="4">
        <v>62.58</v>
      </c>
      <c r="H603" s="4">
        <f t="shared" si="63"/>
        <v>71.460000000000008</v>
      </c>
      <c r="I603" s="4">
        <f t="shared" si="62"/>
        <v>69.38</v>
      </c>
      <c r="J603" s="4">
        <v>1.57</v>
      </c>
      <c r="K603" s="4">
        <v>1.37</v>
      </c>
      <c r="L603" s="139" t="str">
        <f t="shared" si="59"/>
        <v xml:space="preserve"> </v>
      </c>
      <c r="M603" s="139">
        <v>1.57</v>
      </c>
      <c r="N603" s="139">
        <v>1.52</v>
      </c>
      <c r="O603" s="139">
        <f t="shared" si="61"/>
        <v>1.57</v>
      </c>
      <c r="P603" s="139">
        <f t="shared" si="60"/>
        <v>1.57</v>
      </c>
    </row>
    <row r="604" spans="1:16" x14ac:dyDescent="0.35">
      <c r="A604" s="14" t="s">
        <v>42</v>
      </c>
      <c r="B604" s="4">
        <v>7.83</v>
      </c>
      <c r="C604" s="4">
        <v>6.89</v>
      </c>
      <c r="D604" s="4">
        <v>13.79</v>
      </c>
      <c r="E604" s="4">
        <v>12.46</v>
      </c>
      <c r="F604" s="4">
        <v>75.37</v>
      </c>
      <c r="G604" s="4">
        <v>78.61</v>
      </c>
      <c r="H604" s="4">
        <f t="shared" si="63"/>
        <v>89.16</v>
      </c>
      <c r="I604" s="4">
        <f t="shared" si="62"/>
        <v>91.07</v>
      </c>
      <c r="J604" s="4">
        <v>0</v>
      </c>
      <c r="K604" s="4">
        <v>0</v>
      </c>
      <c r="L604" s="139" t="str">
        <f t="shared" si="59"/>
        <v xml:space="preserve"> </v>
      </c>
      <c r="M604" s="139" t="s">
        <v>867</v>
      </c>
      <c r="N604" s="139">
        <v>1.61</v>
      </c>
      <c r="O604" s="139">
        <f t="shared" si="61"/>
        <v>1.61</v>
      </c>
      <c r="P604" s="139" t="str">
        <f t="shared" si="60"/>
        <v xml:space="preserve"> </v>
      </c>
    </row>
    <row r="605" spans="1:16" x14ac:dyDescent="0.35">
      <c r="A605" s="14" t="s">
        <v>87</v>
      </c>
      <c r="B605" s="4">
        <v>5.34</v>
      </c>
      <c r="C605" s="4">
        <v>5.0199999999999996</v>
      </c>
      <c r="D605" s="4">
        <v>8.89</v>
      </c>
      <c r="E605" s="4">
        <v>8.94</v>
      </c>
      <c r="F605" s="4">
        <v>73.95</v>
      </c>
      <c r="G605" s="4">
        <v>76.31</v>
      </c>
      <c r="H605" s="4">
        <f t="shared" si="63"/>
        <v>82.84</v>
      </c>
      <c r="I605" s="4">
        <f t="shared" si="62"/>
        <v>85.25</v>
      </c>
      <c r="J605" s="4">
        <v>0</v>
      </c>
      <c r="K605" s="4">
        <v>0</v>
      </c>
      <c r="L605" s="139" t="str">
        <f t="shared" si="59"/>
        <v xml:space="preserve"> </v>
      </c>
      <c r="M605" s="139" t="s">
        <v>867</v>
      </c>
      <c r="N605" s="139">
        <v>1.61</v>
      </c>
      <c r="O605" s="139">
        <f t="shared" si="61"/>
        <v>1.61</v>
      </c>
      <c r="P605" s="139" t="str">
        <f t="shared" si="60"/>
        <v xml:space="preserve"> </v>
      </c>
    </row>
    <row r="606" spans="1:16" x14ac:dyDescent="0.35">
      <c r="A606" s="14" t="s">
        <v>84</v>
      </c>
      <c r="B606" s="4">
        <v>5.41</v>
      </c>
      <c r="C606" s="4">
        <v>5.41</v>
      </c>
      <c r="D606" s="4">
        <v>25.94</v>
      </c>
      <c r="E606" s="4">
        <v>25.94</v>
      </c>
      <c r="F606" s="4">
        <v>52.99</v>
      </c>
      <c r="G606" s="4">
        <v>52.99</v>
      </c>
      <c r="H606" s="4">
        <f t="shared" si="63"/>
        <v>78.930000000000007</v>
      </c>
      <c r="I606" s="4">
        <f t="shared" si="62"/>
        <v>78.930000000000007</v>
      </c>
      <c r="J606" s="4">
        <v>0</v>
      </c>
      <c r="K606" s="4">
        <v>0</v>
      </c>
      <c r="L606" s="139" t="str">
        <f t="shared" si="59"/>
        <v xml:space="preserve"> </v>
      </c>
      <c r="M606" s="139" t="s">
        <v>867</v>
      </c>
      <c r="N606" s="139">
        <v>1.61</v>
      </c>
      <c r="O606" s="139">
        <f t="shared" si="61"/>
        <v>1.61</v>
      </c>
      <c r="P606" s="139" t="str">
        <f t="shared" si="60"/>
        <v xml:space="preserve"> </v>
      </c>
    </row>
    <row r="607" spans="1:16" x14ac:dyDescent="0.35">
      <c r="A607" s="14" t="s">
        <v>1</v>
      </c>
      <c r="B607" s="4">
        <v>15.18</v>
      </c>
      <c r="C607" s="4">
        <v>15.39</v>
      </c>
      <c r="D607" s="4">
        <v>46</v>
      </c>
      <c r="E607" s="4">
        <v>46.78</v>
      </c>
      <c r="F607" s="4">
        <v>16.920000000000002</v>
      </c>
      <c r="G607" s="4">
        <v>17.13</v>
      </c>
      <c r="H607" s="4">
        <f t="shared" si="63"/>
        <v>62.92</v>
      </c>
      <c r="I607" s="4">
        <f t="shared" si="62"/>
        <v>63.91</v>
      </c>
      <c r="J607" s="4">
        <v>0</v>
      </c>
      <c r="K607" s="4">
        <v>0</v>
      </c>
      <c r="L607" s="139" t="str">
        <f t="shared" si="59"/>
        <v xml:space="preserve"> </v>
      </c>
      <c r="M607" s="139" t="s">
        <v>867</v>
      </c>
      <c r="N607" s="139">
        <v>1.52</v>
      </c>
      <c r="O607" s="139">
        <f t="shared" si="61"/>
        <v>1.52</v>
      </c>
      <c r="P607" s="139" t="str">
        <f t="shared" si="60"/>
        <v xml:space="preserve"> </v>
      </c>
    </row>
    <row r="608" spans="1:16" x14ac:dyDescent="0.35">
      <c r="A608" s="14" t="s">
        <v>47</v>
      </c>
      <c r="B608" s="4">
        <v>14.51</v>
      </c>
      <c r="C608" s="4">
        <v>14.51</v>
      </c>
      <c r="D608" s="4">
        <v>32.49</v>
      </c>
      <c r="E608" s="4">
        <v>32.49</v>
      </c>
      <c r="F608" s="4">
        <v>47.25</v>
      </c>
      <c r="G608" s="4">
        <v>47.25</v>
      </c>
      <c r="H608" s="4">
        <f t="shared" si="63"/>
        <v>79.740000000000009</v>
      </c>
      <c r="I608" s="4">
        <f t="shared" si="62"/>
        <v>79.740000000000009</v>
      </c>
      <c r="J608" s="4">
        <v>0</v>
      </c>
      <c r="K608" s="4">
        <v>0</v>
      </c>
      <c r="L608" s="139" t="str">
        <f t="shared" si="59"/>
        <v xml:space="preserve"> </v>
      </c>
      <c r="M608" s="139" t="s">
        <v>867</v>
      </c>
      <c r="N608" s="139">
        <v>1.52</v>
      </c>
      <c r="O608" s="139">
        <f t="shared" si="61"/>
        <v>1.52</v>
      </c>
      <c r="P608" s="139" t="str">
        <f t="shared" si="60"/>
        <v xml:space="preserve"> </v>
      </c>
    </row>
    <row r="609" spans="1:16" x14ac:dyDescent="0.35">
      <c r="A609" s="14" t="s">
        <v>43</v>
      </c>
      <c r="B609" s="4">
        <v>24.17</v>
      </c>
      <c r="C609" s="4">
        <v>24.17</v>
      </c>
      <c r="D609" s="4">
        <v>47.9</v>
      </c>
      <c r="E609" s="4">
        <v>47.9</v>
      </c>
      <c r="F609" s="4">
        <v>18.850000000000001</v>
      </c>
      <c r="G609" s="4">
        <v>18.850000000000001</v>
      </c>
      <c r="H609" s="4">
        <f t="shared" si="63"/>
        <v>66.75</v>
      </c>
      <c r="I609" s="4">
        <f t="shared" si="62"/>
        <v>66.75</v>
      </c>
      <c r="J609" s="4">
        <v>0</v>
      </c>
      <c r="K609" s="4">
        <v>0</v>
      </c>
      <c r="L609" s="139" t="str">
        <f t="shared" si="59"/>
        <v xml:space="preserve"> </v>
      </c>
      <c r="M609" s="139" t="s">
        <v>867</v>
      </c>
      <c r="N609" s="139">
        <v>1.42</v>
      </c>
      <c r="O609" s="139">
        <f t="shared" si="61"/>
        <v>1.42</v>
      </c>
      <c r="P609" s="139" t="str">
        <f t="shared" si="60"/>
        <v xml:space="preserve"> </v>
      </c>
    </row>
    <row r="610" spans="1:16" x14ac:dyDescent="0.35">
      <c r="A610" s="14" t="s">
        <v>675</v>
      </c>
      <c r="B610" s="4">
        <v>17.36</v>
      </c>
      <c r="C610" s="4">
        <v>14.1</v>
      </c>
      <c r="D610" s="4">
        <v>27.13</v>
      </c>
      <c r="E610" s="4">
        <v>21.67</v>
      </c>
      <c r="F610" s="4">
        <v>41.07</v>
      </c>
      <c r="G610" s="4">
        <v>53.49</v>
      </c>
      <c r="H610" s="4">
        <f t="shared" si="63"/>
        <v>68.2</v>
      </c>
      <c r="I610" s="4">
        <f t="shared" si="62"/>
        <v>75.16</v>
      </c>
      <c r="J610" s="4">
        <v>0</v>
      </c>
      <c r="K610" s="4">
        <v>0</v>
      </c>
      <c r="L610" s="139" t="str">
        <f t="shared" si="59"/>
        <v xml:space="preserve"> </v>
      </c>
      <c r="M610" s="139" t="s">
        <v>867</v>
      </c>
      <c r="N610" s="139">
        <v>1.52</v>
      </c>
      <c r="O610" s="139">
        <f t="shared" si="61"/>
        <v>1.52</v>
      </c>
      <c r="P610" s="139" t="str">
        <f t="shared" si="60"/>
        <v xml:space="preserve"> </v>
      </c>
    </row>
    <row r="611" spans="1:16" x14ac:dyDescent="0.35">
      <c r="A611" s="14" t="s">
        <v>8</v>
      </c>
      <c r="B611" s="4">
        <v>7.36</v>
      </c>
      <c r="C611" s="4">
        <v>7.82</v>
      </c>
      <c r="D611" s="4">
        <v>18.22</v>
      </c>
      <c r="E611" s="4">
        <v>15.85</v>
      </c>
      <c r="F611" s="4">
        <v>68.430000000000007</v>
      </c>
      <c r="G611" s="4">
        <v>71.27</v>
      </c>
      <c r="H611" s="4">
        <f t="shared" si="63"/>
        <v>86.65</v>
      </c>
      <c r="I611" s="4">
        <f t="shared" si="62"/>
        <v>87.11999999999999</v>
      </c>
      <c r="J611" s="4">
        <v>0</v>
      </c>
      <c r="K611" s="4">
        <v>0</v>
      </c>
      <c r="L611" s="139" t="str">
        <f t="shared" si="59"/>
        <v xml:space="preserve"> </v>
      </c>
      <c r="M611" s="139" t="s">
        <v>867</v>
      </c>
      <c r="N611" s="139">
        <v>1.61</v>
      </c>
      <c r="O611" s="139">
        <f t="shared" si="61"/>
        <v>1.61</v>
      </c>
      <c r="P611" s="139" t="str">
        <f t="shared" si="60"/>
        <v xml:space="preserve"> </v>
      </c>
    </row>
    <row r="612" spans="1:16" x14ac:dyDescent="0.35">
      <c r="A612" s="14" t="s">
        <v>45</v>
      </c>
      <c r="B612" s="4">
        <v>4.3099999999999996</v>
      </c>
      <c r="C612" s="4">
        <v>3.72</v>
      </c>
      <c r="D612" s="4">
        <v>28.15</v>
      </c>
      <c r="E612" s="4">
        <v>29.71</v>
      </c>
      <c r="F612" s="4">
        <v>61.9</v>
      </c>
      <c r="G612" s="4">
        <v>61.34</v>
      </c>
      <c r="H612" s="4">
        <f t="shared" si="63"/>
        <v>90.05</v>
      </c>
      <c r="I612" s="4">
        <f t="shared" si="62"/>
        <v>91.050000000000011</v>
      </c>
      <c r="J612" s="4">
        <v>0</v>
      </c>
      <c r="K612" s="4">
        <v>0</v>
      </c>
      <c r="L612" s="139" t="str">
        <f t="shared" si="59"/>
        <v xml:space="preserve"> </v>
      </c>
      <c r="M612" s="139" t="s">
        <v>867</v>
      </c>
      <c r="N612" s="139">
        <v>1.61</v>
      </c>
      <c r="O612" s="139">
        <f t="shared" si="61"/>
        <v>1.61</v>
      </c>
      <c r="P612" s="139" t="str">
        <f t="shared" si="60"/>
        <v xml:space="preserve"> </v>
      </c>
    </row>
    <row r="613" spans="1:16" x14ac:dyDescent="0.35">
      <c r="A613" s="14" t="s">
        <v>16</v>
      </c>
      <c r="B613" s="4">
        <v>30.32</v>
      </c>
      <c r="C613" s="4">
        <v>30.21</v>
      </c>
      <c r="D613" s="4">
        <v>32.799999999999997</v>
      </c>
      <c r="E613" s="4">
        <v>31.63</v>
      </c>
      <c r="F613" s="4">
        <v>8.1999999999999993</v>
      </c>
      <c r="G613" s="4">
        <v>5.92</v>
      </c>
      <c r="H613" s="4">
        <f t="shared" si="63"/>
        <v>41</v>
      </c>
      <c r="I613" s="4">
        <f t="shared" si="62"/>
        <v>37.549999999999997</v>
      </c>
      <c r="J613" s="4">
        <v>1.35</v>
      </c>
      <c r="K613" s="4">
        <v>1.3</v>
      </c>
      <c r="L613" s="139" t="str">
        <f t="shared" si="59"/>
        <v xml:space="preserve"> </v>
      </c>
      <c r="M613" s="139">
        <v>1.35</v>
      </c>
      <c r="N613" s="139">
        <v>1.41</v>
      </c>
      <c r="O613" s="139">
        <f t="shared" si="61"/>
        <v>1.35</v>
      </c>
      <c r="P613" s="139">
        <f t="shared" si="60"/>
        <v>1.35</v>
      </c>
    </row>
    <row r="614" spans="1:16" x14ac:dyDescent="0.35">
      <c r="A614" s="14" t="s">
        <v>27</v>
      </c>
      <c r="B614" s="4">
        <v>44.93</v>
      </c>
      <c r="C614" s="4">
        <v>46.88</v>
      </c>
      <c r="D614" s="4">
        <v>3.77</v>
      </c>
      <c r="E614" s="4">
        <v>2.2999999999999998</v>
      </c>
      <c r="F614" s="4">
        <v>3.83</v>
      </c>
      <c r="G614" s="4">
        <v>2.38</v>
      </c>
      <c r="H614" s="4">
        <f t="shared" si="63"/>
        <v>7.6</v>
      </c>
      <c r="I614" s="4">
        <f t="shared" si="62"/>
        <v>4.68</v>
      </c>
      <c r="J614" s="4">
        <v>0</v>
      </c>
      <c r="K614" s="4">
        <v>0</v>
      </c>
      <c r="L614" s="139" t="str">
        <f t="shared" si="59"/>
        <v xml:space="preserve"> </v>
      </c>
      <c r="M614" s="139" t="s">
        <v>867</v>
      </c>
      <c r="N614" s="139">
        <v>1.22</v>
      </c>
      <c r="O614" s="139">
        <f t="shared" si="61"/>
        <v>1.22</v>
      </c>
      <c r="P614" s="139" t="str">
        <f t="shared" si="60"/>
        <v xml:space="preserve"> </v>
      </c>
    </row>
    <row r="615" spans="1:16" x14ac:dyDescent="0.35">
      <c r="A615" s="14" t="s">
        <v>14</v>
      </c>
      <c r="B615" s="4">
        <v>42.65</v>
      </c>
      <c r="C615" s="4">
        <v>46.09</v>
      </c>
      <c r="D615" s="4">
        <v>12.32</v>
      </c>
      <c r="E615" s="4">
        <v>8.81</v>
      </c>
      <c r="F615" s="4">
        <v>6.82</v>
      </c>
      <c r="G615" s="4">
        <v>3.96</v>
      </c>
      <c r="H615" s="4">
        <f t="shared" si="63"/>
        <v>19.14</v>
      </c>
      <c r="I615" s="4">
        <f t="shared" si="62"/>
        <v>12.77</v>
      </c>
      <c r="J615" s="4">
        <v>0</v>
      </c>
      <c r="K615" s="4">
        <v>0</v>
      </c>
      <c r="L615" s="139" t="str">
        <f t="shared" si="59"/>
        <v xml:space="preserve"> </v>
      </c>
      <c r="M615" s="139" t="s">
        <v>867</v>
      </c>
      <c r="N615" s="139">
        <v>1.22</v>
      </c>
      <c r="O615" s="139">
        <f t="shared" si="61"/>
        <v>1.22</v>
      </c>
      <c r="P615" s="139" t="str">
        <f t="shared" si="60"/>
        <v xml:space="preserve"> </v>
      </c>
    </row>
    <row r="616" spans="1:16" x14ac:dyDescent="0.35">
      <c r="A616" s="14" t="s">
        <v>18</v>
      </c>
      <c r="B616" s="4">
        <v>13.26</v>
      </c>
      <c r="C616" s="4">
        <v>13.26</v>
      </c>
      <c r="D616" s="4">
        <v>51.45</v>
      </c>
      <c r="E616" s="4">
        <v>51.45</v>
      </c>
      <c r="F616" s="4">
        <v>20.71</v>
      </c>
      <c r="G616" s="4">
        <v>20.71</v>
      </c>
      <c r="H616" s="4">
        <f t="shared" si="63"/>
        <v>72.16</v>
      </c>
      <c r="I616" s="4">
        <f t="shared" si="62"/>
        <v>72.16</v>
      </c>
      <c r="J616" s="4">
        <v>1.52</v>
      </c>
      <c r="K616" s="4">
        <v>1.53</v>
      </c>
      <c r="L616" s="139" t="str">
        <f t="shared" si="59"/>
        <v xml:space="preserve"> </v>
      </c>
      <c r="M616" s="139">
        <v>1.52</v>
      </c>
      <c r="N616" s="139">
        <v>1.52</v>
      </c>
      <c r="O616" s="139">
        <f t="shared" si="61"/>
        <v>1.52</v>
      </c>
      <c r="P616" s="139">
        <f t="shared" si="60"/>
        <v>1.52</v>
      </c>
    </row>
    <row r="617" spans="1:16" x14ac:dyDescent="0.35">
      <c r="A617" s="14" t="s">
        <v>676</v>
      </c>
      <c r="B617" s="4">
        <v>31.9</v>
      </c>
      <c r="C617" s="4">
        <v>30</v>
      </c>
      <c r="D617" s="4">
        <v>23.95</v>
      </c>
      <c r="E617" s="4">
        <v>28.54</v>
      </c>
      <c r="F617" s="4">
        <v>6.58</v>
      </c>
      <c r="G617" s="4">
        <v>5.37</v>
      </c>
      <c r="H617" s="4">
        <f t="shared" si="63"/>
        <v>30.53</v>
      </c>
      <c r="I617" s="4">
        <f t="shared" si="62"/>
        <v>33.909999999999997</v>
      </c>
      <c r="J617" s="4">
        <v>1.32</v>
      </c>
      <c r="K617" s="4">
        <v>1.32</v>
      </c>
      <c r="L617" s="139" t="str">
        <f t="shared" si="59"/>
        <v xml:space="preserve"> </v>
      </c>
      <c r="M617" s="139">
        <v>1.32</v>
      </c>
      <c r="N617" s="139">
        <v>1.35</v>
      </c>
      <c r="O617" s="139">
        <f t="shared" si="61"/>
        <v>1.32</v>
      </c>
      <c r="P617" s="139">
        <f t="shared" si="60"/>
        <v>1.32</v>
      </c>
    </row>
    <row r="618" spans="1:16" x14ac:dyDescent="0.35">
      <c r="A618" s="14" t="s">
        <v>673</v>
      </c>
      <c r="B618" s="4">
        <v>36.159999999999997</v>
      </c>
      <c r="C618" s="4">
        <v>35.840000000000003</v>
      </c>
      <c r="D618" s="4">
        <v>24.48</v>
      </c>
      <c r="E618" s="4">
        <v>25.4</v>
      </c>
      <c r="F618" s="4">
        <v>8.4</v>
      </c>
      <c r="G618" s="4">
        <v>7.53</v>
      </c>
      <c r="H618" s="4">
        <f t="shared" si="63"/>
        <v>32.880000000000003</v>
      </c>
      <c r="I618" s="4">
        <f t="shared" si="62"/>
        <v>32.93</v>
      </c>
      <c r="J618" s="4">
        <v>1.31</v>
      </c>
      <c r="K618" s="4">
        <v>1.29</v>
      </c>
      <c r="L618" s="139" t="str">
        <f t="shared" si="59"/>
        <v xml:space="preserve"> </v>
      </c>
      <c r="M618" s="139">
        <v>1.31</v>
      </c>
      <c r="N618" s="139">
        <v>1.35</v>
      </c>
      <c r="O618" s="139">
        <f t="shared" si="61"/>
        <v>1.31</v>
      </c>
      <c r="P618" s="139">
        <f t="shared" si="60"/>
        <v>1.31</v>
      </c>
    </row>
    <row r="619" spans="1:16" x14ac:dyDescent="0.35">
      <c r="A619" s="14" t="s">
        <v>15</v>
      </c>
      <c r="B619" s="4">
        <v>22.91</v>
      </c>
      <c r="C619" s="4">
        <v>20.99</v>
      </c>
      <c r="D619" s="4">
        <v>30.18</v>
      </c>
      <c r="E619" s="4">
        <v>30.42</v>
      </c>
      <c r="F619" s="4">
        <v>27.85</v>
      </c>
      <c r="G619" s="4">
        <v>29.05</v>
      </c>
      <c r="H619" s="4">
        <f t="shared" si="63"/>
        <v>58.03</v>
      </c>
      <c r="I619" s="4">
        <f t="shared" si="62"/>
        <v>59.47</v>
      </c>
      <c r="J619" s="4">
        <v>1.43</v>
      </c>
      <c r="K619" s="4">
        <v>1.41</v>
      </c>
      <c r="L619" s="139" t="str">
        <f t="shared" si="59"/>
        <v xml:space="preserve"> </v>
      </c>
      <c r="M619" s="139">
        <v>1.43</v>
      </c>
      <c r="N619" s="139">
        <v>1.41</v>
      </c>
      <c r="O619" s="139">
        <f t="shared" si="61"/>
        <v>1.43</v>
      </c>
      <c r="P619" s="139">
        <f t="shared" si="60"/>
        <v>1.43</v>
      </c>
    </row>
    <row r="620" spans="1:16" x14ac:dyDescent="0.35">
      <c r="A620" s="14" t="s">
        <v>17</v>
      </c>
      <c r="B620" s="4">
        <v>20.36</v>
      </c>
      <c r="C620" s="4">
        <v>32.119999999999997</v>
      </c>
      <c r="D620" s="4">
        <v>29</v>
      </c>
      <c r="E620" s="4">
        <v>24.74</v>
      </c>
      <c r="F620" s="4">
        <v>21.42</v>
      </c>
      <c r="G620" s="4">
        <v>17.190000000000001</v>
      </c>
      <c r="H620" s="4">
        <f t="shared" si="63"/>
        <v>50.42</v>
      </c>
      <c r="I620" s="4">
        <f t="shared" si="62"/>
        <v>41.93</v>
      </c>
      <c r="J620" s="4">
        <v>1.51</v>
      </c>
      <c r="K620" s="4">
        <v>1.333</v>
      </c>
      <c r="L620" s="139" t="str">
        <f t="shared" si="59"/>
        <v xml:space="preserve"> </v>
      </c>
      <c r="M620" s="139">
        <v>1.51</v>
      </c>
      <c r="N620" s="139">
        <v>1.41</v>
      </c>
      <c r="O620" s="139">
        <f t="shared" si="61"/>
        <v>1.51</v>
      </c>
      <c r="P620" s="139">
        <f t="shared" si="60"/>
        <v>1.51</v>
      </c>
    </row>
    <row r="621" spans="1:16" x14ac:dyDescent="0.35">
      <c r="A621" s="14" t="s">
        <v>86</v>
      </c>
      <c r="B621" s="4">
        <v>20.93</v>
      </c>
      <c r="C621" s="4">
        <v>26.94</v>
      </c>
      <c r="D621" s="4">
        <v>43.67</v>
      </c>
      <c r="E621" s="4">
        <v>39.619999999999997</v>
      </c>
      <c r="F621" s="4">
        <v>10.29</v>
      </c>
      <c r="G621" s="4">
        <v>8.9499999999999993</v>
      </c>
      <c r="H621" s="4">
        <f t="shared" si="63"/>
        <v>53.96</v>
      </c>
      <c r="I621" s="4">
        <f t="shared" si="62"/>
        <v>48.569999999999993</v>
      </c>
      <c r="J621" s="4">
        <v>1.44</v>
      </c>
      <c r="K621" s="4">
        <v>1.33</v>
      </c>
      <c r="L621" s="139" t="str">
        <f t="shared" si="59"/>
        <v xml:space="preserve"> </v>
      </c>
      <c r="M621" s="139">
        <v>1.44</v>
      </c>
      <c r="N621" s="139">
        <v>1.41</v>
      </c>
      <c r="O621" s="139">
        <f t="shared" si="61"/>
        <v>1.44</v>
      </c>
      <c r="P621" s="139">
        <f t="shared" si="60"/>
        <v>1.44</v>
      </c>
    </row>
    <row r="622" spans="1:16" x14ac:dyDescent="0.35">
      <c r="A622" s="14" t="s">
        <v>40</v>
      </c>
      <c r="B622" s="4">
        <v>31.26</v>
      </c>
      <c r="C622" s="4">
        <v>34.74</v>
      </c>
      <c r="D622" s="4">
        <v>15.88</v>
      </c>
      <c r="E622" s="4">
        <v>15.27</v>
      </c>
      <c r="F622" s="4">
        <v>19.739999999999998</v>
      </c>
      <c r="G622" s="4">
        <v>18.46</v>
      </c>
      <c r="H622" s="4">
        <f t="shared" si="63"/>
        <v>35.619999999999997</v>
      </c>
      <c r="I622" s="4">
        <f t="shared" si="62"/>
        <v>33.730000000000004</v>
      </c>
      <c r="J622" s="4">
        <v>0</v>
      </c>
      <c r="K622" s="4">
        <v>0</v>
      </c>
      <c r="L622" s="139" t="str">
        <f t="shared" si="59"/>
        <v xml:space="preserve"> </v>
      </c>
      <c r="M622" s="139" t="s">
        <v>867</v>
      </c>
      <c r="N622" s="139">
        <v>1.35</v>
      </c>
      <c r="O622" s="139">
        <f t="shared" si="61"/>
        <v>1.35</v>
      </c>
      <c r="P622" s="139" t="str">
        <f t="shared" si="60"/>
        <v xml:space="preserve"> </v>
      </c>
    </row>
    <row r="623" spans="1:16" x14ac:dyDescent="0.35">
      <c r="A623" s="14" t="s">
        <v>9</v>
      </c>
      <c r="B623" s="4">
        <v>54.06</v>
      </c>
      <c r="C623" s="4">
        <v>56.77</v>
      </c>
      <c r="D623" s="4">
        <v>12.4</v>
      </c>
      <c r="E623" s="4">
        <v>8.67</v>
      </c>
      <c r="F623" s="4">
        <v>9.4</v>
      </c>
      <c r="G623" s="4">
        <v>5.44</v>
      </c>
      <c r="H623" s="4">
        <f t="shared" si="63"/>
        <v>21.8</v>
      </c>
      <c r="I623" s="4">
        <f t="shared" si="62"/>
        <v>14.11</v>
      </c>
      <c r="J623" s="4">
        <v>1.24</v>
      </c>
      <c r="K623" s="4">
        <v>1.2</v>
      </c>
      <c r="L623" s="139" t="str">
        <f t="shared" si="59"/>
        <v xml:space="preserve"> </v>
      </c>
      <c r="M623" s="139">
        <v>1.24</v>
      </c>
      <c r="N623" s="139">
        <v>1.25</v>
      </c>
      <c r="O623" s="139">
        <f t="shared" si="61"/>
        <v>1.24</v>
      </c>
      <c r="P623" s="139">
        <f t="shared" si="60"/>
        <v>1.24</v>
      </c>
    </row>
    <row r="624" spans="1:16" x14ac:dyDescent="0.35">
      <c r="A624" s="14" t="s">
        <v>38</v>
      </c>
      <c r="B624" s="4">
        <v>64.91</v>
      </c>
      <c r="C624" s="4">
        <v>70.73</v>
      </c>
      <c r="D624" s="4">
        <v>3</v>
      </c>
      <c r="E624" s="4">
        <v>2</v>
      </c>
      <c r="F624" s="4">
        <v>2.97</v>
      </c>
      <c r="G624" s="4">
        <v>2.13</v>
      </c>
      <c r="H624" s="4">
        <f t="shared" si="63"/>
        <v>5.9700000000000006</v>
      </c>
      <c r="I624" s="4">
        <f t="shared" si="62"/>
        <v>4.13</v>
      </c>
      <c r="J624" s="4">
        <v>0</v>
      </c>
      <c r="K624" s="4">
        <v>0</v>
      </c>
      <c r="L624" s="139" t="str">
        <f t="shared" si="59"/>
        <v xml:space="preserve"> </v>
      </c>
      <c r="M624" s="139" t="s">
        <v>867</v>
      </c>
      <c r="O624" s="139">
        <f t="shared" si="61"/>
        <v>0</v>
      </c>
      <c r="P624" s="139" t="str">
        <f t="shared" si="60"/>
        <v xml:space="preserve"> </v>
      </c>
    </row>
    <row r="625" spans="1:16" x14ac:dyDescent="0.35">
      <c r="A625" s="14" t="s">
        <v>88</v>
      </c>
      <c r="B625" s="4">
        <v>22.27</v>
      </c>
      <c r="C625" s="4">
        <v>22.83</v>
      </c>
      <c r="D625" s="4">
        <v>28.2</v>
      </c>
      <c r="E625" s="4">
        <v>30.78</v>
      </c>
      <c r="F625" s="4">
        <v>6.4</v>
      </c>
      <c r="G625" s="4">
        <v>5.04</v>
      </c>
      <c r="H625" s="4">
        <f t="shared" si="63"/>
        <v>34.6</v>
      </c>
      <c r="I625" s="4">
        <f t="shared" si="62"/>
        <v>35.82</v>
      </c>
      <c r="J625" s="4">
        <v>1.38</v>
      </c>
      <c r="K625" s="4">
        <v>1.37</v>
      </c>
      <c r="L625" s="139" t="str">
        <f t="shared" si="59"/>
        <v xml:space="preserve"> </v>
      </c>
      <c r="M625" s="139">
        <v>1.38</v>
      </c>
      <c r="N625" s="139">
        <v>1.35</v>
      </c>
      <c r="O625" s="139">
        <f t="shared" si="61"/>
        <v>1.38</v>
      </c>
      <c r="P625" s="139">
        <f t="shared" si="60"/>
        <v>1.38</v>
      </c>
    </row>
    <row r="626" spans="1:16" x14ac:dyDescent="0.35">
      <c r="A626" s="14" t="s">
        <v>635</v>
      </c>
      <c r="B626" s="4">
        <v>25.8</v>
      </c>
      <c r="C626" s="4">
        <v>30.2</v>
      </c>
      <c r="D626" s="4">
        <v>22</v>
      </c>
      <c r="E626" s="4">
        <v>20.72</v>
      </c>
      <c r="F626" s="4">
        <v>25.15</v>
      </c>
      <c r="G626" s="4">
        <v>25.81</v>
      </c>
      <c r="H626" s="4">
        <f t="shared" si="63"/>
        <v>47.15</v>
      </c>
      <c r="I626" s="4">
        <f t="shared" si="62"/>
        <v>46.53</v>
      </c>
      <c r="J626" s="4">
        <v>0</v>
      </c>
      <c r="K626" s="4">
        <v>0</v>
      </c>
      <c r="L626" s="139" t="str">
        <f t="shared" si="59"/>
        <v xml:space="preserve"> </v>
      </c>
      <c r="M626" s="139" t="s">
        <v>867</v>
      </c>
      <c r="N626" s="139">
        <v>1.41</v>
      </c>
      <c r="O626" s="139">
        <f t="shared" si="61"/>
        <v>1.41</v>
      </c>
      <c r="P626" s="139" t="str">
        <f t="shared" si="60"/>
        <v xml:space="preserve"> </v>
      </c>
    </row>
    <row r="627" spans="1:16" x14ac:dyDescent="0.35">
      <c r="A627" s="14" t="s">
        <v>588</v>
      </c>
      <c r="B627" s="4">
        <v>19.91</v>
      </c>
      <c r="C627" s="4">
        <v>23.15</v>
      </c>
      <c r="D627" s="4">
        <v>11.89</v>
      </c>
      <c r="E627" s="4">
        <v>11.2</v>
      </c>
      <c r="F627" s="4">
        <v>0.55000000000000004</v>
      </c>
      <c r="G627" s="4">
        <v>0.37</v>
      </c>
      <c r="H627" s="4">
        <f t="shared" si="63"/>
        <v>12.440000000000001</v>
      </c>
      <c r="I627" s="4">
        <f t="shared" si="62"/>
        <v>11.569999999999999</v>
      </c>
      <c r="J627" s="4">
        <v>1.37</v>
      </c>
      <c r="K627" s="4">
        <v>1.31</v>
      </c>
      <c r="L627" s="139" t="str">
        <f t="shared" si="59"/>
        <v xml:space="preserve"> </v>
      </c>
      <c r="M627" s="139">
        <v>1.37</v>
      </c>
      <c r="N627" s="139">
        <v>1.41</v>
      </c>
      <c r="O627" s="139">
        <f t="shared" si="61"/>
        <v>1.37</v>
      </c>
      <c r="P627" s="139">
        <f t="shared" si="60"/>
        <v>1.37</v>
      </c>
    </row>
    <row r="628" spans="1:16" x14ac:dyDescent="0.35">
      <c r="A628" s="14" t="s">
        <v>622</v>
      </c>
      <c r="B628" s="4">
        <v>12.64</v>
      </c>
      <c r="C628" s="4">
        <v>14.41</v>
      </c>
      <c r="D628" s="4">
        <v>14.45</v>
      </c>
      <c r="E628" s="4">
        <v>13.25</v>
      </c>
      <c r="F628" s="4">
        <v>2.09</v>
      </c>
      <c r="G628" s="4">
        <v>1.62</v>
      </c>
      <c r="H628" s="4">
        <f t="shared" si="63"/>
        <v>16.54</v>
      </c>
      <c r="I628" s="4">
        <f t="shared" si="62"/>
        <v>14.870000000000001</v>
      </c>
      <c r="J628" s="4">
        <v>1.44</v>
      </c>
      <c r="K628" s="4">
        <v>1.42</v>
      </c>
      <c r="L628" s="139" t="str">
        <f t="shared" si="59"/>
        <v xml:space="preserve"> </v>
      </c>
      <c r="M628" s="139">
        <v>1.44</v>
      </c>
      <c r="N628" s="139">
        <v>1.41</v>
      </c>
      <c r="O628" s="139">
        <f t="shared" si="61"/>
        <v>1.44</v>
      </c>
      <c r="P628" s="139">
        <f t="shared" si="60"/>
        <v>1.44</v>
      </c>
    </row>
    <row r="629" spans="1:16" x14ac:dyDescent="0.35">
      <c r="A629" s="14" t="s">
        <v>632</v>
      </c>
      <c r="B629" s="4">
        <v>12.35</v>
      </c>
      <c r="C629" s="4">
        <v>14.87</v>
      </c>
      <c r="D629" s="4">
        <v>13.12</v>
      </c>
      <c r="E629" s="4">
        <v>13.49</v>
      </c>
      <c r="F629" s="4">
        <v>1.34</v>
      </c>
      <c r="G629" s="4">
        <v>0.8</v>
      </c>
      <c r="H629" s="4">
        <f t="shared" si="63"/>
        <v>14.459999999999999</v>
      </c>
      <c r="I629" s="4">
        <f t="shared" si="62"/>
        <v>14.290000000000001</v>
      </c>
      <c r="J629" s="4">
        <v>1.43</v>
      </c>
      <c r="K629" s="4">
        <v>1.43</v>
      </c>
      <c r="L629" s="139" t="str">
        <f t="shared" si="59"/>
        <v xml:space="preserve"> </v>
      </c>
      <c r="M629" s="139">
        <v>1.43</v>
      </c>
      <c r="N629" s="139">
        <v>1.41</v>
      </c>
      <c r="O629" s="139">
        <f t="shared" si="61"/>
        <v>1.43</v>
      </c>
      <c r="P629" s="139">
        <f t="shared" si="60"/>
        <v>1.43</v>
      </c>
    </row>
    <row r="630" spans="1:16" x14ac:dyDescent="0.35">
      <c r="A630" s="14" t="s">
        <v>634</v>
      </c>
      <c r="B630" s="4">
        <v>12.58</v>
      </c>
      <c r="C630" s="4">
        <v>18.62</v>
      </c>
      <c r="D630" s="4">
        <v>11.7</v>
      </c>
      <c r="E630" s="4">
        <v>11.11</v>
      </c>
      <c r="F630" s="4">
        <v>1.62</v>
      </c>
      <c r="G630" s="4">
        <v>1.02</v>
      </c>
      <c r="H630" s="4">
        <f t="shared" si="63"/>
        <v>13.32</v>
      </c>
      <c r="I630" s="4">
        <f t="shared" si="62"/>
        <v>12.129999999999999</v>
      </c>
      <c r="J630" s="4">
        <v>1.43</v>
      </c>
      <c r="K630" s="4">
        <v>1.43</v>
      </c>
      <c r="L630" s="139" t="str">
        <f t="shared" si="59"/>
        <v xml:space="preserve"> </v>
      </c>
      <c r="M630" s="139">
        <v>1.43</v>
      </c>
      <c r="N630" s="139">
        <v>1.41</v>
      </c>
      <c r="O630" s="139">
        <f t="shared" si="61"/>
        <v>1.43</v>
      </c>
      <c r="P630" s="139">
        <f t="shared" si="60"/>
        <v>1.43</v>
      </c>
    </row>
    <row r="631" spans="1:16" x14ac:dyDescent="0.35">
      <c r="A631" s="14" t="s">
        <v>596</v>
      </c>
      <c r="B631" s="4">
        <v>20.079999999999998</v>
      </c>
      <c r="C631" s="4">
        <v>26.18</v>
      </c>
      <c r="D631" s="4">
        <v>12.7</v>
      </c>
      <c r="E631" s="4">
        <v>11.83</v>
      </c>
      <c r="F631" s="4">
        <v>1</v>
      </c>
      <c r="G631" s="4">
        <v>0.55000000000000004</v>
      </c>
      <c r="H631" s="4">
        <f t="shared" si="63"/>
        <v>13.7</v>
      </c>
      <c r="I631" s="4">
        <f t="shared" si="62"/>
        <v>12.38</v>
      </c>
      <c r="J631" s="4">
        <v>0</v>
      </c>
      <c r="K631" s="4">
        <v>0</v>
      </c>
      <c r="L631" s="139" t="str">
        <f t="shared" si="59"/>
        <v xml:space="preserve"> </v>
      </c>
      <c r="M631" s="139" t="s">
        <v>867</v>
      </c>
      <c r="N631" s="139">
        <v>1.32</v>
      </c>
      <c r="O631" s="139">
        <f t="shared" si="61"/>
        <v>1.32</v>
      </c>
      <c r="P631" s="139" t="str">
        <f t="shared" si="60"/>
        <v xml:space="preserve"> </v>
      </c>
    </row>
    <row r="632" spans="1:16" x14ac:dyDescent="0.35">
      <c r="A632" s="14" t="s">
        <v>654</v>
      </c>
      <c r="B632" s="4">
        <v>21.39</v>
      </c>
      <c r="C632" s="4">
        <v>24.3</v>
      </c>
      <c r="D632" s="4">
        <v>11.29</v>
      </c>
      <c r="E632" s="4">
        <v>10.46</v>
      </c>
      <c r="F632" s="4">
        <v>0.33</v>
      </c>
      <c r="G632" s="4">
        <v>0.22</v>
      </c>
      <c r="H632" s="4">
        <f t="shared" si="63"/>
        <v>11.62</v>
      </c>
      <c r="I632" s="4">
        <f t="shared" si="62"/>
        <v>10.680000000000001</v>
      </c>
      <c r="J632" s="4">
        <v>1.36</v>
      </c>
      <c r="K632" s="4">
        <v>1.3</v>
      </c>
      <c r="L632" s="139" t="str">
        <f t="shared" si="59"/>
        <v xml:space="preserve"> </v>
      </c>
      <c r="M632" s="139">
        <v>1.36</v>
      </c>
      <c r="N632" s="139">
        <v>1.32</v>
      </c>
      <c r="O632" s="139">
        <f t="shared" si="61"/>
        <v>1.36</v>
      </c>
      <c r="P632" s="139">
        <f t="shared" si="60"/>
        <v>1.36</v>
      </c>
    </row>
    <row r="633" spans="1:16" x14ac:dyDescent="0.35">
      <c r="A633" s="14" t="s">
        <v>671</v>
      </c>
      <c r="B633" s="4">
        <v>16.43</v>
      </c>
      <c r="C633" s="4">
        <v>21.29</v>
      </c>
      <c r="D633" s="4">
        <v>16.13</v>
      </c>
      <c r="E633" s="4">
        <v>13.84</v>
      </c>
      <c r="F633" s="4">
        <v>1.45</v>
      </c>
      <c r="G633" s="4">
        <v>1</v>
      </c>
      <c r="H633" s="4">
        <f t="shared" si="63"/>
        <v>17.579999999999998</v>
      </c>
      <c r="I633" s="4">
        <f t="shared" si="62"/>
        <v>14.84</v>
      </c>
      <c r="J633" s="4">
        <v>1.42</v>
      </c>
      <c r="K633" s="4">
        <v>1.33</v>
      </c>
      <c r="L633" s="139" t="str">
        <f t="shared" si="59"/>
        <v xml:space="preserve"> </v>
      </c>
      <c r="M633" s="139">
        <v>1.42</v>
      </c>
      <c r="N633" s="139">
        <v>1.41</v>
      </c>
      <c r="O633" s="139">
        <f t="shared" si="61"/>
        <v>1.42</v>
      </c>
      <c r="P633" s="139">
        <f t="shared" si="60"/>
        <v>1.42</v>
      </c>
    </row>
    <row r="634" spans="1:16" x14ac:dyDescent="0.35">
      <c r="A634" s="14" t="s">
        <v>595</v>
      </c>
      <c r="B634" s="4">
        <v>11.4</v>
      </c>
      <c r="C634" s="4">
        <v>16.45</v>
      </c>
      <c r="D634" s="4">
        <v>13.78</v>
      </c>
      <c r="E634" s="4">
        <v>12.84</v>
      </c>
      <c r="F634" s="4">
        <v>1.23</v>
      </c>
      <c r="G634" s="4">
        <v>0.79</v>
      </c>
      <c r="H634" s="4">
        <f t="shared" si="63"/>
        <v>15.01</v>
      </c>
      <c r="I634" s="4">
        <f t="shared" si="62"/>
        <v>13.629999999999999</v>
      </c>
      <c r="J634" s="4">
        <v>1.45</v>
      </c>
      <c r="K634" s="4">
        <v>1.4</v>
      </c>
      <c r="L634" s="139" t="str">
        <f t="shared" si="59"/>
        <v xml:space="preserve"> </v>
      </c>
      <c r="M634" s="139">
        <v>1.45</v>
      </c>
      <c r="N634" s="139">
        <v>1.41</v>
      </c>
      <c r="O634" s="139">
        <f t="shared" si="61"/>
        <v>1.45</v>
      </c>
      <c r="P634" s="139">
        <f t="shared" si="60"/>
        <v>1.45</v>
      </c>
    </row>
    <row r="635" spans="1:16" x14ac:dyDescent="0.35">
      <c r="A635" s="14" t="s">
        <v>633</v>
      </c>
      <c r="B635" s="4">
        <v>12.72</v>
      </c>
      <c r="C635" s="4">
        <v>16.03</v>
      </c>
      <c r="D635" s="4">
        <v>10.3</v>
      </c>
      <c r="E635" s="4">
        <v>10.77</v>
      </c>
      <c r="F635" s="4">
        <v>4.4000000000000004</v>
      </c>
      <c r="G635" s="4">
        <v>2.69</v>
      </c>
      <c r="H635" s="4">
        <f t="shared" si="63"/>
        <v>14.700000000000001</v>
      </c>
      <c r="I635" s="4">
        <f t="shared" si="62"/>
        <v>13.459999999999999</v>
      </c>
      <c r="J635" s="4">
        <v>1.43</v>
      </c>
      <c r="K635" s="4">
        <v>1.39</v>
      </c>
      <c r="L635" s="139" t="str">
        <f t="shared" si="59"/>
        <v xml:space="preserve"> </v>
      </c>
      <c r="M635" s="139">
        <v>1.43</v>
      </c>
      <c r="N635" s="139">
        <v>1.41</v>
      </c>
      <c r="O635" s="139">
        <f t="shared" si="61"/>
        <v>1.43</v>
      </c>
      <c r="P635" s="139">
        <f t="shared" si="60"/>
        <v>1.43</v>
      </c>
    </row>
    <row r="636" spans="1:16" x14ac:dyDescent="0.35">
      <c r="A636" s="14" t="s">
        <v>652</v>
      </c>
      <c r="B636" s="4">
        <v>21.69</v>
      </c>
      <c r="C636" s="4">
        <v>21.69</v>
      </c>
      <c r="D636" s="4">
        <v>39.71</v>
      </c>
      <c r="E636" s="4">
        <v>29.35</v>
      </c>
      <c r="F636" s="4">
        <v>1.06</v>
      </c>
      <c r="G636" s="4">
        <v>0.7</v>
      </c>
      <c r="H636" s="4">
        <f t="shared" si="63"/>
        <v>40.770000000000003</v>
      </c>
      <c r="I636" s="4">
        <f t="shared" si="62"/>
        <v>30.05</v>
      </c>
      <c r="J636" s="4">
        <v>0</v>
      </c>
      <c r="K636" s="4">
        <v>0</v>
      </c>
      <c r="L636" s="139" t="str">
        <f t="shared" si="59"/>
        <v xml:space="preserve"> </v>
      </c>
      <c r="M636" s="139" t="s">
        <v>867</v>
      </c>
      <c r="N636" s="139">
        <v>1.41</v>
      </c>
      <c r="O636" s="139">
        <f t="shared" si="61"/>
        <v>1.41</v>
      </c>
      <c r="P636" s="139" t="str">
        <f t="shared" si="60"/>
        <v xml:space="preserve"> </v>
      </c>
    </row>
    <row r="637" spans="1:16" x14ac:dyDescent="0.35">
      <c r="A637" s="14" t="s">
        <v>672</v>
      </c>
      <c r="B637" s="4">
        <v>12.53</v>
      </c>
      <c r="C637" s="4">
        <v>16.04</v>
      </c>
      <c r="D637" s="4">
        <v>19.93</v>
      </c>
      <c r="E637" s="4">
        <v>16.989999999999998</v>
      </c>
      <c r="F637" s="4">
        <v>1.39</v>
      </c>
      <c r="G637" s="4">
        <v>1.21</v>
      </c>
      <c r="H637" s="4">
        <f t="shared" si="63"/>
        <v>21.32</v>
      </c>
      <c r="I637" s="4">
        <f t="shared" si="62"/>
        <v>18.2</v>
      </c>
      <c r="J637" s="4">
        <v>1.44</v>
      </c>
      <c r="K637" s="4">
        <v>1.43</v>
      </c>
      <c r="L637" s="139" t="str">
        <f t="shared" si="59"/>
        <v xml:space="preserve"> </v>
      </c>
      <c r="M637" s="139">
        <v>1.44</v>
      </c>
      <c r="N637" s="139">
        <v>1.49</v>
      </c>
      <c r="O637" s="139">
        <f t="shared" si="61"/>
        <v>1.44</v>
      </c>
      <c r="P637" s="139">
        <f t="shared" si="60"/>
        <v>1.44</v>
      </c>
    </row>
    <row r="638" spans="1:16" x14ac:dyDescent="0.35">
      <c r="A638" s="14" t="s">
        <v>585</v>
      </c>
      <c r="B638" s="4">
        <v>8.3000000000000007</v>
      </c>
      <c r="C638" s="4">
        <v>11.86</v>
      </c>
      <c r="D638" s="4">
        <v>51.86</v>
      </c>
      <c r="E638" s="4">
        <v>51.82</v>
      </c>
      <c r="F638" s="4">
        <v>14.26</v>
      </c>
      <c r="G638" s="4">
        <v>21.2</v>
      </c>
      <c r="H638" s="4">
        <f t="shared" si="63"/>
        <v>66.12</v>
      </c>
      <c r="I638" s="4">
        <f t="shared" si="62"/>
        <v>73.02</v>
      </c>
      <c r="J638" s="4">
        <v>0</v>
      </c>
      <c r="K638" s="4">
        <v>0</v>
      </c>
      <c r="L638" s="139" t="str">
        <f t="shared" si="59"/>
        <v xml:space="preserve"> </v>
      </c>
      <c r="M638" s="139" t="s">
        <v>867</v>
      </c>
      <c r="N638" s="139">
        <v>1.61</v>
      </c>
      <c r="O638" s="139">
        <f t="shared" si="61"/>
        <v>1.61</v>
      </c>
      <c r="P638" s="139" t="str">
        <f t="shared" si="60"/>
        <v xml:space="preserve"> </v>
      </c>
    </row>
    <row r="639" spans="1:16" x14ac:dyDescent="0.35">
      <c r="A639" s="14" t="s">
        <v>583</v>
      </c>
      <c r="B639" s="4">
        <v>9.15</v>
      </c>
      <c r="C639" s="4">
        <v>9.77</v>
      </c>
      <c r="D639" s="4">
        <v>39.9</v>
      </c>
      <c r="E639" s="4">
        <v>47.45</v>
      </c>
      <c r="F639" s="4">
        <v>14.9</v>
      </c>
      <c r="G639" s="4">
        <v>11.08</v>
      </c>
      <c r="H639" s="4">
        <f t="shared" si="63"/>
        <v>54.8</v>
      </c>
      <c r="I639" s="4">
        <f t="shared" si="62"/>
        <v>58.53</v>
      </c>
      <c r="J639" s="4">
        <v>0</v>
      </c>
      <c r="K639" s="4">
        <v>0</v>
      </c>
      <c r="L639" s="139" t="str">
        <f t="shared" si="59"/>
        <v xml:space="preserve"> </v>
      </c>
      <c r="M639" s="139" t="s">
        <v>867</v>
      </c>
      <c r="N639" s="139">
        <v>1.57</v>
      </c>
      <c r="O639" s="139">
        <f t="shared" si="61"/>
        <v>1.57</v>
      </c>
      <c r="P639" s="139" t="str">
        <f t="shared" si="60"/>
        <v xml:space="preserve"> </v>
      </c>
    </row>
    <row r="640" spans="1:16" x14ac:dyDescent="0.35">
      <c r="A640" s="14" t="s">
        <v>641</v>
      </c>
      <c r="B640" s="4">
        <v>8.83</v>
      </c>
      <c r="C640" s="4">
        <v>7.58</v>
      </c>
      <c r="D640" s="4">
        <v>16.38</v>
      </c>
      <c r="E640" s="4">
        <v>14.57</v>
      </c>
      <c r="F640" s="4">
        <v>60.32</v>
      </c>
      <c r="G640" s="4">
        <v>68.25</v>
      </c>
      <c r="H640" s="4">
        <f t="shared" si="63"/>
        <v>76.7</v>
      </c>
      <c r="I640" s="4">
        <f t="shared" si="62"/>
        <v>82.82</v>
      </c>
      <c r="J640" s="4">
        <v>1.58</v>
      </c>
      <c r="K640" s="4">
        <v>1.67</v>
      </c>
      <c r="L640" s="139" t="str">
        <f t="shared" si="59"/>
        <v xml:space="preserve"> </v>
      </c>
      <c r="M640" s="139">
        <v>1.58</v>
      </c>
      <c r="N640" s="139">
        <v>1.61</v>
      </c>
      <c r="O640" s="139">
        <f t="shared" si="61"/>
        <v>1.58</v>
      </c>
      <c r="P640" s="139">
        <f t="shared" si="60"/>
        <v>1.58</v>
      </c>
    </row>
    <row r="641" spans="1:16" x14ac:dyDescent="0.35">
      <c r="A641" s="14" t="s">
        <v>601</v>
      </c>
      <c r="B641" s="4">
        <v>10.19</v>
      </c>
      <c r="C641" s="4">
        <v>15.83</v>
      </c>
      <c r="D641" s="4">
        <v>45.97</v>
      </c>
      <c r="E641" s="4">
        <v>42.4</v>
      </c>
      <c r="F641" s="4">
        <v>16.97</v>
      </c>
      <c r="G641" s="4">
        <v>16.989999999999998</v>
      </c>
      <c r="H641" s="4">
        <f t="shared" si="63"/>
        <v>62.94</v>
      </c>
      <c r="I641" s="4">
        <f t="shared" si="62"/>
        <v>59.39</v>
      </c>
      <c r="J641" s="4">
        <v>0</v>
      </c>
      <c r="K641" s="4">
        <v>0</v>
      </c>
      <c r="L641" s="139" t="str">
        <f t="shared" si="59"/>
        <v xml:space="preserve"> </v>
      </c>
      <c r="M641" s="139" t="s">
        <v>867</v>
      </c>
      <c r="N641" s="139">
        <v>1.52</v>
      </c>
      <c r="O641" s="139">
        <f t="shared" si="61"/>
        <v>1.52</v>
      </c>
      <c r="P641" s="139" t="str">
        <f t="shared" si="60"/>
        <v xml:space="preserve"> </v>
      </c>
    </row>
    <row r="642" spans="1:16" x14ac:dyDescent="0.35">
      <c r="A642" s="14" t="s">
        <v>603</v>
      </c>
      <c r="B642" s="4">
        <v>38.69</v>
      </c>
      <c r="C642" s="4">
        <v>52.57</v>
      </c>
      <c r="D642" s="4">
        <v>13.9</v>
      </c>
      <c r="E642" s="4">
        <v>9.4</v>
      </c>
      <c r="F642" s="4">
        <v>15.6</v>
      </c>
      <c r="G642" s="4">
        <v>9.3000000000000007</v>
      </c>
      <c r="H642" s="4">
        <f t="shared" si="63"/>
        <v>29.5</v>
      </c>
      <c r="I642" s="4">
        <f t="shared" si="62"/>
        <v>18.700000000000003</v>
      </c>
      <c r="J642" s="4">
        <v>0</v>
      </c>
      <c r="K642" s="4">
        <v>0</v>
      </c>
      <c r="L642" s="139" t="str">
        <f t="shared" si="59"/>
        <v xml:space="preserve"> </v>
      </c>
      <c r="M642" s="139" t="s">
        <v>867</v>
      </c>
      <c r="N642" s="139">
        <v>1.35</v>
      </c>
      <c r="O642" s="139">
        <f t="shared" si="61"/>
        <v>1.35</v>
      </c>
      <c r="P642" s="139" t="str">
        <f t="shared" si="60"/>
        <v xml:space="preserve"> </v>
      </c>
    </row>
    <row r="643" spans="1:16" x14ac:dyDescent="0.35">
      <c r="A643" s="14" t="s">
        <v>594</v>
      </c>
      <c r="B643" s="4">
        <v>17.899999999999999</v>
      </c>
      <c r="C643" s="4">
        <v>17.77</v>
      </c>
      <c r="D643" s="4">
        <v>22.58</v>
      </c>
      <c r="E643" s="4">
        <v>22.09</v>
      </c>
      <c r="F643" s="4">
        <v>26.35</v>
      </c>
      <c r="G643" s="4">
        <v>31.65</v>
      </c>
      <c r="H643" s="4">
        <f t="shared" si="63"/>
        <v>48.93</v>
      </c>
      <c r="I643" s="4">
        <f t="shared" si="62"/>
        <v>53.739999999999995</v>
      </c>
      <c r="J643" s="4">
        <v>1.43</v>
      </c>
      <c r="K643" s="4">
        <v>1.44</v>
      </c>
      <c r="L643" s="139" t="str">
        <f t="shared" si="59"/>
        <v xml:space="preserve"> </v>
      </c>
      <c r="M643" s="139">
        <v>1.43</v>
      </c>
      <c r="N643" s="139">
        <v>1.52</v>
      </c>
      <c r="O643" s="139">
        <f t="shared" si="61"/>
        <v>1.43</v>
      </c>
      <c r="P643" s="139">
        <f t="shared" si="60"/>
        <v>1.43</v>
      </c>
    </row>
    <row r="644" spans="1:16" x14ac:dyDescent="0.35">
      <c r="A644" s="14" t="s">
        <v>656</v>
      </c>
      <c r="B644" s="4">
        <v>8.58</v>
      </c>
      <c r="C644" s="4">
        <v>17.670000000000002</v>
      </c>
      <c r="D644" s="4">
        <v>23.9</v>
      </c>
      <c r="E644" s="4">
        <v>24.85</v>
      </c>
      <c r="F644" s="4">
        <v>27.9</v>
      </c>
      <c r="G644" s="4">
        <v>30.65</v>
      </c>
      <c r="H644" s="4">
        <f t="shared" si="63"/>
        <v>51.8</v>
      </c>
      <c r="I644" s="4">
        <f t="shared" si="62"/>
        <v>55.5</v>
      </c>
      <c r="J644" s="4">
        <v>1.56</v>
      </c>
      <c r="K644" s="4">
        <v>1.4</v>
      </c>
      <c r="L644" s="139" t="str">
        <f t="shared" si="59"/>
        <v xml:space="preserve"> </v>
      </c>
      <c r="M644" s="139">
        <v>1.56</v>
      </c>
      <c r="N644" s="139">
        <v>1.57</v>
      </c>
      <c r="O644" s="139">
        <f t="shared" si="61"/>
        <v>1.56</v>
      </c>
      <c r="P644" s="139">
        <f t="shared" si="60"/>
        <v>1.56</v>
      </c>
    </row>
    <row r="645" spans="1:16" x14ac:dyDescent="0.35">
      <c r="A645" s="14" t="s">
        <v>629</v>
      </c>
      <c r="B645" s="4">
        <v>6</v>
      </c>
      <c r="C645" s="4">
        <v>5.26</v>
      </c>
      <c r="D645" s="4">
        <v>18.62</v>
      </c>
      <c r="E645" s="4">
        <v>20.25</v>
      </c>
      <c r="F645" s="4">
        <v>59.88</v>
      </c>
      <c r="G645" s="4">
        <v>61.66</v>
      </c>
      <c r="H645" s="4">
        <f t="shared" si="63"/>
        <v>78.5</v>
      </c>
      <c r="I645" s="4">
        <f t="shared" si="62"/>
        <v>81.91</v>
      </c>
      <c r="J645" s="4">
        <v>0</v>
      </c>
      <c r="K645" s="4">
        <v>0</v>
      </c>
      <c r="L645" s="139" t="str">
        <f t="shared" si="59"/>
        <v xml:space="preserve"> </v>
      </c>
      <c r="M645" s="139" t="s">
        <v>867</v>
      </c>
      <c r="N645" s="139">
        <v>1.61</v>
      </c>
      <c r="O645" s="139">
        <f t="shared" si="61"/>
        <v>1.61</v>
      </c>
      <c r="P645" s="139" t="str">
        <f t="shared" si="60"/>
        <v xml:space="preserve"> </v>
      </c>
    </row>
    <row r="646" spans="1:16" x14ac:dyDescent="0.35">
      <c r="A646" s="14" t="s">
        <v>597</v>
      </c>
      <c r="B646" s="4">
        <v>6.74</v>
      </c>
      <c r="C646" s="4">
        <v>6.76</v>
      </c>
      <c r="D646" s="4">
        <v>34</v>
      </c>
      <c r="E646" s="4">
        <v>35.229999999999997</v>
      </c>
      <c r="F646" s="4">
        <v>36.96</v>
      </c>
      <c r="G646" s="4">
        <v>37.67</v>
      </c>
      <c r="H646" s="4">
        <f t="shared" si="63"/>
        <v>70.960000000000008</v>
      </c>
      <c r="I646" s="4">
        <f t="shared" si="62"/>
        <v>72.900000000000006</v>
      </c>
      <c r="J646" s="4">
        <v>0</v>
      </c>
      <c r="K646" s="4">
        <v>0</v>
      </c>
      <c r="L646" s="139" t="str">
        <f t="shared" si="59"/>
        <v xml:space="preserve"> </v>
      </c>
      <c r="M646" s="139" t="s">
        <v>867</v>
      </c>
      <c r="N646" s="139">
        <v>1.61</v>
      </c>
      <c r="O646" s="139">
        <f t="shared" si="61"/>
        <v>1.61</v>
      </c>
      <c r="P646" s="139" t="str">
        <f t="shared" si="60"/>
        <v xml:space="preserve"> </v>
      </c>
    </row>
    <row r="647" spans="1:16" x14ac:dyDescent="0.35">
      <c r="A647" s="14" t="s">
        <v>642</v>
      </c>
      <c r="B647" s="4">
        <v>8.0500000000000007</v>
      </c>
      <c r="C647" s="4">
        <v>8.34</v>
      </c>
      <c r="D647" s="4">
        <v>31.39</v>
      </c>
      <c r="E647" s="4">
        <v>33.28</v>
      </c>
      <c r="F647" s="4">
        <v>45.42</v>
      </c>
      <c r="G647" s="4">
        <v>45.69</v>
      </c>
      <c r="H647" s="4">
        <f t="shared" si="63"/>
        <v>76.81</v>
      </c>
      <c r="I647" s="4">
        <f t="shared" si="62"/>
        <v>78.97</v>
      </c>
      <c r="J647" s="4">
        <v>0</v>
      </c>
      <c r="K647" s="4">
        <v>0</v>
      </c>
      <c r="L647" s="139" t="str">
        <f t="shared" ref="L647:L692" si="64">IF(AND($B647&lt;L$3,$B647&gt;L$2,$H647&lt;L$5,$H647&gt;L$4),$J647," ")</f>
        <v xml:space="preserve"> </v>
      </c>
      <c r="M647" s="139" t="s">
        <v>867</v>
      </c>
      <c r="N647" s="139">
        <v>1.61</v>
      </c>
      <c r="O647" s="139">
        <f t="shared" si="61"/>
        <v>1.61</v>
      </c>
      <c r="P647" s="139" t="str">
        <f t="shared" ref="P647:P691" si="65">IF(M647&gt;0,M647," ")</f>
        <v xml:space="preserve"> </v>
      </c>
    </row>
    <row r="648" spans="1:16" x14ac:dyDescent="0.35">
      <c r="A648" s="14" t="s">
        <v>602</v>
      </c>
      <c r="B648" s="4">
        <v>49.43</v>
      </c>
      <c r="C648" s="4">
        <v>52.47</v>
      </c>
      <c r="D648" s="4">
        <v>12.83</v>
      </c>
      <c r="E648" s="4">
        <v>9.01</v>
      </c>
      <c r="F648" s="4">
        <v>6.25</v>
      </c>
      <c r="G648" s="4">
        <v>4.12</v>
      </c>
      <c r="H648" s="4">
        <f t="shared" si="63"/>
        <v>19.079999999999998</v>
      </c>
      <c r="I648" s="4">
        <f t="shared" si="62"/>
        <v>13.129999999999999</v>
      </c>
      <c r="J648" s="4">
        <v>0</v>
      </c>
      <c r="K648" s="4">
        <v>0</v>
      </c>
      <c r="L648" s="139" t="str">
        <f t="shared" si="64"/>
        <v xml:space="preserve"> </v>
      </c>
      <c r="M648" s="139" t="s">
        <v>867</v>
      </c>
      <c r="N648" s="139">
        <v>1.22</v>
      </c>
      <c r="O648" s="139">
        <f t="shared" ref="O648:O692" si="66">IF(M648=" ",N648,M648)</f>
        <v>1.22</v>
      </c>
      <c r="P648" s="139" t="str">
        <f t="shared" si="65"/>
        <v xml:space="preserve"> </v>
      </c>
    </row>
    <row r="649" spans="1:16" x14ac:dyDescent="0.35">
      <c r="A649" s="14" t="s">
        <v>663</v>
      </c>
      <c r="B649" s="4">
        <v>42.19</v>
      </c>
      <c r="C649" s="4">
        <v>42.83</v>
      </c>
      <c r="D649" s="4">
        <v>15.86</v>
      </c>
      <c r="E649" s="4">
        <v>14.71</v>
      </c>
      <c r="F649" s="4">
        <v>11.92</v>
      </c>
      <c r="G649" s="4">
        <v>6.77</v>
      </c>
      <c r="H649" s="4">
        <f t="shared" si="63"/>
        <v>27.78</v>
      </c>
      <c r="I649" s="4">
        <f t="shared" si="62"/>
        <v>21.48</v>
      </c>
      <c r="J649" s="4">
        <v>0</v>
      </c>
      <c r="K649" s="4">
        <v>0</v>
      </c>
      <c r="L649" s="139" t="str">
        <f t="shared" si="64"/>
        <v xml:space="preserve"> </v>
      </c>
      <c r="M649" s="139" t="s">
        <v>867</v>
      </c>
      <c r="N649" s="139">
        <v>1.25</v>
      </c>
      <c r="O649" s="139">
        <f t="shared" si="66"/>
        <v>1.25</v>
      </c>
      <c r="P649" s="139" t="str">
        <f t="shared" si="65"/>
        <v xml:space="preserve"> </v>
      </c>
    </row>
    <row r="650" spans="1:16" x14ac:dyDescent="0.35">
      <c r="A650" s="14" t="s">
        <v>623</v>
      </c>
      <c r="B650" s="4">
        <v>20.5</v>
      </c>
      <c r="C650" s="4">
        <v>19.260000000000002</v>
      </c>
      <c r="D650" s="4">
        <v>26.14</v>
      </c>
      <c r="E650" s="4">
        <v>31.22</v>
      </c>
      <c r="F650" s="4">
        <v>8.33</v>
      </c>
      <c r="G650" s="4">
        <v>18.79</v>
      </c>
      <c r="H650" s="4">
        <f t="shared" si="63"/>
        <v>34.47</v>
      </c>
      <c r="I650" s="4">
        <f t="shared" si="62"/>
        <v>50.01</v>
      </c>
      <c r="J650" s="4">
        <v>1.37</v>
      </c>
      <c r="K650" s="4">
        <v>1.41</v>
      </c>
      <c r="L650" s="139" t="str">
        <f t="shared" si="64"/>
        <v xml:space="preserve"> </v>
      </c>
      <c r="M650" s="139">
        <v>1.37</v>
      </c>
      <c r="N650" s="139">
        <v>1.35</v>
      </c>
      <c r="O650" s="139">
        <f t="shared" si="66"/>
        <v>1.37</v>
      </c>
      <c r="P650" s="139">
        <f t="shared" si="65"/>
        <v>1.37</v>
      </c>
    </row>
    <row r="651" spans="1:16" x14ac:dyDescent="0.35">
      <c r="A651" s="14" t="s">
        <v>605</v>
      </c>
      <c r="B651" s="4">
        <v>32.71</v>
      </c>
      <c r="C651" s="4">
        <v>40.770000000000003</v>
      </c>
      <c r="D651" s="4">
        <v>14.22</v>
      </c>
      <c r="E651" s="4">
        <v>12.32</v>
      </c>
      <c r="F651" s="4">
        <v>30.09</v>
      </c>
      <c r="G651" s="4">
        <v>23.66</v>
      </c>
      <c r="H651" s="4">
        <f t="shared" si="63"/>
        <v>44.31</v>
      </c>
      <c r="I651" s="4">
        <f t="shared" si="62"/>
        <v>35.980000000000004</v>
      </c>
      <c r="J651" s="4">
        <v>0</v>
      </c>
      <c r="K651" s="4">
        <v>0</v>
      </c>
      <c r="L651" s="139" t="str">
        <f t="shared" si="64"/>
        <v xml:space="preserve"> </v>
      </c>
      <c r="M651" s="139" t="s">
        <v>867</v>
      </c>
      <c r="N651" s="139">
        <v>1.41</v>
      </c>
      <c r="O651" s="139">
        <f t="shared" si="66"/>
        <v>1.41</v>
      </c>
      <c r="P651" s="139" t="str">
        <f t="shared" si="65"/>
        <v xml:space="preserve"> </v>
      </c>
    </row>
    <row r="652" spans="1:16" x14ac:dyDescent="0.35">
      <c r="A652" s="14" t="s">
        <v>655</v>
      </c>
      <c r="B652" s="4">
        <v>6.15</v>
      </c>
      <c r="C652" s="4">
        <v>7.59</v>
      </c>
      <c r="D652" s="4">
        <v>39.06</v>
      </c>
      <c r="E652" s="4">
        <v>36.979999999999997</v>
      </c>
      <c r="F652" s="4">
        <v>0.74</v>
      </c>
      <c r="G652" s="4">
        <v>0.56000000000000005</v>
      </c>
      <c r="H652" s="4">
        <f t="shared" si="63"/>
        <v>39.800000000000004</v>
      </c>
      <c r="I652" s="4">
        <f t="shared" ref="I652:I692" si="67">E652+G652</f>
        <v>37.54</v>
      </c>
      <c r="J652" s="4">
        <v>1.59</v>
      </c>
      <c r="K652" s="4">
        <v>1.51</v>
      </c>
      <c r="L652" s="139" t="str">
        <f t="shared" si="64"/>
        <v xml:space="preserve"> </v>
      </c>
      <c r="M652" s="139">
        <v>1.59</v>
      </c>
      <c r="N652" s="139">
        <v>1.57</v>
      </c>
      <c r="O652" s="139">
        <f t="shared" si="66"/>
        <v>1.59</v>
      </c>
      <c r="P652" s="139">
        <f t="shared" si="65"/>
        <v>1.59</v>
      </c>
    </row>
    <row r="653" spans="1:16" x14ac:dyDescent="0.35">
      <c r="A653" s="14" t="s">
        <v>653</v>
      </c>
      <c r="B653" s="4">
        <v>11.96</v>
      </c>
      <c r="C653" s="4">
        <v>13.05</v>
      </c>
      <c r="D653" s="4">
        <v>25.33</v>
      </c>
      <c r="E653" s="4">
        <v>24.57</v>
      </c>
      <c r="F653" s="4">
        <v>2.1</v>
      </c>
      <c r="G653" s="4">
        <v>2.5</v>
      </c>
      <c r="H653" s="4">
        <f t="shared" ref="H653:H692" si="68">D653+F653</f>
        <v>27.43</v>
      </c>
      <c r="I653" s="4">
        <f t="shared" si="67"/>
        <v>27.07</v>
      </c>
      <c r="J653" s="4">
        <v>1.47</v>
      </c>
      <c r="K653" s="4">
        <v>1.45</v>
      </c>
      <c r="L653" s="139" t="str">
        <f t="shared" si="64"/>
        <v xml:space="preserve"> </v>
      </c>
      <c r="M653" s="139">
        <v>1.47</v>
      </c>
      <c r="N653" s="139">
        <v>1.49</v>
      </c>
      <c r="O653" s="139">
        <f t="shared" si="66"/>
        <v>1.47</v>
      </c>
      <c r="P653" s="139">
        <f t="shared" si="65"/>
        <v>1.47</v>
      </c>
    </row>
    <row r="654" spans="1:16" x14ac:dyDescent="0.35">
      <c r="A654" s="14" t="s">
        <v>662</v>
      </c>
      <c r="B654" s="4">
        <v>13.35</v>
      </c>
      <c r="C654" s="4">
        <v>14.65</v>
      </c>
      <c r="D654" s="4">
        <v>28.65</v>
      </c>
      <c r="E654" s="4">
        <v>26.52</v>
      </c>
      <c r="F654" s="4">
        <v>8.91</v>
      </c>
      <c r="G654" s="4">
        <v>7.44</v>
      </c>
      <c r="H654" s="4">
        <f t="shared" si="68"/>
        <v>37.56</v>
      </c>
      <c r="I654" s="4">
        <f t="shared" si="67"/>
        <v>33.96</v>
      </c>
      <c r="J654" s="4">
        <v>1.47</v>
      </c>
      <c r="K654" s="4">
        <v>1.41</v>
      </c>
      <c r="L654" s="139" t="str">
        <f t="shared" si="64"/>
        <v xml:space="preserve"> </v>
      </c>
      <c r="M654" s="139">
        <v>1.47</v>
      </c>
      <c r="N654" s="139">
        <v>1.49</v>
      </c>
      <c r="O654" s="139">
        <f t="shared" si="66"/>
        <v>1.47</v>
      </c>
      <c r="P654" s="139">
        <f t="shared" si="65"/>
        <v>1.47</v>
      </c>
    </row>
    <row r="655" spans="1:16" x14ac:dyDescent="0.35">
      <c r="A655" s="14" t="s">
        <v>637</v>
      </c>
      <c r="B655" s="4">
        <v>16.75</v>
      </c>
      <c r="C655" s="4">
        <v>16.93</v>
      </c>
      <c r="D655" s="4">
        <v>11.5</v>
      </c>
      <c r="E655" s="4">
        <v>12</v>
      </c>
      <c r="F655" s="4">
        <v>0.8</v>
      </c>
      <c r="G655" s="4">
        <v>0.47</v>
      </c>
      <c r="H655" s="4">
        <f t="shared" si="68"/>
        <v>12.3</v>
      </c>
      <c r="I655" s="4">
        <f t="shared" si="67"/>
        <v>12.47</v>
      </c>
      <c r="J655" s="4">
        <v>1.38</v>
      </c>
      <c r="K655" s="4">
        <v>1.4</v>
      </c>
      <c r="L655" s="139" t="str">
        <f t="shared" si="64"/>
        <v xml:space="preserve"> </v>
      </c>
      <c r="M655" s="139">
        <v>1.38</v>
      </c>
      <c r="N655" s="139">
        <v>1.41</v>
      </c>
      <c r="O655" s="139">
        <f t="shared" si="66"/>
        <v>1.38</v>
      </c>
      <c r="P655" s="139">
        <f t="shared" si="65"/>
        <v>1.38</v>
      </c>
    </row>
    <row r="656" spans="1:16" x14ac:dyDescent="0.35">
      <c r="A656" s="14" t="s">
        <v>664</v>
      </c>
      <c r="B656" s="4">
        <v>47.67</v>
      </c>
      <c r="C656" s="4">
        <v>44.25</v>
      </c>
      <c r="D656" s="4">
        <v>12.2</v>
      </c>
      <c r="E656" s="4">
        <v>13.2</v>
      </c>
      <c r="F656" s="4">
        <v>7.46</v>
      </c>
      <c r="G656" s="4">
        <v>8.4499999999999993</v>
      </c>
      <c r="H656" s="4">
        <f t="shared" si="68"/>
        <v>19.66</v>
      </c>
      <c r="I656" s="4">
        <f t="shared" si="67"/>
        <v>21.65</v>
      </c>
      <c r="J656" s="4">
        <v>0</v>
      </c>
      <c r="K656" s="4">
        <v>0</v>
      </c>
      <c r="L656" s="139" t="str">
        <f t="shared" si="64"/>
        <v xml:space="preserve"> </v>
      </c>
      <c r="M656" s="139" t="s">
        <v>867</v>
      </c>
      <c r="N656" s="139">
        <v>1.22</v>
      </c>
      <c r="O656" s="139">
        <f t="shared" si="66"/>
        <v>1.22</v>
      </c>
      <c r="P656" s="139" t="str">
        <f t="shared" si="65"/>
        <v xml:space="preserve"> </v>
      </c>
    </row>
    <row r="657" spans="1:16" x14ac:dyDescent="0.35">
      <c r="A657" s="14" t="s">
        <v>636</v>
      </c>
      <c r="B657" s="4">
        <v>34.81</v>
      </c>
      <c r="C657" s="4">
        <v>43.2</v>
      </c>
      <c r="D657" s="4">
        <v>12.5</v>
      </c>
      <c r="E657" s="4">
        <v>10.6</v>
      </c>
      <c r="F657" s="4">
        <v>7.5</v>
      </c>
      <c r="G657" s="4">
        <v>4.6500000000000004</v>
      </c>
      <c r="H657" s="4">
        <f t="shared" si="68"/>
        <v>20</v>
      </c>
      <c r="I657" s="4">
        <f t="shared" si="67"/>
        <v>15.25</v>
      </c>
      <c r="J657" s="4">
        <v>0</v>
      </c>
      <c r="K657" s="4">
        <v>0</v>
      </c>
      <c r="L657" s="139" t="str">
        <f t="shared" si="64"/>
        <v xml:space="preserve"> </v>
      </c>
      <c r="M657" s="139" t="s">
        <v>867</v>
      </c>
      <c r="N657" s="139">
        <v>1.35</v>
      </c>
      <c r="O657" s="139">
        <f t="shared" si="66"/>
        <v>1.35</v>
      </c>
      <c r="P657" s="139" t="str">
        <f t="shared" si="65"/>
        <v xml:space="preserve"> </v>
      </c>
    </row>
    <row r="658" spans="1:16" x14ac:dyDescent="0.35">
      <c r="A658" s="14" t="s">
        <v>665</v>
      </c>
      <c r="B658" s="4">
        <v>34.69</v>
      </c>
      <c r="C658" s="4">
        <v>32.42</v>
      </c>
      <c r="D658" s="4">
        <v>22.1</v>
      </c>
      <c r="E658" s="4">
        <v>26.73</v>
      </c>
      <c r="F658" s="4">
        <v>12.5</v>
      </c>
      <c r="G658" s="4">
        <v>9.9</v>
      </c>
      <c r="H658" s="4">
        <f t="shared" si="68"/>
        <v>34.6</v>
      </c>
      <c r="I658" s="4">
        <f t="shared" si="67"/>
        <v>36.630000000000003</v>
      </c>
      <c r="J658" s="4">
        <v>0</v>
      </c>
      <c r="K658" s="4">
        <v>0</v>
      </c>
      <c r="L658" s="139" t="str">
        <f t="shared" si="64"/>
        <v xml:space="preserve"> </v>
      </c>
      <c r="M658" s="139" t="s">
        <v>867</v>
      </c>
      <c r="N658" s="139">
        <v>1.35</v>
      </c>
      <c r="O658" s="139">
        <f t="shared" si="66"/>
        <v>1.35</v>
      </c>
      <c r="P658" s="139" t="str">
        <f t="shared" si="65"/>
        <v xml:space="preserve"> </v>
      </c>
    </row>
    <row r="659" spans="1:16" x14ac:dyDescent="0.35">
      <c r="A659" s="14" t="s">
        <v>274</v>
      </c>
      <c r="B659" s="4">
        <v>22.03</v>
      </c>
      <c r="C659" s="4">
        <v>23.61</v>
      </c>
      <c r="D659" s="4">
        <v>15.74</v>
      </c>
      <c r="E659" s="4">
        <v>16.09</v>
      </c>
      <c r="F659" s="4">
        <v>1.89</v>
      </c>
      <c r="G659" s="4">
        <v>1.3</v>
      </c>
      <c r="H659" s="4">
        <f t="shared" si="68"/>
        <v>17.63</v>
      </c>
      <c r="I659" s="4">
        <f t="shared" si="67"/>
        <v>17.39</v>
      </c>
      <c r="J659" s="4">
        <v>1.36</v>
      </c>
      <c r="K659" s="4">
        <v>1.32</v>
      </c>
      <c r="L659" s="139" t="str">
        <f t="shared" si="64"/>
        <v xml:space="preserve"> </v>
      </c>
      <c r="M659" s="139">
        <v>1.36</v>
      </c>
      <c r="N659" s="139">
        <v>1.32</v>
      </c>
      <c r="O659" s="139">
        <f t="shared" si="66"/>
        <v>1.36</v>
      </c>
      <c r="P659" s="139">
        <f t="shared" si="65"/>
        <v>1.36</v>
      </c>
    </row>
    <row r="660" spans="1:16" x14ac:dyDescent="0.35">
      <c r="A660" s="14" t="s">
        <v>286</v>
      </c>
      <c r="B660" s="4">
        <v>27.44</v>
      </c>
      <c r="C660" s="4">
        <v>27.05</v>
      </c>
      <c r="D660" s="4">
        <v>16.7</v>
      </c>
      <c r="E660" s="4">
        <v>16.73</v>
      </c>
      <c r="F660" s="4">
        <v>3.3</v>
      </c>
      <c r="G660" s="4">
        <v>2.5099999999999998</v>
      </c>
      <c r="H660" s="4">
        <f t="shared" si="68"/>
        <v>20</v>
      </c>
      <c r="I660" s="4">
        <f t="shared" si="67"/>
        <v>19.240000000000002</v>
      </c>
      <c r="J660" s="4">
        <v>1.32</v>
      </c>
      <c r="K660" s="4">
        <v>1.32</v>
      </c>
      <c r="L660" s="139" t="str">
        <f t="shared" si="64"/>
        <v xml:space="preserve"> </v>
      </c>
      <c r="M660" s="139">
        <v>1.32</v>
      </c>
      <c r="N660" s="139">
        <v>1.35</v>
      </c>
      <c r="O660" s="139">
        <f t="shared" si="66"/>
        <v>1.32</v>
      </c>
      <c r="P660" s="139">
        <f t="shared" si="65"/>
        <v>1.32</v>
      </c>
    </row>
    <row r="661" spans="1:16" x14ac:dyDescent="0.35">
      <c r="A661" s="14" t="s">
        <v>288</v>
      </c>
      <c r="B661" s="4">
        <v>24.22</v>
      </c>
      <c r="C661" s="4">
        <v>24.68</v>
      </c>
      <c r="D661" s="4">
        <v>19.3</v>
      </c>
      <c r="E661" s="4">
        <v>19.88</v>
      </c>
      <c r="F661" s="4">
        <v>10</v>
      </c>
      <c r="G661" s="4">
        <v>10.98</v>
      </c>
      <c r="H661" s="4">
        <f t="shared" si="68"/>
        <v>29.3</v>
      </c>
      <c r="I661" s="4">
        <f t="shared" si="67"/>
        <v>30.86</v>
      </c>
      <c r="J661" s="4">
        <v>0</v>
      </c>
      <c r="K661" s="4">
        <v>0</v>
      </c>
      <c r="L661" s="139" t="str">
        <f t="shared" si="64"/>
        <v xml:space="preserve"> </v>
      </c>
      <c r="M661" s="139" t="s">
        <v>867</v>
      </c>
      <c r="N661" s="139">
        <v>1.35</v>
      </c>
      <c r="O661" s="139">
        <f t="shared" si="66"/>
        <v>1.35</v>
      </c>
      <c r="P661" s="139" t="str">
        <f t="shared" si="65"/>
        <v xml:space="preserve"> </v>
      </c>
    </row>
    <row r="662" spans="1:16" x14ac:dyDescent="0.35">
      <c r="A662" s="14" t="s">
        <v>576</v>
      </c>
      <c r="B662" s="4">
        <v>19.809999999999999</v>
      </c>
      <c r="C662" s="4">
        <v>20.57</v>
      </c>
      <c r="D662" s="4">
        <v>15</v>
      </c>
      <c r="E662" s="4">
        <v>16.18</v>
      </c>
      <c r="F662" s="4">
        <v>10.52</v>
      </c>
      <c r="G662" s="4">
        <v>10.93</v>
      </c>
      <c r="H662" s="4">
        <f t="shared" si="68"/>
        <v>25.52</v>
      </c>
      <c r="I662" s="4">
        <f t="shared" si="67"/>
        <v>27.11</v>
      </c>
      <c r="J662" s="4">
        <v>1.38</v>
      </c>
      <c r="K662" s="4">
        <v>1.36</v>
      </c>
      <c r="L662" s="139" t="str">
        <f t="shared" si="64"/>
        <v xml:space="preserve"> </v>
      </c>
      <c r="M662" s="139">
        <v>1.38</v>
      </c>
      <c r="N662" s="139">
        <v>1.49</v>
      </c>
      <c r="O662" s="139">
        <f t="shared" si="66"/>
        <v>1.38</v>
      </c>
      <c r="P662" s="139">
        <f t="shared" si="65"/>
        <v>1.38</v>
      </c>
    </row>
    <row r="663" spans="1:16" x14ac:dyDescent="0.35">
      <c r="A663" s="14" t="s">
        <v>321</v>
      </c>
      <c r="B663" s="4">
        <v>49.3</v>
      </c>
      <c r="C663" s="4">
        <v>49.74</v>
      </c>
      <c r="D663" s="4">
        <v>9.0299999999999994</v>
      </c>
      <c r="E663" s="4">
        <v>8.0399999999999991</v>
      </c>
      <c r="F663" s="4">
        <v>5.57</v>
      </c>
      <c r="G663" s="4">
        <v>4.74</v>
      </c>
      <c r="H663" s="4">
        <f t="shared" si="68"/>
        <v>14.6</v>
      </c>
      <c r="I663" s="4">
        <f t="shared" si="67"/>
        <v>12.78</v>
      </c>
      <c r="J663" s="4">
        <v>1.23</v>
      </c>
      <c r="K663" s="4">
        <v>1.21</v>
      </c>
      <c r="L663" s="139" t="str">
        <f t="shared" si="64"/>
        <v xml:space="preserve"> </v>
      </c>
      <c r="M663" s="139">
        <v>1.23</v>
      </c>
      <c r="N663" s="139">
        <v>1.22</v>
      </c>
      <c r="O663" s="139">
        <f t="shared" si="66"/>
        <v>1.23</v>
      </c>
      <c r="P663" s="139">
        <f t="shared" si="65"/>
        <v>1.23</v>
      </c>
    </row>
    <row r="664" spans="1:16" x14ac:dyDescent="0.35">
      <c r="A664" s="14" t="s">
        <v>271</v>
      </c>
      <c r="B664" s="4">
        <v>19.11</v>
      </c>
      <c r="C664" s="4">
        <v>22.91</v>
      </c>
      <c r="D664" s="4">
        <v>20.149999999999999</v>
      </c>
      <c r="E664" s="4">
        <v>18.38</v>
      </c>
      <c r="F664" s="4">
        <v>1.07</v>
      </c>
      <c r="G664" s="4">
        <v>0.83</v>
      </c>
      <c r="H664" s="4">
        <f t="shared" si="68"/>
        <v>21.22</v>
      </c>
      <c r="I664" s="4">
        <f t="shared" si="67"/>
        <v>19.209999999999997</v>
      </c>
      <c r="J664" s="4">
        <v>1.38</v>
      </c>
      <c r="K664" s="4">
        <v>1.32</v>
      </c>
      <c r="L664" s="139" t="str">
        <f t="shared" si="64"/>
        <v xml:space="preserve"> </v>
      </c>
      <c r="M664" s="139">
        <v>1.38</v>
      </c>
      <c r="N664" s="139">
        <v>1.49</v>
      </c>
      <c r="O664" s="139">
        <f t="shared" si="66"/>
        <v>1.38</v>
      </c>
      <c r="P664" s="139">
        <f t="shared" si="65"/>
        <v>1.38</v>
      </c>
    </row>
    <row r="665" spans="1:16" x14ac:dyDescent="0.35">
      <c r="A665" s="14" t="s">
        <v>262</v>
      </c>
      <c r="B665" s="4">
        <v>14.65</v>
      </c>
      <c r="C665" s="4">
        <v>21.31</v>
      </c>
      <c r="D665" s="4">
        <v>13.5</v>
      </c>
      <c r="E665" s="4">
        <v>12.37</v>
      </c>
      <c r="F665" s="4">
        <v>2.0699999999999998</v>
      </c>
      <c r="G665" s="4">
        <v>1.32</v>
      </c>
      <c r="H665" s="4">
        <f t="shared" si="68"/>
        <v>15.57</v>
      </c>
      <c r="I665" s="4">
        <f t="shared" si="67"/>
        <v>13.69</v>
      </c>
      <c r="J665" s="4">
        <v>1.4</v>
      </c>
      <c r="K665" s="4">
        <v>1.4</v>
      </c>
      <c r="L665" s="139" t="str">
        <f t="shared" si="64"/>
        <v xml:space="preserve"> </v>
      </c>
      <c r="M665" s="139">
        <v>1.4</v>
      </c>
      <c r="N665" s="139">
        <v>1.41</v>
      </c>
      <c r="O665" s="139">
        <f t="shared" si="66"/>
        <v>1.4</v>
      </c>
      <c r="P665" s="139">
        <f t="shared" si="65"/>
        <v>1.4</v>
      </c>
    </row>
    <row r="666" spans="1:16" x14ac:dyDescent="0.35">
      <c r="A666" s="14" t="s">
        <v>276</v>
      </c>
      <c r="B666" s="4">
        <v>22.37</v>
      </c>
      <c r="C666" s="4">
        <v>27.83</v>
      </c>
      <c r="D666" s="4">
        <v>14.25</v>
      </c>
      <c r="E666" s="4">
        <v>13.92</v>
      </c>
      <c r="F666" s="4">
        <v>2.46</v>
      </c>
      <c r="G666" s="4">
        <v>1.69</v>
      </c>
      <c r="H666" s="4">
        <f t="shared" si="68"/>
        <v>16.71</v>
      </c>
      <c r="I666" s="4">
        <f t="shared" si="67"/>
        <v>15.61</v>
      </c>
      <c r="J666" s="4">
        <v>1.34</v>
      </c>
      <c r="K666" s="4">
        <v>1.36</v>
      </c>
      <c r="L666" s="139" t="str">
        <f t="shared" si="64"/>
        <v xml:space="preserve"> </v>
      </c>
      <c r="M666" s="139">
        <v>1.34</v>
      </c>
      <c r="N666" s="139">
        <v>1.32</v>
      </c>
      <c r="O666" s="139">
        <f t="shared" si="66"/>
        <v>1.34</v>
      </c>
      <c r="P666" s="139">
        <f t="shared" si="65"/>
        <v>1.34</v>
      </c>
    </row>
    <row r="667" spans="1:16" x14ac:dyDescent="0.35">
      <c r="A667" s="14" t="s">
        <v>263</v>
      </c>
      <c r="B667" s="4">
        <v>19.559999999999999</v>
      </c>
      <c r="C667" s="4">
        <v>27.42</v>
      </c>
      <c r="D667" s="4">
        <v>9.27</v>
      </c>
      <c r="E667" s="4">
        <v>7.94</v>
      </c>
      <c r="F667" s="4">
        <v>0.89</v>
      </c>
      <c r="G667" s="4">
        <v>0.54</v>
      </c>
      <c r="H667" s="4">
        <f t="shared" si="68"/>
        <v>10.16</v>
      </c>
      <c r="I667" s="4">
        <f t="shared" si="67"/>
        <v>8.48</v>
      </c>
      <c r="J667" s="4">
        <v>1.38</v>
      </c>
      <c r="K667" s="4">
        <v>1.26</v>
      </c>
      <c r="L667" s="139" t="str">
        <f t="shared" si="64"/>
        <v xml:space="preserve"> </v>
      </c>
      <c r="M667" s="139">
        <v>1.38</v>
      </c>
      <c r="N667" s="139">
        <v>1.41</v>
      </c>
      <c r="O667" s="139">
        <f t="shared" si="66"/>
        <v>1.38</v>
      </c>
      <c r="P667" s="139">
        <f t="shared" si="65"/>
        <v>1.38</v>
      </c>
    </row>
    <row r="668" spans="1:16" x14ac:dyDescent="0.35">
      <c r="A668" s="14" t="s">
        <v>256</v>
      </c>
      <c r="B668" s="4">
        <v>29.09</v>
      </c>
      <c r="C668" s="4">
        <v>32.630000000000003</v>
      </c>
      <c r="D668" s="4">
        <v>9.6300000000000008</v>
      </c>
      <c r="E668" s="4">
        <v>7.71</v>
      </c>
      <c r="F668" s="4">
        <v>1.88</v>
      </c>
      <c r="G668" s="4">
        <v>1.0900000000000001</v>
      </c>
      <c r="H668" s="4">
        <f t="shared" si="68"/>
        <v>11.510000000000002</v>
      </c>
      <c r="I668" s="4">
        <f t="shared" si="67"/>
        <v>8.8000000000000007</v>
      </c>
      <c r="J668" s="4">
        <v>1.31</v>
      </c>
      <c r="K668" s="4">
        <v>1.25</v>
      </c>
      <c r="L668" s="139" t="str">
        <f t="shared" si="64"/>
        <v xml:space="preserve"> </v>
      </c>
      <c r="M668" s="139">
        <v>1.31</v>
      </c>
      <c r="N668" s="139">
        <v>1.32</v>
      </c>
      <c r="O668" s="139">
        <f t="shared" si="66"/>
        <v>1.31</v>
      </c>
      <c r="P668" s="139">
        <f t="shared" si="65"/>
        <v>1.31</v>
      </c>
    </row>
    <row r="669" spans="1:16" x14ac:dyDescent="0.35">
      <c r="A669" s="14" t="s">
        <v>265</v>
      </c>
      <c r="B669" s="4">
        <v>22.23</v>
      </c>
      <c r="C669" s="4">
        <v>24.29</v>
      </c>
      <c r="D669" s="4">
        <v>14.67</v>
      </c>
      <c r="E669" s="4">
        <v>15.69</v>
      </c>
      <c r="F669" s="4">
        <v>1.64</v>
      </c>
      <c r="G669" s="4">
        <v>1.02</v>
      </c>
      <c r="H669" s="4">
        <f t="shared" si="68"/>
        <v>16.309999999999999</v>
      </c>
      <c r="I669" s="4">
        <f t="shared" si="67"/>
        <v>16.71</v>
      </c>
      <c r="J669" s="4">
        <v>0</v>
      </c>
      <c r="K669" s="4">
        <v>0</v>
      </c>
      <c r="L669" s="139" t="str">
        <f t="shared" si="64"/>
        <v xml:space="preserve"> </v>
      </c>
      <c r="M669" s="139" t="s">
        <v>867</v>
      </c>
      <c r="N669" s="139">
        <v>1.32</v>
      </c>
      <c r="O669" s="139">
        <f t="shared" si="66"/>
        <v>1.32</v>
      </c>
      <c r="P669" s="139" t="str">
        <f t="shared" si="65"/>
        <v xml:space="preserve"> </v>
      </c>
    </row>
    <row r="670" spans="1:16" x14ac:dyDescent="0.35">
      <c r="A670" s="14" t="s">
        <v>266</v>
      </c>
      <c r="B670" s="4">
        <v>20.98</v>
      </c>
      <c r="C670" s="4">
        <v>22.59</v>
      </c>
      <c r="D670" s="4">
        <v>17.989999999999998</v>
      </c>
      <c r="E670" s="4">
        <v>21.33</v>
      </c>
      <c r="F670" s="4">
        <v>1.46</v>
      </c>
      <c r="G670" s="4">
        <v>0.82</v>
      </c>
      <c r="H670" s="4">
        <f t="shared" si="68"/>
        <v>19.45</v>
      </c>
      <c r="I670" s="4">
        <f t="shared" si="67"/>
        <v>22.15</v>
      </c>
      <c r="J670" s="4">
        <v>1.37</v>
      </c>
      <c r="K670" s="4">
        <v>1.34</v>
      </c>
      <c r="L670" s="139" t="str">
        <f t="shared" si="64"/>
        <v xml:space="preserve"> </v>
      </c>
      <c r="M670" s="139">
        <v>1.37</v>
      </c>
      <c r="N670" s="139">
        <v>1.32</v>
      </c>
      <c r="O670" s="139">
        <f t="shared" si="66"/>
        <v>1.37</v>
      </c>
      <c r="P670" s="139">
        <f t="shared" si="65"/>
        <v>1.37</v>
      </c>
    </row>
    <row r="671" spans="1:16" x14ac:dyDescent="0.35">
      <c r="A671" s="14" t="s">
        <v>285</v>
      </c>
      <c r="B671" s="4">
        <v>18.93</v>
      </c>
      <c r="C671" s="4">
        <v>27.43</v>
      </c>
      <c r="D671" s="4">
        <v>21.2</v>
      </c>
      <c r="E671" s="4">
        <v>16.55</v>
      </c>
      <c r="F671" s="4">
        <v>0.1</v>
      </c>
      <c r="G671" s="4">
        <v>1.3</v>
      </c>
      <c r="H671" s="4">
        <f t="shared" si="68"/>
        <v>21.3</v>
      </c>
      <c r="I671" s="4">
        <f t="shared" si="67"/>
        <v>17.850000000000001</v>
      </c>
      <c r="J671" s="4">
        <v>0</v>
      </c>
      <c r="K671" s="4">
        <v>0</v>
      </c>
      <c r="L671" s="139" t="str">
        <f t="shared" si="64"/>
        <v xml:space="preserve"> </v>
      </c>
      <c r="M671" s="139" t="s">
        <v>867</v>
      </c>
      <c r="N671" s="139">
        <v>1.49</v>
      </c>
      <c r="O671" s="139">
        <f t="shared" si="66"/>
        <v>1.49</v>
      </c>
      <c r="P671" s="139" t="str">
        <f t="shared" si="65"/>
        <v xml:space="preserve"> </v>
      </c>
    </row>
    <row r="672" spans="1:16" x14ac:dyDescent="0.35">
      <c r="A672" s="14" t="s">
        <v>289</v>
      </c>
      <c r="B672" s="4">
        <v>21.37</v>
      </c>
      <c r="C672" s="4">
        <v>25.64</v>
      </c>
      <c r="D672" s="4">
        <v>16.07</v>
      </c>
      <c r="E672" s="4">
        <v>15.4</v>
      </c>
      <c r="F672" s="4">
        <v>2.25</v>
      </c>
      <c r="G672" s="4">
        <v>1.66</v>
      </c>
      <c r="H672" s="4">
        <f t="shared" si="68"/>
        <v>18.32</v>
      </c>
      <c r="I672" s="4">
        <f t="shared" si="67"/>
        <v>17.059999999999999</v>
      </c>
      <c r="J672" s="4">
        <v>1.36</v>
      </c>
      <c r="K672" s="4">
        <v>1.36</v>
      </c>
      <c r="L672" s="139" t="str">
        <f t="shared" si="64"/>
        <v xml:space="preserve"> </v>
      </c>
      <c r="M672" s="139">
        <v>1.36</v>
      </c>
      <c r="N672" s="139">
        <v>1.32</v>
      </c>
      <c r="O672" s="139">
        <f t="shared" si="66"/>
        <v>1.36</v>
      </c>
      <c r="P672" s="139">
        <f t="shared" si="65"/>
        <v>1.36</v>
      </c>
    </row>
    <row r="673" spans="1:16" x14ac:dyDescent="0.35">
      <c r="A673" s="14" t="s">
        <v>264</v>
      </c>
      <c r="B673" s="4">
        <v>12.65</v>
      </c>
      <c r="C673" s="4">
        <v>18.21</v>
      </c>
      <c r="D673" s="4">
        <v>12.9</v>
      </c>
      <c r="E673" s="4">
        <v>12.85</v>
      </c>
      <c r="F673" s="4">
        <v>2.34</v>
      </c>
      <c r="G673" s="4">
        <v>1.38</v>
      </c>
      <c r="H673" s="4">
        <f t="shared" si="68"/>
        <v>15.24</v>
      </c>
      <c r="I673" s="4">
        <f t="shared" si="67"/>
        <v>14.23</v>
      </c>
      <c r="J673" s="4">
        <v>1.44</v>
      </c>
      <c r="K673" s="4">
        <v>1.39</v>
      </c>
      <c r="L673" s="139" t="str">
        <f t="shared" si="64"/>
        <v xml:space="preserve"> </v>
      </c>
      <c r="M673" s="139">
        <v>1.44</v>
      </c>
      <c r="N673" s="139">
        <v>1.41</v>
      </c>
      <c r="O673" s="139">
        <f t="shared" si="66"/>
        <v>1.44</v>
      </c>
      <c r="P673" s="139">
        <f t="shared" si="65"/>
        <v>1.44</v>
      </c>
    </row>
    <row r="674" spans="1:16" x14ac:dyDescent="0.35">
      <c r="A674" s="14" t="s">
        <v>257</v>
      </c>
      <c r="B674" s="4">
        <v>12.47</v>
      </c>
      <c r="C674" s="4">
        <v>20.420000000000002</v>
      </c>
      <c r="D674" s="4">
        <v>14.93</v>
      </c>
      <c r="E674" s="4">
        <v>12.43</v>
      </c>
      <c r="F674" s="4">
        <v>0.89</v>
      </c>
      <c r="G674" s="4">
        <v>0.56999999999999995</v>
      </c>
      <c r="H674" s="4">
        <f t="shared" si="68"/>
        <v>15.82</v>
      </c>
      <c r="I674" s="4">
        <f t="shared" si="67"/>
        <v>13</v>
      </c>
      <c r="J674" s="4">
        <v>1.44</v>
      </c>
      <c r="K674" s="4">
        <v>1.38</v>
      </c>
      <c r="L674" s="139" t="str">
        <f t="shared" si="64"/>
        <v xml:space="preserve"> </v>
      </c>
      <c r="M674" s="139">
        <v>1.44</v>
      </c>
      <c r="N674" s="139">
        <v>1.41</v>
      </c>
      <c r="O674" s="139">
        <f t="shared" si="66"/>
        <v>1.44</v>
      </c>
      <c r="P674" s="139">
        <f t="shared" si="65"/>
        <v>1.44</v>
      </c>
    </row>
    <row r="675" spans="1:16" x14ac:dyDescent="0.35">
      <c r="A675" s="14" t="s">
        <v>258</v>
      </c>
      <c r="B675" s="4">
        <v>12.64</v>
      </c>
      <c r="C675" s="4">
        <v>18.73</v>
      </c>
      <c r="D675" s="4">
        <v>12.9</v>
      </c>
      <c r="E675" s="4">
        <v>11.75</v>
      </c>
      <c r="F675" s="4">
        <v>2.1</v>
      </c>
      <c r="G675" s="4">
        <v>1.28</v>
      </c>
      <c r="H675" s="4">
        <f t="shared" si="68"/>
        <v>15</v>
      </c>
      <c r="I675" s="4">
        <f t="shared" si="67"/>
        <v>13.03</v>
      </c>
      <c r="J675" s="4">
        <v>1.43</v>
      </c>
      <c r="K675" s="4">
        <v>1.35</v>
      </c>
      <c r="L675" s="139" t="str">
        <f t="shared" si="64"/>
        <v xml:space="preserve"> </v>
      </c>
      <c r="M675" s="139">
        <v>1.43</v>
      </c>
      <c r="N675" s="139">
        <v>1.41</v>
      </c>
      <c r="O675" s="139">
        <f t="shared" si="66"/>
        <v>1.43</v>
      </c>
      <c r="P675" s="139">
        <f t="shared" si="65"/>
        <v>1.43</v>
      </c>
    </row>
    <row r="676" spans="1:16" x14ac:dyDescent="0.35">
      <c r="A676" s="14" t="s">
        <v>269</v>
      </c>
      <c r="B676" s="4">
        <v>13.35</v>
      </c>
      <c r="C676" s="4">
        <v>17.53</v>
      </c>
      <c r="D676" s="4">
        <v>28.99</v>
      </c>
      <c r="E676" s="4">
        <v>26.8</v>
      </c>
      <c r="F676" s="4">
        <v>10.62</v>
      </c>
      <c r="G676" s="4">
        <v>8.0500000000000007</v>
      </c>
      <c r="H676" s="4">
        <f t="shared" si="68"/>
        <v>39.61</v>
      </c>
      <c r="I676" s="4">
        <f t="shared" si="67"/>
        <v>34.85</v>
      </c>
      <c r="J676" s="4">
        <v>1.47</v>
      </c>
      <c r="K676" s="4">
        <v>1.41</v>
      </c>
      <c r="L676" s="139" t="str">
        <f t="shared" si="64"/>
        <v xml:space="preserve"> </v>
      </c>
      <c r="M676" s="139">
        <v>1.47</v>
      </c>
      <c r="N676" s="139">
        <v>1.49</v>
      </c>
      <c r="O676" s="139">
        <f t="shared" si="66"/>
        <v>1.47</v>
      </c>
      <c r="P676" s="139">
        <f t="shared" si="65"/>
        <v>1.47</v>
      </c>
    </row>
    <row r="677" spans="1:16" x14ac:dyDescent="0.35">
      <c r="A677" s="14" t="s">
        <v>277</v>
      </c>
      <c r="B677" s="4">
        <v>15.85</v>
      </c>
      <c r="C677" s="4">
        <v>22.42</v>
      </c>
      <c r="D677" s="4">
        <v>12.6</v>
      </c>
      <c r="E677" s="4">
        <v>12.05</v>
      </c>
      <c r="F677" s="4">
        <v>1.49</v>
      </c>
      <c r="G677" s="4">
        <v>0.96</v>
      </c>
      <c r="H677" s="4">
        <f t="shared" si="68"/>
        <v>14.09</v>
      </c>
      <c r="I677" s="4">
        <f t="shared" si="67"/>
        <v>13.010000000000002</v>
      </c>
      <c r="J677" s="4">
        <v>1.39</v>
      </c>
      <c r="K677" s="4">
        <v>1.37</v>
      </c>
      <c r="L677" s="139" t="str">
        <f t="shared" si="64"/>
        <v xml:space="preserve"> </v>
      </c>
      <c r="M677" s="139">
        <v>1.39</v>
      </c>
      <c r="N677" s="139">
        <v>1.41</v>
      </c>
      <c r="O677" s="139">
        <f t="shared" si="66"/>
        <v>1.39</v>
      </c>
      <c r="P677" s="139">
        <f t="shared" si="65"/>
        <v>1.39</v>
      </c>
    </row>
    <row r="678" spans="1:16" x14ac:dyDescent="0.35">
      <c r="A678" s="14" t="s">
        <v>260</v>
      </c>
      <c r="B678" s="4">
        <v>12.4</v>
      </c>
      <c r="C678" s="4">
        <v>13.19</v>
      </c>
      <c r="D678" s="4">
        <v>11.45</v>
      </c>
      <c r="E678" s="4">
        <v>11.49</v>
      </c>
      <c r="F678" s="4">
        <v>3.43</v>
      </c>
      <c r="G678" s="4">
        <v>2.4500000000000002</v>
      </c>
      <c r="H678" s="4">
        <f t="shared" si="68"/>
        <v>14.879999999999999</v>
      </c>
      <c r="I678" s="4">
        <f t="shared" si="67"/>
        <v>13.940000000000001</v>
      </c>
      <c r="J678" s="4">
        <v>1.43</v>
      </c>
      <c r="K678" s="4">
        <v>1.4</v>
      </c>
      <c r="L678" s="139" t="str">
        <f t="shared" si="64"/>
        <v xml:space="preserve"> </v>
      </c>
      <c r="M678" s="139">
        <v>1.43</v>
      </c>
      <c r="N678" s="139">
        <v>1.41</v>
      </c>
      <c r="O678" s="139">
        <f t="shared" si="66"/>
        <v>1.43</v>
      </c>
      <c r="P678" s="139">
        <f t="shared" si="65"/>
        <v>1.43</v>
      </c>
    </row>
    <row r="679" spans="1:16" x14ac:dyDescent="0.35">
      <c r="A679" s="14" t="s">
        <v>280</v>
      </c>
      <c r="B679" s="4">
        <v>7.08</v>
      </c>
      <c r="C679" s="4">
        <v>6.07</v>
      </c>
      <c r="D679" s="4">
        <v>12.82</v>
      </c>
      <c r="E679" s="4">
        <v>11.09</v>
      </c>
      <c r="F679" s="4">
        <v>46.8</v>
      </c>
      <c r="G679" s="4">
        <v>56.57</v>
      </c>
      <c r="H679" s="4">
        <f t="shared" si="68"/>
        <v>59.62</v>
      </c>
      <c r="I679" s="4">
        <f t="shared" si="67"/>
        <v>67.66</v>
      </c>
      <c r="J679" s="4">
        <v>1.59</v>
      </c>
      <c r="K679" s="4">
        <v>1.64</v>
      </c>
      <c r="L679" s="139" t="str">
        <f t="shared" si="64"/>
        <v xml:space="preserve"> </v>
      </c>
      <c r="M679" s="139">
        <v>1.59</v>
      </c>
      <c r="N679" s="139">
        <v>1.57</v>
      </c>
      <c r="O679" s="139">
        <f t="shared" si="66"/>
        <v>1.59</v>
      </c>
      <c r="P679" s="139">
        <f t="shared" si="65"/>
        <v>1.59</v>
      </c>
    </row>
    <row r="680" spans="1:16" x14ac:dyDescent="0.35">
      <c r="A680" s="14" t="s">
        <v>283</v>
      </c>
      <c r="B680" s="4">
        <v>6.03</v>
      </c>
      <c r="C680" s="4">
        <v>6.03</v>
      </c>
      <c r="D680" s="4">
        <v>13.48</v>
      </c>
      <c r="E680" s="4">
        <v>13.48</v>
      </c>
      <c r="F680" s="4">
        <v>71.91</v>
      </c>
      <c r="G680" s="4">
        <v>71.91</v>
      </c>
      <c r="H680" s="4">
        <f t="shared" si="68"/>
        <v>85.39</v>
      </c>
      <c r="I680" s="4">
        <f t="shared" si="67"/>
        <v>85.39</v>
      </c>
      <c r="J680" s="4">
        <v>0</v>
      </c>
      <c r="K680" s="4">
        <v>0</v>
      </c>
      <c r="L680" s="139" t="str">
        <f t="shared" si="64"/>
        <v xml:space="preserve"> </v>
      </c>
      <c r="M680" s="139" t="s">
        <v>867</v>
      </c>
      <c r="N680" s="139">
        <v>1.61</v>
      </c>
      <c r="O680" s="139">
        <f t="shared" si="66"/>
        <v>1.61</v>
      </c>
      <c r="P680" s="139" t="str">
        <f t="shared" si="65"/>
        <v xml:space="preserve"> </v>
      </c>
    </row>
    <row r="681" spans="1:16" x14ac:dyDescent="0.35">
      <c r="A681" s="14" t="s">
        <v>316</v>
      </c>
      <c r="B681" s="4">
        <v>11.8</v>
      </c>
      <c r="C681" s="4">
        <v>10.78</v>
      </c>
      <c r="D681" s="4">
        <v>43.15</v>
      </c>
      <c r="E681" s="4">
        <v>39.85</v>
      </c>
      <c r="F681" s="4">
        <v>35.35</v>
      </c>
      <c r="G681" s="4">
        <v>41.07</v>
      </c>
      <c r="H681" s="4">
        <f t="shared" si="68"/>
        <v>78.5</v>
      </c>
      <c r="I681" s="4">
        <f t="shared" si="67"/>
        <v>80.92</v>
      </c>
      <c r="J681" s="4">
        <v>1.52</v>
      </c>
      <c r="K681" s="4">
        <v>1.61</v>
      </c>
      <c r="L681" s="139" t="str">
        <f t="shared" si="64"/>
        <v xml:space="preserve"> </v>
      </c>
      <c r="M681" s="139">
        <v>1.52</v>
      </c>
      <c r="N681" s="139">
        <v>1.52</v>
      </c>
      <c r="O681" s="139">
        <f t="shared" si="66"/>
        <v>1.52</v>
      </c>
      <c r="P681" s="139">
        <f t="shared" si="65"/>
        <v>1.52</v>
      </c>
    </row>
    <row r="682" spans="1:16" x14ac:dyDescent="0.35">
      <c r="A682" s="14" t="s">
        <v>281</v>
      </c>
      <c r="B682" s="4">
        <v>10.79</v>
      </c>
      <c r="C682" s="4">
        <v>10.79</v>
      </c>
      <c r="D682" s="4">
        <v>20.74</v>
      </c>
      <c r="E682" s="4">
        <v>20.74</v>
      </c>
      <c r="F682" s="4">
        <v>43.86</v>
      </c>
      <c r="G682" s="4">
        <v>43.86</v>
      </c>
      <c r="H682" s="4">
        <f t="shared" si="68"/>
        <v>64.599999999999994</v>
      </c>
      <c r="I682" s="4">
        <f t="shared" si="67"/>
        <v>64.599999999999994</v>
      </c>
      <c r="J682" s="4">
        <v>0</v>
      </c>
      <c r="K682" s="4">
        <v>0</v>
      </c>
      <c r="L682" s="139" t="str">
        <f t="shared" si="64"/>
        <v xml:space="preserve"> </v>
      </c>
      <c r="M682" s="139" t="s">
        <v>867</v>
      </c>
      <c r="N682" s="139">
        <v>1.52</v>
      </c>
      <c r="O682" s="139">
        <f t="shared" si="66"/>
        <v>1.52</v>
      </c>
      <c r="P682" s="139" t="str">
        <f t="shared" si="65"/>
        <v xml:space="preserve"> </v>
      </c>
    </row>
    <row r="683" spans="1:16" x14ac:dyDescent="0.35">
      <c r="A683" s="14" t="s">
        <v>270</v>
      </c>
      <c r="B683" s="4">
        <v>34.229999999999997</v>
      </c>
      <c r="C683" s="4">
        <v>32.39</v>
      </c>
      <c r="D683" s="4">
        <v>10.3</v>
      </c>
      <c r="E683" s="4">
        <v>7.45</v>
      </c>
      <c r="F683" s="4">
        <v>2.8</v>
      </c>
      <c r="G683" s="4">
        <v>1.65</v>
      </c>
      <c r="H683" s="4">
        <f t="shared" si="68"/>
        <v>13.100000000000001</v>
      </c>
      <c r="I683" s="4">
        <f t="shared" si="67"/>
        <v>9.1</v>
      </c>
      <c r="J683" s="4">
        <v>1.28</v>
      </c>
      <c r="K683" s="4">
        <v>1.28</v>
      </c>
      <c r="L683" s="139" t="str">
        <f t="shared" si="64"/>
        <v xml:space="preserve"> </v>
      </c>
      <c r="M683" s="139">
        <v>1.28</v>
      </c>
      <c r="N683" s="139">
        <v>1.32</v>
      </c>
      <c r="O683" s="139">
        <f t="shared" si="66"/>
        <v>1.28</v>
      </c>
      <c r="P683" s="139">
        <f t="shared" si="65"/>
        <v>1.28</v>
      </c>
    </row>
    <row r="684" spans="1:16" x14ac:dyDescent="0.35">
      <c r="A684" s="14" t="s">
        <v>268</v>
      </c>
      <c r="B684" s="4">
        <v>23.23</v>
      </c>
      <c r="C684" s="4">
        <v>20.12</v>
      </c>
      <c r="D684" s="4">
        <v>26.65</v>
      </c>
      <c r="E684" s="4">
        <v>31.16</v>
      </c>
      <c r="F684" s="4">
        <v>6.85</v>
      </c>
      <c r="G684" s="4">
        <v>6.51</v>
      </c>
      <c r="H684" s="4">
        <f t="shared" si="68"/>
        <v>33.5</v>
      </c>
      <c r="I684" s="4">
        <f t="shared" si="67"/>
        <v>37.67</v>
      </c>
      <c r="J684" s="4">
        <v>1.36</v>
      </c>
      <c r="K684" s="4">
        <v>1.42</v>
      </c>
      <c r="L684" s="139" t="str">
        <f t="shared" si="64"/>
        <v xml:space="preserve"> </v>
      </c>
      <c r="M684" s="139">
        <v>1.36</v>
      </c>
      <c r="N684" s="139">
        <v>1.35</v>
      </c>
      <c r="O684" s="139">
        <f t="shared" si="66"/>
        <v>1.36</v>
      </c>
      <c r="P684" s="139">
        <f t="shared" si="65"/>
        <v>1.36</v>
      </c>
    </row>
    <row r="685" spans="1:16" x14ac:dyDescent="0.35">
      <c r="A685" s="14" t="s">
        <v>259</v>
      </c>
      <c r="B685" s="4">
        <v>39.64</v>
      </c>
      <c r="C685" s="4">
        <v>40.03</v>
      </c>
      <c r="D685" s="4">
        <v>7.77</v>
      </c>
      <c r="E685" s="4">
        <v>4.99</v>
      </c>
      <c r="F685" s="4">
        <v>3.57</v>
      </c>
      <c r="G685" s="4">
        <v>2.75</v>
      </c>
      <c r="H685" s="4">
        <f t="shared" si="68"/>
        <v>11.34</v>
      </c>
      <c r="I685" s="4">
        <f t="shared" si="67"/>
        <v>7.74</v>
      </c>
      <c r="J685" s="4">
        <v>1.27</v>
      </c>
      <c r="K685" s="4">
        <v>1.22</v>
      </c>
      <c r="L685" s="139" t="str">
        <f t="shared" si="64"/>
        <v xml:space="preserve"> </v>
      </c>
      <c r="M685" s="139">
        <v>1.27</v>
      </c>
      <c r="N685" s="139">
        <v>1.32</v>
      </c>
      <c r="O685" s="139">
        <f t="shared" si="66"/>
        <v>1.27</v>
      </c>
      <c r="P685" s="139">
        <f t="shared" si="65"/>
        <v>1.27</v>
      </c>
    </row>
    <row r="686" spans="1:16" x14ac:dyDescent="0.35">
      <c r="A686" s="14" t="s">
        <v>574</v>
      </c>
      <c r="B686" s="4">
        <v>10.07</v>
      </c>
      <c r="C686" s="4">
        <v>14.62</v>
      </c>
      <c r="D686" s="4">
        <v>33.200000000000003</v>
      </c>
      <c r="E686" s="4">
        <v>28.55</v>
      </c>
      <c r="F686" s="4">
        <v>15.8</v>
      </c>
      <c r="G686" s="4">
        <v>13.15</v>
      </c>
      <c r="H686" s="4">
        <f t="shared" si="68"/>
        <v>49</v>
      </c>
      <c r="I686" s="4">
        <f t="shared" si="67"/>
        <v>41.7</v>
      </c>
      <c r="J686" s="4">
        <v>1.53</v>
      </c>
      <c r="K686" s="4">
        <v>1.4</v>
      </c>
      <c r="L686" s="139" t="str">
        <f t="shared" si="64"/>
        <v xml:space="preserve"> </v>
      </c>
      <c r="M686" s="139">
        <v>1.53</v>
      </c>
      <c r="N686" s="139">
        <v>1.52</v>
      </c>
      <c r="O686" s="139">
        <f t="shared" si="66"/>
        <v>1.53</v>
      </c>
      <c r="P686" s="139">
        <f t="shared" si="65"/>
        <v>1.53</v>
      </c>
    </row>
    <row r="687" spans="1:16" x14ac:dyDescent="0.35">
      <c r="A687" s="14" t="s">
        <v>273</v>
      </c>
      <c r="B687" s="4">
        <v>13.09</v>
      </c>
      <c r="C687" s="4">
        <v>12.05</v>
      </c>
      <c r="D687" s="4">
        <v>32.880000000000003</v>
      </c>
      <c r="E687" s="4">
        <v>32.479999999999997</v>
      </c>
      <c r="F687" s="4">
        <v>14.95</v>
      </c>
      <c r="G687" s="4">
        <v>19.02</v>
      </c>
      <c r="H687" s="4">
        <f t="shared" si="68"/>
        <v>47.83</v>
      </c>
      <c r="I687" s="4">
        <f t="shared" si="67"/>
        <v>51.5</v>
      </c>
      <c r="J687" s="4">
        <v>1.48</v>
      </c>
      <c r="K687" s="4">
        <v>1.52</v>
      </c>
      <c r="L687" s="139" t="str">
        <f t="shared" si="64"/>
        <v xml:space="preserve"> </v>
      </c>
      <c r="M687" s="139">
        <v>1.48</v>
      </c>
      <c r="N687" s="139">
        <v>1.52</v>
      </c>
      <c r="O687" s="139">
        <f t="shared" si="66"/>
        <v>1.48</v>
      </c>
      <c r="P687" s="139">
        <f t="shared" si="65"/>
        <v>1.48</v>
      </c>
    </row>
    <row r="688" spans="1:16" x14ac:dyDescent="0.35">
      <c r="A688" s="14" t="s">
        <v>282</v>
      </c>
      <c r="B688" s="4">
        <v>6.34</v>
      </c>
      <c r="C688" s="4">
        <v>6.5</v>
      </c>
      <c r="D688" s="4">
        <v>46.3</v>
      </c>
      <c r="E688" s="4">
        <v>46.38</v>
      </c>
      <c r="F688" s="4">
        <v>19.73</v>
      </c>
      <c r="G688" s="4">
        <v>16.32</v>
      </c>
      <c r="H688" s="4">
        <f t="shared" si="68"/>
        <v>66.03</v>
      </c>
      <c r="I688" s="4">
        <f t="shared" si="67"/>
        <v>62.7</v>
      </c>
      <c r="J688" s="4">
        <v>1.62</v>
      </c>
      <c r="K688" s="4">
        <v>1.63</v>
      </c>
      <c r="L688" s="139" t="str">
        <f t="shared" si="64"/>
        <v xml:space="preserve"> </v>
      </c>
      <c r="M688" s="139">
        <v>1.62</v>
      </c>
      <c r="N688" s="139">
        <v>1.61</v>
      </c>
      <c r="O688" s="139">
        <f t="shared" si="66"/>
        <v>1.62</v>
      </c>
      <c r="P688" s="139">
        <f t="shared" si="65"/>
        <v>1.62</v>
      </c>
    </row>
    <row r="689" spans="1:16" x14ac:dyDescent="0.35">
      <c r="A689" s="14" t="s">
        <v>275</v>
      </c>
      <c r="B689" s="4">
        <v>18.93</v>
      </c>
      <c r="C689" s="4">
        <v>20.170000000000002</v>
      </c>
      <c r="D689" s="4">
        <v>14.28</v>
      </c>
      <c r="E689" s="4">
        <v>13.6</v>
      </c>
      <c r="F689" s="4">
        <v>3.03</v>
      </c>
      <c r="G689" s="4">
        <v>1.77</v>
      </c>
      <c r="H689" s="4">
        <f t="shared" si="68"/>
        <v>17.309999999999999</v>
      </c>
      <c r="I689" s="4">
        <f t="shared" si="67"/>
        <v>15.37</v>
      </c>
      <c r="J689" s="4">
        <v>1.37</v>
      </c>
      <c r="K689" s="4">
        <v>1.35</v>
      </c>
      <c r="L689" s="139" t="str">
        <f t="shared" si="64"/>
        <v xml:space="preserve"> </v>
      </c>
      <c r="M689" s="139">
        <v>1.37</v>
      </c>
      <c r="N689" s="139">
        <v>1.41</v>
      </c>
      <c r="O689" s="139">
        <f t="shared" si="66"/>
        <v>1.37</v>
      </c>
      <c r="P689" s="139">
        <f t="shared" si="65"/>
        <v>1.37</v>
      </c>
    </row>
    <row r="690" spans="1:16" x14ac:dyDescent="0.35">
      <c r="A690" s="14" t="s">
        <v>278</v>
      </c>
      <c r="B690" s="4">
        <v>6.05</v>
      </c>
      <c r="C690" s="4">
        <v>7.26</v>
      </c>
      <c r="D690" s="4">
        <v>33</v>
      </c>
      <c r="E690" s="4">
        <v>27.65</v>
      </c>
      <c r="F690" s="4">
        <v>31.5</v>
      </c>
      <c r="G690" s="4">
        <v>29.45</v>
      </c>
      <c r="H690" s="4">
        <f t="shared" si="68"/>
        <v>64.5</v>
      </c>
      <c r="I690" s="4">
        <f t="shared" si="67"/>
        <v>57.099999999999994</v>
      </c>
      <c r="J690" s="4">
        <v>1.63</v>
      </c>
      <c r="K690" s="4">
        <v>1.56</v>
      </c>
      <c r="L690" s="139" t="str">
        <f t="shared" si="64"/>
        <v xml:space="preserve"> </v>
      </c>
      <c r="M690" s="139">
        <v>1.63</v>
      </c>
      <c r="N690" s="139">
        <v>1.61</v>
      </c>
      <c r="O690" s="139">
        <f t="shared" si="66"/>
        <v>1.63</v>
      </c>
      <c r="P690" s="139">
        <f t="shared" si="65"/>
        <v>1.63</v>
      </c>
    </row>
    <row r="691" spans="1:16" x14ac:dyDescent="0.35">
      <c r="A691" s="14" t="s">
        <v>319</v>
      </c>
      <c r="B691" s="4">
        <v>9.35</v>
      </c>
      <c r="C691" s="4">
        <v>11.52</v>
      </c>
      <c r="D691" s="4">
        <v>31.07</v>
      </c>
      <c r="E691" s="4">
        <v>30.88</v>
      </c>
      <c r="F691" s="4">
        <v>38.380000000000003</v>
      </c>
      <c r="G691" s="4">
        <v>38.909999999999997</v>
      </c>
      <c r="H691" s="4">
        <f t="shared" si="68"/>
        <v>69.45</v>
      </c>
      <c r="I691" s="4">
        <f t="shared" si="67"/>
        <v>69.789999999999992</v>
      </c>
      <c r="J691" s="4">
        <v>1.58</v>
      </c>
      <c r="K691" s="4">
        <v>1.51</v>
      </c>
      <c r="L691" s="139" t="str">
        <f t="shared" si="64"/>
        <v xml:space="preserve"> </v>
      </c>
      <c r="M691" s="139">
        <v>1.58</v>
      </c>
      <c r="N691" s="139">
        <v>1.61</v>
      </c>
      <c r="O691" s="139">
        <f t="shared" si="66"/>
        <v>1.58</v>
      </c>
      <c r="P691" s="139">
        <f t="shared" si="65"/>
        <v>1.58</v>
      </c>
    </row>
    <row r="692" spans="1:16" x14ac:dyDescent="0.35">
      <c r="A692" s="14" t="s">
        <v>320</v>
      </c>
      <c r="B692" s="4">
        <v>11.65</v>
      </c>
      <c r="C692" s="4">
        <v>12.4</v>
      </c>
      <c r="D692" s="4">
        <v>24.53</v>
      </c>
      <c r="E692" s="4">
        <v>24.05</v>
      </c>
      <c r="F692" s="4">
        <v>43.86</v>
      </c>
      <c r="G692" s="4">
        <v>43.55</v>
      </c>
      <c r="H692" s="4">
        <f t="shared" si="68"/>
        <v>68.39</v>
      </c>
      <c r="I692" s="4">
        <f t="shared" si="67"/>
        <v>67.599999999999994</v>
      </c>
      <c r="J692" s="4">
        <v>1.54</v>
      </c>
      <c r="K692" s="4">
        <v>1.55</v>
      </c>
      <c r="L692" s="139" t="str">
        <f t="shared" si="64"/>
        <v xml:space="preserve"> </v>
      </c>
      <c r="M692" s="139">
        <v>1.54</v>
      </c>
      <c r="N692" s="139">
        <v>1.52</v>
      </c>
      <c r="O692" s="139">
        <f t="shared" si="66"/>
        <v>1.54</v>
      </c>
      <c r="P692" s="139">
        <f>IF(M692&gt;0,M692," ")</f>
        <v>1.54</v>
      </c>
    </row>
  </sheetData>
  <mergeCells count="2">
    <mergeCell ref="B5:C5"/>
    <mergeCell ref="D5:G5"/>
  </mergeCells>
  <phoneticPr fontId="8" type="noConversion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B3988-4350-4A03-87AE-A1D9C3647EB3}">
  <sheetPr codeName="List2"/>
  <dimension ref="A1:B48"/>
  <sheetViews>
    <sheetView zoomScale="60" zoomScaleNormal="60" workbookViewId="0">
      <selection activeCell="G33" sqref="G33"/>
    </sheetView>
  </sheetViews>
  <sheetFormatPr defaultRowHeight="14.5" x14ac:dyDescent="0.35"/>
  <cols>
    <col min="1" max="1" width="12.26953125" bestFit="1" customWidth="1"/>
    <col min="2" max="2" width="51.36328125" bestFit="1" customWidth="1"/>
  </cols>
  <sheetData>
    <row r="1" spans="1:2" ht="15.5" x14ac:dyDescent="0.35">
      <c r="A1" s="425" t="s">
        <v>1010</v>
      </c>
      <c r="B1" s="452" t="s">
        <v>1036</v>
      </c>
    </row>
    <row r="2" spans="1:2" ht="15.5" x14ac:dyDescent="0.35">
      <c r="A2" s="435">
        <v>429</v>
      </c>
      <c r="B2" s="445">
        <v>183.20931151103315</v>
      </c>
    </row>
    <row r="3" spans="1:2" ht="15.5" x14ac:dyDescent="0.35">
      <c r="A3" s="435">
        <v>430</v>
      </c>
      <c r="B3" s="445">
        <v>215.24983545131695</v>
      </c>
    </row>
    <row r="4" spans="1:2" ht="15.5" x14ac:dyDescent="0.35">
      <c r="A4" s="435">
        <v>431</v>
      </c>
      <c r="B4" s="445">
        <v>187.8304622865499</v>
      </c>
    </row>
    <row r="5" spans="1:2" ht="15.5" x14ac:dyDescent="0.35">
      <c r="A5" s="435">
        <v>432</v>
      </c>
      <c r="B5" s="445">
        <v>205.48438826942922</v>
      </c>
    </row>
    <row r="6" spans="1:2" ht="15.5" x14ac:dyDescent="0.35">
      <c r="A6" s="435">
        <v>433</v>
      </c>
      <c r="B6" s="445">
        <v>205.10196256572536</v>
      </c>
    </row>
    <row r="7" spans="1:2" ht="15.5" x14ac:dyDescent="0.35">
      <c r="A7" s="435">
        <v>434</v>
      </c>
      <c r="B7" s="445">
        <v>203.04522917141304</v>
      </c>
    </row>
    <row r="8" spans="1:2" ht="15.5" x14ac:dyDescent="0.35">
      <c r="A8" s="435">
        <v>435</v>
      </c>
      <c r="B8" s="445">
        <v>170.52346020050982</v>
      </c>
    </row>
    <row r="9" spans="1:2" ht="15.5" x14ac:dyDescent="0.35">
      <c r="A9" s="435">
        <v>436</v>
      </c>
      <c r="B9" s="445">
        <v>217.35626651164321</v>
      </c>
    </row>
    <row r="10" spans="1:2" ht="15.5" x14ac:dyDescent="0.35">
      <c r="A10" s="435">
        <v>437</v>
      </c>
      <c r="B10" s="445">
        <v>197.22495963998031</v>
      </c>
    </row>
    <row r="11" spans="1:2" ht="15.5" x14ac:dyDescent="0.35">
      <c r="A11" s="435">
        <v>438</v>
      </c>
      <c r="B11" s="445">
        <v>208.01472921670026</v>
      </c>
    </row>
    <row r="12" spans="1:2" ht="15.5" x14ac:dyDescent="0.35">
      <c r="A12" s="435">
        <v>439</v>
      </c>
      <c r="B12" s="445">
        <v>238.56790586214152</v>
      </c>
    </row>
    <row r="13" spans="1:2" ht="15.5" x14ac:dyDescent="0.35">
      <c r="A13" s="435">
        <v>440</v>
      </c>
      <c r="B13" s="445">
        <v>234.39233941009934</v>
      </c>
    </row>
    <row r="14" spans="1:2" ht="15.5" x14ac:dyDescent="0.35">
      <c r="A14" s="435">
        <v>441</v>
      </c>
      <c r="B14" s="445">
        <v>223.45496426169086</v>
      </c>
    </row>
    <row r="15" spans="1:2" ht="15.5" x14ac:dyDescent="0.35">
      <c r="A15" s="437" t="s">
        <v>635</v>
      </c>
      <c r="B15" s="445">
        <v>216.07282810177693</v>
      </c>
    </row>
    <row r="16" spans="1:2" ht="15.5" x14ac:dyDescent="0.35">
      <c r="A16" s="437" t="s">
        <v>588</v>
      </c>
      <c r="B16" s="445">
        <v>240.52045660102257</v>
      </c>
    </row>
    <row r="17" spans="1:2" ht="15.5" x14ac:dyDescent="0.35">
      <c r="A17" s="437" t="s">
        <v>622</v>
      </c>
      <c r="B17" s="445">
        <v>207.51711333216073</v>
      </c>
    </row>
    <row r="18" spans="1:2" ht="15.5" x14ac:dyDescent="0.35">
      <c r="A18" s="437" t="s">
        <v>632</v>
      </c>
      <c r="B18" s="445">
        <v>202.25482110608991</v>
      </c>
    </row>
    <row r="19" spans="1:2" ht="15.5" x14ac:dyDescent="0.35">
      <c r="A19" s="437" t="s">
        <v>634</v>
      </c>
      <c r="B19" s="445">
        <v>191.38528547591673</v>
      </c>
    </row>
    <row r="20" spans="1:2" ht="15.5" x14ac:dyDescent="0.35">
      <c r="A20" s="437" t="s">
        <v>596</v>
      </c>
      <c r="B20" s="445">
        <v>227.52702750718305</v>
      </c>
    </row>
    <row r="21" spans="1:2" ht="15.5" x14ac:dyDescent="0.35">
      <c r="A21" s="437" t="s">
        <v>654</v>
      </c>
      <c r="B21" s="445">
        <v>208.59179453546381</v>
      </c>
    </row>
    <row r="22" spans="1:2" ht="15.5" x14ac:dyDescent="0.35">
      <c r="A22" s="437" t="s">
        <v>671</v>
      </c>
      <c r="B22" s="445">
        <v>195.82734833312944</v>
      </c>
    </row>
    <row r="23" spans="1:2" ht="15.5" x14ac:dyDescent="0.35">
      <c r="A23" s="437" t="s">
        <v>595</v>
      </c>
      <c r="B23" s="445">
        <v>198.75877178197771</v>
      </c>
    </row>
    <row r="24" spans="1:2" ht="15.5" x14ac:dyDescent="0.35">
      <c r="A24" s="437" t="s">
        <v>633</v>
      </c>
      <c r="B24" s="445">
        <v>198.41868945894598</v>
      </c>
    </row>
    <row r="25" spans="1:2" ht="15.5" x14ac:dyDescent="0.35">
      <c r="A25" s="437" t="s">
        <v>652</v>
      </c>
      <c r="B25" s="445">
        <v>219.12665199639551</v>
      </c>
    </row>
    <row r="26" spans="1:2" ht="15.5" x14ac:dyDescent="0.35">
      <c r="A26" s="437" t="s">
        <v>672</v>
      </c>
      <c r="B26" s="445">
        <v>176.07795981899679</v>
      </c>
    </row>
    <row r="27" spans="1:2" ht="15.5" x14ac:dyDescent="0.35">
      <c r="A27" s="437" t="s">
        <v>585</v>
      </c>
      <c r="B27" s="445">
        <v>169.54051595683876</v>
      </c>
    </row>
    <row r="28" spans="1:2" ht="15.5" x14ac:dyDescent="0.35">
      <c r="A28" s="437" t="s">
        <v>583</v>
      </c>
      <c r="B28" s="445">
        <v>180.85826697016682</v>
      </c>
    </row>
    <row r="29" spans="1:2" ht="15.5" x14ac:dyDescent="0.35">
      <c r="A29" s="437" t="s">
        <v>641</v>
      </c>
      <c r="B29" s="445">
        <v>164.56877168044892</v>
      </c>
    </row>
    <row r="30" spans="1:2" ht="15.5" x14ac:dyDescent="0.35">
      <c r="A30" s="437" t="s">
        <v>601</v>
      </c>
      <c r="B30" s="445">
        <v>181.31009428712372</v>
      </c>
    </row>
    <row r="31" spans="1:2" ht="15.5" x14ac:dyDescent="0.35">
      <c r="A31" s="437" t="s">
        <v>603</v>
      </c>
      <c r="B31" s="445">
        <v>198.96793738504684</v>
      </c>
    </row>
    <row r="32" spans="1:2" ht="15.5" x14ac:dyDescent="0.35">
      <c r="A32" s="437" t="s">
        <v>594</v>
      </c>
      <c r="B32" s="445">
        <v>228.21971340101049</v>
      </c>
    </row>
    <row r="33" spans="1:2" ht="15.5" x14ac:dyDescent="0.35">
      <c r="A33" s="437" t="s">
        <v>656</v>
      </c>
      <c r="B33" s="445">
        <v>205.33744849369555</v>
      </c>
    </row>
    <row r="34" spans="1:2" ht="15.5" x14ac:dyDescent="0.35">
      <c r="A34" s="437" t="s">
        <v>629</v>
      </c>
      <c r="B34" s="445">
        <v>153.64786078913909</v>
      </c>
    </row>
    <row r="35" spans="1:2" ht="15.5" x14ac:dyDescent="0.35">
      <c r="A35" s="437" t="s">
        <v>597</v>
      </c>
      <c r="B35" s="445">
        <v>150.19436491342569</v>
      </c>
    </row>
    <row r="36" spans="1:2" ht="15.5" x14ac:dyDescent="0.35">
      <c r="A36" s="437" t="s">
        <v>642</v>
      </c>
      <c r="B36" s="445">
        <v>166.27092858153878</v>
      </c>
    </row>
    <row r="37" spans="1:2" ht="15.5" x14ac:dyDescent="0.35">
      <c r="A37" s="437" t="s">
        <v>602</v>
      </c>
      <c r="B37" s="445">
        <v>179.65860048149301</v>
      </c>
    </row>
    <row r="38" spans="1:2" ht="15.5" x14ac:dyDescent="0.35">
      <c r="A38" s="437" t="s">
        <v>663</v>
      </c>
      <c r="B38" s="445">
        <v>184.34197057271925</v>
      </c>
    </row>
    <row r="39" spans="1:2" ht="15.5" x14ac:dyDescent="0.35">
      <c r="A39" s="437" t="s">
        <v>623</v>
      </c>
      <c r="B39" s="445">
        <v>199.40106471914731</v>
      </c>
    </row>
    <row r="40" spans="1:2" ht="15.5" x14ac:dyDescent="0.35">
      <c r="A40" s="437" t="s">
        <v>605</v>
      </c>
      <c r="B40" s="445">
        <v>202.63535263036945</v>
      </c>
    </row>
    <row r="41" spans="1:2" ht="15.5" x14ac:dyDescent="0.35">
      <c r="A41" s="437" t="s">
        <v>655</v>
      </c>
      <c r="B41" s="445">
        <v>189.37765156576833</v>
      </c>
    </row>
    <row r="42" spans="1:2" ht="15.5" x14ac:dyDescent="0.35">
      <c r="A42" s="437" t="s">
        <v>653</v>
      </c>
      <c r="B42" s="445">
        <v>233.22330745085242</v>
      </c>
    </row>
    <row r="43" spans="1:2" ht="15.5" x14ac:dyDescent="0.35">
      <c r="A43" s="437" t="s">
        <v>662</v>
      </c>
      <c r="B43" s="445">
        <v>194.88807147917237</v>
      </c>
    </row>
    <row r="44" spans="1:2" ht="15.5" x14ac:dyDescent="0.35">
      <c r="A44" s="437" t="s">
        <v>637</v>
      </c>
      <c r="B44" s="445">
        <v>215.93085743016445</v>
      </c>
    </row>
    <row r="45" spans="1:2" ht="15.5" x14ac:dyDescent="0.35">
      <c r="A45" s="437" t="s">
        <v>664</v>
      </c>
      <c r="B45" s="445">
        <v>200.10182692248748</v>
      </c>
    </row>
    <row r="46" spans="1:2" ht="15.5" x14ac:dyDescent="0.35">
      <c r="A46" s="437" t="s">
        <v>636</v>
      </c>
      <c r="B46" s="445">
        <v>210.56558011193752</v>
      </c>
    </row>
    <row r="47" spans="1:2" ht="15.5" x14ac:dyDescent="0.35">
      <c r="A47" s="437" t="s">
        <v>665</v>
      </c>
      <c r="B47" s="445">
        <v>219.11328939489076</v>
      </c>
    </row>
    <row r="48" spans="1:2" ht="16" thickBot="1" x14ac:dyDescent="0.4">
      <c r="A48" s="449" t="s">
        <v>1007</v>
      </c>
      <c r="B48" s="453">
        <f>AVERAGE(B2:B47)</f>
        <v>199.99321820923322</v>
      </c>
    </row>
  </sheetData>
  <sortState xmlns:xlrd2="http://schemas.microsoft.com/office/spreadsheetml/2017/richdata2" ref="A2:B48">
    <sortCondition ref="A1:A48"/>
  </sortState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110C7-FF7B-40BE-A3D7-5D8ABF72A2FF}">
  <sheetPr codeName="List3"/>
  <dimension ref="A1:D48"/>
  <sheetViews>
    <sheetView topLeftCell="A11" zoomScale="50" zoomScaleNormal="50" workbookViewId="0">
      <selection activeCell="D49" sqref="D49"/>
    </sheetView>
  </sheetViews>
  <sheetFormatPr defaultRowHeight="14.5" x14ac:dyDescent="0.35"/>
  <cols>
    <col min="1" max="1" width="12.26953125" bestFit="1" customWidth="1"/>
    <col min="2" max="2" width="11.26953125" bestFit="1" customWidth="1"/>
    <col min="3" max="3" width="19.08984375" bestFit="1" customWidth="1"/>
    <col min="4" max="4" width="29.6328125" bestFit="1" customWidth="1"/>
  </cols>
  <sheetData>
    <row r="1" spans="1:4" ht="15.5" x14ac:dyDescent="0.35">
      <c r="A1" s="425" t="s">
        <v>1010</v>
      </c>
      <c r="B1" s="426" t="s">
        <v>795</v>
      </c>
      <c r="C1" s="446" t="s">
        <v>980</v>
      </c>
      <c r="D1" s="447" t="s">
        <v>1035</v>
      </c>
    </row>
    <row r="2" spans="1:4" ht="15.5" x14ac:dyDescent="0.35">
      <c r="A2" s="435">
        <v>429</v>
      </c>
      <c r="B2" s="420">
        <v>10</v>
      </c>
      <c r="C2" s="420">
        <v>5</v>
      </c>
      <c r="D2" s="448">
        <v>14.666666666666682</v>
      </c>
    </row>
    <row r="3" spans="1:4" ht="15.5" x14ac:dyDescent="0.35">
      <c r="A3" s="435">
        <v>430</v>
      </c>
      <c r="B3" s="420">
        <v>3</v>
      </c>
      <c r="C3" s="420">
        <v>5</v>
      </c>
      <c r="D3" s="448">
        <v>5.3333333333333375</v>
      </c>
    </row>
    <row r="4" spans="1:4" ht="15.5" x14ac:dyDescent="0.35">
      <c r="A4" s="435">
        <v>431</v>
      </c>
      <c r="B4" s="420">
        <v>10</v>
      </c>
      <c r="C4" s="420">
        <v>5</v>
      </c>
      <c r="D4" s="448">
        <v>14.666666666666682</v>
      </c>
    </row>
    <row r="5" spans="1:4" ht="15.5" x14ac:dyDescent="0.35">
      <c r="A5" s="435">
        <v>432</v>
      </c>
      <c r="B5" s="420">
        <v>5</v>
      </c>
      <c r="C5" s="420">
        <v>5</v>
      </c>
      <c r="D5" s="448">
        <v>8.0000000000000071</v>
      </c>
    </row>
    <row r="6" spans="1:4" ht="15.5" x14ac:dyDescent="0.35">
      <c r="A6" s="435">
        <v>433</v>
      </c>
      <c r="B6" s="420">
        <v>1</v>
      </c>
      <c r="C6" s="420">
        <v>5</v>
      </c>
      <c r="D6" s="448">
        <v>2.6666666666666687</v>
      </c>
    </row>
    <row r="7" spans="1:4" ht="15.5" x14ac:dyDescent="0.35">
      <c r="A7" s="435">
        <v>434</v>
      </c>
      <c r="B7" s="420">
        <v>5</v>
      </c>
      <c r="C7" s="420">
        <v>5</v>
      </c>
      <c r="D7" s="448">
        <v>8.0000000000000071</v>
      </c>
    </row>
    <row r="8" spans="1:4" ht="15.5" x14ac:dyDescent="0.35">
      <c r="A8" s="435">
        <v>435</v>
      </c>
      <c r="B8" s="420">
        <v>10</v>
      </c>
      <c r="C8" s="420">
        <v>5</v>
      </c>
      <c r="D8" s="448">
        <v>14.666666666666682</v>
      </c>
    </row>
    <row r="9" spans="1:4" ht="15.5" x14ac:dyDescent="0.35">
      <c r="A9" s="435">
        <v>436</v>
      </c>
      <c r="B9" s="420">
        <v>5</v>
      </c>
      <c r="C9" s="420">
        <v>5</v>
      </c>
      <c r="D9" s="448">
        <v>8.0000000000000071</v>
      </c>
    </row>
    <row r="10" spans="1:4" ht="15.5" x14ac:dyDescent="0.35">
      <c r="A10" s="435">
        <v>437</v>
      </c>
      <c r="B10" s="420">
        <v>3</v>
      </c>
      <c r="C10" s="420">
        <v>5</v>
      </c>
      <c r="D10" s="448">
        <v>5.3333333333333375</v>
      </c>
    </row>
    <row r="11" spans="1:4" ht="15.5" x14ac:dyDescent="0.35">
      <c r="A11" s="435">
        <v>438</v>
      </c>
      <c r="B11" s="420">
        <v>3</v>
      </c>
      <c r="C11" s="420">
        <v>5</v>
      </c>
      <c r="D11" s="448">
        <v>5.3333333333333375</v>
      </c>
    </row>
    <row r="12" spans="1:4" ht="15.5" x14ac:dyDescent="0.35">
      <c r="A12" s="435">
        <v>439</v>
      </c>
      <c r="B12" s="420">
        <v>10</v>
      </c>
      <c r="C12" s="420">
        <v>10</v>
      </c>
      <c r="D12" s="448">
        <v>16.000000000000014</v>
      </c>
    </row>
    <row r="13" spans="1:4" ht="15.5" x14ac:dyDescent="0.35">
      <c r="A13" s="435">
        <v>440</v>
      </c>
      <c r="B13" s="420">
        <v>10</v>
      </c>
      <c r="C13" s="420">
        <v>10</v>
      </c>
      <c r="D13" s="448">
        <v>16.000000000000014</v>
      </c>
    </row>
    <row r="14" spans="1:4" ht="15.5" x14ac:dyDescent="0.35">
      <c r="A14" s="435">
        <v>441</v>
      </c>
      <c r="B14" s="420">
        <v>10</v>
      </c>
      <c r="C14" s="420">
        <v>5</v>
      </c>
      <c r="D14" s="448">
        <v>14.666666666666682</v>
      </c>
    </row>
    <row r="15" spans="1:4" ht="15.5" x14ac:dyDescent="0.35">
      <c r="A15" s="437" t="s">
        <v>635</v>
      </c>
      <c r="B15" s="422">
        <v>1</v>
      </c>
      <c r="C15" s="422">
        <v>5</v>
      </c>
      <c r="D15" s="448">
        <v>2.6666666666666687</v>
      </c>
    </row>
    <row r="16" spans="1:4" ht="15.5" x14ac:dyDescent="0.35">
      <c r="A16" s="437" t="s">
        <v>588</v>
      </c>
      <c r="B16" s="422">
        <v>3</v>
      </c>
      <c r="C16" s="422">
        <v>5</v>
      </c>
      <c r="D16" s="448">
        <v>5.3333333333333375</v>
      </c>
    </row>
    <row r="17" spans="1:4" ht="15.5" x14ac:dyDescent="0.35">
      <c r="A17" s="437" t="s">
        <v>622</v>
      </c>
      <c r="B17" s="422">
        <v>3</v>
      </c>
      <c r="C17" s="422">
        <v>5</v>
      </c>
      <c r="D17" s="448">
        <v>5.3333333333333375</v>
      </c>
    </row>
    <row r="18" spans="1:4" ht="15.5" x14ac:dyDescent="0.35">
      <c r="A18" s="437" t="s">
        <v>632</v>
      </c>
      <c r="B18" s="422">
        <v>3</v>
      </c>
      <c r="C18" s="422">
        <v>5</v>
      </c>
      <c r="D18" s="448">
        <v>5.3333333333333375</v>
      </c>
    </row>
    <row r="19" spans="1:4" ht="15.5" x14ac:dyDescent="0.35">
      <c r="A19" s="437" t="s">
        <v>634</v>
      </c>
      <c r="B19" s="422">
        <v>3</v>
      </c>
      <c r="C19" s="422">
        <v>5</v>
      </c>
      <c r="D19" s="448">
        <v>5.3333333333333375</v>
      </c>
    </row>
    <row r="20" spans="1:4" ht="15.5" x14ac:dyDescent="0.35">
      <c r="A20" s="437" t="s">
        <v>596</v>
      </c>
      <c r="B20" s="422">
        <v>3</v>
      </c>
      <c r="C20" s="422">
        <v>5</v>
      </c>
      <c r="D20" s="448">
        <v>5.3333333333333375</v>
      </c>
    </row>
    <row r="21" spans="1:4" ht="15.5" x14ac:dyDescent="0.35">
      <c r="A21" s="437" t="s">
        <v>654</v>
      </c>
      <c r="B21" s="422">
        <v>5</v>
      </c>
      <c r="C21" s="422">
        <v>5</v>
      </c>
      <c r="D21" s="448">
        <v>8.0000000000000071</v>
      </c>
    </row>
    <row r="22" spans="1:4" ht="15.5" x14ac:dyDescent="0.35">
      <c r="A22" s="437" t="s">
        <v>671</v>
      </c>
      <c r="B22" s="422">
        <v>3</v>
      </c>
      <c r="C22" s="422">
        <v>5</v>
      </c>
      <c r="D22" s="448">
        <v>5.3333333333333375</v>
      </c>
    </row>
    <row r="23" spans="1:4" ht="15.5" x14ac:dyDescent="0.35">
      <c r="A23" s="437" t="s">
        <v>595</v>
      </c>
      <c r="B23" s="422">
        <v>3</v>
      </c>
      <c r="C23" s="422">
        <v>5</v>
      </c>
      <c r="D23" s="448">
        <v>5.3333333333333375</v>
      </c>
    </row>
    <row r="24" spans="1:4" ht="15.5" x14ac:dyDescent="0.35">
      <c r="A24" s="437" t="s">
        <v>633</v>
      </c>
      <c r="B24" s="422">
        <v>3</v>
      </c>
      <c r="C24" s="422">
        <v>5</v>
      </c>
      <c r="D24" s="448">
        <v>5.3333333333333375</v>
      </c>
    </row>
    <row r="25" spans="1:4" ht="15.5" x14ac:dyDescent="0.35">
      <c r="A25" s="437" t="s">
        <v>652</v>
      </c>
      <c r="B25" s="422">
        <v>3</v>
      </c>
      <c r="C25" s="422">
        <v>5</v>
      </c>
      <c r="D25" s="448">
        <v>5.3333333333333375</v>
      </c>
    </row>
    <row r="26" spans="1:4" ht="15.5" x14ac:dyDescent="0.35">
      <c r="A26" s="437" t="s">
        <v>672</v>
      </c>
      <c r="B26" s="422">
        <v>3</v>
      </c>
      <c r="C26" s="422">
        <v>5</v>
      </c>
      <c r="D26" s="448">
        <v>5.3333333333333375</v>
      </c>
    </row>
    <row r="27" spans="1:4" ht="15.5" x14ac:dyDescent="0.35">
      <c r="A27" s="437" t="s">
        <v>585</v>
      </c>
      <c r="B27" s="422">
        <v>10</v>
      </c>
      <c r="C27" s="422">
        <v>5</v>
      </c>
      <c r="D27" s="448">
        <v>14.666666666666682</v>
      </c>
    </row>
    <row r="28" spans="1:4" ht="15.5" x14ac:dyDescent="0.35">
      <c r="A28" s="437" t="s">
        <v>583</v>
      </c>
      <c r="B28" s="422">
        <v>10</v>
      </c>
      <c r="C28" s="422">
        <v>5</v>
      </c>
      <c r="D28" s="448">
        <v>14.666666666666682</v>
      </c>
    </row>
    <row r="29" spans="1:4" ht="15.5" x14ac:dyDescent="0.35">
      <c r="A29" s="437" t="s">
        <v>641</v>
      </c>
      <c r="B29" s="422">
        <v>10</v>
      </c>
      <c r="C29" s="422">
        <v>5</v>
      </c>
      <c r="D29" s="448">
        <v>14.666666666666682</v>
      </c>
    </row>
    <row r="30" spans="1:4" ht="15.5" x14ac:dyDescent="0.35">
      <c r="A30" s="437" t="s">
        <v>601</v>
      </c>
      <c r="B30" s="422">
        <v>5</v>
      </c>
      <c r="C30" s="422">
        <v>5</v>
      </c>
      <c r="D30" s="448">
        <v>8.0000000000000071</v>
      </c>
    </row>
    <row r="31" spans="1:4" ht="15.5" x14ac:dyDescent="0.35">
      <c r="A31" s="437" t="s">
        <v>603</v>
      </c>
      <c r="B31" s="422">
        <v>3</v>
      </c>
      <c r="C31" s="422">
        <v>5</v>
      </c>
      <c r="D31" s="448">
        <v>5.3333333333333375</v>
      </c>
    </row>
    <row r="32" spans="1:4" ht="15.5" x14ac:dyDescent="0.35">
      <c r="A32" s="437" t="s">
        <v>594</v>
      </c>
      <c r="B32" s="422">
        <v>3</v>
      </c>
      <c r="C32" s="422">
        <v>5</v>
      </c>
      <c r="D32" s="448">
        <v>5.3333333333333375</v>
      </c>
    </row>
    <row r="33" spans="1:4" ht="15.5" x14ac:dyDescent="0.35">
      <c r="A33" s="437" t="s">
        <v>656</v>
      </c>
      <c r="B33" s="422">
        <v>3</v>
      </c>
      <c r="C33" s="422">
        <v>10</v>
      </c>
      <c r="D33" s="448">
        <v>6.6666666666666714</v>
      </c>
    </row>
    <row r="34" spans="1:4" ht="15.5" x14ac:dyDescent="0.35">
      <c r="A34" s="437" t="s">
        <v>629</v>
      </c>
      <c r="B34" s="422">
        <v>10</v>
      </c>
      <c r="C34" s="422">
        <v>5</v>
      </c>
      <c r="D34" s="448">
        <v>14.666666666666682</v>
      </c>
    </row>
    <row r="35" spans="1:4" ht="15.5" x14ac:dyDescent="0.35">
      <c r="A35" s="437" t="s">
        <v>597</v>
      </c>
      <c r="B35" s="422">
        <v>3</v>
      </c>
      <c r="C35" s="422">
        <v>5</v>
      </c>
      <c r="D35" s="448">
        <v>5.3333333333333375</v>
      </c>
    </row>
    <row r="36" spans="1:4" ht="15.5" x14ac:dyDescent="0.35">
      <c r="A36" s="437" t="s">
        <v>642</v>
      </c>
      <c r="B36" s="422">
        <v>5</v>
      </c>
      <c r="C36" s="422">
        <v>5</v>
      </c>
      <c r="D36" s="448">
        <v>8.0000000000000071</v>
      </c>
    </row>
    <row r="37" spans="1:4" ht="15.5" x14ac:dyDescent="0.35">
      <c r="A37" s="437" t="s">
        <v>602</v>
      </c>
      <c r="B37" s="422">
        <v>5</v>
      </c>
      <c r="C37" s="422">
        <v>5</v>
      </c>
      <c r="D37" s="448">
        <v>8.0000000000000071</v>
      </c>
    </row>
    <row r="38" spans="1:4" ht="15.5" x14ac:dyDescent="0.35">
      <c r="A38" s="437" t="s">
        <v>663</v>
      </c>
      <c r="B38" s="422">
        <v>1</v>
      </c>
      <c r="C38" s="422">
        <v>5</v>
      </c>
      <c r="D38" s="448">
        <v>2.6666666666666687</v>
      </c>
    </row>
    <row r="39" spans="1:4" ht="15.5" x14ac:dyDescent="0.35">
      <c r="A39" s="437" t="s">
        <v>623</v>
      </c>
      <c r="B39" s="422">
        <v>3</v>
      </c>
      <c r="C39" s="422">
        <v>5</v>
      </c>
      <c r="D39" s="448">
        <v>5.3333333333333375</v>
      </c>
    </row>
    <row r="40" spans="1:4" ht="15.5" x14ac:dyDescent="0.35">
      <c r="A40" s="437" t="s">
        <v>605</v>
      </c>
      <c r="B40" s="422">
        <v>1</v>
      </c>
      <c r="C40" s="422">
        <v>5</v>
      </c>
      <c r="D40" s="448">
        <v>2.6666666666666687</v>
      </c>
    </row>
    <row r="41" spans="1:4" ht="15.5" x14ac:dyDescent="0.35">
      <c r="A41" s="437" t="s">
        <v>655</v>
      </c>
      <c r="B41" s="422">
        <v>5</v>
      </c>
      <c r="C41" s="422">
        <v>5</v>
      </c>
      <c r="D41" s="448">
        <v>8.0000000000000071</v>
      </c>
    </row>
    <row r="42" spans="1:4" ht="15.5" x14ac:dyDescent="0.35">
      <c r="A42" s="437" t="s">
        <v>653</v>
      </c>
      <c r="B42" s="422">
        <v>3</v>
      </c>
      <c r="C42" s="422">
        <v>10</v>
      </c>
      <c r="D42" s="448">
        <v>6.6666666666666714</v>
      </c>
    </row>
    <row r="43" spans="1:4" ht="15.5" x14ac:dyDescent="0.35">
      <c r="A43" s="437" t="s">
        <v>662</v>
      </c>
      <c r="B43" s="422">
        <v>5</v>
      </c>
      <c r="C43" s="422">
        <v>10</v>
      </c>
      <c r="D43" s="448">
        <v>9.3333333333333428</v>
      </c>
    </row>
    <row r="44" spans="1:4" ht="15.5" x14ac:dyDescent="0.35">
      <c r="A44" s="437" t="s">
        <v>637</v>
      </c>
      <c r="B44" s="422">
        <v>3</v>
      </c>
      <c r="C44" s="422">
        <v>10</v>
      </c>
      <c r="D44" s="448">
        <v>6.6666666666666714</v>
      </c>
    </row>
    <row r="45" spans="1:4" ht="15.5" x14ac:dyDescent="0.35">
      <c r="A45" s="437" t="s">
        <v>664</v>
      </c>
      <c r="B45" s="422">
        <v>5</v>
      </c>
      <c r="C45" s="422">
        <v>5</v>
      </c>
      <c r="D45" s="448">
        <v>8.0000000000000071</v>
      </c>
    </row>
    <row r="46" spans="1:4" ht="15.5" x14ac:dyDescent="0.35">
      <c r="A46" s="437" t="s">
        <v>636</v>
      </c>
      <c r="B46" s="422">
        <v>5</v>
      </c>
      <c r="C46" s="422">
        <v>5</v>
      </c>
      <c r="D46" s="448">
        <v>8.0000000000000071</v>
      </c>
    </row>
    <row r="47" spans="1:4" ht="15.5" x14ac:dyDescent="0.35">
      <c r="A47" s="437" t="s">
        <v>665</v>
      </c>
      <c r="B47" s="422">
        <v>5</v>
      </c>
      <c r="C47" s="422">
        <v>5</v>
      </c>
      <c r="D47" s="448">
        <v>8.0000000000000071</v>
      </c>
    </row>
    <row r="48" spans="1:4" ht="16" thickBot="1" x14ac:dyDescent="0.4">
      <c r="A48" s="449" t="s">
        <v>1007</v>
      </c>
      <c r="B48" s="450">
        <f>AVERAGE(B2:B47)</f>
        <v>4.8695652173913047</v>
      </c>
      <c r="C48" s="450">
        <f t="shared" ref="C48" si="0">AVERAGE(C2:C47)</f>
        <v>5.6521739130434785</v>
      </c>
      <c r="D48" s="451">
        <f>AVERAGE(D2:D47)</f>
        <v>8.0000000000000089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F81C6-5CFF-48FD-A2D8-F3A20595E899}">
  <sheetPr codeName="List4"/>
  <dimension ref="A1:G48"/>
  <sheetViews>
    <sheetView zoomScale="50" zoomScaleNormal="50" workbookViewId="0">
      <selection activeCell="J11" sqref="J11"/>
    </sheetView>
  </sheetViews>
  <sheetFormatPr defaultRowHeight="14.5" x14ac:dyDescent="0.35"/>
  <cols>
    <col min="1" max="1" width="12.26953125" style="424" bestFit="1" customWidth="1"/>
    <col min="2" max="2" width="16.08984375" style="424" bestFit="1" customWidth="1"/>
    <col min="3" max="3" width="17.26953125" style="424" bestFit="1" customWidth="1"/>
    <col min="4" max="4" width="13.81640625" style="424" bestFit="1" customWidth="1"/>
    <col min="5" max="5" width="14.90625" style="424" bestFit="1" customWidth="1"/>
    <col min="6" max="6" width="19.7265625" style="424" bestFit="1" customWidth="1"/>
    <col min="7" max="7" width="20.81640625" style="424" bestFit="1" customWidth="1"/>
  </cols>
  <sheetData>
    <row r="1" spans="1:7" ht="15.5" x14ac:dyDescent="0.35">
      <c r="A1" s="425" t="s">
        <v>1010</v>
      </c>
      <c r="B1" s="441" t="s">
        <v>1029</v>
      </c>
      <c r="C1" s="441" t="s">
        <v>1030</v>
      </c>
      <c r="D1" s="443" t="s">
        <v>1031</v>
      </c>
      <c r="E1" s="443" t="s">
        <v>1032</v>
      </c>
      <c r="F1" s="426" t="s">
        <v>1033</v>
      </c>
      <c r="G1" s="444" t="s">
        <v>1034</v>
      </c>
    </row>
    <row r="2" spans="1:7" ht="15.5" x14ac:dyDescent="0.35">
      <c r="A2" s="435">
        <v>429</v>
      </c>
      <c r="B2" s="423">
        <v>27.011383960580261</v>
      </c>
      <c r="C2" s="423">
        <v>26.707396108988274</v>
      </c>
      <c r="D2" s="423">
        <v>58.956525594600961</v>
      </c>
      <c r="E2" s="423">
        <v>55.867339180196986</v>
      </c>
      <c r="F2" s="423">
        <v>85.967909555181222</v>
      </c>
      <c r="G2" s="445">
        <v>82.574735289185256</v>
      </c>
    </row>
    <row r="3" spans="1:7" ht="15.5" x14ac:dyDescent="0.35">
      <c r="A3" s="435">
        <v>430</v>
      </c>
      <c r="B3" s="423">
        <v>29.766813284214784</v>
      </c>
      <c r="C3" s="423">
        <v>28.881816096279266</v>
      </c>
      <c r="D3" s="423">
        <v>74.037202222471763</v>
      </c>
      <c r="E3" s="423">
        <v>77.230670515017792</v>
      </c>
      <c r="F3" s="423">
        <v>103.80401550668654</v>
      </c>
      <c r="G3" s="445">
        <v>106.11248661129706</v>
      </c>
    </row>
    <row r="4" spans="1:7" ht="15.5" x14ac:dyDescent="0.35">
      <c r="A4" s="435">
        <v>431</v>
      </c>
      <c r="B4" s="423">
        <v>36.366709554456641</v>
      </c>
      <c r="C4" s="423">
        <v>26.210046105898929</v>
      </c>
      <c r="D4" s="423">
        <v>55.293519979763829</v>
      </c>
      <c r="E4" s="423">
        <v>55.293519979763829</v>
      </c>
      <c r="F4" s="423">
        <v>91.660229534220463</v>
      </c>
      <c r="G4" s="445">
        <v>81.503566085662754</v>
      </c>
    </row>
    <row r="5" spans="1:7" ht="15.5" x14ac:dyDescent="0.35">
      <c r="A5" s="435">
        <v>432</v>
      </c>
      <c r="B5" s="423">
        <v>25.028664627385858</v>
      </c>
      <c r="C5" s="423">
        <v>24.38131919709982</v>
      </c>
      <c r="D5" s="423">
        <v>70.948015808067794</v>
      </c>
      <c r="E5" s="423">
        <v>77.126388636875731</v>
      </c>
      <c r="F5" s="423">
        <v>95.976680435453659</v>
      </c>
      <c r="G5" s="445">
        <v>101.50770783397556</v>
      </c>
    </row>
    <row r="6" spans="1:7" ht="15.5" x14ac:dyDescent="0.35">
      <c r="A6" s="435">
        <v>433</v>
      </c>
      <c r="B6" s="423">
        <v>45.284989225207944</v>
      </c>
      <c r="C6" s="423">
        <v>44.298517842591153</v>
      </c>
      <c r="D6" s="423">
        <v>58.382706394167805</v>
      </c>
      <c r="E6" s="423">
        <v>54.469082437091807</v>
      </c>
      <c r="F6" s="423">
        <v>103.66769561937575</v>
      </c>
      <c r="G6" s="445">
        <v>98.767600279682966</v>
      </c>
    </row>
    <row r="7" spans="1:7" ht="15.5" x14ac:dyDescent="0.35">
      <c r="A7" s="435">
        <v>434</v>
      </c>
      <c r="B7" s="423">
        <v>27.522202366889452</v>
      </c>
      <c r="C7" s="423">
        <v>26.280670715868311</v>
      </c>
      <c r="D7" s="423">
        <v>66.295335315915651</v>
      </c>
      <c r="E7" s="423">
        <v>74.947020772739648</v>
      </c>
      <c r="F7" s="423">
        <v>93.817537682805096</v>
      </c>
      <c r="G7" s="445">
        <v>101.22769148860796</v>
      </c>
    </row>
    <row r="8" spans="1:7" ht="15.5" x14ac:dyDescent="0.35">
      <c r="A8" s="435">
        <v>435</v>
      </c>
      <c r="B8" s="423">
        <v>22.943900399215526</v>
      </c>
      <c r="C8" s="423">
        <v>19.170186623646266</v>
      </c>
      <c r="D8" s="423">
        <v>56.099056651889669</v>
      </c>
      <c r="E8" s="423">
        <v>57.64364985909166</v>
      </c>
      <c r="F8" s="423">
        <v>79.042957051105191</v>
      </c>
      <c r="G8" s="445">
        <v>76.813836482737926</v>
      </c>
    </row>
    <row r="9" spans="1:7" ht="15.5" x14ac:dyDescent="0.35">
      <c r="A9" s="435">
        <v>436</v>
      </c>
      <c r="B9" s="423">
        <v>29.39608331593562</v>
      </c>
      <c r="C9" s="423">
        <v>27.147717251016072</v>
      </c>
      <c r="D9" s="423">
        <v>74.037202222471763</v>
      </c>
      <c r="E9" s="423">
        <v>78.775263722219762</v>
      </c>
      <c r="F9" s="423">
        <v>103.43328553840738</v>
      </c>
      <c r="G9" s="445">
        <v>105.92298097323584</v>
      </c>
    </row>
    <row r="10" spans="1:7" ht="15.5" x14ac:dyDescent="0.35">
      <c r="A10" s="435">
        <v>437</v>
      </c>
      <c r="B10" s="423">
        <v>25.809154679490305</v>
      </c>
      <c r="C10" s="423">
        <v>22.641846803819078</v>
      </c>
      <c r="D10" s="423">
        <v>70.948015808067794</v>
      </c>
      <c r="E10" s="423">
        <v>72.492609015269778</v>
      </c>
      <c r="F10" s="423">
        <v>96.757170487558099</v>
      </c>
      <c r="G10" s="445">
        <v>95.134455819088856</v>
      </c>
    </row>
    <row r="11" spans="1:7" ht="15.5" x14ac:dyDescent="0.35">
      <c r="A11" s="435">
        <v>438</v>
      </c>
      <c r="B11" s="423">
        <v>27.525734808150563</v>
      </c>
      <c r="C11" s="423">
        <v>27.801412294802788</v>
      </c>
      <c r="D11" s="423">
        <v>74.037202222471763</v>
      </c>
      <c r="E11" s="423">
        <v>73.317046557941794</v>
      </c>
      <c r="F11" s="423">
        <v>101.56293703062232</v>
      </c>
      <c r="G11" s="445">
        <v>101.11845885274458</v>
      </c>
    </row>
    <row r="12" spans="1:7" ht="15.5" x14ac:dyDescent="0.35">
      <c r="A12" s="435">
        <v>439</v>
      </c>
      <c r="B12" s="423">
        <v>31.546347585733148</v>
      </c>
      <c r="C12" s="423">
        <v>30.131226075326005</v>
      </c>
      <c r="D12" s="423">
        <v>77.768198457473233</v>
      </c>
      <c r="E12" s="423">
        <v>83.12213374360914</v>
      </c>
      <c r="F12" s="423">
        <v>109.31454604320638</v>
      </c>
      <c r="G12" s="445">
        <v>113.25335981893514</v>
      </c>
    </row>
    <row r="13" spans="1:7" ht="15.5" x14ac:dyDescent="0.35">
      <c r="A13" s="435">
        <v>440</v>
      </c>
      <c r="B13" s="423">
        <v>27.73041717393934</v>
      </c>
      <c r="C13" s="423">
        <v>29.77159003507759</v>
      </c>
      <c r="D13" s="423">
        <v>78.488354122003187</v>
      </c>
      <c r="E13" s="423">
        <v>82.401978079079186</v>
      </c>
      <c r="F13" s="423">
        <v>106.21877129594253</v>
      </c>
      <c r="G13" s="445">
        <v>112.17356811415678</v>
      </c>
    </row>
    <row r="14" spans="1:7" ht="15.5" x14ac:dyDescent="0.35">
      <c r="A14" s="435">
        <v>441</v>
      </c>
      <c r="B14" s="423">
        <v>31.602371983366023</v>
      </c>
      <c r="C14" s="423">
        <v>30.708977256345555</v>
      </c>
      <c r="D14" s="423">
        <v>68.552553616979324</v>
      </c>
      <c r="E14" s="423">
        <v>77.924394738333291</v>
      </c>
      <c r="F14" s="423">
        <v>100.15492560034535</v>
      </c>
      <c r="G14" s="445">
        <v>108.63337199467884</v>
      </c>
    </row>
    <row r="15" spans="1:7" ht="15.5" x14ac:dyDescent="0.35">
      <c r="A15" s="437" t="s">
        <v>635</v>
      </c>
      <c r="B15" s="423">
        <v>30.025082260112146</v>
      </c>
      <c r="C15" s="423">
        <v>29.744175687634584</v>
      </c>
      <c r="D15" s="423">
        <v>80.319856929421761</v>
      </c>
      <c r="E15" s="423">
        <v>73.317046557941794</v>
      </c>
      <c r="F15" s="423">
        <v>110.3449391895339</v>
      </c>
      <c r="G15" s="445">
        <v>103.06122224557637</v>
      </c>
    </row>
    <row r="16" spans="1:7" ht="15.5" x14ac:dyDescent="0.35">
      <c r="A16" s="437" t="s">
        <v>588</v>
      </c>
      <c r="B16" s="423">
        <v>37.590267859275336</v>
      </c>
      <c r="C16" s="423">
        <v>39.326172299444394</v>
      </c>
      <c r="D16" s="423">
        <v>80.319856929421761</v>
      </c>
      <c r="E16" s="423">
        <v>77.950826179547761</v>
      </c>
      <c r="F16" s="423">
        <v>117.91012478869709</v>
      </c>
      <c r="G16" s="445">
        <v>117.27699847899216</v>
      </c>
    </row>
    <row r="17" spans="1:7" ht="15.5" x14ac:dyDescent="0.35">
      <c r="A17" s="437" t="s">
        <v>622</v>
      </c>
      <c r="B17" s="423">
        <v>28.251387882560241</v>
      </c>
      <c r="C17" s="423">
        <v>26.043810827851988</v>
      </c>
      <c r="D17" s="423">
        <v>71.575259894333584</v>
      </c>
      <c r="E17" s="423">
        <v>76.313321394081598</v>
      </c>
      <c r="F17" s="423">
        <v>99.826647776893822</v>
      </c>
      <c r="G17" s="445">
        <v>102.35713222193358</v>
      </c>
    </row>
    <row r="18" spans="1:7" ht="15.5" x14ac:dyDescent="0.35">
      <c r="A18" s="437" t="s">
        <v>632</v>
      </c>
      <c r="B18" s="423">
        <v>29.175811687261394</v>
      </c>
      <c r="C18" s="423">
        <v>25.8496444693596</v>
      </c>
      <c r="D18" s="423">
        <v>72.492609015269778</v>
      </c>
      <c r="E18" s="423">
        <v>69.403422600865809</v>
      </c>
      <c r="F18" s="423">
        <v>101.66842070253117</v>
      </c>
      <c r="G18" s="445">
        <v>95.253067070225413</v>
      </c>
    </row>
    <row r="19" spans="1:7" ht="15.5" x14ac:dyDescent="0.35">
      <c r="A19" s="437" t="s">
        <v>634</v>
      </c>
      <c r="B19" s="423">
        <v>25.807071723129468</v>
      </c>
      <c r="C19" s="423">
        <v>25.351659174798289</v>
      </c>
      <c r="D19" s="423">
        <v>67.034391850991796</v>
      </c>
      <c r="E19" s="423">
        <v>67.858829393663825</v>
      </c>
      <c r="F19" s="423">
        <v>92.841463574121263</v>
      </c>
      <c r="G19" s="445">
        <v>93.210488568462111</v>
      </c>
    </row>
    <row r="20" spans="1:7" ht="15.5" x14ac:dyDescent="0.35">
      <c r="A20" s="437" t="s">
        <v>596</v>
      </c>
      <c r="B20" s="423">
        <v>34.282015782310715</v>
      </c>
      <c r="C20" s="423">
        <v>32.730181696973467</v>
      </c>
      <c r="D20" s="423">
        <v>81.864450136623731</v>
      </c>
      <c r="E20" s="423">
        <v>73.317046557941794</v>
      </c>
      <c r="F20" s="423">
        <v>116.14646591893444</v>
      </c>
      <c r="G20" s="445">
        <v>106.04722825491527</v>
      </c>
    </row>
    <row r="21" spans="1:7" ht="15.5" x14ac:dyDescent="0.35">
      <c r="A21" s="437" t="s">
        <v>654</v>
      </c>
      <c r="B21" s="423">
        <v>29.387050485378687</v>
      </c>
      <c r="C21" s="423">
        <v>28.11404001615816</v>
      </c>
      <c r="D21" s="423">
        <v>72.317648620564469</v>
      </c>
      <c r="E21" s="423">
        <v>70.773055413362485</v>
      </c>
      <c r="F21" s="423">
        <v>101.70469910594315</v>
      </c>
      <c r="G21" s="445">
        <v>98.887095429520642</v>
      </c>
    </row>
    <row r="22" spans="1:7" ht="15.5" x14ac:dyDescent="0.35">
      <c r="A22" s="437" t="s">
        <v>671</v>
      </c>
      <c r="B22" s="423">
        <v>25.733020158699947</v>
      </c>
      <c r="C22" s="423">
        <v>25.200898151310682</v>
      </c>
      <c r="D22" s="423">
        <v>65.86642438781675</v>
      </c>
      <c r="E22" s="423">
        <v>73.693672301968732</v>
      </c>
      <c r="F22" s="423">
        <v>91.599444546516693</v>
      </c>
      <c r="G22" s="445">
        <v>98.894570453279414</v>
      </c>
    </row>
    <row r="23" spans="1:7" ht="15.5" x14ac:dyDescent="0.35">
      <c r="A23" s="437" t="s">
        <v>595</v>
      </c>
      <c r="B23" s="423">
        <v>25.372107012614993</v>
      </c>
      <c r="C23" s="423">
        <v>24.612706612691813</v>
      </c>
      <c r="D23" s="423">
        <v>72.492609015269778</v>
      </c>
      <c r="E23" s="423">
        <v>70.948015808067794</v>
      </c>
      <c r="F23" s="423">
        <v>97.864716027884768</v>
      </c>
      <c r="G23" s="445">
        <v>95.560722420759603</v>
      </c>
    </row>
    <row r="24" spans="1:7" ht="15.5" x14ac:dyDescent="0.35">
      <c r="A24" s="437" t="s">
        <v>633</v>
      </c>
      <c r="B24" s="423">
        <v>25.269063014647763</v>
      </c>
      <c r="C24" s="423">
        <v>24.375668287627288</v>
      </c>
      <c r="D24" s="423">
        <v>74.037202222471763</v>
      </c>
      <c r="E24" s="423">
        <v>69.403422600865809</v>
      </c>
      <c r="F24" s="423">
        <v>99.306265237119533</v>
      </c>
      <c r="G24" s="445">
        <v>93.779090888493101</v>
      </c>
    </row>
    <row r="25" spans="1:7" ht="15.5" x14ac:dyDescent="0.35">
      <c r="A25" s="437" t="s">
        <v>652</v>
      </c>
      <c r="B25" s="423">
        <v>27.668572951310857</v>
      </c>
      <c r="C25" s="423">
        <v>27.029625060109783</v>
      </c>
      <c r="D25" s="423">
        <v>80.319856929421761</v>
      </c>
      <c r="E25" s="423">
        <v>78.775263722219762</v>
      </c>
      <c r="F25" s="423">
        <v>107.98842988073261</v>
      </c>
      <c r="G25" s="445">
        <v>105.80488878232954</v>
      </c>
    </row>
    <row r="26" spans="1:7" ht="15.5" x14ac:dyDescent="0.35">
      <c r="A26" s="437" t="s">
        <v>672</v>
      </c>
      <c r="B26" s="423">
        <v>20.545351712616764</v>
      </c>
      <c r="C26" s="423">
        <v>20.545351712616764</v>
      </c>
      <c r="D26" s="423">
        <v>64.414742758878944</v>
      </c>
      <c r="E26" s="423">
        <v>65.239180301550959</v>
      </c>
      <c r="F26" s="423">
        <v>84.960094471495708</v>
      </c>
      <c r="G26" s="445">
        <v>85.784532014167723</v>
      </c>
    </row>
    <row r="27" spans="1:7" ht="15.5" x14ac:dyDescent="0.35">
      <c r="A27" s="437" t="s">
        <v>585</v>
      </c>
      <c r="B27" s="423">
        <v>20.31001349565712</v>
      </c>
      <c r="C27" s="423">
        <v>19.238734335239293</v>
      </c>
      <c r="D27" s="423">
        <v>55.293519979763829</v>
      </c>
      <c r="E27" s="423">
        <v>60.031581479511843</v>
      </c>
      <c r="F27" s="423">
        <v>75.603533475420946</v>
      </c>
      <c r="G27" s="445">
        <v>79.270315814751143</v>
      </c>
    </row>
    <row r="28" spans="1:7" ht="15.5" x14ac:dyDescent="0.35">
      <c r="A28" s="437" t="s">
        <v>583</v>
      </c>
      <c r="B28" s="423">
        <v>19.510758597336622</v>
      </c>
      <c r="C28" s="423">
        <v>17.640224538598297</v>
      </c>
      <c r="D28" s="423">
        <v>65.292605187383614</v>
      </c>
      <c r="E28" s="423">
        <v>63.748011980181623</v>
      </c>
      <c r="F28" s="423">
        <v>84.803363784720233</v>
      </c>
      <c r="G28" s="445">
        <v>81.388236518779919</v>
      </c>
    </row>
    <row r="29" spans="1:7" ht="15.5" x14ac:dyDescent="0.35">
      <c r="A29" s="437" t="s">
        <v>641</v>
      </c>
      <c r="B29" s="423">
        <v>23.238837024904221</v>
      </c>
      <c r="C29" s="423">
        <v>20.643527513906605</v>
      </c>
      <c r="D29" s="423">
        <v>54.554463444687684</v>
      </c>
      <c r="E29" s="423">
        <v>51.465277030283708</v>
      </c>
      <c r="F29" s="423">
        <v>77.793300469591912</v>
      </c>
      <c r="G29" s="445">
        <v>72.10880454419032</v>
      </c>
    </row>
    <row r="30" spans="1:7" ht="15.5" x14ac:dyDescent="0.35">
      <c r="A30" s="437" t="s">
        <v>601</v>
      </c>
      <c r="B30" s="423">
        <v>22.356519590484297</v>
      </c>
      <c r="C30" s="423">
        <v>22.633113193604146</v>
      </c>
      <c r="D30" s="423">
        <v>63.748011980181623</v>
      </c>
      <c r="E30" s="423">
        <v>64.572449522853631</v>
      </c>
      <c r="F30" s="423">
        <v>86.104531570665927</v>
      </c>
      <c r="G30" s="445">
        <v>87.205562716457777</v>
      </c>
    </row>
    <row r="31" spans="1:7" ht="15.5" x14ac:dyDescent="0.35">
      <c r="A31" s="437" t="s">
        <v>603</v>
      </c>
      <c r="B31" s="423">
        <v>36.948170375069111</v>
      </c>
      <c r="C31" s="423">
        <v>38.37642768110679</v>
      </c>
      <c r="D31" s="423">
        <v>60.751737144041805</v>
      </c>
      <c r="E31" s="423">
        <v>57.558268851495782</v>
      </c>
      <c r="F31" s="423">
        <v>97.699907519110923</v>
      </c>
      <c r="G31" s="445">
        <v>95.934696532602572</v>
      </c>
    </row>
    <row r="32" spans="1:7" ht="15.5" x14ac:dyDescent="0.35">
      <c r="A32" s="437" t="s">
        <v>594</v>
      </c>
      <c r="B32" s="423">
        <v>40.165057700734906</v>
      </c>
      <c r="C32" s="423">
        <v>37.669624199353002</v>
      </c>
      <c r="D32" s="423">
        <v>70.208959272991649</v>
      </c>
      <c r="E32" s="423">
        <v>74.842738894597602</v>
      </c>
      <c r="F32" s="423">
        <v>110.37401697372655</v>
      </c>
      <c r="G32" s="445">
        <v>112.5123630939506</v>
      </c>
    </row>
    <row r="33" spans="1:7" ht="15.5" x14ac:dyDescent="0.35">
      <c r="A33" s="437" t="s">
        <v>656</v>
      </c>
      <c r="B33" s="423">
        <v>29.79907609405144</v>
      </c>
      <c r="C33" s="423">
        <v>29.950223429335651</v>
      </c>
      <c r="D33" s="423">
        <v>65.959335966080928</v>
      </c>
      <c r="E33" s="423">
        <v>72.962146337560867</v>
      </c>
      <c r="F33" s="423">
        <v>95.758412060132372</v>
      </c>
      <c r="G33" s="445">
        <v>102.91236976689652</v>
      </c>
    </row>
    <row r="34" spans="1:7" ht="15.5" x14ac:dyDescent="0.35">
      <c r="A34" s="437" t="s">
        <v>629</v>
      </c>
      <c r="B34" s="423">
        <v>23.821334280369992</v>
      </c>
      <c r="C34" s="423">
        <v>18.649626680152814</v>
      </c>
      <c r="D34" s="423">
        <v>53.301114973916768</v>
      </c>
      <c r="E34" s="423">
        <v>43.209118188032832</v>
      </c>
      <c r="F34" s="423">
        <v>77.122449254286764</v>
      </c>
      <c r="G34" s="445">
        <v>61.858744868185646</v>
      </c>
    </row>
    <row r="35" spans="1:7" ht="15.5" x14ac:dyDescent="0.35">
      <c r="A35" s="437" t="s">
        <v>597</v>
      </c>
      <c r="B35" s="423">
        <v>16.338903239529898</v>
      </c>
      <c r="C35" s="423">
        <v>14.845901966630793</v>
      </c>
      <c r="D35" s="423">
        <v>58.382706394167805</v>
      </c>
      <c r="E35" s="423">
        <v>55.293519979763829</v>
      </c>
      <c r="F35" s="423">
        <v>74.72160963369771</v>
      </c>
      <c r="G35" s="445">
        <v>70.13942194639462</v>
      </c>
    </row>
    <row r="36" spans="1:7" ht="15.5" x14ac:dyDescent="0.35">
      <c r="A36" s="437" t="s">
        <v>642</v>
      </c>
      <c r="B36" s="423">
        <v>25.924570192398846</v>
      </c>
      <c r="C36" s="423">
        <v>20.214725222410291</v>
      </c>
      <c r="D36" s="423">
        <v>55.293519979763829</v>
      </c>
      <c r="E36" s="423">
        <v>56.83811318696582</v>
      </c>
      <c r="F36" s="423">
        <v>81.218090172162675</v>
      </c>
      <c r="G36" s="445">
        <v>77.052838409376108</v>
      </c>
    </row>
    <row r="37" spans="1:7" ht="15.5" x14ac:dyDescent="0.35">
      <c r="A37" s="437" t="s">
        <v>602</v>
      </c>
      <c r="B37" s="423">
        <v>40.811918419820927</v>
      </c>
      <c r="C37" s="423">
        <v>38.064249700270139</v>
      </c>
      <c r="D37" s="423">
        <v>44.846622973498981</v>
      </c>
      <c r="E37" s="423">
        <v>47.93580938790295</v>
      </c>
      <c r="F37" s="423">
        <v>85.658541393319908</v>
      </c>
      <c r="G37" s="445">
        <v>86.000059088173089</v>
      </c>
    </row>
    <row r="38" spans="1:7" ht="15.5" x14ac:dyDescent="0.35">
      <c r="A38" s="437" t="s">
        <v>663</v>
      </c>
      <c r="B38" s="423">
        <v>35.326379407567195</v>
      </c>
      <c r="C38" s="423">
        <v>34.870966859236006</v>
      </c>
      <c r="D38" s="423">
        <v>58.468087401763675</v>
      </c>
      <c r="E38" s="423">
        <v>53.0098702374857</v>
      </c>
      <c r="F38" s="423">
        <v>93.794466809330871</v>
      </c>
      <c r="G38" s="445">
        <v>87.880837096721706</v>
      </c>
    </row>
    <row r="39" spans="1:7" ht="15.5" x14ac:dyDescent="0.35">
      <c r="A39" s="437" t="s">
        <v>623</v>
      </c>
      <c r="B39" s="423">
        <v>31.105675076082548</v>
      </c>
      <c r="C39" s="423">
        <v>24.155211107999797</v>
      </c>
      <c r="D39" s="423">
        <v>70.948015808067794</v>
      </c>
      <c r="E39" s="423">
        <v>67.858829393663825</v>
      </c>
      <c r="F39" s="423">
        <v>102.05369088415034</v>
      </c>
      <c r="G39" s="445">
        <v>92.014040501663629</v>
      </c>
    </row>
    <row r="40" spans="1:7" ht="15.5" x14ac:dyDescent="0.35">
      <c r="A40" s="437" t="s">
        <v>605</v>
      </c>
      <c r="B40" s="423">
        <v>32.196329379688287</v>
      </c>
      <c r="C40" s="423">
        <v>31.33454213215688</v>
      </c>
      <c r="D40" s="423">
        <v>74.861639765143778</v>
      </c>
      <c r="E40" s="423">
        <v>61.576174686713827</v>
      </c>
      <c r="F40" s="423">
        <v>107.05796914483207</v>
      </c>
      <c r="G40" s="445">
        <v>92.910716818870711</v>
      </c>
    </row>
    <row r="41" spans="1:7" ht="15.5" x14ac:dyDescent="0.35">
      <c r="A41" s="437" t="s">
        <v>655</v>
      </c>
      <c r="B41" s="423">
        <v>31.365919878010516</v>
      </c>
      <c r="C41" s="423">
        <v>26.640463334277914</v>
      </c>
      <c r="D41" s="423">
        <v>60.501118801802946</v>
      </c>
      <c r="E41" s="423">
        <v>62.870149551676953</v>
      </c>
      <c r="F41" s="423">
        <v>91.867038679813461</v>
      </c>
      <c r="G41" s="445">
        <v>89.51061288595487</v>
      </c>
    </row>
    <row r="42" spans="1:7" ht="15.5" x14ac:dyDescent="0.35">
      <c r="A42" s="437" t="s">
        <v>653</v>
      </c>
      <c r="B42" s="423">
        <v>33.097996120117124</v>
      </c>
      <c r="C42" s="423">
        <v>29.729744390821139</v>
      </c>
      <c r="D42" s="423">
        <v>78.775263722219762</v>
      </c>
      <c r="E42" s="423">
        <v>84.953636551027699</v>
      </c>
      <c r="F42" s="423">
        <v>111.87325984233689</v>
      </c>
      <c r="G42" s="445">
        <v>114.68338094184884</v>
      </c>
    </row>
    <row r="43" spans="1:7" ht="15.5" x14ac:dyDescent="0.35">
      <c r="A43" s="437" t="s">
        <v>662</v>
      </c>
      <c r="B43" s="423">
        <v>28.709582572354439</v>
      </c>
      <c r="C43" s="423">
        <v>28.389969946026415</v>
      </c>
      <c r="D43" s="423">
        <v>61.858562063855075</v>
      </c>
      <c r="E43" s="423">
        <v>66.596623563603103</v>
      </c>
      <c r="F43" s="423">
        <v>90.56814463620951</v>
      </c>
      <c r="G43" s="445">
        <v>94.986593509629515</v>
      </c>
    </row>
    <row r="44" spans="1:7" ht="15.5" x14ac:dyDescent="0.35">
      <c r="A44" s="437" t="s">
        <v>637</v>
      </c>
      <c r="B44" s="423">
        <v>31.017224651172327</v>
      </c>
      <c r="C44" s="423">
        <v>27.486432438219378</v>
      </c>
      <c r="D44" s="423">
        <v>75.380266837053028</v>
      </c>
      <c r="E44" s="423">
        <v>75.380266837053028</v>
      </c>
      <c r="F44" s="423">
        <v>106.39749148822536</v>
      </c>
      <c r="G44" s="445">
        <v>102.86669927527241</v>
      </c>
    </row>
    <row r="45" spans="1:7" ht="15.5" x14ac:dyDescent="0.35">
      <c r="A45" s="437" t="s">
        <v>664</v>
      </c>
      <c r="B45" s="423">
        <v>46.566547753690138</v>
      </c>
      <c r="C45" s="423">
        <v>40.406456373547655</v>
      </c>
      <c r="D45" s="423">
        <v>51.379896022687838</v>
      </c>
      <c r="E45" s="423">
        <v>53.748926772561845</v>
      </c>
      <c r="F45" s="423">
        <v>97.946443776377976</v>
      </c>
      <c r="G45" s="445">
        <v>94.1553831461095</v>
      </c>
    </row>
    <row r="46" spans="1:7" ht="15.5" x14ac:dyDescent="0.35">
      <c r="A46" s="437" t="s">
        <v>636</v>
      </c>
      <c r="B46" s="423">
        <v>46.390386703107367</v>
      </c>
      <c r="C46" s="423">
        <v>43.32340457757055</v>
      </c>
      <c r="D46" s="423">
        <v>58.382706394167805</v>
      </c>
      <c r="E46" s="423">
        <v>54.469082437091807</v>
      </c>
      <c r="F46" s="423">
        <v>104.77309309727517</v>
      </c>
      <c r="G46" s="445">
        <v>97.792487014662356</v>
      </c>
    </row>
    <row r="47" spans="1:7" ht="15.5" x14ac:dyDescent="0.35">
      <c r="A47" s="437" t="s">
        <v>665</v>
      </c>
      <c r="B47" s="423">
        <v>42.377929615005357</v>
      </c>
      <c r="C47" s="423">
        <v>39.404637577649808</v>
      </c>
      <c r="D47" s="423">
        <v>66.20995430831978</v>
      </c>
      <c r="E47" s="423">
        <v>63.120767893915811</v>
      </c>
      <c r="F47" s="423">
        <v>108.58788392332514</v>
      </c>
      <c r="G47" s="445">
        <v>102.52540547156562</v>
      </c>
    </row>
    <row r="48" spans="1:7" ht="16" thickBot="1" x14ac:dyDescent="0.4">
      <c r="A48" s="438" t="s">
        <v>1007</v>
      </c>
      <c r="B48" s="439">
        <f>AVERAGE(B2:B47)</f>
        <v>30.087406644818181</v>
      </c>
      <c r="C48" s="439">
        <f t="shared" ref="C48:G48" si="0">AVERAGE(C2:C47)</f>
        <v>28.189670947857593</v>
      </c>
      <c r="D48" s="439">
        <f t="shared" si="0"/>
        <v>66.76732403322589</v>
      </c>
      <c r="E48" s="439">
        <f t="shared" si="0"/>
        <v>66.948816583331592</v>
      </c>
      <c r="F48" s="439">
        <f t="shared" si="0"/>
        <v>96.854730678044092</v>
      </c>
      <c r="G48" s="440">
        <f t="shared" si="0"/>
        <v>95.138487531189199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1283-718A-4FAB-8045-D04B6BF47E43}">
  <sheetPr codeName="List5"/>
  <dimension ref="A1:P48"/>
  <sheetViews>
    <sheetView zoomScale="70" zoomScaleNormal="70" workbookViewId="0">
      <selection activeCell="I53" sqref="I53"/>
    </sheetView>
  </sheetViews>
  <sheetFormatPr defaultRowHeight="14.5" x14ac:dyDescent="0.35"/>
  <cols>
    <col min="1" max="1" width="12.26953125" style="125" bestFit="1" customWidth="1"/>
    <col min="2" max="3" width="12.36328125" bestFit="1" customWidth="1"/>
    <col min="4" max="4" width="11.6328125" bestFit="1" customWidth="1"/>
    <col min="5" max="5" width="12.7265625" bestFit="1" customWidth="1"/>
    <col min="6" max="6" width="10.08984375" bestFit="1" customWidth="1"/>
    <col min="7" max="7" width="11" bestFit="1" customWidth="1"/>
    <col min="8" max="8" width="10.08984375" bestFit="1" customWidth="1"/>
    <col min="9" max="9" width="10.81640625" bestFit="1" customWidth="1"/>
    <col min="10" max="14" width="10.08984375" bestFit="1" customWidth="1"/>
    <col min="15" max="15" width="13.26953125" bestFit="1" customWidth="1"/>
    <col min="16" max="16" width="14.36328125" bestFit="1" customWidth="1"/>
  </cols>
  <sheetData>
    <row r="1" spans="1:16" ht="18" x14ac:dyDescent="0.45">
      <c r="A1" s="425" t="s">
        <v>1010</v>
      </c>
      <c r="B1" s="426" t="s">
        <v>1011</v>
      </c>
      <c r="C1" s="426" t="s">
        <v>1012</v>
      </c>
      <c r="D1" s="427" t="s">
        <v>1013</v>
      </c>
      <c r="E1" s="427" t="s">
        <v>1014</v>
      </c>
      <c r="F1" s="428" t="s">
        <v>1025</v>
      </c>
      <c r="G1" s="428" t="s">
        <v>1026</v>
      </c>
      <c r="H1" s="429" t="s">
        <v>1027</v>
      </c>
      <c r="I1" s="429" t="s">
        <v>1028</v>
      </c>
      <c r="J1" s="430" t="s">
        <v>1015</v>
      </c>
      <c r="K1" s="430" t="s">
        <v>1016</v>
      </c>
      <c r="L1" s="431" t="s">
        <v>1017</v>
      </c>
      <c r="M1" s="431" t="s">
        <v>1018</v>
      </c>
      <c r="N1" s="432" t="s">
        <v>807</v>
      </c>
      <c r="O1" s="433" t="s">
        <v>1019</v>
      </c>
      <c r="P1" s="434" t="s">
        <v>1020</v>
      </c>
    </row>
    <row r="2" spans="1:16" ht="15.5" x14ac:dyDescent="0.35">
      <c r="A2" s="435">
        <v>429</v>
      </c>
      <c r="B2" s="421">
        <v>7</v>
      </c>
      <c r="C2" s="421">
        <v>10</v>
      </c>
      <c r="D2" s="421">
        <v>4</v>
      </c>
      <c r="E2" s="421">
        <v>3</v>
      </c>
      <c r="F2" s="421">
        <v>3</v>
      </c>
      <c r="G2" s="421">
        <v>1</v>
      </c>
      <c r="H2" s="421">
        <v>2</v>
      </c>
      <c r="I2" s="421">
        <v>1</v>
      </c>
      <c r="J2" s="421">
        <v>2</v>
      </c>
      <c r="K2" s="421">
        <v>2</v>
      </c>
      <c r="L2" s="421">
        <v>8</v>
      </c>
      <c r="M2" s="421">
        <v>8</v>
      </c>
      <c r="N2" s="421">
        <v>6</v>
      </c>
      <c r="O2" s="421">
        <v>3</v>
      </c>
      <c r="P2" s="436">
        <v>4</v>
      </c>
    </row>
    <row r="3" spans="1:16" ht="15.5" x14ac:dyDescent="0.35">
      <c r="A3" s="435">
        <v>430</v>
      </c>
      <c r="B3" s="421">
        <v>7</v>
      </c>
      <c r="C3" s="421">
        <v>9</v>
      </c>
      <c r="D3" s="421">
        <v>5</v>
      </c>
      <c r="E3" s="421">
        <v>3</v>
      </c>
      <c r="F3" s="421">
        <v>2</v>
      </c>
      <c r="G3" s="421">
        <v>1</v>
      </c>
      <c r="H3" s="421">
        <v>1</v>
      </c>
      <c r="I3" s="421">
        <v>1</v>
      </c>
      <c r="J3" s="421">
        <v>4</v>
      </c>
      <c r="K3" s="421">
        <v>4</v>
      </c>
      <c r="L3" s="421">
        <v>8</v>
      </c>
      <c r="M3" s="421">
        <v>8</v>
      </c>
      <c r="N3" s="421">
        <v>3</v>
      </c>
      <c r="O3" s="421">
        <v>5</v>
      </c>
      <c r="P3" s="436">
        <v>7</v>
      </c>
    </row>
    <row r="4" spans="1:16" ht="15.5" x14ac:dyDescent="0.35">
      <c r="A4" s="435">
        <v>431</v>
      </c>
      <c r="B4" s="421">
        <v>5</v>
      </c>
      <c r="C4" s="421">
        <v>7</v>
      </c>
      <c r="D4" s="421">
        <v>8</v>
      </c>
      <c r="E4" s="421">
        <v>4</v>
      </c>
      <c r="F4" s="421">
        <v>3</v>
      </c>
      <c r="G4" s="421">
        <v>1</v>
      </c>
      <c r="H4" s="421">
        <v>1</v>
      </c>
      <c r="I4" s="421">
        <v>1</v>
      </c>
      <c r="J4" s="421">
        <v>5</v>
      </c>
      <c r="K4" s="421">
        <v>3</v>
      </c>
      <c r="L4" s="421">
        <v>10</v>
      </c>
      <c r="M4" s="421">
        <v>8</v>
      </c>
      <c r="N4" s="421">
        <v>5</v>
      </c>
      <c r="O4" s="421">
        <v>3</v>
      </c>
      <c r="P4" s="436">
        <v>3</v>
      </c>
    </row>
    <row r="5" spans="1:16" ht="15.5" x14ac:dyDescent="0.35">
      <c r="A5" s="435">
        <v>432</v>
      </c>
      <c r="B5" s="421">
        <v>4</v>
      </c>
      <c r="C5" s="421">
        <v>4</v>
      </c>
      <c r="D5" s="421">
        <v>3</v>
      </c>
      <c r="E5" s="421">
        <v>3</v>
      </c>
      <c r="F5" s="421">
        <v>1</v>
      </c>
      <c r="G5" s="421">
        <v>1</v>
      </c>
      <c r="H5" s="421">
        <v>1</v>
      </c>
      <c r="I5" s="421">
        <v>1</v>
      </c>
      <c r="J5" s="421">
        <v>5</v>
      </c>
      <c r="K5" s="421">
        <v>4</v>
      </c>
      <c r="L5" s="421">
        <v>9</v>
      </c>
      <c r="M5" s="421">
        <v>9</v>
      </c>
      <c r="N5" s="421">
        <v>3</v>
      </c>
      <c r="O5" s="421">
        <v>4</v>
      </c>
      <c r="P5" s="436">
        <v>4</v>
      </c>
    </row>
    <row r="6" spans="1:16" ht="15.5" x14ac:dyDescent="0.35">
      <c r="A6" s="435">
        <v>433</v>
      </c>
      <c r="B6" s="421">
        <v>4</v>
      </c>
      <c r="C6" s="421">
        <v>3</v>
      </c>
      <c r="D6" s="421">
        <v>8</v>
      </c>
      <c r="E6" s="421">
        <v>8</v>
      </c>
      <c r="F6" s="421">
        <v>3</v>
      </c>
      <c r="G6" s="421">
        <v>1</v>
      </c>
      <c r="H6" s="421">
        <v>3</v>
      </c>
      <c r="I6" s="421">
        <v>2</v>
      </c>
      <c r="J6" s="421">
        <v>10</v>
      </c>
      <c r="K6" s="421">
        <v>10</v>
      </c>
      <c r="L6" s="421">
        <v>10</v>
      </c>
      <c r="M6" s="421">
        <v>10</v>
      </c>
      <c r="N6" s="421">
        <v>3</v>
      </c>
      <c r="O6" s="421">
        <v>9</v>
      </c>
      <c r="P6" s="436">
        <v>9</v>
      </c>
    </row>
    <row r="7" spans="1:16" ht="15.5" x14ac:dyDescent="0.35">
      <c r="A7" s="435">
        <v>434</v>
      </c>
      <c r="B7" s="421">
        <v>2</v>
      </c>
      <c r="C7" s="421">
        <v>2</v>
      </c>
      <c r="D7" s="421">
        <v>4</v>
      </c>
      <c r="E7" s="421">
        <v>2</v>
      </c>
      <c r="F7" s="421">
        <v>1</v>
      </c>
      <c r="G7" s="421">
        <v>1</v>
      </c>
      <c r="H7" s="421">
        <v>2</v>
      </c>
      <c r="I7" s="421">
        <v>2</v>
      </c>
      <c r="J7" s="421">
        <v>3</v>
      </c>
      <c r="K7" s="421">
        <v>5</v>
      </c>
      <c r="L7" s="421">
        <v>10</v>
      </c>
      <c r="M7" s="421">
        <v>10</v>
      </c>
      <c r="N7" s="421">
        <v>5</v>
      </c>
      <c r="O7" s="421">
        <v>4</v>
      </c>
      <c r="P7" s="436">
        <v>5</v>
      </c>
    </row>
    <row r="8" spans="1:16" ht="15.5" x14ac:dyDescent="0.35">
      <c r="A8" s="435">
        <v>435</v>
      </c>
      <c r="B8" s="421">
        <v>6</v>
      </c>
      <c r="C8" s="421">
        <v>7</v>
      </c>
      <c r="D8" s="421">
        <v>3</v>
      </c>
      <c r="E8" s="421">
        <v>2</v>
      </c>
      <c r="F8" s="421">
        <v>1</v>
      </c>
      <c r="G8" s="421">
        <v>1</v>
      </c>
      <c r="H8" s="421">
        <v>3</v>
      </c>
      <c r="I8" s="421">
        <v>1</v>
      </c>
      <c r="J8" s="421">
        <v>2</v>
      </c>
      <c r="K8" s="421">
        <v>1</v>
      </c>
      <c r="L8" s="421">
        <v>6</v>
      </c>
      <c r="M8" s="421">
        <v>6</v>
      </c>
      <c r="N8" s="421">
        <v>6</v>
      </c>
      <c r="O8" s="421">
        <v>3</v>
      </c>
      <c r="P8" s="436">
        <v>2</v>
      </c>
    </row>
    <row r="9" spans="1:16" ht="15.5" x14ac:dyDescent="0.35">
      <c r="A9" s="435">
        <v>436</v>
      </c>
      <c r="B9" s="421">
        <v>7</v>
      </c>
      <c r="C9" s="421">
        <v>4</v>
      </c>
      <c r="D9" s="421">
        <v>3</v>
      </c>
      <c r="E9" s="421">
        <v>2</v>
      </c>
      <c r="F9" s="421">
        <v>8</v>
      </c>
      <c r="G9" s="421">
        <v>9</v>
      </c>
      <c r="H9" s="421">
        <v>1</v>
      </c>
      <c r="I9" s="421">
        <v>1</v>
      </c>
      <c r="J9" s="421">
        <v>4</v>
      </c>
      <c r="K9" s="421">
        <v>4</v>
      </c>
      <c r="L9" s="421">
        <v>9</v>
      </c>
      <c r="M9" s="421">
        <v>8</v>
      </c>
      <c r="N9" s="421">
        <v>3</v>
      </c>
      <c r="O9" s="421">
        <v>6</v>
      </c>
      <c r="P9" s="436">
        <v>7</v>
      </c>
    </row>
    <row r="10" spans="1:16" ht="15.5" x14ac:dyDescent="0.35">
      <c r="A10" s="435">
        <v>437</v>
      </c>
      <c r="B10" s="421">
        <v>5</v>
      </c>
      <c r="C10" s="421">
        <v>5</v>
      </c>
      <c r="D10" s="421">
        <v>3</v>
      </c>
      <c r="E10" s="421">
        <v>2</v>
      </c>
      <c r="F10" s="421">
        <v>6</v>
      </c>
      <c r="G10" s="421">
        <v>4</v>
      </c>
      <c r="H10" s="421">
        <v>2</v>
      </c>
      <c r="I10" s="421">
        <v>1</v>
      </c>
      <c r="J10" s="421">
        <v>3</v>
      </c>
      <c r="K10" s="421">
        <v>2</v>
      </c>
      <c r="L10" s="421">
        <v>8</v>
      </c>
      <c r="M10" s="421">
        <v>8</v>
      </c>
      <c r="N10" s="421">
        <v>3</v>
      </c>
      <c r="O10" s="421">
        <v>5</v>
      </c>
      <c r="P10" s="436">
        <v>5</v>
      </c>
    </row>
    <row r="11" spans="1:16" ht="15.5" x14ac:dyDescent="0.35">
      <c r="A11" s="435">
        <v>438</v>
      </c>
      <c r="B11" s="421">
        <v>1</v>
      </c>
      <c r="C11" s="421">
        <v>1</v>
      </c>
      <c r="D11" s="421">
        <v>3</v>
      </c>
      <c r="E11" s="421">
        <v>2</v>
      </c>
      <c r="F11" s="421">
        <v>8</v>
      </c>
      <c r="G11" s="421">
        <v>4</v>
      </c>
      <c r="H11" s="421">
        <v>1</v>
      </c>
      <c r="I11" s="421">
        <v>1</v>
      </c>
      <c r="J11" s="421">
        <v>3</v>
      </c>
      <c r="K11" s="421">
        <v>4</v>
      </c>
      <c r="L11" s="421">
        <v>10</v>
      </c>
      <c r="M11" s="421">
        <v>10</v>
      </c>
      <c r="N11" s="421">
        <v>3</v>
      </c>
      <c r="O11" s="421">
        <v>6</v>
      </c>
      <c r="P11" s="436">
        <v>8</v>
      </c>
    </row>
    <row r="12" spans="1:16" ht="15.5" x14ac:dyDescent="0.35">
      <c r="A12" s="435">
        <v>439</v>
      </c>
      <c r="B12" s="421">
        <v>2</v>
      </c>
      <c r="C12" s="421">
        <v>2</v>
      </c>
      <c r="D12" s="421">
        <v>5</v>
      </c>
      <c r="E12" s="421">
        <v>4</v>
      </c>
      <c r="F12" s="421">
        <v>1</v>
      </c>
      <c r="G12" s="421">
        <v>3</v>
      </c>
      <c r="H12" s="421">
        <v>1</v>
      </c>
      <c r="I12" s="421">
        <v>1</v>
      </c>
      <c r="J12" s="421">
        <v>6</v>
      </c>
      <c r="K12" s="421">
        <v>6</v>
      </c>
      <c r="L12" s="421">
        <v>9</v>
      </c>
      <c r="M12" s="421">
        <v>9</v>
      </c>
      <c r="N12" s="421">
        <v>5</v>
      </c>
      <c r="O12" s="421">
        <v>5</v>
      </c>
      <c r="P12" s="436">
        <v>5</v>
      </c>
    </row>
    <row r="13" spans="1:16" ht="15.5" x14ac:dyDescent="0.35">
      <c r="A13" s="435">
        <v>440</v>
      </c>
      <c r="B13" s="421">
        <v>1</v>
      </c>
      <c r="C13" s="421">
        <v>1</v>
      </c>
      <c r="D13" s="421">
        <v>4</v>
      </c>
      <c r="E13" s="421">
        <v>3</v>
      </c>
      <c r="F13" s="421">
        <v>3</v>
      </c>
      <c r="G13" s="421">
        <v>8</v>
      </c>
      <c r="H13" s="421">
        <v>2</v>
      </c>
      <c r="I13" s="421">
        <v>1</v>
      </c>
      <c r="J13" s="421">
        <v>5</v>
      </c>
      <c r="K13" s="421">
        <v>4</v>
      </c>
      <c r="L13" s="421">
        <v>10</v>
      </c>
      <c r="M13" s="421">
        <v>10</v>
      </c>
      <c r="N13" s="421">
        <v>5</v>
      </c>
      <c r="O13" s="421">
        <v>3</v>
      </c>
      <c r="P13" s="436">
        <v>6</v>
      </c>
    </row>
    <row r="14" spans="1:16" ht="15.5" x14ac:dyDescent="0.35">
      <c r="A14" s="435">
        <v>441</v>
      </c>
      <c r="B14" s="421">
        <v>1</v>
      </c>
      <c r="C14" s="421">
        <v>1</v>
      </c>
      <c r="D14" s="421">
        <v>3</v>
      </c>
      <c r="E14" s="421">
        <v>2</v>
      </c>
      <c r="F14" s="421">
        <v>2</v>
      </c>
      <c r="G14" s="421">
        <v>1</v>
      </c>
      <c r="H14" s="421">
        <v>1</v>
      </c>
      <c r="I14" s="421">
        <v>1</v>
      </c>
      <c r="J14" s="421">
        <v>4</v>
      </c>
      <c r="K14" s="421">
        <v>4</v>
      </c>
      <c r="L14" s="421">
        <v>9</v>
      </c>
      <c r="M14" s="421">
        <v>9</v>
      </c>
      <c r="N14" s="421">
        <v>10</v>
      </c>
      <c r="O14" s="421">
        <v>6</v>
      </c>
      <c r="P14" s="436">
        <v>7</v>
      </c>
    </row>
    <row r="15" spans="1:16" ht="15.5" x14ac:dyDescent="0.35">
      <c r="A15" s="437" t="s">
        <v>635</v>
      </c>
      <c r="B15" s="421">
        <v>6</v>
      </c>
      <c r="C15" s="421">
        <v>7</v>
      </c>
      <c r="D15" s="421">
        <v>4</v>
      </c>
      <c r="E15" s="421">
        <v>3</v>
      </c>
      <c r="F15" s="421">
        <v>1</v>
      </c>
      <c r="G15" s="421">
        <v>1</v>
      </c>
      <c r="H15" s="421">
        <v>2</v>
      </c>
      <c r="I15" s="421">
        <v>1</v>
      </c>
      <c r="J15" s="421">
        <v>6</v>
      </c>
      <c r="K15" s="421">
        <v>7</v>
      </c>
      <c r="L15" s="421">
        <v>8</v>
      </c>
      <c r="M15" s="421">
        <v>9</v>
      </c>
      <c r="N15" s="421">
        <v>3</v>
      </c>
      <c r="O15" s="421">
        <v>6</v>
      </c>
      <c r="P15" s="436">
        <v>6</v>
      </c>
    </row>
    <row r="16" spans="1:16" ht="15.5" x14ac:dyDescent="0.35">
      <c r="A16" s="437" t="s">
        <v>588</v>
      </c>
      <c r="B16" s="421">
        <v>8</v>
      </c>
      <c r="C16" s="421">
        <v>9</v>
      </c>
      <c r="D16" s="421">
        <v>6</v>
      </c>
      <c r="E16" s="421">
        <v>6</v>
      </c>
      <c r="F16" s="421">
        <v>10</v>
      </c>
      <c r="G16" s="421">
        <v>10</v>
      </c>
      <c r="H16" s="421">
        <v>1</v>
      </c>
      <c r="I16" s="421">
        <v>2</v>
      </c>
      <c r="J16" s="421">
        <v>8</v>
      </c>
      <c r="K16" s="421">
        <v>8</v>
      </c>
      <c r="L16" s="421">
        <v>8</v>
      </c>
      <c r="M16" s="421">
        <v>8</v>
      </c>
      <c r="N16" s="421">
        <v>3</v>
      </c>
      <c r="O16" s="421">
        <v>6</v>
      </c>
      <c r="P16" s="436">
        <v>7</v>
      </c>
    </row>
    <row r="17" spans="1:16" ht="15.5" x14ac:dyDescent="0.35">
      <c r="A17" s="437" t="s">
        <v>622</v>
      </c>
      <c r="B17" s="421">
        <v>4</v>
      </c>
      <c r="C17" s="421">
        <v>3</v>
      </c>
      <c r="D17" s="421">
        <v>4</v>
      </c>
      <c r="E17" s="421">
        <v>3</v>
      </c>
      <c r="F17" s="421">
        <v>8</v>
      </c>
      <c r="G17" s="421">
        <v>8</v>
      </c>
      <c r="H17" s="421">
        <v>1</v>
      </c>
      <c r="I17" s="421">
        <v>1</v>
      </c>
      <c r="J17" s="421">
        <v>4</v>
      </c>
      <c r="K17" s="421">
        <v>4</v>
      </c>
      <c r="L17" s="421">
        <v>8</v>
      </c>
      <c r="M17" s="421">
        <v>8</v>
      </c>
      <c r="N17" s="421">
        <v>3</v>
      </c>
      <c r="O17" s="421">
        <v>5</v>
      </c>
      <c r="P17" s="436">
        <v>5</v>
      </c>
    </row>
    <row r="18" spans="1:16" ht="15.5" x14ac:dyDescent="0.35">
      <c r="A18" s="437" t="s">
        <v>632</v>
      </c>
      <c r="B18" s="421">
        <v>2</v>
      </c>
      <c r="C18" s="421">
        <v>4</v>
      </c>
      <c r="D18" s="421">
        <v>4</v>
      </c>
      <c r="E18" s="421">
        <v>3</v>
      </c>
      <c r="F18" s="421">
        <v>8</v>
      </c>
      <c r="G18" s="421">
        <v>5</v>
      </c>
      <c r="H18" s="421">
        <v>1</v>
      </c>
      <c r="I18" s="421">
        <v>1</v>
      </c>
      <c r="J18" s="421">
        <v>4</v>
      </c>
      <c r="K18" s="421">
        <v>3</v>
      </c>
      <c r="L18" s="421">
        <v>10</v>
      </c>
      <c r="M18" s="421">
        <v>9</v>
      </c>
      <c r="N18" s="421">
        <v>3</v>
      </c>
      <c r="O18" s="421">
        <v>5</v>
      </c>
      <c r="P18" s="436">
        <v>5</v>
      </c>
    </row>
    <row r="19" spans="1:16" ht="15.5" x14ac:dyDescent="0.35">
      <c r="A19" s="437" t="s">
        <v>634</v>
      </c>
      <c r="B19" s="421">
        <v>5</v>
      </c>
      <c r="C19" s="421">
        <v>5</v>
      </c>
      <c r="D19" s="421">
        <v>3</v>
      </c>
      <c r="E19" s="421">
        <v>3</v>
      </c>
      <c r="F19" s="421">
        <v>4</v>
      </c>
      <c r="G19" s="421">
        <v>2</v>
      </c>
      <c r="H19" s="421">
        <v>1</v>
      </c>
      <c r="I19" s="421">
        <v>1</v>
      </c>
      <c r="J19" s="421">
        <v>4</v>
      </c>
      <c r="K19" s="421">
        <v>4</v>
      </c>
      <c r="L19" s="421">
        <v>8</v>
      </c>
      <c r="M19" s="421">
        <v>8</v>
      </c>
      <c r="N19" s="421">
        <v>3</v>
      </c>
      <c r="O19" s="421">
        <v>5</v>
      </c>
      <c r="P19" s="436">
        <v>5</v>
      </c>
    </row>
    <row r="20" spans="1:16" ht="15.5" x14ac:dyDescent="0.35">
      <c r="A20" s="437" t="s">
        <v>596</v>
      </c>
      <c r="B20" s="421">
        <v>7</v>
      </c>
      <c r="C20" s="421">
        <v>8</v>
      </c>
      <c r="D20" s="421">
        <v>5</v>
      </c>
      <c r="E20" s="421">
        <v>3</v>
      </c>
      <c r="F20" s="421">
        <v>10</v>
      </c>
      <c r="G20" s="421">
        <v>10</v>
      </c>
      <c r="H20" s="421">
        <v>2</v>
      </c>
      <c r="I20" s="421">
        <v>2</v>
      </c>
      <c r="J20" s="421">
        <v>6</v>
      </c>
      <c r="K20" s="421">
        <v>7</v>
      </c>
      <c r="L20" s="421">
        <v>8</v>
      </c>
      <c r="M20" s="421">
        <v>8</v>
      </c>
      <c r="N20" s="421">
        <v>3</v>
      </c>
      <c r="O20" s="421">
        <v>6</v>
      </c>
      <c r="P20" s="436">
        <v>7</v>
      </c>
    </row>
    <row r="21" spans="1:16" ht="15.5" x14ac:dyDescent="0.35">
      <c r="A21" s="437" t="s">
        <v>654</v>
      </c>
      <c r="B21" s="421">
        <v>9</v>
      </c>
      <c r="C21" s="421">
        <v>9</v>
      </c>
      <c r="D21" s="421">
        <v>3</v>
      </c>
      <c r="E21" s="421">
        <v>2</v>
      </c>
      <c r="F21" s="421">
        <v>5</v>
      </c>
      <c r="G21" s="421">
        <v>3</v>
      </c>
      <c r="H21" s="421">
        <v>1</v>
      </c>
      <c r="I21" s="421">
        <v>1</v>
      </c>
      <c r="J21" s="421">
        <v>4</v>
      </c>
      <c r="K21" s="421">
        <v>5</v>
      </c>
      <c r="L21" s="421">
        <v>9</v>
      </c>
      <c r="M21" s="421">
        <v>8</v>
      </c>
      <c r="N21" s="421">
        <v>3</v>
      </c>
      <c r="O21" s="421">
        <v>6</v>
      </c>
      <c r="P21" s="436">
        <v>7</v>
      </c>
    </row>
    <row r="22" spans="1:16" ht="15.5" x14ac:dyDescent="0.35">
      <c r="A22" s="437" t="s">
        <v>671</v>
      </c>
      <c r="B22" s="421">
        <v>6</v>
      </c>
      <c r="C22" s="421">
        <v>6</v>
      </c>
      <c r="D22" s="421">
        <v>4</v>
      </c>
      <c r="E22" s="421">
        <v>2</v>
      </c>
      <c r="F22" s="421">
        <v>1</v>
      </c>
      <c r="G22" s="421">
        <v>1</v>
      </c>
      <c r="H22" s="421">
        <v>1</v>
      </c>
      <c r="I22" s="421">
        <v>1</v>
      </c>
      <c r="J22" s="421">
        <v>4</v>
      </c>
      <c r="K22" s="421">
        <v>4</v>
      </c>
      <c r="L22" s="421">
        <v>6</v>
      </c>
      <c r="M22" s="421">
        <v>7</v>
      </c>
      <c r="N22" s="421">
        <v>3</v>
      </c>
      <c r="O22" s="421">
        <v>5</v>
      </c>
      <c r="P22" s="436">
        <v>7</v>
      </c>
    </row>
    <row r="23" spans="1:16" ht="15.5" x14ac:dyDescent="0.35">
      <c r="A23" s="437" t="s">
        <v>595</v>
      </c>
      <c r="B23" s="421">
        <v>4</v>
      </c>
      <c r="C23" s="421">
        <v>7</v>
      </c>
      <c r="D23" s="421">
        <v>3</v>
      </c>
      <c r="E23" s="421">
        <v>2</v>
      </c>
      <c r="F23" s="421">
        <v>10</v>
      </c>
      <c r="G23" s="421">
        <v>6</v>
      </c>
      <c r="H23" s="421">
        <v>3</v>
      </c>
      <c r="I23" s="421">
        <v>2</v>
      </c>
      <c r="J23" s="421">
        <v>3</v>
      </c>
      <c r="K23" s="421">
        <v>3</v>
      </c>
      <c r="L23" s="421">
        <v>8</v>
      </c>
      <c r="M23" s="421">
        <v>8</v>
      </c>
      <c r="N23" s="421">
        <v>3</v>
      </c>
      <c r="O23" s="421">
        <v>4</v>
      </c>
      <c r="P23" s="436">
        <v>5</v>
      </c>
    </row>
    <row r="24" spans="1:16" ht="15.5" x14ac:dyDescent="0.35">
      <c r="A24" s="437" t="s">
        <v>633</v>
      </c>
      <c r="B24" s="421">
        <v>6</v>
      </c>
      <c r="C24" s="421">
        <v>6</v>
      </c>
      <c r="D24" s="421">
        <v>3</v>
      </c>
      <c r="E24" s="421">
        <v>2</v>
      </c>
      <c r="F24" s="421">
        <v>3</v>
      </c>
      <c r="G24" s="421">
        <v>2</v>
      </c>
      <c r="H24" s="421">
        <v>1</v>
      </c>
      <c r="I24" s="421">
        <v>1</v>
      </c>
      <c r="J24" s="421">
        <v>3</v>
      </c>
      <c r="K24" s="421">
        <v>3</v>
      </c>
      <c r="L24" s="421">
        <v>8</v>
      </c>
      <c r="M24" s="421">
        <v>8</v>
      </c>
      <c r="N24" s="421">
        <v>3</v>
      </c>
      <c r="O24" s="421">
        <v>5</v>
      </c>
      <c r="P24" s="436">
        <v>6</v>
      </c>
    </row>
    <row r="25" spans="1:16" ht="15.5" x14ac:dyDescent="0.35">
      <c r="A25" s="437" t="s">
        <v>652</v>
      </c>
      <c r="B25" s="421">
        <v>7</v>
      </c>
      <c r="C25" s="421">
        <v>9</v>
      </c>
      <c r="D25" s="421">
        <v>4</v>
      </c>
      <c r="E25" s="421">
        <v>3</v>
      </c>
      <c r="F25" s="421">
        <v>1</v>
      </c>
      <c r="G25" s="421">
        <v>1</v>
      </c>
      <c r="H25" s="421">
        <v>1</v>
      </c>
      <c r="I25" s="421">
        <v>1</v>
      </c>
      <c r="J25" s="421">
        <v>4</v>
      </c>
      <c r="K25" s="421">
        <v>3</v>
      </c>
      <c r="L25" s="421">
        <v>8</v>
      </c>
      <c r="M25" s="421">
        <v>8</v>
      </c>
      <c r="N25" s="421">
        <v>3</v>
      </c>
      <c r="O25" s="421">
        <v>5</v>
      </c>
      <c r="P25" s="436">
        <v>6</v>
      </c>
    </row>
    <row r="26" spans="1:16" ht="15.5" x14ac:dyDescent="0.35">
      <c r="A26" s="437" t="s">
        <v>672</v>
      </c>
      <c r="B26" s="421">
        <v>6</v>
      </c>
      <c r="C26" s="421">
        <v>6</v>
      </c>
      <c r="D26" s="421">
        <v>2</v>
      </c>
      <c r="E26" s="421">
        <v>2</v>
      </c>
      <c r="F26" s="421">
        <v>1</v>
      </c>
      <c r="G26" s="421">
        <v>1</v>
      </c>
      <c r="H26" s="421">
        <v>1</v>
      </c>
      <c r="I26" s="421">
        <v>1</v>
      </c>
      <c r="J26" s="421">
        <v>3</v>
      </c>
      <c r="K26" s="421">
        <v>3</v>
      </c>
      <c r="L26" s="421">
        <v>5</v>
      </c>
      <c r="M26" s="421">
        <v>5</v>
      </c>
      <c r="N26" s="421">
        <v>3</v>
      </c>
      <c r="O26" s="421">
        <v>5</v>
      </c>
      <c r="P26" s="436">
        <v>5</v>
      </c>
    </row>
    <row r="27" spans="1:16" ht="15.5" x14ac:dyDescent="0.35">
      <c r="A27" s="437" t="s">
        <v>585</v>
      </c>
      <c r="B27" s="421">
        <v>6</v>
      </c>
      <c r="C27" s="421">
        <v>6</v>
      </c>
      <c r="D27" s="421">
        <v>3</v>
      </c>
      <c r="E27" s="421">
        <v>2</v>
      </c>
      <c r="F27" s="421">
        <v>1</v>
      </c>
      <c r="G27" s="421">
        <v>1</v>
      </c>
      <c r="H27" s="421">
        <v>1</v>
      </c>
      <c r="I27" s="421">
        <v>1</v>
      </c>
      <c r="J27" s="421">
        <v>1</v>
      </c>
      <c r="K27" s="421">
        <v>1</v>
      </c>
      <c r="L27" s="421">
        <v>4</v>
      </c>
      <c r="M27" s="421">
        <v>5</v>
      </c>
      <c r="N27" s="421">
        <v>6</v>
      </c>
      <c r="O27" s="421">
        <v>3</v>
      </c>
      <c r="P27" s="436">
        <v>3</v>
      </c>
    </row>
    <row r="28" spans="1:16" ht="15.5" x14ac:dyDescent="0.35">
      <c r="A28" s="437" t="s">
        <v>583</v>
      </c>
      <c r="B28" s="421">
        <v>6</v>
      </c>
      <c r="C28" s="421">
        <v>6</v>
      </c>
      <c r="D28" s="421">
        <v>3</v>
      </c>
      <c r="E28" s="421">
        <v>2</v>
      </c>
      <c r="F28" s="421">
        <v>1</v>
      </c>
      <c r="G28" s="421">
        <v>1</v>
      </c>
      <c r="H28" s="421">
        <v>1</v>
      </c>
      <c r="I28" s="421">
        <v>1</v>
      </c>
      <c r="J28" s="421">
        <v>1</v>
      </c>
      <c r="K28" s="421">
        <v>1</v>
      </c>
      <c r="L28" s="421">
        <v>3</v>
      </c>
      <c r="M28" s="421">
        <v>3</v>
      </c>
      <c r="N28" s="421">
        <v>6</v>
      </c>
      <c r="O28" s="421">
        <v>3</v>
      </c>
      <c r="P28" s="436">
        <v>3</v>
      </c>
    </row>
    <row r="29" spans="1:16" ht="15.5" x14ac:dyDescent="0.35">
      <c r="A29" s="437" t="s">
        <v>641</v>
      </c>
      <c r="B29" s="421">
        <v>7</v>
      </c>
      <c r="C29" s="421">
        <v>9</v>
      </c>
      <c r="D29" s="421">
        <v>3</v>
      </c>
      <c r="E29" s="421">
        <v>2</v>
      </c>
      <c r="F29" s="421">
        <v>1</v>
      </c>
      <c r="G29" s="421">
        <v>1</v>
      </c>
      <c r="H29" s="421">
        <v>2</v>
      </c>
      <c r="I29" s="421">
        <v>1</v>
      </c>
      <c r="J29" s="421">
        <v>1</v>
      </c>
      <c r="K29" s="421">
        <v>1</v>
      </c>
      <c r="L29" s="421">
        <v>7</v>
      </c>
      <c r="M29" s="421">
        <v>7</v>
      </c>
      <c r="N29" s="421">
        <v>6</v>
      </c>
      <c r="O29" s="421">
        <v>3</v>
      </c>
      <c r="P29" s="436">
        <v>2</v>
      </c>
    </row>
    <row r="30" spans="1:16" ht="15.5" x14ac:dyDescent="0.35">
      <c r="A30" s="437" t="s">
        <v>601</v>
      </c>
      <c r="B30" s="421">
        <v>9</v>
      </c>
      <c r="C30" s="421">
        <v>10</v>
      </c>
      <c r="D30" s="421">
        <v>3</v>
      </c>
      <c r="E30" s="421">
        <v>2</v>
      </c>
      <c r="F30" s="421">
        <v>1</v>
      </c>
      <c r="G30" s="421">
        <v>1</v>
      </c>
      <c r="H30" s="421">
        <v>3</v>
      </c>
      <c r="I30" s="421">
        <v>2</v>
      </c>
      <c r="J30" s="421">
        <v>2</v>
      </c>
      <c r="K30" s="421">
        <v>2</v>
      </c>
      <c r="L30" s="421">
        <v>7</v>
      </c>
      <c r="M30" s="421">
        <v>8</v>
      </c>
      <c r="N30" s="421">
        <v>3</v>
      </c>
      <c r="O30" s="421">
        <v>3</v>
      </c>
      <c r="P30" s="436">
        <v>4</v>
      </c>
    </row>
    <row r="31" spans="1:16" ht="15.5" x14ac:dyDescent="0.35">
      <c r="A31" s="437" t="s">
        <v>603</v>
      </c>
      <c r="B31" s="421">
        <v>10</v>
      </c>
      <c r="C31" s="421">
        <v>10</v>
      </c>
      <c r="D31" s="421">
        <v>5</v>
      </c>
      <c r="E31" s="421">
        <v>4</v>
      </c>
      <c r="F31" s="421">
        <v>1</v>
      </c>
      <c r="G31" s="421">
        <v>1</v>
      </c>
      <c r="H31" s="421">
        <v>2</v>
      </c>
      <c r="I31" s="421">
        <v>2</v>
      </c>
      <c r="J31" s="421">
        <v>8</v>
      </c>
      <c r="K31" s="421">
        <v>10</v>
      </c>
      <c r="L31" s="421">
        <v>8</v>
      </c>
      <c r="M31" s="421">
        <v>9</v>
      </c>
      <c r="N31" s="421">
        <v>3</v>
      </c>
      <c r="O31" s="421">
        <v>8</v>
      </c>
      <c r="P31" s="436">
        <v>9</v>
      </c>
    </row>
    <row r="32" spans="1:16" ht="15.5" x14ac:dyDescent="0.35">
      <c r="A32" s="437" t="s">
        <v>594</v>
      </c>
      <c r="B32" s="421">
        <v>7</v>
      </c>
      <c r="C32" s="421">
        <v>9</v>
      </c>
      <c r="D32" s="421">
        <v>7</v>
      </c>
      <c r="E32" s="421">
        <v>5</v>
      </c>
      <c r="F32" s="421">
        <v>3</v>
      </c>
      <c r="G32" s="421">
        <v>2</v>
      </c>
      <c r="H32" s="421">
        <v>10</v>
      </c>
      <c r="I32" s="421">
        <v>10</v>
      </c>
      <c r="J32" s="421">
        <v>10</v>
      </c>
      <c r="K32" s="421">
        <v>10</v>
      </c>
      <c r="L32" s="421">
        <v>7</v>
      </c>
      <c r="M32" s="421">
        <v>8</v>
      </c>
      <c r="N32" s="421">
        <v>5</v>
      </c>
      <c r="O32" s="421">
        <v>5</v>
      </c>
      <c r="P32" s="436">
        <v>5</v>
      </c>
    </row>
    <row r="33" spans="1:16" ht="15.5" x14ac:dyDescent="0.35">
      <c r="A33" s="437" t="s">
        <v>656</v>
      </c>
      <c r="B33" s="421">
        <v>7</v>
      </c>
      <c r="C33" s="421">
        <v>6</v>
      </c>
      <c r="D33" s="421">
        <v>5</v>
      </c>
      <c r="E33" s="421">
        <v>3</v>
      </c>
      <c r="F33" s="421">
        <v>4</v>
      </c>
      <c r="G33" s="421">
        <v>10</v>
      </c>
      <c r="H33" s="421">
        <v>3</v>
      </c>
      <c r="I33" s="421">
        <v>2</v>
      </c>
      <c r="J33" s="421">
        <v>4</v>
      </c>
      <c r="K33" s="421">
        <v>5</v>
      </c>
      <c r="L33" s="421">
        <v>7</v>
      </c>
      <c r="M33" s="421">
        <v>7</v>
      </c>
      <c r="N33" s="421">
        <v>6</v>
      </c>
      <c r="O33" s="421">
        <v>3</v>
      </c>
      <c r="P33" s="436">
        <v>5</v>
      </c>
    </row>
    <row r="34" spans="1:16" ht="15.5" x14ac:dyDescent="0.35">
      <c r="A34" s="437" t="s">
        <v>629</v>
      </c>
      <c r="B34" s="421">
        <v>9</v>
      </c>
      <c r="C34" s="421">
        <v>6</v>
      </c>
      <c r="D34" s="421">
        <v>3</v>
      </c>
      <c r="E34" s="421">
        <v>2</v>
      </c>
      <c r="F34" s="421">
        <v>4</v>
      </c>
      <c r="G34" s="421">
        <v>2</v>
      </c>
      <c r="H34" s="421">
        <v>5</v>
      </c>
      <c r="I34" s="421">
        <v>3</v>
      </c>
      <c r="J34" s="421">
        <v>2</v>
      </c>
      <c r="K34" s="421">
        <v>1</v>
      </c>
      <c r="L34" s="421">
        <v>6</v>
      </c>
      <c r="M34" s="421">
        <v>5</v>
      </c>
      <c r="N34" s="421">
        <v>6</v>
      </c>
      <c r="O34" s="421">
        <v>2</v>
      </c>
      <c r="P34" s="436">
        <v>2</v>
      </c>
    </row>
    <row r="35" spans="1:16" ht="15.5" x14ac:dyDescent="0.35">
      <c r="A35" s="437" t="s">
        <v>597</v>
      </c>
      <c r="B35" s="421">
        <v>4</v>
      </c>
      <c r="C35" s="421">
        <v>4</v>
      </c>
      <c r="D35" s="421">
        <v>3</v>
      </c>
      <c r="E35" s="421">
        <v>2</v>
      </c>
      <c r="F35" s="421">
        <v>5</v>
      </c>
      <c r="G35" s="421">
        <v>4</v>
      </c>
      <c r="H35" s="421">
        <v>2</v>
      </c>
      <c r="I35" s="421">
        <v>1</v>
      </c>
      <c r="J35" s="421">
        <v>1</v>
      </c>
      <c r="K35" s="421">
        <v>1</v>
      </c>
      <c r="L35" s="421">
        <v>3</v>
      </c>
      <c r="M35" s="421">
        <v>4</v>
      </c>
      <c r="N35" s="421">
        <v>3</v>
      </c>
      <c r="O35" s="421">
        <v>2</v>
      </c>
      <c r="P35" s="436">
        <v>2</v>
      </c>
    </row>
    <row r="36" spans="1:16" ht="15.5" x14ac:dyDescent="0.35">
      <c r="A36" s="437" t="s">
        <v>642</v>
      </c>
      <c r="B36" s="421">
        <v>7</v>
      </c>
      <c r="C36" s="421">
        <v>5</v>
      </c>
      <c r="D36" s="421">
        <v>5</v>
      </c>
      <c r="E36" s="421">
        <v>3</v>
      </c>
      <c r="F36" s="421">
        <v>1</v>
      </c>
      <c r="G36" s="421">
        <v>1</v>
      </c>
      <c r="H36" s="421">
        <v>1</v>
      </c>
      <c r="I36" s="421">
        <v>1</v>
      </c>
      <c r="J36" s="421">
        <v>4</v>
      </c>
      <c r="K36" s="421">
        <v>2</v>
      </c>
      <c r="L36" s="421">
        <v>8</v>
      </c>
      <c r="M36" s="421">
        <v>8</v>
      </c>
      <c r="N36" s="421">
        <v>3</v>
      </c>
      <c r="O36" s="421">
        <v>2</v>
      </c>
      <c r="P36" s="436">
        <v>2</v>
      </c>
    </row>
    <row r="37" spans="1:16" ht="15.5" x14ac:dyDescent="0.35">
      <c r="A37" s="437" t="s">
        <v>602</v>
      </c>
      <c r="B37" s="421">
        <v>4</v>
      </c>
      <c r="C37" s="421">
        <v>4</v>
      </c>
      <c r="D37" s="421">
        <v>5</v>
      </c>
      <c r="E37" s="421">
        <v>4</v>
      </c>
      <c r="F37" s="421">
        <v>8</v>
      </c>
      <c r="G37" s="421">
        <v>5</v>
      </c>
      <c r="H37" s="421">
        <v>3</v>
      </c>
      <c r="I37" s="421">
        <v>2</v>
      </c>
      <c r="J37" s="421">
        <v>10</v>
      </c>
      <c r="K37" s="421">
        <v>10</v>
      </c>
      <c r="L37" s="421">
        <v>10</v>
      </c>
      <c r="M37" s="421">
        <v>10</v>
      </c>
      <c r="N37" s="421">
        <v>3</v>
      </c>
      <c r="O37" s="421">
        <v>9</v>
      </c>
      <c r="P37" s="436">
        <v>9</v>
      </c>
    </row>
    <row r="38" spans="1:16" ht="15.5" x14ac:dyDescent="0.35">
      <c r="A38" s="437" t="s">
        <v>663</v>
      </c>
      <c r="B38" s="421">
        <v>4</v>
      </c>
      <c r="C38" s="421">
        <v>4</v>
      </c>
      <c r="D38" s="421">
        <v>3</v>
      </c>
      <c r="E38" s="421">
        <v>3</v>
      </c>
      <c r="F38" s="421">
        <v>6</v>
      </c>
      <c r="G38" s="421">
        <v>4</v>
      </c>
      <c r="H38" s="421">
        <v>1</v>
      </c>
      <c r="I38" s="421">
        <v>1</v>
      </c>
      <c r="J38" s="421">
        <v>8</v>
      </c>
      <c r="K38" s="421">
        <v>8</v>
      </c>
      <c r="L38" s="421">
        <v>10</v>
      </c>
      <c r="M38" s="421">
        <v>10</v>
      </c>
      <c r="N38" s="421">
        <v>5</v>
      </c>
      <c r="O38" s="421">
        <v>8</v>
      </c>
      <c r="P38" s="436">
        <v>8</v>
      </c>
    </row>
    <row r="39" spans="1:16" ht="15.5" x14ac:dyDescent="0.35">
      <c r="A39" s="437" t="s">
        <v>623</v>
      </c>
      <c r="B39" s="421">
        <v>9</v>
      </c>
      <c r="C39" s="421">
        <v>7</v>
      </c>
      <c r="D39" s="421">
        <v>4</v>
      </c>
      <c r="E39" s="421">
        <v>2</v>
      </c>
      <c r="F39" s="421">
        <v>5</v>
      </c>
      <c r="G39" s="421">
        <v>2</v>
      </c>
      <c r="H39" s="421">
        <v>1</v>
      </c>
      <c r="I39" s="421">
        <v>1</v>
      </c>
      <c r="J39" s="421">
        <v>5</v>
      </c>
      <c r="K39" s="421">
        <v>4</v>
      </c>
      <c r="L39" s="421">
        <v>8</v>
      </c>
      <c r="M39" s="421">
        <v>8</v>
      </c>
      <c r="N39" s="421">
        <v>3</v>
      </c>
      <c r="O39" s="421">
        <v>6</v>
      </c>
      <c r="P39" s="436">
        <v>5</v>
      </c>
    </row>
    <row r="40" spans="1:16" ht="15.5" x14ac:dyDescent="0.35">
      <c r="A40" s="437" t="s">
        <v>605</v>
      </c>
      <c r="B40" s="421">
        <v>4</v>
      </c>
      <c r="C40" s="421">
        <v>4</v>
      </c>
      <c r="D40" s="421">
        <v>3</v>
      </c>
      <c r="E40" s="421">
        <v>2</v>
      </c>
      <c r="F40" s="421">
        <v>4</v>
      </c>
      <c r="G40" s="421">
        <v>2</v>
      </c>
      <c r="H40" s="421">
        <v>5</v>
      </c>
      <c r="I40" s="421">
        <v>3</v>
      </c>
      <c r="J40" s="421">
        <v>7</v>
      </c>
      <c r="K40" s="421">
        <v>8</v>
      </c>
      <c r="L40" s="421">
        <v>10</v>
      </c>
      <c r="M40" s="421">
        <v>10</v>
      </c>
      <c r="N40" s="421">
        <v>3</v>
      </c>
      <c r="O40" s="421">
        <v>7</v>
      </c>
      <c r="P40" s="436">
        <v>8</v>
      </c>
    </row>
    <row r="41" spans="1:16" ht="15.5" x14ac:dyDescent="0.35">
      <c r="A41" s="437" t="s">
        <v>655</v>
      </c>
      <c r="B41" s="421">
        <v>7</v>
      </c>
      <c r="C41" s="421">
        <v>6</v>
      </c>
      <c r="D41" s="421">
        <v>7</v>
      </c>
      <c r="E41" s="421">
        <v>5</v>
      </c>
      <c r="F41" s="421">
        <v>1</v>
      </c>
      <c r="G41" s="421">
        <v>1</v>
      </c>
      <c r="H41" s="421">
        <v>1</v>
      </c>
      <c r="I41" s="421">
        <v>1</v>
      </c>
      <c r="J41" s="421">
        <v>6</v>
      </c>
      <c r="K41" s="421">
        <v>5</v>
      </c>
      <c r="L41" s="421">
        <v>7</v>
      </c>
      <c r="M41" s="421">
        <v>7</v>
      </c>
      <c r="N41" s="421">
        <v>3</v>
      </c>
      <c r="O41" s="421">
        <v>3</v>
      </c>
      <c r="P41" s="436">
        <v>3</v>
      </c>
    </row>
    <row r="42" spans="1:16" ht="15.5" x14ac:dyDescent="0.35">
      <c r="A42" s="437" t="s">
        <v>653</v>
      </c>
      <c r="B42" s="421">
        <v>7</v>
      </c>
      <c r="C42" s="421">
        <v>8</v>
      </c>
      <c r="D42" s="421">
        <v>6</v>
      </c>
      <c r="E42" s="421">
        <v>4</v>
      </c>
      <c r="F42" s="421">
        <v>1</v>
      </c>
      <c r="G42" s="421">
        <v>4</v>
      </c>
      <c r="H42" s="421">
        <v>1</v>
      </c>
      <c r="I42" s="421">
        <v>1</v>
      </c>
      <c r="J42" s="421">
        <v>6</v>
      </c>
      <c r="K42" s="421">
        <v>5</v>
      </c>
      <c r="L42" s="421">
        <v>7</v>
      </c>
      <c r="M42" s="421">
        <v>7</v>
      </c>
      <c r="N42" s="421">
        <v>6</v>
      </c>
      <c r="O42" s="421">
        <v>4</v>
      </c>
      <c r="P42" s="436">
        <v>4</v>
      </c>
    </row>
    <row r="43" spans="1:16" ht="15.5" x14ac:dyDescent="0.35">
      <c r="A43" s="437" t="s">
        <v>662</v>
      </c>
      <c r="B43" s="421">
        <v>7</v>
      </c>
      <c r="C43" s="421">
        <v>6</v>
      </c>
      <c r="D43" s="421">
        <v>4</v>
      </c>
      <c r="E43" s="421">
        <v>3</v>
      </c>
      <c r="F43" s="421">
        <v>1</v>
      </c>
      <c r="G43" s="421">
        <v>4</v>
      </c>
      <c r="H43" s="421">
        <v>1</v>
      </c>
      <c r="I43" s="421">
        <v>1</v>
      </c>
      <c r="J43" s="421">
        <v>5</v>
      </c>
      <c r="K43" s="421">
        <v>5</v>
      </c>
      <c r="L43" s="421">
        <v>7</v>
      </c>
      <c r="M43" s="421">
        <v>7</v>
      </c>
      <c r="N43" s="421">
        <v>6</v>
      </c>
      <c r="O43" s="421">
        <v>4</v>
      </c>
      <c r="P43" s="436">
        <v>5</v>
      </c>
    </row>
    <row r="44" spans="1:16" ht="15.5" x14ac:dyDescent="0.35">
      <c r="A44" s="437" t="s">
        <v>637</v>
      </c>
      <c r="B44" s="421">
        <v>3</v>
      </c>
      <c r="C44" s="421">
        <v>3</v>
      </c>
      <c r="D44" s="421">
        <v>3</v>
      </c>
      <c r="E44" s="421">
        <v>2</v>
      </c>
      <c r="F44" s="421">
        <v>7</v>
      </c>
      <c r="G44" s="421">
        <v>5</v>
      </c>
      <c r="H44" s="421">
        <v>1</v>
      </c>
      <c r="I44" s="421">
        <v>1</v>
      </c>
      <c r="J44" s="421">
        <v>4</v>
      </c>
      <c r="K44" s="421">
        <v>4</v>
      </c>
      <c r="L44" s="421">
        <v>10</v>
      </c>
      <c r="M44" s="421">
        <v>10</v>
      </c>
      <c r="N44" s="421">
        <v>6</v>
      </c>
      <c r="O44" s="421">
        <v>6</v>
      </c>
      <c r="P44" s="436">
        <v>5</v>
      </c>
    </row>
    <row r="45" spans="1:16" ht="15.5" x14ac:dyDescent="0.35">
      <c r="A45" s="437" t="s">
        <v>664</v>
      </c>
      <c r="B45" s="421">
        <v>5</v>
      </c>
      <c r="C45" s="421">
        <v>4</v>
      </c>
      <c r="D45" s="421">
        <v>8</v>
      </c>
      <c r="E45" s="421">
        <v>6</v>
      </c>
      <c r="F45" s="421">
        <v>8</v>
      </c>
      <c r="G45" s="421">
        <v>5</v>
      </c>
      <c r="H45" s="421">
        <v>2</v>
      </c>
      <c r="I45" s="421">
        <v>1</v>
      </c>
      <c r="J45" s="421">
        <v>10</v>
      </c>
      <c r="K45" s="421">
        <v>10</v>
      </c>
      <c r="L45" s="421">
        <v>10</v>
      </c>
      <c r="M45" s="421">
        <v>10</v>
      </c>
      <c r="N45" s="421">
        <v>3</v>
      </c>
      <c r="O45" s="421">
        <v>9</v>
      </c>
      <c r="P45" s="436">
        <v>8</v>
      </c>
    </row>
    <row r="46" spans="1:16" ht="15.5" x14ac:dyDescent="0.35">
      <c r="A46" s="437" t="s">
        <v>636</v>
      </c>
      <c r="B46" s="421">
        <v>7</v>
      </c>
      <c r="C46" s="421">
        <v>9</v>
      </c>
      <c r="D46" s="421">
        <v>10</v>
      </c>
      <c r="E46" s="421">
        <v>8</v>
      </c>
      <c r="F46" s="421">
        <v>1</v>
      </c>
      <c r="G46" s="421">
        <v>1</v>
      </c>
      <c r="H46" s="421">
        <v>1</v>
      </c>
      <c r="I46" s="421">
        <v>1</v>
      </c>
      <c r="J46" s="421">
        <v>10</v>
      </c>
      <c r="K46" s="421">
        <v>10</v>
      </c>
      <c r="L46" s="421">
        <v>8</v>
      </c>
      <c r="M46" s="421">
        <v>8</v>
      </c>
      <c r="N46" s="421">
        <v>3</v>
      </c>
      <c r="O46" s="421">
        <v>8</v>
      </c>
      <c r="P46" s="436">
        <v>8</v>
      </c>
    </row>
    <row r="47" spans="1:16" ht="15.5" x14ac:dyDescent="0.35">
      <c r="A47" s="437" t="s">
        <v>665</v>
      </c>
      <c r="B47" s="421">
        <v>3</v>
      </c>
      <c r="C47" s="421">
        <v>3</v>
      </c>
      <c r="D47" s="421">
        <v>8</v>
      </c>
      <c r="E47" s="421">
        <v>7</v>
      </c>
      <c r="F47" s="421">
        <v>4</v>
      </c>
      <c r="G47" s="421">
        <v>2</v>
      </c>
      <c r="H47" s="421">
        <v>1</v>
      </c>
      <c r="I47" s="421">
        <v>1</v>
      </c>
      <c r="J47" s="421">
        <v>10</v>
      </c>
      <c r="K47" s="421">
        <v>9</v>
      </c>
      <c r="L47" s="421">
        <v>10</v>
      </c>
      <c r="M47" s="421">
        <v>10</v>
      </c>
      <c r="N47" s="421">
        <v>3</v>
      </c>
      <c r="O47" s="421">
        <v>7</v>
      </c>
      <c r="P47" s="436">
        <v>7</v>
      </c>
    </row>
    <row r="48" spans="1:16" ht="16" thickBot="1" x14ac:dyDescent="0.4">
      <c r="A48" s="438" t="s">
        <v>1007</v>
      </c>
      <c r="B48" s="439">
        <f>AVERAGE(B2:B47)</f>
        <v>5.5217391304347823</v>
      </c>
      <c r="C48" s="439">
        <f t="shared" ref="C48:P48" si="0">AVERAGE(C2:C47)</f>
        <v>5.7391304347826084</v>
      </c>
      <c r="D48" s="439">
        <f t="shared" si="0"/>
        <v>4.3913043478260869</v>
      </c>
      <c r="E48" s="439">
        <f t="shared" si="0"/>
        <v>3.1956521739130435</v>
      </c>
      <c r="F48" s="439">
        <f t="shared" si="0"/>
        <v>3.7391304347826089</v>
      </c>
      <c r="G48" s="439">
        <f t="shared" si="0"/>
        <v>3.152173913043478</v>
      </c>
      <c r="H48" s="439">
        <f t="shared" si="0"/>
        <v>1.8478260869565217</v>
      </c>
      <c r="I48" s="439">
        <f t="shared" si="0"/>
        <v>1.4782608695652173</v>
      </c>
      <c r="J48" s="439">
        <f t="shared" si="0"/>
        <v>4.8695652173913047</v>
      </c>
      <c r="K48" s="439">
        <f t="shared" si="0"/>
        <v>4.7608695652173916</v>
      </c>
      <c r="L48" s="439">
        <f t="shared" si="0"/>
        <v>7.9782608695652177</v>
      </c>
      <c r="M48" s="439">
        <f t="shared" si="0"/>
        <v>8</v>
      </c>
      <c r="N48" s="439">
        <f t="shared" si="0"/>
        <v>4.0652173913043477</v>
      </c>
      <c r="O48" s="439">
        <f t="shared" si="0"/>
        <v>5</v>
      </c>
      <c r="P48" s="440">
        <f t="shared" si="0"/>
        <v>5.4347826086956523</v>
      </c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8192E-1D8A-4988-8600-BB67358BD5BF}">
  <sheetPr codeName="List6"/>
  <dimension ref="A1:I48"/>
  <sheetViews>
    <sheetView workbookViewId="0">
      <selection activeCell="L29" sqref="L29"/>
    </sheetView>
  </sheetViews>
  <sheetFormatPr defaultRowHeight="14.5" x14ac:dyDescent="0.35"/>
  <cols>
    <col min="1" max="1" width="12.26953125" style="125" bestFit="1" customWidth="1"/>
    <col min="2" max="2" width="17.6328125" customWidth="1"/>
    <col min="3" max="3" width="19.36328125" bestFit="1" customWidth="1"/>
    <col min="4" max="4" width="10.26953125" bestFit="1" customWidth="1"/>
    <col min="5" max="5" width="12.81640625" bestFit="1" customWidth="1"/>
    <col min="6" max="6" width="13.453125" bestFit="1" customWidth="1"/>
    <col min="7" max="9" width="10.26953125" bestFit="1" customWidth="1"/>
  </cols>
  <sheetData>
    <row r="1" spans="1:9" ht="15.5" x14ac:dyDescent="0.35">
      <c r="A1" s="425" t="s">
        <v>1010</v>
      </c>
      <c r="B1" s="426" t="s">
        <v>1022</v>
      </c>
      <c r="C1" s="426" t="s">
        <v>1021</v>
      </c>
      <c r="D1" s="427" t="s">
        <v>876</v>
      </c>
      <c r="E1" s="441" t="s">
        <v>1023</v>
      </c>
      <c r="F1" s="441" t="s">
        <v>1024</v>
      </c>
      <c r="G1" s="428" t="s">
        <v>877</v>
      </c>
      <c r="H1" s="429" t="s">
        <v>868</v>
      </c>
      <c r="I1" s="442" t="s">
        <v>869</v>
      </c>
    </row>
    <row r="2" spans="1:9" ht="15.5" x14ac:dyDescent="0.35">
      <c r="A2" s="435">
        <v>429</v>
      </c>
      <c r="B2" s="421">
        <v>6</v>
      </c>
      <c r="C2" s="421">
        <v>6</v>
      </c>
      <c r="D2" s="421">
        <v>5</v>
      </c>
      <c r="E2" s="421">
        <v>6</v>
      </c>
      <c r="F2" s="421">
        <v>4</v>
      </c>
      <c r="G2" s="421">
        <v>10</v>
      </c>
      <c r="H2" s="421">
        <v>10</v>
      </c>
      <c r="I2" s="436">
        <v>10</v>
      </c>
    </row>
    <row r="3" spans="1:9" ht="15.5" x14ac:dyDescent="0.35">
      <c r="A3" s="435">
        <v>430</v>
      </c>
      <c r="B3" s="421">
        <v>8</v>
      </c>
      <c r="C3" s="421">
        <v>10</v>
      </c>
      <c r="D3" s="421">
        <v>7</v>
      </c>
      <c r="E3" s="421">
        <v>8</v>
      </c>
      <c r="F3" s="421">
        <v>5</v>
      </c>
      <c r="G3" s="421">
        <v>10</v>
      </c>
      <c r="H3" s="421">
        <v>10</v>
      </c>
      <c r="I3" s="436">
        <v>10</v>
      </c>
    </row>
    <row r="4" spans="1:9" ht="15.5" x14ac:dyDescent="0.35">
      <c r="A4" s="435">
        <v>431</v>
      </c>
      <c r="B4" s="421">
        <v>4</v>
      </c>
      <c r="C4" s="421">
        <v>4</v>
      </c>
      <c r="D4" s="421">
        <v>7</v>
      </c>
      <c r="E4" s="421">
        <v>6</v>
      </c>
      <c r="F4" s="421">
        <v>6</v>
      </c>
      <c r="G4" s="421">
        <v>10</v>
      </c>
      <c r="H4" s="421">
        <v>10</v>
      </c>
      <c r="I4" s="436">
        <v>10</v>
      </c>
    </row>
    <row r="5" spans="1:9" ht="15.5" x14ac:dyDescent="0.35">
      <c r="A5" s="435">
        <v>432</v>
      </c>
      <c r="B5" s="421">
        <v>8</v>
      </c>
      <c r="C5" s="421">
        <v>8</v>
      </c>
      <c r="D5" s="421">
        <v>7</v>
      </c>
      <c r="E5" s="421">
        <v>6</v>
      </c>
      <c r="F5" s="421">
        <v>10</v>
      </c>
      <c r="G5" s="421">
        <v>10</v>
      </c>
      <c r="H5" s="421">
        <v>10</v>
      </c>
      <c r="I5" s="436">
        <v>10</v>
      </c>
    </row>
    <row r="6" spans="1:9" ht="15.5" x14ac:dyDescent="0.35">
      <c r="A6" s="435">
        <v>433</v>
      </c>
      <c r="B6" s="421">
        <v>4</v>
      </c>
      <c r="C6" s="421">
        <v>3</v>
      </c>
      <c r="D6" s="421">
        <v>7</v>
      </c>
      <c r="E6" s="421">
        <v>8</v>
      </c>
      <c r="F6" s="421">
        <v>8</v>
      </c>
      <c r="G6" s="421">
        <v>10</v>
      </c>
      <c r="H6" s="421">
        <v>10</v>
      </c>
      <c r="I6" s="436">
        <v>10</v>
      </c>
    </row>
    <row r="7" spans="1:9" ht="15.5" x14ac:dyDescent="0.35">
      <c r="A7" s="435">
        <v>434</v>
      </c>
      <c r="B7" s="421">
        <v>7</v>
      </c>
      <c r="C7" s="421">
        <v>10</v>
      </c>
      <c r="D7" s="421">
        <v>7</v>
      </c>
      <c r="E7" s="421">
        <v>6</v>
      </c>
      <c r="F7" s="421">
        <v>4</v>
      </c>
      <c r="G7" s="421">
        <v>9</v>
      </c>
      <c r="H7" s="421">
        <v>10</v>
      </c>
      <c r="I7" s="436">
        <v>10</v>
      </c>
    </row>
    <row r="8" spans="1:9" ht="15.5" x14ac:dyDescent="0.35">
      <c r="A8" s="435">
        <v>435</v>
      </c>
      <c r="B8" s="421">
        <v>4</v>
      </c>
      <c r="C8" s="421">
        <v>4</v>
      </c>
      <c r="D8" s="421">
        <v>7</v>
      </c>
      <c r="E8" s="421">
        <v>7</v>
      </c>
      <c r="F8" s="421">
        <v>8</v>
      </c>
      <c r="G8" s="421">
        <v>9</v>
      </c>
      <c r="H8" s="421">
        <v>10</v>
      </c>
      <c r="I8" s="436">
        <v>10</v>
      </c>
    </row>
    <row r="9" spans="1:9" ht="15.5" x14ac:dyDescent="0.35">
      <c r="A9" s="435">
        <v>436</v>
      </c>
      <c r="B9" s="421">
        <v>8</v>
      </c>
      <c r="C9" s="421">
        <v>10</v>
      </c>
      <c r="D9" s="421">
        <v>7</v>
      </c>
      <c r="E9" s="421">
        <v>8</v>
      </c>
      <c r="F9" s="421">
        <v>6</v>
      </c>
      <c r="G9" s="421">
        <v>10</v>
      </c>
      <c r="H9" s="421">
        <v>10</v>
      </c>
      <c r="I9" s="436">
        <v>10</v>
      </c>
    </row>
    <row r="10" spans="1:9" ht="15.5" x14ac:dyDescent="0.35">
      <c r="A10" s="435">
        <v>437</v>
      </c>
      <c r="B10" s="421">
        <v>8</v>
      </c>
      <c r="C10" s="421">
        <v>8</v>
      </c>
      <c r="D10" s="421">
        <v>7</v>
      </c>
      <c r="E10" s="421">
        <v>6</v>
      </c>
      <c r="F10" s="421">
        <v>7</v>
      </c>
      <c r="G10" s="421">
        <v>10</v>
      </c>
      <c r="H10" s="421">
        <v>10</v>
      </c>
      <c r="I10" s="436">
        <v>10</v>
      </c>
    </row>
    <row r="11" spans="1:9" ht="15.5" x14ac:dyDescent="0.35">
      <c r="A11" s="435">
        <v>438</v>
      </c>
      <c r="B11" s="421">
        <v>8</v>
      </c>
      <c r="C11" s="421">
        <v>9</v>
      </c>
      <c r="D11" s="421">
        <v>7</v>
      </c>
      <c r="E11" s="421">
        <v>8</v>
      </c>
      <c r="F11" s="421">
        <v>5</v>
      </c>
      <c r="G11" s="421">
        <v>10</v>
      </c>
      <c r="H11" s="421">
        <v>10</v>
      </c>
      <c r="I11" s="436">
        <v>10</v>
      </c>
    </row>
    <row r="12" spans="1:9" ht="15.5" x14ac:dyDescent="0.35">
      <c r="A12" s="435">
        <v>439</v>
      </c>
      <c r="B12" s="421">
        <v>10</v>
      </c>
      <c r="C12" s="421">
        <v>9</v>
      </c>
      <c r="D12" s="421">
        <v>8</v>
      </c>
      <c r="E12" s="421">
        <v>4</v>
      </c>
      <c r="F12" s="421">
        <v>10</v>
      </c>
      <c r="G12" s="421">
        <v>10</v>
      </c>
      <c r="H12" s="421">
        <v>10</v>
      </c>
      <c r="I12" s="436">
        <v>10</v>
      </c>
    </row>
    <row r="13" spans="1:9" ht="15.5" x14ac:dyDescent="0.35">
      <c r="A13" s="435">
        <v>440</v>
      </c>
      <c r="B13" s="421">
        <v>9</v>
      </c>
      <c r="C13" s="421">
        <v>10</v>
      </c>
      <c r="D13" s="421">
        <v>8</v>
      </c>
      <c r="E13" s="421">
        <v>7</v>
      </c>
      <c r="F13" s="421">
        <v>7</v>
      </c>
      <c r="G13" s="421">
        <v>10</v>
      </c>
      <c r="H13" s="421">
        <v>10</v>
      </c>
      <c r="I13" s="436">
        <v>10</v>
      </c>
    </row>
    <row r="14" spans="1:9" ht="15.5" x14ac:dyDescent="0.35">
      <c r="A14" s="435">
        <v>441</v>
      </c>
      <c r="B14" s="421">
        <v>8</v>
      </c>
      <c r="C14" s="421">
        <v>10</v>
      </c>
      <c r="D14" s="421">
        <v>7</v>
      </c>
      <c r="E14" s="421">
        <v>6</v>
      </c>
      <c r="F14" s="421">
        <v>7</v>
      </c>
      <c r="G14" s="421">
        <v>8</v>
      </c>
      <c r="H14" s="421">
        <v>8</v>
      </c>
      <c r="I14" s="436">
        <v>10</v>
      </c>
    </row>
    <row r="15" spans="1:9" ht="15.5" x14ac:dyDescent="0.35">
      <c r="A15" s="437" t="s">
        <v>635</v>
      </c>
      <c r="B15" s="421">
        <v>10</v>
      </c>
      <c r="C15" s="421">
        <v>9</v>
      </c>
      <c r="D15" s="421">
        <v>7</v>
      </c>
      <c r="E15" s="421">
        <v>7</v>
      </c>
      <c r="F15" s="421">
        <v>5</v>
      </c>
      <c r="G15" s="421">
        <v>10</v>
      </c>
      <c r="H15" s="421">
        <v>10</v>
      </c>
      <c r="I15" s="436">
        <v>10</v>
      </c>
    </row>
    <row r="16" spans="1:9" ht="15.5" x14ac:dyDescent="0.35">
      <c r="A16" s="437" t="s">
        <v>588</v>
      </c>
      <c r="B16" s="421">
        <v>10</v>
      </c>
      <c r="C16" s="421">
        <v>9</v>
      </c>
      <c r="D16" s="421">
        <v>7</v>
      </c>
      <c r="E16" s="421">
        <v>7</v>
      </c>
      <c r="F16" s="421">
        <v>8</v>
      </c>
      <c r="G16" s="421">
        <v>10</v>
      </c>
      <c r="H16" s="421">
        <v>10</v>
      </c>
      <c r="I16" s="436">
        <v>10</v>
      </c>
    </row>
    <row r="17" spans="1:9" ht="15.5" x14ac:dyDescent="0.35">
      <c r="A17" s="437" t="s">
        <v>622</v>
      </c>
      <c r="B17" s="421">
        <v>8</v>
      </c>
      <c r="C17" s="421">
        <v>10</v>
      </c>
      <c r="D17" s="421">
        <v>7</v>
      </c>
      <c r="E17" s="421">
        <v>7</v>
      </c>
      <c r="F17" s="421">
        <v>5</v>
      </c>
      <c r="G17" s="421">
        <v>10</v>
      </c>
      <c r="H17" s="421">
        <v>8</v>
      </c>
      <c r="I17" s="436">
        <v>10</v>
      </c>
    </row>
    <row r="18" spans="1:9" ht="15.5" x14ac:dyDescent="0.35">
      <c r="A18" s="437" t="s">
        <v>632</v>
      </c>
      <c r="B18" s="421">
        <v>8</v>
      </c>
      <c r="C18" s="421">
        <v>8</v>
      </c>
      <c r="D18" s="421">
        <v>7</v>
      </c>
      <c r="E18" s="421">
        <v>7</v>
      </c>
      <c r="F18" s="421">
        <v>5</v>
      </c>
      <c r="G18" s="421">
        <v>10</v>
      </c>
      <c r="H18" s="421">
        <v>10</v>
      </c>
      <c r="I18" s="436">
        <v>10</v>
      </c>
    </row>
    <row r="19" spans="1:9" ht="15.5" x14ac:dyDescent="0.35">
      <c r="A19" s="437" t="s">
        <v>634</v>
      </c>
      <c r="B19" s="421">
        <v>7</v>
      </c>
      <c r="C19" s="421">
        <v>8</v>
      </c>
      <c r="D19" s="421">
        <v>7</v>
      </c>
      <c r="E19" s="421">
        <v>6</v>
      </c>
      <c r="F19" s="421">
        <v>4</v>
      </c>
      <c r="G19" s="421">
        <v>10</v>
      </c>
      <c r="H19" s="421">
        <v>10</v>
      </c>
      <c r="I19" s="436">
        <v>10</v>
      </c>
    </row>
    <row r="20" spans="1:9" ht="15.5" x14ac:dyDescent="0.35">
      <c r="A20" s="437" t="s">
        <v>596</v>
      </c>
      <c r="B20" s="421">
        <v>10</v>
      </c>
      <c r="C20" s="421">
        <v>9</v>
      </c>
      <c r="D20" s="421">
        <v>7</v>
      </c>
      <c r="E20" s="421">
        <v>8</v>
      </c>
      <c r="F20" s="421">
        <v>5</v>
      </c>
      <c r="G20" s="421">
        <v>10</v>
      </c>
      <c r="H20" s="421">
        <v>10</v>
      </c>
      <c r="I20" s="436">
        <v>10</v>
      </c>
    </row>
    <row r="21" spans="1:9" ht="15.5" x14ac:dyDescent="0.35">
      <c r="A21" s="437" t="s">
        <v>654</v>
      </c>
      <c r="B21" s="421">
        <v>10</v>
      </c>
      <c r="C21" s="421">
        <v>10</v>
      </c>
      <c r="D21" s="421">
        <v>5</v>
      </c>
      <c r="E21" s="421">
        <v>6</v>
      </c>
      <c r="F21" s="421">
        <v>5</v>
      </c>
      <c r="G21" s="421">
        <v>10</v>
      </c>
      <c r="H21" s="421">
        <v>5</v>
      </c>
      <c r="I21" s="436">
        <v>10</v>
      </c>
    </row>
    <row r="22" spans="1:9" ht="15.5" x14ac:dyDescent="0.35">
      <c r="A22" s="437" t="s">
        <v>671</v>
      </c>
      <c r="B22" s="421">
        <v>8</v>
      </c>
      <c r="C22" s="421">
        <v>10</v>
      </c>
      <c r="D22" s="421">
        <v>5</v>
      </c>
      <c r="E22" s="421">
        <v>6</v>
      </c>
      <c r="F22" s="421">
        <v>6</v>
      </c>
      <c r="G22" s="421">
        <v>10</v>
      </c>
      <c r="H22" s="421">
        <v>8</v>
      </c>
      <c r="I22" s="436">
        <v>10</v>
      </c>
    </row>
    <row r="23" spans="1:9" ht="15.5" x14ac:dyDescent="0.35">
      <c r="A23" s="437" t="s">
        <v>595</v>
      </c>
      <c r="B23" s="421">
        <v>8</v>
      </c>
      <c r="C23" s="421">
        <v>8</v>
      </c>
      <c r="D23" s="421">
        <v>7</v>
      </c>
      <c r="E23" s="421">
        <v>7</v>
      </c>
      <c r="F23" s="421">
        <v>6</v>
      </c>
      <c r="G23" s="421">
        <v>10</v>
      </c>
      <c r="H23" s="421">
        <v>10</v>
      </c>
      <c r="I23" s="436">
        <v>10</v>
      </c>
    </row>
    <row r="24" spans="1:9" ht="15.5" x14ac:dyDescent="0.35">
      <c r="A24" s="437" t="s">
        <v>633</v>
      </c>
      <c r="B24" s="421">
        <v>8</v>
      </c>
      <c r="C24" s="421">
        <v>8</v>
      </c>
      <c r="D24" s="421">
        <v>7</v>
      </c>
      <c r="E24" s="421">
        <v>8</v>
      </c>
      <c r="F24" s="421">
        <v>5</v>
      </c>
      <c r="G24" s="421">
        <v>10</v>
      </c>
      <c r="H24" s="421">
        <v>10</v>
      </c>
      <c r="I24" s="436">
        <v>10</v>
      </c>
    </row>
    <row r="25" spans="1:9" ht="15.5" x14ac:dyDescent="0.35">
      <c r="A25" s="437" t="s">
        <v>652</v>
      </c>
      <c r="B25" s="421">
        <v>10</v>
      </c>
      <c r="C25" s="421">
        <v>10</v>
      </c>
      <c r="D25" s="421">
        <v>7</v>
      </c>
      <c r="E25" s="421">
        <v>7</v>
      </c>
      <c r="F25" s="421">
        <v>6</v>
      </c>
      <c r="G25" s="421">
        <v>10</v>
      </c>
      <c r="H25" s="421">
        <v>10</v>
      </c>
      <c r="I25" s="436">
        <v>10</v>
      </c>
    </row>
    <row r="26" spans="1:9" ht="15.5" x14ac:dyDescent="0.35">
      <c r="A26" s="437" t="s">
        <v>672</v>
      </c>
      <c r="B26" s="421">
        <v>7</v>
      </c>
      <c r="C26" s="421">
        <v>8</v>
      </c>
      <c r="D26" s="421">
        <v>5</v>
      </c>
      <c r="E26" s="421">
        <v>7</v>
      </c>
      <c r="F26" s="421">
        <v>5</v>
      </c>
      <c r="G26" s="421">
        <v>10</v>
      </c>
      <c r="H26" s="421">
        <v>10</v>
      </c>
      <c r="I26" s="436">
        <v>10</v>
      </c>
    </row>
    <row r="27" spans="1:9" ht="15.5" x14ac:dyDescent="0.35">
      <c r="A27" s="437" t="s">
        <v>585</v>
      </c>
      <c r="B27" s="421">
        <v>4</v>
      </c>
      <c r="C27" s="421">
        <v>6</v>
      </c>
      <c r="D27" s="421">
        <v>7</v>
      </c>
      <c r="E27" s="421">
        <v>6</v>
      </c>
      <c r="F27" s="421">
        <v>4</v>
      </c>
      <c r="G27" s="421">
        <v>10</v>
      </c>
      <c r="H27" s="421">
        <v>10</v>
      </c>
      <c r="I27" s="436">
        <v>10</v>
      </c>
    </row>
    <row r="28" spans="1:9" ht="15.5" x14ac:dyDescent="0.35">
      <c r="A28" s="437" t="s">
        <v>583</v>
      </c>
      <c r="B28" s="421">
        <v>6</v>
      </c>
      <c r="C28" s="421">
        <v>6</v>
      </c>
      <c r="D28" s="421">
        <v>7</v>
      </c>
      <c r="E28" s="421">
        <v>8</v>
      </c>
      <c r="F28" s="421">
        <v>7</v>
      </c>
      <c r="G28" s="421">
        <v>10</v>
      </c>
      <c r="H28" s="421">
        <v>8</v>
      </c>
      <c r="I28" s="436">
        <v>10</v>
      </c>
    </row>
    <row r="29" spans="1:9" ht="15.5" x14ac:dyDescent="0.35">
      <c r="A29" s="437" t="s">
        <v>641</v>
      </c>
      <c r="B29" s="421">
        <v>4</v>
      </c>
      <c r="C29" s="421">
        <v>4</v>
      </c>
      <c r="D29" s="421">
        <v>7</v>
      </c>
      <c r="E29" s="421">
        <v>6</v>
      </c>
      <c r="F29" s="421">
        <v>4</v>
      </c>
      <c r="G29" s="421">
        <v>9</v>
      </c>
      <c r="H29" s="421">
        <v>10</v>
      </c>
      <c r="I29" s="436">
        <v>10</v>
      </c>
    </row>
    <row r="30" spans="1:9" ht="15.5" x14ac:dyDescent="0.35">
      <c r="A30" s="437" t="s">
        <v>601</v>
      </c>
      <c r="B30" s="421">
        <v>6</v>
      </c>
      <c r="C30" s="421">
        <v>7</v>
      </c>
      <c r="D30" s="421">
        <v>7</v>
      </c>
      <c r="E30" s="421">
        <v>7</v>
      </c>
      <c r="F30" s="421">
        <v>5</v>
      </c>
      <c r="G30" s="421">
        <v>10</v>
      </c>
      <c r="H30" s="421">
        <v>8</v>
      </c>
      <c r="I30" s="436">
        <v>10</v>
      </c>
    </row>
    <row r="31" spans="1:9" ht="15.5" x14ac:dyDescent="0.35">
      <c r="A31" s="437" t="s">
        <v>603</v>
      </c>
      <c r="B31" s="421">
        <v>5</v>
      </c>
      <c r="C31" s="421">
        <v>3</v>
      </c>
      <c r="D31" s="421">
        <v>7</v>
      </c>
      <c r="E31" s="421">
        <v>7</v>
      </c>
      <c r="F31" s="421">
        <v>10</v>
      </c>
      <c r="G31" s="421">
        <v>10</v>
      </c>
      <c r="H31" s="421">
        <v>10</v>
      </c>
      <c r="I31" s="436">
        <v>10</v>
      </c>
    </row>
    <row r="32" spans="1:9" ht="15.5" x14ac:dyDescent="0.35">
      <c r="A32" s="437" t="s">
        <v>594</v>
      </c>
      <c r="B32" s="421">
        <v>8</v>
      </c>
      <c r="C32" s="421">
        <v>8</v>
      </c>
      <c r="D32" s="421">
        <v>7</v>
      </c>
      <c r="E32" s="421">
        <v>6</v>
      </c>
      <c r="F32" s="421">
        <v>9</v>
      </c>
      <c r="G32" s="421">
        <v>9</v>
      </c>
      <c r="H32" s="421">
        <v>10</v>
      </c>
      <c r="I32" s="436">
        <v>10</v>
      </c>
    </row>
    <row r="33" spans="1:9" ht="15.5" x14ac:dyDescent="0.35">
      <c r="A33" s="437" t="s">
        <v>656</v>
      </c>
      <c r="B33" s="421">
        <v>7</v>
      </c>
      <c r="C33" s="421">
        <v>8</v>
      </c>
      <c r="D33" s="421">
        <v>5</v>
      </c>
      <c r="E33" s="421">
        <v>8</v>
      </c>
      <c r="F33" s="421">
        <v>10</v>
      </c>
      <c r="G33" s="421">
        <v>10</v>
      </c>
      <c r="H33" s="421">
        <v>10</v>
      </c>
      <c r="I33" s="436">
        <v>10</v>
      </c>
    </row>
    <row r="34" spans="1:9" ht="15.5" x14ac:dyDescent="0.35">
      <c r="A34" s="437" t="s">
        <v>629</v>
      </c>
      <c r="B34" s="421">
        <v>4</v>
      </c>
      <c r="C34" s="421">
        <v>3</v>
      </c>
      <c r="D34" s="421">
        <v>5</v>
      </c>
      <c r="E34" s="421">
        <v>8</v>
      </c>
      <c r="F34" s="421">
        <v>4</v>
      </c>
      <c r="G34" s="421">
        <v>10</v>
      </c>
      <c r="H34" s="421">
        <v>8</v>
      </c>
      <c r="I34" s="436">
        <v>10</v>
      </c>
    </row>
    <row r="35" spans="1:9" ht="15.5" x14ac:dyDescent="0.35">
      <c r="A35" s="437" t="s">
        <v>597</v>
      </c>
      <c r="B35" s="421">
        <v>4</v>
      </c>
      <c r="C35" s="421">
        <v>4</v>
      </c>
      <c r="D35" s="421">
        <v>7</v>
      </c>
      <c r="E35" s="421">
        <v>8</v>
      </c>
      <c r="F35" s="421">
        <v>6</v>
      </c>
      <c r="G35" s="421">
        <v>10</v>
      </c>
      <c r="H35" s="421">
        <v>10</v>
      </c>
      <c r="I35" s="436">
        <v>10</v>
      </c>
    </row>
    <row r="36" spans="1:9" ht="15.5" x14ac:dyDescent="0.35">
      <c r="A36" s="437" t="s">
        <v>642</v>
      </c>
      <c r="B36" s="421">
        <v>4</v>
      </c>
      <c r="C36" s="421">
        <v>4</v>
      </c>
      <c r="D36" s="421">
        <v>7</v>
      </c>
      <c r="E36" s="421">
        <v>6</v>
      </c>
      <c r="F36" s="421">
        <v>7</v>
      </c>
      <c r="G36" s="421">
        <v>10</v>
      </c>
      <c r="H36" s="421">
        <v>10</v>
      </c>
      <c r="I36" s="436">
        <v>10</v>
      </c>
    </row>
    <row r="37" spans="1:9" ht="15.5" x14ac:dyDescent="0.35">
      <c r="A37" s="437" t="s">
        <v>602</v>
      </c>
      <c r="B37" s="421">
        <v>2</v>
      </c>
      <c r="C37" s="421">
        <v>2</v>
      </c>
      <c r="D37" s="421">
        <v>5</v>
      </c>
      <c r="E37" s="421">
        <v>7</v>
      </c>
      <c r="F37" s="421">
        <v>9</v>
      </c>
      <c r="G37" s="421">
        <v>10</v>
      </c>
      <c r="H37" s="421">
        <v>10</v>
      </c>
      <c r="I37" s="436">
        <v>10</v>
      </c>
    </row>
    <row r="38" spans="1:9" ht="15.5" x14ac:dyDescent="0.35">
      <c r="A38" s="437" t="s">
        <v>663</v>
      </c>
      <c r="B38" s="421">
        <v>5</v>
      </c>
      <c r="C38" s="421">
        <v>4</v>
      </c>
      <c r="D38" s="421">
        <v>7</v>
      </c>
      <c r="E38" s="421">
        <v>6</v>
      </c>
      <c r="F38" s="421">
        <v>5</v>
      </c>
      <c r="G38" s="421">
        <v>9</v>
      </c>
      <c r="H38" s="421">
        <v>10</v>
      </c>
      <c r="I38" s="436">
        <v>10</v>
      </c>
    </row>
    <row r="39" spans="1:9" ht="15.5" x14ac:dyDescent="0.35">
      <c r="A39" s="437" t="s">
        <v>623</v>
      </c>
      <c r="B39" s="421">
        <v>8</v>
      </c>
      <c r="C39" s="421">
        <v>8</v>
      </c>
      <c r="D39" s="421">
        <v>7</v>
      </c>
      <c r="E39" s="421">
        <v>6</v>
      </c>
      <c r="F39" s="421">
        <v>4</v>
      </c>
      <c r="G39" s="421">
        <v>10</v>
      </c>
      <c r="H39" s="421">
        <v>10</v>
      </c>
      <c r="I39" s="436">
        <v>10</v>
      </c>
    </row>
    <row r="40" spans="1:9" ht="15.5" x14ac:dyDescent="0.35">
      <c r="A40" s="437" t="s">
        <v>605</v>
      </c>
      <c r="B40" s="421">
        <v>9</v>
      </c>
      <c r="C40" s="421">
        <v>6</v>
      </c>
      <c r="D40" s="421">
        <v>7</v>
      </c>
      <c r="E40" s="421">
        <v>6</v>
      </c>
      <c r="F40" s="421">
        <v>5</v>
      </c>
      <c r="G40" s="421">
        <v>10</v>
      </c>
      <c r="H40" s="421">
        <v>10</v>
      </c>
      <c r="I40" s="436">
        <v>10</v>
      </c>
    </row>
    <row r="41" spans="1:9" ht="15.5" x14ac:dyDescent="0.35">
      <c r="A41" s="437" t="s">
        <v>655</v>
      </c>
      <c r="B41" s="421">
        <v>6</v>
      </c>
      <c r="C41" s="421">
        <v>7</v>
      </c>
      <c r="D41" s="421">
        <v>5</v>
      </c>
      <c r="E41" s="421">
        <v>7</v>
      </c>
      <c r="F41" s="421">
        <v>6</v>
      </c>
      <c r="G41" s="421">
        <v>10</v>
      </c>
      <c r="H41" s="421">
        <v>10</v>
      </c>
      <c r="I41" s="436">
        <v>10</v>
      </c>
    </row>
    <row r="42" spans="1:9" ht="15.5" x14ac:dyDescent="0.35">
      <c r="A42" s="437" t="s">
        <v>653</v>
      </c>
      <c r="B42" s="421">
        <v>10</v>
      </c>
      <c r="C42" s="421">
        <v>10</v>
      </c>
      <c r="D42" s="421">
        <v>7</v>
      </c>
      <c r="E42" s="421">
        <v>6</v>
      </c>
      <c r="F42" s="421">
        <v>10</v>
      </c>
      <c r="G42" s="421">
        <v>10</v>
      </c>
      <c r="H42" s="421">
        <v>10</v>
      </c>
      <c r="I42" s="436">
        <v>10</v>
      </c>
    </row>
    <row r="43" spans="1:9" ht="15.5" x14ac:dyDescent="0.35">
      <c r="A43" s="437" t="s">
        <v>662</v>
      </c>
      <c r="B43" s="421">
        <v>8</v>
      </c>
      <c r="C43" s="421">
        <v>10</v>
      </c>
      <c r="D43" s="421">
        <v>5</v>
      </c>
      <c r="E43" s="421">
        <v>7</v>
      </c>
      <c r="F43" s="421">
        <v>5</v>
      </c>
      <c r="G43" s="421">
        <v>9</v>
      </c>
      <c r="H43" s="421">
        <v>5</v>
      </c>
      <c r="I43" s="436">
        <v>1</v>
      </c>
    </row>
    <row r="44" spans="1:9" ht="15.5" x14ac:dyDescent="0.35">
      <c r="A44" s="437" t="s">
        <v>637</v>
      </c>
      <c r="B44" s="421">
        <v>8</v>
      </c>
      <c r="C44" s="421">
        <v>8</v>
      </c>
      <c r="D44" s="421">
        <v>8</v>
      </c>
      <c r="E44" s="421">
        <v>8</v>
      </c>
      <c r="F44" s="421">
        <v>8</v>
      </c>
      <c r="G44" s="421">
        <v>9</v>
      </c>
      <c r="H44" s="421">
        <v>10</v>
      </c>
      <c r="I44" s="436">
        <v>10</v>
      </c>
    </row>
    <row r="45" spans="1:9" ht="15.5" x14ac:dyDescent="0.35">
      <c r="A45" s="437" t="s">
        <v>664</v>
      </c>
      <c r="B45" s="421">
        <v>3</v>
      </c>
      <c r="C45" s="421">
        <v>4</v>
      </c>
      <c r="D45" s="421">
        <v>7</v>
      </c>
      <c r="E45" s="421">
        <v>6</v>
      </c>
      <c r="F45" s="421">
        <v>5</v>
      </c>
      <c r="G45" s="421">
        <v>10</v>
      </c>
      <c r="H45" s="421">
        <v>10</v>
      </c>
      <c r="I45" s="436">
        <v>10</v>
      </c>
    </row>
    <row r="46" spans="1:9" ht="15.5" x14ac:dyDescent="0.35">
      <c r="A46" s="437" t="s">
        <v>636</v>
      </c>
      <c r="B46" s="421">
        <v>4</v>
      </c>
      <c r="C46" s="421">
        <v>3</v>
      </c>
      <c r="D46" s="421">
        <v>7</v>
      </c>
      <c r="E46" s="421">
        <v>8</v>
      </c>
      <c r="F46" s="421">
        <v>8</v>
      </c>
      <c r="G46" s="421">
        <v>10</v>
      </c>
      <c r="H46" s="421">
        <v>10</v>
      </c>
      <c r="I46" s="436">
        <v>10</v>
      </c>
    </row>
    <row r="47" spans="1:9" ht="15.5" x14ac:dyDescent="0.35">
      <c r="A47" s="437" t="s">
        <v>665</v>
      </c>
      <c r="B47" s="421">
        <v>6</v>
      </c>
      <c r="C47" s="421">
        <v>6</v>
      </c>
      <c r="D47" s="421">
        <v>7</v>
      </c>
      <c r="E47" s="421">
        <v>8</v>
      </c>
      <c r="F47" s="421">
        <v>6</v>
      </c>
      <c r="G47" s="421">
        <v>10</v>
      </c>
      <c r="H47" s="421">
        <v>10</v>
      </c>
      <c r="I47" s="436">
        <v>10</v>
      </c>
    </row>
    <row r="48" spans="1:9" ht="16" thickBot="1" x14ac:dyDescent="0.4">
      <c r="A48" s="438" t="s">
        <v>1007</v>
      </c>
      <c r="B48" s="439">
        <f>AVERAGE(B2:B47)</f>
        <v>6.8913043478260869</v>
      </c>
      <c r="C48" s="439">
        <f t="shared" ref="C48:I48" si="0">AVERAGE(C2:C47)</f>
        <v>7.1521739130434785</v>
      </c>
      <c r="D48" s="439">
        <f t="shared" si="0"/>
        <v>6.6739130434782608</v>
      </c>
      <c r="E48" s="439">
        <f t="shared" si="0"/>
        <v>6.8260869565217392</v>
      </c>
      <c r="F48" s="439">
        <f t="shared" si="0"/>
        <v>6.2826086956521738</v>
      </c>
      <c r="G48" s="439">
        <f t="shared" si="0"/>
        <v>9.804347826086957</v>
      </c>
      <c r="H48" s="439">
        <f t="shared" si="0"/>
        <v>9.5217391304347831</v>
      </c>
      <c r="I48" s="440">
        <f t="shared" si="0"/>
        <v>9.804347826086957</v>
      </c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7"/>
  <dimension ref="A1:CF172"/>
  <sheetViews>
    <sheetView zoomScale="80" zoomScaleNormal="80" workbookViewId="0">
      <pane ySplit="2" topLeftCell="A3" activePane="bottomLeft" state="frozen"/>
      <selection pane="bottomLeft" activeCell="T59" sqref="T59"/>
    </sheetView>
  </sheetViews>
  <sheetFormatPr defaultRowHeight="14.5" x14ac:dyDescent="0.35"/>
  <cols>
    <col min="1" max="1" width="6.7265625" style="6" customWidth="1"/>
    <col min="2" max="2" width="5.26953125" style="1" customWidth="1"/>
    <col min="3" max="3" width="13.81640625" style="131" customWidth="1"/>
    <col min="4" max="5" width="5.81640625" style="138" customWidth="1"/>
    <col min="6" max="9" width="5.81640625" customWidth="1"/>
    <col min="10" max="11" width="5.81640625" style="9" customWidth="1"/>
    <col min="12" max="18" width="5.81640625" customWidth="1"/>
    <col min="19" max="20" width="6.81640625" customWidth="1"/>
    <col min="21" max="22" width="5.81640625" customWidth="1"/>
    <col min="23" max="23" width="5.81640625" style="139" customWidth="1"/>
    <col min="24" max="26" width="5.81640625" customWidth="1"/>
    <col min="27" max="27" width="5.81640625" style="139" customWidth="1"/>
    <col min="28" max="28" width="7.26953125" style="139" customWidth="1"/>
    <col min="29" max="29" width="7.54296875" hidden="1" customWidth="1"/>
    <col min="30" max="30" width="8.54296875" hidden="1" customWidth="1"/>
    <col min="31" max="31" width="8.7265625" hidden="1" customWidth="1"/>
    <col min="32" max="32" width="12.54296875" style="138" hidden="1" customWidth="1"/>
    <col min="33" max="33" width="12.54296875" style="9" hidden="1" customWidth="1"/>
    <col min="34" max="35" width="11.54296875" style="9" hidden="1" customWidth="1"/>
    <col min="36" max="42" width="9" style="9" customWidth="1"/>
    <col min="43" max="43" width="2.1796875" style="9" customWidth="1"/>
    <col min="44" max="45" width="11.453125" style="9" customWidth="1"/>
    <col min="46" max="46" width="9.1796875" style="9"/>
    <col min="47" max="47" width="12.7265625" style="9" bestFit="1" customWidth="1"/>
    <col min="48" max="48" width="16.1796875" bestFit="1" customWidth="1"/>
    <col min="49" max="49" width="23" customWidth="1"/>
    <col min="50" max="50" width="20.54296875" customWidth="1"/>
    <col min="51" max="51" width="6.7265625" customWidth="1"/>
    <col min="52" max="52" width="5.81640625" customWidth="1"/>
    <col min="53" max="54" width="8.1796875" style="9" customWidth="1"/>
    <col min="55" max="55" width="3.7265625" customWidth="1"/>
    <col min="56" max="57" width="8.1796875" style="9" customWidth="1"/>
    <col min="58" max="58" width="2.54296875" style="9" customWidth="1"/>
    <col min="59" max="60" width="8.1796875" style="9" customWidth="1"/>
    <col min="61" max="61" width="2" customWidth="1"/>
    <col min="62" max="63" width="8.1796875" style="9" customWidth="1"/>
    <col min="64" max="64" width="5.54296875" style="9" customWidth="1"/>
    <col min="65" max="66" width="8.1796875" style="9" customWidth="1"/>
    <col min="67" max="67" width="2" style="9" customWidth="1"/>
    <col min="68" max="69" width="8.1796875" style="9" customWidth="1"/>
    <col min="70" max="70" width="5.81640625" customWidth="1"/>
    <col min="71" max="72" width="8.1796875" style="9" customWidth="1"/>
    <col min="73" max="73" width="3.1796875" customWidth="1"/>
    <col min="74" max="75" width="8.1796875" style="9" customWidth="1"/>
    <col min="76" max="76" width="2" customWidth="1"/>
    <col min="77" max="77" width="8.1796875" style="9" customWidth="1"/>
    <col min="78" max="78" width="6.81640625" style="9" customWidth="1"/>
    <col min="79" max="79" width="6.453125" style="9" customWidth="1"/>
    <col min="80" max="80" width="8.1796875" style="9" customWidth="1"/>
    <col min="81" max="81" width="10.81640625" bestFit="1" customWidth="1"/>
  </cols>
  <sheetData>
    <row r="1" spans="1:84" s="2" customFormat="1" ht="21" customHeight="1" x14ac:dyDescent="0.3">
      <c r="A1" s="258"/>
      <c r="B1" s="258"/>
      <c r="C1" s="259"/>
      <c r="D1" s="260"/>
      <c r="E1" s="260"/>
      <c r="F1" s="261"/>
      <c r="G1" s="261"/>
      <c r="H1" s="261"/>
      <c r="I1" s="261"/>
      <c r="J1" s="262"/>
      <c r="K1" s="262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0"/>
      <c r="AG1" s="262"/>
      <c r="AH1" s="262"/>
      <c r="AI1" s="262"/>
      <c r="AJ1" s="284"/>
      <c r="AK1" s="262"/>
      <c r="AL1" s="262"/>
      <c r="AM1" s="262"/>
      <c r="AN1" s="262"/>
      <c r="AO1" s="262"/>
      <c r="AP1" s="262"/>
      <c r="AQ1" s="284"/>
      <c r="AR1" s="340"/>
      <c r="AS1" s="340"/>
      <c r="AT1" s="284"/>
      <c r="AU1" s="284"/>
      <c r="AV1" s="285"/>
      <c r="AW1" s="286"/>
      <c r="AX1" s="286"/>
      <c r="AY1" s="286"/>
      <c r="AZ1" s="286"/>
      <c r="BA1" s="284"/>
      <c r="BB1" s="284"/>
      <c r="BC1" s="286"/>
      <c r="BD1" s="284"/>
      <c r="BE1" s="284"/>
      <c r="BF1" s="284"/>
      <c r="BG1" s="284"/>
      <c r="BH1" s="284"/>
      <c r="BI1" s="286"/>
      <c r="BJ1" s="284"/>
      <c r="BK1" s="284"/>
      <c r="BL1" s="284"/>
      <c r="BM1" s="284"/>
      <c r="BN1" s="284"/>
      <c r="BO1" s="284"/>
      <c r="BP1" s="284"/>
      <c r="BQ1" s="284"/>
      <c r="BR1" s="286"/>
      <c r="BS1" s="284"/>
      <c r="BT1" s="284"/>
      <c r="BU1" s="286"/>
      <c r="BV1" s="284"/>
      <c r="BW1" s="284"/>
      <c r="BX1" s="286"/>
      <c r="BY1" s="284"/>
      <c r="BZ1" s="284"/>
      <c r="CA1" s="284"/>
      <c r="CB1" s="284"/>
    </row>
    <row r="2" spans="1:84" s="121" customFormat="1" ht="55.5" customHeight="1" x14ac:dyDescent="0.7">
      <c r="A2" s="270" t="s">
        <v>0</v>
      </c>
      <c r="B2" s="270" t="s">
        <v>687</v>
      </c>
      <c r="C2" s="271" t="s">
        <v>965</v>
      </c>
      <c r="D2" s="319" t="s">
        <v>831</v>
      </c>
      <c r="E2" s="320" t="s">
        <v>832</v>
      </c>
      <c r="F2" s="321" t="s">
        <v>827</v>
      </c>
      <c r="G2" s="322" t="s">
        <v>828</v>
      </c>
      <c r="H2" s="321" t="s">
        <v>837</v>
      </c>
      <c r="I2" s="322" t="s">
        <v>838</v>
      </c>
      <c r="J2" s="323" t="s">
        <v>839</v>
      </c>
      <c r="K2" s="324" t="s">
        <v>840</v>
      </c>
      <c r="L2" s="321" t="s">
        <v>808</v>
      </c>
      <c r="M2" s="322" t="s">
        <v>809</v>
      </c>
      <c r="N2" s="321" t="s">
        <v>810</v>
      </c>
      <c r="O2" s="322" t="s">
        <v>811</v>
      </c>
      <c r="P2" s="321" t="s">
        <v>807</v>
      </c>
      <c r="Q2" s="321" t="s">
        <v>874</v>
      </c>
      <c r="R2" s="322" t="s">
        <v>875</v>
      </c>
      <c r="S2" s="244" t="s">
        <v>985</v>
      </c>
      <c r="T2" s="245" t="s">
        <v>986</v>
      </c>
      <c r="U2" s="123" t="s">
        <v>876</v>
      </c>
      <c r="V2" s="244" t="s">
        <v>878</v>
      </c>
      <c r="W2" s="245" t="s">
        <v>966</v>
      </c>
      <c r="X2" s="123" t="s">
        <v>877</v>
      </c>
      <c r="Y2" s="123" t="s">
        <v>868</v>
      </c>
      <c r="Z2" s="328" t="s">
        <v>869</v>
      </c>
      <c r="AA2" s="329" t="s">
        <v>795</v>
      </c>
      <c r="AB2" s="330" t="s">
        <v>984</v>
      </c>
      <c r="AC2" s="331" t="s">
        <v>900</v>
      </c>
      <c r="AD2" s="331" t="s">
        <v>901</v>
      </c>
      <c r="AE2" s="331" t="s">
        <v>902</v>
      </c>
      <c r="AF2" s="332" t="s">
        <v>905</v>
      </c>
      <c r="AG2" s="333" t="s">
        <v>906</v>
      </c>
      <c r="AH2" s="333" t="s">
        <v>907</v>
      </c>
      <c r="AI2" s="333" t="s">
        <v>908</v>
      </c>
      <c r="AJ2" s="339" t="s">
        <v>994</v>
      </c>
      <c r="AK2" s="334" t="s">
        <v>988</v>
      </c>
      <c r="AL2" s="335" t="s">
        <v>992</v>
      </c>
      <c r="AM2" s="334" t="s">
        <v>989</v>
      </c>
      <c r="AN2" s="335" t="s">
        <v>993</v>
      </c>
      <c r="AO2" s="336" t="s">
        <v>990</v>
      </c>
      <c r="AP2" s="337" t="s">
        <v>991</v>
      </c>
      <c r="AQ2" s="327"/>
      <c r="AR2" s="348" t="s">
        <v>995</v>
      </c>
      <c r="AS2" s="394"/>
      <c r="AT2" s="287"/>
      <c r="AU2" s="288" t="s">
        <v>977</v>
      </c>
      <c r="AV2" s="289"/>
      <c r="AW2" s="290"/>
      <c r="AX2" s="291" t="str">
        <f>IF(AND('Zdroj data'!BN2="T",(OR('Zdroj data'!BG2=Body!$AW$45,'Zdroj data'!BG2=Body!$AW$46,'Zdroj data'!BG2=Body!$AW$47,'Zdroj data'!BG2=Body!$AW$48))),Body!$AY$22,IF(AND('Zdroj data'!BN2="T",(OR('Zdroj data'!BG2=$AW$49,'Zdroj data'!BG2=$AW$50,'Zdroj data'!BG2=$AW$51,'Zdroj data'!BG2=$AW$52))),$BZ$22," "))</f>
        <v xml:space="preserve"> </v>
      </c>
      <c r="AY2" s="290"/>
      <c r="AZ2" s="290"/>
      <c r="BA2" s="287"/>
      <c r="BB2" s="287"/>
      <c r="BC2" s="290"/>
      <c r="BD2" s="287"/>
      <c r="BE2" s="287"/>
      <c r="BF2" s="287"/>
      <c r="BG2" s="287"/>
      <c r="BH2" s="287"/>
      <c r="BI2" s="290"/>
      <c r="BJ2" s="287"/>
      <c r="BK2" s="287"/>
      <c r="BL2" s="287"/>
      <c r="BM2" s="287"/>
      <c r="BN2" s="287"/>
      <c r="BO2" s="287"/>
      <c r="BP2" s="287"/>
      <c r="BQ2" s="287"/>
      <c r="BR2" s="290"/>
      <c r="BS2" s="287"/>
      <c r="BT2" s="287"/>
      <c r="BU2" s="290"/>
      <c r="BV2" s="287"/>
      <c r="BW2" s="287"/>
      <c r="BX2" s="290"/>
      <c r="BY2" s="287"/>
      <c r="BZ2" s="287"/>
      <c r="CA2" s="287"/>
      <c r="CB2" s="287"/>
      <c r="CE2" s="122"/>
    </row>
    <row r="3" spans="1:84" ht="15.5" x14ac:dyDescent="0.35">
      <c r="A3" s="270">
        <v>803</v>
      </c>
      <c r="B3" s="156" t="s">
        <v>522</v>
      </c>
      <c r="C3" s="250" t="str">
        <f>VLOOKUP(B3,'Zdroj hloubka okresy'!$A$2:$D$171,2,FALSE)</f>
        <v>Pribram</v>
      </c>
      <c r="D3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7</v>
      </c>
      <c r="E3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3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3" s="264">
        <f>IF(AND(Tabulka1[[#This Row],[hum_60]]&gt;AY9,Tabulka1[[#This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3" s="264">
        <f>IF(Tabulka1[[#This Row],[kv.ek.]]=Body!$AX$13,IF(AND('Zdroj data'!M3&gt;=Body!$AY$13,'Zdroj data'!M3&lt;=Body!$BA$13),Body!$AY$6,IF(AND('Zdroj data'!M3&gt;=Body!$BB$13,'Zdroj data'!M3&lt;=Body!$BD$13),Body!$BB$6,IF(AND('Zdroj data'!M3&gt;=Body!$BE$13,'Zdroj data'!M3&lt;=Body!$BG$13),Body!$BE$6,IF(AND('Zdroj data'!M3&gt;=Body!$BH$13,'Zdroj data'!M3&lt;=Body!$BJ$13),Body!$BH$6,IF(AND('Zdroj data'!M3&gt;=Body!$BK$13,'Zdroj data'!M3&lt;=Body!$BM$13),Body!$BK$6,IF(AND('Zdroj data'!M3&gt;=Body!$BN$13,'Zdroj data'!M3&lt;=Body!$BP$13),Body!$BN$6,IF(AND('Zdroj data'!M3&gt;=Body!$BQ$13,'Zdroj data'!M3&lt;=Body!$BS$13),Body!$BQ$6,IF(AND('Zdroj data'!M3&gt;=Body!$BT$13,'Zdroj data'!M3&lt;=Body!$BV$13),Body!$BT$6,IF(AND('Zdroj data'!M3&gt;=Body!$BW$13,'Zdroj data'!M3&lt;=Body!$BY$13),Body!$BW$6,IF('Zdroj data'!M3&gt;=Body!$CB$13,Body!$BZ$6,"")))))))))),IF(Tabulka1[[#This Row],[kv.ek.]]=Body!$AX$14,IF(AND('Zdroj data'!N3&gt;=Body!$AY$14,'Zdroj data'!N3&lt;=Body!$BA$14),Body!$AY$6,IF(AND('Zdroj data'!N3&gt;=Body!$BB$14,'Zdroj data'!N3&lt;=Body!$BD$14),Body!$BB$6,IF(AND('Zdroj data'!N3&gt;=Body!$BE$14,'Zdroj data'!N3&lt;=Body!$BG$14),Body!$BE$6,IF(AND('Zdroj data'!N3&gt;=Body!$BH$14,'Zdroj data'!N3&lt;=Body!$BJ$14),Body!$BH$6,IF(AND('Zdroj data'!N3&gt;=Body!$BK$14,'Zdroj data'!N3&lt;=Body!$BM$14),Body!$BK$6,IF(AND('Zdroj data'!N3&gt;=Body!$BN$14,'Zdroj data'!N3&lt;=Body!$BP$14),Body!$BN$6,IF(AND('Zdroj data'!N3&gt;=Body!$BQ$14,'Zdroj data'!N3&lt;=Body!$BS$14),Body!$BQ$6,IF(AND('Zdroj data'!N3&gt;=Body!$BT$14,'Zdroj data'!N3&lt;=Body!$BV$14),Body!$BT$6,IF(AND('Zdroj data'!N3&gt;=Body!$BW$14,'Zdroj data'!N3&lt;=Body!$BY$14),Body!$BW$6,IF('Zdroj data'!N3&gt;=Body!$CB$14,Body!$BZ$6,"")))))))))),""))</f>
        <v>1</v>
      </c>
      <c r="I3" s="264">
        <f>IF(Tabulka1[[#This Row],[kv.ek.]]=Body!$AX$13,IF(AND('Zdroj data'!N3&gt;=Body!$AY$13,'Zdroj data'!N3&lt;=Body!$BA$13),Body!$AY$6,IF(AND('Zdroj data'!N3&gt;=Body!$BB$13,'Zdroj data'!N3&lt;=Body!$BD$13),Body!$BB$6,IF(AND('Zdroj data'!N3&gt;=Body!$BE$13,'Zdroj data'!N3&lt;=Body!$BG$13),Body!$BE$6,IF(AND('Zdroj data'!N3&gt;=Body!$BH$13,'Zdroj data'!N3&lt;=Body!$BJ$13),Body!$BH$6,IF(AND('Zdroj data'!N3&gt;=Body!$BK$13,'Zdroj data'!N3&lt;=Body!$BM$13),Body!$BK$6,IF(AND('Zdroj data'!N3&gt;=Body!$BN$13,'Zdroj data'!N3&lt;=Body!$BP$13),Body!$BN$6,IF(AND('Zdroj data'!N3&gt;=Body!$BQ$13,'Zdroj data'!N3&lt;=Body!$BS$13),Body!$BQ$6,IF(AND('Zdroj data'!N3&gt;=Body!$BT$13,'Zdroj data'!N3&lt;=Body!$BV$13),Body!$BT$6,IF(AND('Zdroj data'!N3&gt;=Body!$BW$13,'Zdroj data'!N3&lt;=Body!$BY$13),Body!$BW$6,IF('Zdroj data'!N3&gt;=Body!$CB$13,Body!$BZ$6," ")))))))))),IF(Tabulka1[[#This Row],[kv.ek.]]=Body!$AX$14,IF(AND('Zdroj data'!O3&gt;=Body!$AY$14,'Zdroj data'!O3&lt;=Body!$BA$14),Body!$AY$6,IF(AND('Zdroj data'!O3&gt;=Body!$BB$14,'Zdroj data'!O3&lt;=Body!$BD$14),Body!$BB$6,IF(AND('Zdroj data'!O3&gt;=Body!$BE$14,'Zdroj data'!O3&lt;=Body!$BG$14),Body!$BE$6,IF(AND('Zdroj data'!O3&gt;=Body!$BH$14,'Zdroj data'!O3&lt;=Body!$BJ$14),Body!$BH$6,IF(AND('Zdroj data'!O3&gt;=Body!$BK$14,'Zdroj data'!O3&lt;=Body!$BM$14),Body!$BK$6,IF(AND('Zdroj data'!O3&gt;=Body!$BN$14,'Zdroj data'!O3&lt;=Body!$BP$14),Body!$BN$6,IF(AND('Zdroj data'!O3&gt;=Body!$BQ$14,'Zdroj data'!O3&lt;=Body!$BS$14),Body!$BQ$6,IF(AND('Zdroj data'!O3&gt;=Body!$BT$14,'Zdroj data'!O3&lt;=Body!$BV$14),Body!$BT$6,IF(AND('Zdroj data'!O3&gt;=Body!$BW$14,'Zdroj data'!O3&lt;=Body!$BY$14),Body!$BW$6,IF('Zdroj data'!O3&gt;=Body!$CB$14,Body!$BZ$6," "))))))))))," "))</f>
        <v>1</v>
      </c>
      <c r="J3" s="264">
        <f>IF(AF3=" ",AH3,AF3)</f>
        <v>1</v>
      </c>
      <c r="K3" s="264">
        <f>IF(AG3=" ",AI3,AG3)</f>
        <v>1</v>
      </c>
      <c r="L3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3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3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3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3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3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3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3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3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3" s="264">
        <f>IF('Zdroj data'!BB3=Body!$AY$25,Body!$AY$22,IF('Zdroj data'!BB3=Body!$BB$25,Body!$BB$22,IF('Zdroj data'!BB3=Body!$BE$25,Body!$BE$22,IF('Zdroj data'!BB3=Body!$BH$25,Body!$BH$22,IF('Zdroj data'!BB3=Body!BK$25,Body!$BK$22,IF('Zdroj data'!BB3=Body!$BN$25,Body!$BN$22,IF('Zdroj data'!BB3=Body!$BQ$25,Body!$BQ$22,IF('Zdroj data'!BB3=Body!$BT$25,Body!$BT$22,IF('Zdroj data'!BB3=Body!$BW$25,Body!$BW$22,IF('Zdroj data'!BB3=Body!$BZ$25,Body!$BZ$22," "))))))))))</f>
        <v>5</v>
      </c>
      <c r="V3" s="264">
        <f>IF(AND('Zdroj data'!BO3&gt;Body!$AY$27,'Zdroj data'!BO3&lt;=Body!$BA$27),Body!$AY$22,IF(AND('Zdroj data'!BO3&gt;=Body!$BB$27,'Zdroj data'!BO3&lt;=Body!$BD$27),Body!$BB$22,IF(AND('Zdroj data'!BO3&gt;=Body!$BE$27,'Zdroj data'!BO3&lt;=Body!$BG$27),Body!$BE$22,IF(AND('Zdroj data'!BO3&gt;=Body!$BH$27,'Zdroj data'!BO3&lt;=Body!$BJ$27),Body!$BH$22,IF(AND('Zdroj data'!BO3&gt;=Body!$BK$27,'Zdroj data'!BO3&lt;=Body!$BM$27),Body!$BK$22,IF(AND('Zdroj data'!BO3&gt;=Body!$BN$27,'Zdroj data'!BO3&lt;=Body!$BP$27),Body!$BN$22,IF(AND('Zdroj data'!BO3&gt;=Body!$BQ$27,'Zdroj data'!BO3&lt;=Body!$BS$27),Body!$BQ$22,IF(AND('Zdroj data'!BO3&gt;=Body!$BT$27,'Zdroj data'!BO3&lt;=Body!$BV$27),Body!$BT$22,IF(AND('Zdroj data'!BO3&gt;=Body!$BW$27,'Zdroj data'!BO3&lt;=Body!$BY$27),Body!$BW$22,IF('Zdroj data'!BO3&gt;=Body!$CB$27,$BZ$22," "))))))))))</f>
        <v>6</v>
      </c>
      <c r="W3" s="264">
        <f>IF(AND('Zdroj data'!BP3&gt;Body!$AY$27,'Zdroj data'!BP3&lt;=Body!$BA$27),Body!$AY$22,IF(AND('Zdroj data'!BP3&gt;=Body!$BB$27,'Zdroj data'!BP3&lt;=Body!$BD$27),Body!$BB$22,IF(AND('Zdroj data'!BP3&gt;=Body!$BE$27,'Zdroj data'!BP3&lt;=Body!$BG$27),Body!$BE$22,IF(AND('Zdroj data'!BP3&gt;=Body!$BH$27,'Zdroj data'!BP3&lt;=Body!$BJ$27),Body!$BH$22,IF(AND('Zdroj data'!BP3&gt;=Body!$BK$27,'Zdroj data'!BP3&lt;=Body!$BM$27),Body!$BK$22,IF(AND('Zdroj data'!BP3&gt;=Body!$BN$27,'Zdroj data'!BP3&lt;=Body!$BP$27),Body!$BN$22,IF(AND('Zdroj data'!BP3&gt;=Body!$BQ$27,'Zdroj data'!BP3&lt;=Body!$BS$27),Body!$BQ$22,IF(AND('Zdroj data'!BP3&gt;=Body!$BT$27,'Zdroj data'!BP3&lt;=Body!$BV$27),Body!$BT$22,IF(AND('Zdroj data'!BP3&gt;=Body!$BW$27,'Zdroj data'!BP3&lt;=Body!$BY$27),Body!$BW$22,IF('Zdroj data'!BP3&gt;=Body!$CB$27,$BZ$22," "))))))))))</f>
        <v>5</v>
      </c>
      <c r="X3" s="264">
        <f>IF('Zdroj data'!BA3=Body!$BB$28,$BB$22,IF('Zdroj data'!BA3=Body!$BE$28,$BE$22,IF(OR('Zdroj data'!BA3=Body!$BK$28,'Zdroj data'!BA3=Body!$BL$28,'Zdroj data'!BA3=Body!$BM$28),$BK$22,IF(OR('Zdroj data'!BA3=Body!$BT$28,'Zdroj data'!BA3=Body!$BV$28),$BT$22,IF(OR('Zdroj data'!BA3=Body!$BW$28,'Zdroj data'!BA3=Body!$BY$28),$BW$22,IF('Zdroj data'!BA3=Body!$BZ$28,$BZ$22," "))))))</f>
        <v>8</v>
      </c>
      <c r="Y3" s="264">
        <f>IF('Zdroj data'!AZ3=Body!$BZ$29,Body!$BZ$22,IF(OR('Zdroj data'!AZ3=$BT$29,'Zdroj data'!AZ3=$BU$29,'Zdroj data'!AZ3=$BV$29),$BT$22,IF(OR('Zdroj data'!AZ3=$BK$29,'Zdroj data'!AZ3=$BM$29),$BK$22,IF(OR('Zdroj data'!AZ3=$BE$29,'Zdroj data'!AZ3=$BG$29),$BE$22,IF(OR('Zdroj data'!AZ3=$AY$29,'Zdroj data'!AZ3=$BA$29),$AY$22," ")))))</f>
        <v>8</v>
      </c>
      <c r="Z3" s="264">
        <f>IF(AND('Zdroj data'!BF3="T",(OR('Zdroj data'!AZ3=Body!$AW$45,'Zdroj data'!AZ3=Body!$AW$46,'Zdroj data'!AZ3=Body!$AW$47,'Zdroj data'!AZ3=Body!$AW$48))),Body!$AY$22,IF(AND('Zdroj data'!BF3="T",(OR('Zdroj data'!AZ3=$AW$49,'Zdroj data'!AZ3=$AW$50,'Zdroj data'!AZ3=$AW$51,'Zdroj data'!AZ3=$AW$52))),$BZ$22,IF(AND(OR('Zdroj data'!BF3="VT",'Zdroj data'!BF3="T",'Zdroj data'!BF3="CH"),(OR('Zdroj data'!AZ3=$AW$43,'Zdroj data'!AZ3=$AW$44,))),$BZ$22,IF(AND('Zdroj data'!BF3="CH",(OR('Zdroj data'!AZ3=$AW$49,'Zdroj data'!AZ3=$AW$50,'Zdroj data'!AZ3=$AW$51,'Zdroj data'!AZ3=$AW$52))),$AY$22,IF(AND('Zdroj data'!BF3="CH",(OR('Zdroj data'!AZ3=$AW$45,'Zdroj data'!AZ3=$AW$46,'Zdroj data'!AZ3=$AW$47,'Zdroj data'!AZ3=$AW$48))),$BZ$22," ")))))</f>
        <v>10</v>
      </c>
      <c r="AA3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3" s="264">
        <f>IF(Tabulka1[[#This Row],[kv.ek.]]=Body!$BK$35,Body!$BK$34,IF(Tabulka1[[#This Row],[kv.ek.]]=Body!$BZ$35,Body!$BZ$34," "))</f>
        <v>5</v>
      </c>
      <c r="AC3" s="264" t="str">
        <f>IF(AND('Zdroj data'!BF3="T",(OR('Zdroj data'!AZ3=Body!$AW$45,'Zdroj data'!AZ3=Body!$AW$46,'Zdroj data'!AZ3=Body!$AW$47,'Zdroj data'!AZ3=Body!$AW$48))),Body!$AY$22,IF(AND('Zdroj data'!BF3="T",(OR('Zdroj data'!AZ3=$AW$49,'Zdroj data'!AZ3=$AW$50,'Zdroj data'!AZ3=$AW$51,'Zdroj data'!AZ3=$AW$52))),$BZ$22," "))</f>
        <v xml:space="preserve"> </v>
      </c>
      <c r="AD3" s="264">
        <f>IF(AND(OR('Zdroj data'!BF3="VT",'Zdroj data'!BF3="T",'Zdroj data'!BF3="CH"),(OR('Zdroj data'!AZ3=$AW$43,'Zdroj data'!AZ3=$AW$44,))),$BZ$22," ")</f>
        <v>10</v>
      </c>
      <c r="AE3" s="264" t="str">
        <f>IF(AND('Zdroj data'!BF3="CH",(OR('Zdroj data'!AZ3=$AW$49,'Zdroj data'!AZ3=$AW$50,'Zdroj data'!AZ3=$AW$51,'Zdroj data'!AZ3=$AW$52))),$AY$22,IF(AND('Zdroj data'!BF3="CH",(OR('Zdroj data'!AZ3=$AW$45,'Zdroj data'!AZ3=$AW$46,'Zdroj data'!AZ3=$AW$47,'Zdroj data'!AZ3=$AW$48))),$BZ$22," "))</f>
        <v xml:space="preserve"> </v>
      </c>
      <c r="AF3" s="264">
        <f>IF(AND('Zdroj data'!$BG3="L",'Zdroj data'!$AM3=Body!$AX$15),IF(AND('Zdroj data'!O3&gt;=Body!$AY$15,'Zdroj data'!O3&lt;=Body!$BA$15),Body!AY$6,IF(AND('Zdroj data'!O3&gt;=Body!$BB$15,'Zdroj data'!O3&lt;=Body!$BD$15),Body!BB$6,IF(AND('Zdroj data'!O3&gt;=Body!$BE$15,'Zdroj data'!O3&lt;=Body!$BG$15),Body!BE$6,IF(AND('Zdroj data'!O3&gt;=Body!$BH$15,'Zdroj data'!O3&lt;=Body!$BJ$15),Body!BH$6,IF(AND('Zdroj data'!O3&gt;=Body!$BK$15,'Zdroj data'!O3&lt;=Body!$BM$15),Body!BK$6,IF(AND('Zdroj data'!O3&gt;=Body!$BN$15,'Zdroj data'!O3&lt;=Body!$BP$15),Body!$BN$6,IF(AND('Zdroj data'!O3&gt;=Body!$BQ$15,'Zdroj data'!O3&lt;=Body!$BS$15),Body!$BQ$6,IF(AND('Zdroj data'!O3&gt;=Body!$BT$15,'Zdroj data'!O3&lt;=Body!$BV$15),Body!BT$6,IF(AND('Zdroj data'!O3&gt;=Body!$BW$15,'Zdroj data'!O3&lt;=Body!$BY$15),Body!$BW$6,IF('Zdroj data'!O3&gt;=Body!$CB$15,Body!$BZ$6," ")))))))))),IF(AND('Zdroj data'!$BG3="ST",'Zdroj data'!$AM3=Body!$AX$16),IF(AND('Zdroj data'!O3&gt;=Body!$AY$16,'Zdroj data'!O3&lt;=Body!$BA$16),Body!$AY$6,IF(AND('Zdroj data'!O3&gt;=Body!$BB$16,'Zdroj data'!O3&lt;=Body!$BD$16),Body!$BB$6,IF(AND('Zdroj data'!O3&gt;=Body!$BE$16,'Zdroj data'!O3&lt;=Body!$BG$16),Body!$BE$6,IF(AND('Zdroj data'!O3&gt;=Body!$BH$16,'Zdroj data'!O3&lt;=Body!$BJ$16),Body!$BH$6,IF(AND('Zdroj data'!O3&gt;=Body!$BK$16,'Zdroj data'!O3&lt;=Body!$BM$16),Body!$BK$6,IF(AND('Zdroj data'!O3&gt;=Body!$BN$16,'Zdroj data'!O3&lt;=Body!$BP$16),Body!$BN$6,IF(AND('Zdroj data'!O3&gt;=Body!$BQ$16,'Zdroj data'!O3&lt;=Body!$BS$16),Body!$BQ$6,IF(AND('Zdroj data'!O3&gt;=Body!$BT$16,'Zdroj data'!O3&lt;=Body!$BV$16),Body!$BT$6,IF(AND('Zdroj data'!O3&gt;=Body!$BW$16,'Zdroj data'!O3&lt;=Body!$BY$16),Body!$BW$6,IF('Zdroj data'!O3&gt;=Body!$CB$16,Body!$BZ$6," ")))))))))),IF(AND('Zdroj data'!$BG3="T",'Zdroj data'!$AM3=Body!$AX$17),IF(AND('Zdroj data'!O3&gt;=Body!$AY$17,'Zdroj data'!O3&lt;=Body!$BA$17),Body!$AY$6,IF(AND('Zdroj data'!O3&gt;=Body!$BB$17,'Zdroj data'!O3&lt;=Body!$BD$17),Body!$BB$6,IF(AND('Zdroj data'!O3&gt;=Body!$BE$17,'Zdroj data'!O3&lt;=Body!$BG$17),Body!$BE$6,IF(AND('Zdroj data'!O3&gt;=Body!$BH$17,'Zdroj data'!O3&lt;=Body!BJ17),Body!$BH$6,IF(AND('Zdroj data'!O3&gt;=Body!$BK$17,'Zdroj data'!O3&lt;=Body!$BM$17),Body!$BK$6,IF(AND('Zdroj data'!O3&gt;=Body!$BN$17,'Zdroj data'!O3&lt;=Body!$BP$17),Body!$BN$6,IF(AND('Zdroj data'!O3&gt;=Body!$BQ$17,'Zdroj data'!O3&lt;=Body!$BS$17),Body!$BQ$6,IF(AND('Zdroj data'!O3&gt;=Body!$BT$17,'Zdroj data'!O3&lt;=Body!$BV$17),Body!$BT$6,IF(AND('Zdroj data'!O3&gt;=Body!$BW$17,'Zdroj data'!O3&lt;=Body!$BY$17),Body!$BW$6,IF('Zdroj data'!O3&gt;=Body!$CB$17,Body!$BZ$6," "))))))))))," ")))</f>
        <v>1</v>
      </c>
      <c r="AG3" s="264">
        <f>IF(AND('Zdroj data'!$BG3="L",'Zdroj data'!$AM3=Body!$AX$15),IF(AND(Tabulka1[[#This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data'!$BG3="ST",'Zdroj data'!$AM3=Body!$AX$16),IF(AND(Tabulka1[[#This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data'!$BG3="T",'Zdroj data'!$AM3=Body!$AX$17),IF(AND(Tabulka1[[#This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Row],[K2O_60]]&lt;=Body!BJ17),Body!$BH$6,IF(AND(Tabulka1[[#This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3" s="264" t="str">
        <f>IF(AND('Zdroj data'!$BG3="L",'Zdroj data'!$AM3=Body!$AX$18),IF(AND('Zdroj data'!O3&gt;=Body!$AY$18,'Zdroj data'!O3&lt;=Body!$BA$18),Body!AY$6,IF(AND('Zdroj data'!O3&gt;=Body!$BB$18,'Zdroj data'!O3&lt;=Body!$BD$18),Body!BB$6,IF(AND('Zdroj data'!O3&gt;=Body!$BE$18,'Zdroj data'!O3&lt;=Body!$BG$18),Body!BE$6,IF(AND('Zdroj data'!O3&gt;=Body!$BH$18,'Zdroj data'!O3&lt;=Body!$BJ$18),Body!BH$6,IF(AND('Zdroj data'!O3&gt;=Body!$BK$18,'Zdroj data'!O3&lt;=Body!$BM$18),Body!$BK$6,IF(AND('Zdroj data'!O3&gt;=Body!$BN$18,'Zdroj data'!O3&lt;=Body!$BP$18),Body!BN$6,IF(AND('Zdroj data'!O3&gt;=Body!$BQ$18,'Zdroj data'!O3&lt;=Body!$BS$18),Body!$BQ$6,IF(AND('Zdroj data'!O3&gt;=Body!$BT$18,'Zdroj data'!O3&lt;=Body!$BV$18),Body!$BT$6,IF(AND('Zdroj data'!O3&gt;=Body!$BW$18,'Zdroj data'!O3&lt;=Body!$BY$18),Body!$BW$6,IF('Zdroj data'!O3&gt;=Body!$CB$18,Body!$BZ$6," ")))))))))),IF(AND('Zdroj data'!$BG3="ST",'Zdroj data'!$AM3=Body!$AX$19),IF(AND('Zdroj data'!O3&gt;=Body!$AY$19,'Zdroj data'!O3&lt;=Body!$BA$19),Body!$AY$6,IF(AND('Zdroj data'!O3&gt;=Body!$BB$19,'Zdroj data'!O3&lt;=Body!$BD$19),Body!$BB$6,IF(AND('Zdroj data'!O3&gt;=Body!$BE$19,'Zdroj data'!O3&lt;=Body!$BG$19),Body!$BE$6,IF(AND('Zdroj data'!O3&gt;=Body!$BH$19,'Zdroj data'!O3&lt;=Body!$BJ$19),Body!$BH$6,IF(AND('Zdroj data'!O3&gt;=Body!$BK$19,'Zdroj data'!O3&lt;=Body!$BM$19),Body!$BK$6,IF(AND('Zdroj data'!O3&gt;=Body!$BN$19,'Zdroj data'!O3&lt;=Body!$BP$19),Body!$BN$6,IF(AND('Zdroj data'!O3&gt;=Body!$BQ$19,'Zdroj data'!O3&lt;=Body!$BS$19),Body!$BQ$6,IF(AND('Zdroj data'!O3&gt;=Body!$BT$19,'Zdroj data'!O7&lt;=Body!$BV$19),Body!$BT$6,IF(AND('Zdroj data'!O3&gt;=Body!$BW$19,'Zdroj data'!O3&lt;=Body!$BY$19),Body!$BW$6,IF('Zdroj data'!O3&gt;=Body!$CB$19,Body!$BZ$6," ")))))))))),IF(AND('Zdroj data'!$BG3="T",'Zdroj data'!$AM3=Body!$AX$20),IF(AND('Zdroj data'!O3&gt;=Body!$AY$20,'Zdroj data'!O3&lt;=Body!$BA$20),Body!$AY$6,IF(AND('Zdroj data'!O3&gt;=Body!$BB$20,'Zdroj data'!O3&lt;=Body!$BD$20),Body!$BB$6,IF(AND('Zdroj data'!O3&gt;=Body!$BE$20,'Zdroj data'!O3&lt;=Body!$BG$20),Body!$BE$6,IF(AND('Zdroj data'!O3&gt;=Body!$BH$20,'Zdroj data'!O3&lt;=Body!$BJ$20),Body!$BH$6,IF(AND('Zdroj data'!O3&gt;=Body!$BK$20,'Zdroj data'!O3&lt;=Body!$BM$20),Body!$BK$6,IF(AND('Zdroj data'!O3&gt;=Body!$BN$20,'Zdroj data'!O3&lt;=Body!$BP$20),Body!$BN$6,IF(AND('Zdroj data'!O3&gt;=Body!$BQ$20,'Zdroj data'!O3&lt;=Body!$BS$20),Body!$BQ$6,IF(AND('Zdroj data'!O3&gt;=Body!$BT$20,'Zdroj data'!O3&lt;=Body!BV20),Body!$BT$6,IF(AND('Zdroj data'!O3&gt;=Body!$BW$20,'Zdroj data'!O3&lt;=Body!$BY$20),Body!$BW$6,IF('Zdroj data'!O3&gt;=Body!$CB$20,Body!$BZ$6," "))))))))))," ")))</f>
        <v xml:space="preserve"> </v>
      </c>
      <c r="AI3" s="264" t="str">
        <f>IF(AND('Zdroj data'!$BG3="L",'Zdroj data'!$AM3=Body!$AX$18),IF(AND(Tabulka1[[#This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data'!$BG3="ST",'Zdroj data'!$AM3=Body!$AX$19),IF(AND(Tabulka1[[#This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data'!$BG3="T",'Zdroj data'!$AM3=Body!$AX$20),IF(AND(Tabulka1[[#This Row],[K2O_60]]&gt;=Body!$AY$20,'Zdroj data'!O3&lt;=Body!$BA$20),Body!$AY$6,IF(AND(Tabulka1[[#This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Row],[K2O_60]]&lt;=Body!BV20),Body!$BT$6,IF(AND(Tabulka1[[#This Row],[K2O_60]]&gt;=Body!$BW$20,Tabulka1[[#This Row],[K2O_60]]&lt;=Body!$BY$20),Body!$BW$6,IF(Tabulka1[[#This Row],[K2O_60]]&gt;=Body!$CB$20,Body!$BZ$6," "))))))))))," ")))</f>
        <v xml:space="preserve"> </v>
      </c>
      <c r="AJ3" s="265">
        <f>(AA3*$AV$36+AB3*$AV$35)*16*$AT$35*2</f>
        <v>5.3333333333333375</v>
      </c>
      <c r="AK3" s="264">
        <f>(D3*$AV$7+F3*$AV$9+H3*$AV$13+J3*$AV$15+L3*$AV$12+N3*$AV$11+P3*$AV$10+Q3*$AV$21)*16*$AU$7*$AT$7</f>
        <v>26.203629600135482</v>
      </c>
      <c r="AL3" s="264">
        <f>(E3*$AV$7+G3*$AV$9+I3*$AV$13+K3*$AV$15+M3*$AV$12+O3*$AV$11+P3*$AV$10+R3*$AV$21)*16*$AU$7*$AT$7</f>
        <v>24.643397975713267</v>
      </c>
      <c r="AM3" s="264">
        <f>(S3*$AV$23+U3*$AV$25+V3*$AV$26+X3*$AV$28+Y3*$AV$29+Z3*$AV$30)*16*$AU$23*$AT$7</f>
        <v>72.215559231816457</v>
      </c>
      <c r="AN3" s="264">
        <f>(T3*$AV$23+U3*$AV$25+W3*$AV$26+X3*$AV$28+Y3*$AV$29+Z3*$AV$30)*16*$AU$23*$AT$7</f>
        <v>66.757342067538474</v>
      </c>
      <c r="AO3" s="265">
        <f t="shared" ref="AO3:AO24" si="0">AK3+AM3</f>
        <v>98.419188831951942</v>
      </c>
      <c r="AP3" s="265">
        <f t="shared" ref="AP3:AP24" si="1">AL3+AN3</f>
        <v>91.400740043251744</v>
      </c>
      <c r="AQ3" s="318"/>
      <c r="AR3" s="338">
        <f>AO3+AP3+AJ3</f>
        <v>195.15326220853703</v>
      </c>
      <c r="AS3" s="318"/>
      <c r="AT3" s="138"/>
      <c r="AU3" s="138"/>
      <c r="AX3" s="21"/>
      <c r="CD3" s="66"/>
      <c r="CE3" s="136"/>
      <c r="CF3" s="66"/>
    </row>
    <row r="4" spans="1:84" ht="15.5" x14ac:dyDescent="0.35">
      <c r="A4" s="270">
        <v>806</v>
      </c>
      <c r="B4" s="156" t="s">
        <v>523</v>
      </c>
      <c r="C4" s="250" t="str">
        <f>VLOOKUP(B4,'Zdroj hloubka okresy'!$A$2:$D$171,2,FALSE)</f>
        <v>Pribram</v>
      </c>
      <c r="D4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4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4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4" s="264">
        <f>IF(AND(Tabulka1[[#This Row],[hum_60]]&gt;AY10,Tabulka1[[#This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4" s="264">
        <f>IF(Tabulka1[[#This Row],[kv.ek.]]=Body!$AX$13,IF(AND('Zdroj data'!M4&gt;=Body!$AY$13,'Zdroj data'!M4&lt;=Body!$BA$13),Body!$AY$6,IF(AND('Zdroj data'!M4&gt;=Body!$BB$13,'Zdroj data'!M4&lt;=Body!$BD$13),Body!$BB$6,IF(AND('Zdroj data'!M4&gt;=Body!$BE$13,'Zdroj data'!M4&lt;=Body!$BG$13),Body!$BE$6,IF(AND('Zdroj data'!M4&gt;=Body!$BH$13,'Zdroj data'!M4&lt;=Body!$BJ$13),Body!$BH$6,IF(AND('Zdroj data'!M4&gt;=Body!$BK$13,'Zdroj data'!M4&lt;=Body!$BM$13),Body!$BK$6,IF(AND('Zdroj data'!M4&gt;=Body!$BN$13,'Zdroj data'!M4&lt;=Body!$BP$13),Body!$BN$6,IF(AND('Zdroj data'!M4&gt;=Body!$BQ$13,'Zdroj data'!M4&lt;=Body!$BS$13),Body!$BQ$6,IF(AND('Zdroj data'!M4&gt;=Body!$BT$13,'Zdroj data'!M4&lt;=Body!$BV$13),Body!$BT$6,IF(AND('Zdroj data'!M4&gt;=Body!$BW$13,'Zdroj data'!M4&lt;=Body!$BY$13),Body!$BW$6,IF('Zdroj data'!M4&gt;=Body!$CB$13,Body!$BZ$6,"")))))))))),IF(Tabulka1[[#This Row],[kv.ek.]]=Body!$AX$14,IF(AND('Zdroj data'!N4&gt;=Body!$AY$14,'Zdroj data'!N4&lt;=Body!$BA$14),Body!$AY$6,IF(AND('Zdroj data'!N4&gt;=Body!$BB$14,'Zdroj data'!N4&lt;=Body!$BD$14),Body!$BB$6,IF(AND('Zdroj data'!N4&gt;=Body!$BE$14,'Zdroj data'!N4&lt;=Body!$BG$14),Body!$BE$6,IF(AND('Zdroj data'!N4&gt;=Body!$BH$14,'Zdroj data'!N4&lt;=Body!$BJ$14),Body!$BH$6,IF(AND('Zdroj data'!N4&gt;=Body!$BK$14,'Zdroj data'!N4&lt;=Body!$BM$14),Body!$BK$6,IF(AND('Zdroj data'!N4&gt;=Body!$BN$14,'Zdroj data'!N4&lt;=Body!$BP$14),Body!$BN$6,IF(AND('Zdroj data'!N4&gt;=Body!$BQ$14,'Zdroj data'!N4&lt;=Body!$BS$14),Body!$BQ$6,IF(AND('Zdroj data'!N4&gt;=Body!$BT$14,'Zdroj data'!N4&lt;=Body!$BV$14),Body!$BT$6,IF(AND('Zdroj data'!N4&gt;=Body!$BW$14,'Zdroj data'!N4&lt;=Body!$BY$14),Body!$BW$6,IF('Zdroj data'!N4&gt;=Body!$CB$14,Body!$BZ$6,"")))))))))),""))</f>
        <v>1</v>
      </c>
      <c r="I4" s="264">
        <f>IF(Tabulka1[[#This Row],[kv.ek.]]=Body!$AX$13,IF(AND('Zdroj data'!N4&gt;=Body!$AY$13,'Zdroj data'!N4&lt;=Body!$BA$13),Body!$AY$6,IF(AND('Zdroj data'!N4&gt;=Body!$BB$13,'Zdroj data'!N4&lt;=Body!$BD$13),Body!$BB$6,IF(AND('Zdroj data'!N4&gt;=Body!$BE$13,'Zdroj data'!N4&lt;=Body!$BG$13),Body!$BE$6,IF(AND('Zdroj data'!N4&gt;=Body!$BH$13,'Zdroj data'!N4&lt;=Body!$BJ$13),Body!$BH$6,IF(AND('Zdroj data'!N4&gt;=Body!$BK$13,'Zdroj data'!N4&lt;=Body!$BM$13),Body!$BK$6,IF(AND('Zdroj data'!N4&gt;=Body!$BN$13,'Zdroj data'!N4&lt;=Body!$BP$13),Body!$BN$6,IF(AND('Zdroj data'!N4&gt;=Body!$BQ$13,'Zdroj data'!N4&lt;=Body!$BS$13),Body!$BQ$6,IF(AND('Zdroj data'!N4&gt;=Body!$BT$13,'Zdroj data'!N4&lt;=Body!$BV$13),Body!$BT$6,IF(AND('Zdroj data'!N4&gt;=Body!$BW$13,'Zdroj data'!N4&lt;=Body!$BY$13),Body!$BW$6,IF('Zdroj data'!N4&gt;=Body!$CB$13,Body!$BZ$6," ")))))))))),IF(Tabulka1[[#This Row],[kv.ek.]]=Body!$AX$14,IF(AND('Zdroj data'!O4&gt;=Body!$AY$14,'Zdroj data'!O4&lt;=Body!$BA$14),Body!$AY$6,IF(AND('Zdroj data'!O4&gt;=Body!$BB$14,'Zdroj data'!O4&lt;=Body!$BD$14),Body!$BB$6,IF(AND('Zdroj data'!O4&gt;=Body!$BE$14,'Zdroj data'!O4&lt;=Body!$BG$14),Body!$BE$6,IF(AND('Zdroj data'!O4&gt;=Body!$BH$14,'Zdroj data'!O4&lt;=Body!$BJ$14),Body!$BH$6,IF(AND('Zdroj data'!O4&gt;=Body!$BK$14,'Zdroj data'!O4&lt;=Body!$BM$14),Body!$BK$6,IF(AND('Zdroj data'!O4&gt;=Body!$BN$14,'Zdroj data'!O4&lt;=Body!$BP$14),Body!$BN$6,IF(AND('Zdroj data'!O4&gt;=Body!$BQ$14,'Zdroj data'!O4&lt;=Body!$BS$14),Body!$BQ$6,IF(AND('Zdroj data'!O4&gt;=Body!$BT$14,'Zdroj data'!O4&lt;=Body!$BV$14),Body!$BT$6,IF(AND('Zdroj data'!O4&gt;=Body!$BW$14,'Zdroj data'!O4&lt;=Body!$BY$14),Body!$BW$6,IF('Zdroj data'!O4&gt;=Body!$CB$14,Body!$BZ$6," "))))))))))," "))</f>
        <v>1</v>
      </c>
      <c r="J4" s="264">
        <f>IF(AF4=" ",AH4,AF4)</f>
        <v>5</v>
      </c>
      <c r="K4" s="264">
        <f>IF(AG4=" ",AI4,AG4)</f>
        <v>2</v>
      </c>
      <c r="L4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4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4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4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4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4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4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4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4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4" s="264">
        <f>IF('Zdroj data'!BB4=Body!$AY$25,Body!$AY$22,IF('Zdroj data'!BB4=Body!$BB$25,Body!$BB$22,IF('Zdroj data'!BB4=Body!$BE$25,Body!$BE$22,IF('Zdroj data'!BB4=Body!$BH$25,Body!$BH$22,IF('Zdroj data'!BB4=Body!BK$25,Body!$BK$22,IF('Zdroj data'!BB4=Body!$BN$25,Body!$BN$22,IF('Zdroj data'!BB4=Body!$BQ$25,Body!$BQ$22,IF('Zdroj data'!BB4=Body!$BT$25,Body!$BT$22,IF('Zdroj data'!BB4=Body!$BW$25,Body!$BW$22,IF('Zdroj data'!BB4=Body!$BZ$25,Body!$BZ$22," "))))))))))</f>
        <v>5</v>
      </c>
      <c r="V4" s="264">
        <f>IF(AND('Zdroj data'!BO4&gt;Body!$AY$27,'Zdroj data'!BO4&lt;=Body!$BA$27),Body!$AY$22,IF(AND('Zdroj data'!BO4&gt;=Body!$BB$27,'Zdroj data'!BO4&lt;=Body!$BD$27),Body!$BB$22,IF(AND('Zdroj data'!BO4&gt;=Body!$BE$27,'Zdroj data'!BO4&lt;=Body!$BG$27),Body!$BE$22,IF(AND('Zdroj data'!BO4&gt;=Body!$BH$27,'Zdroj data'!BO4&lt;=Body!$BJ$27),Body!$BH$22,IF(AND('Zdroj data'!BO4&gt;=Body!$BK$27,'Zdroj data'!BO4&lt;=Body!$BM$27),Body!$BK$22,IF(AND('Zdroj data'!BO4&gt;=Body!$BN$27,'Zdroj data'!BO4&lt;=Body!$BP$27),Body!$BN$22,IF(AND('Zdroj data'!BO4&gt;=Body!$BQ$27,'Zdroj data'!BO4&lt;=Body!$BS$27),Body!$BQ$22,IF(AND('Zdroj data'!BO4&gt;=Body!$BT$27,'Zdroj data'!BO4&lt;=Body!$BV$27),Body!$BT$22,IF(AND('Zdroj data'!BO4&gt;=Body!$BW$27,'Zdroj data'!BO4&lt;=Body!$BY$27),Body!$BW$22,IF('Zdroj data'!BO4&gt;=Body!$CB$27,$BZ$22," "))))))))))</f>
        <v>6</v>
      </c>
      <c r="W4" s="264">
        <f>IF(AND('Zdroj data'!BP4&gt;Body!$AY$27,'Zdroj data'!BP4&lt;=Body!$BA$27),Body!$AY$22,IF(AND('Zdroj data'!BP4&gt;=Body!$BB$27,'Zdroj data'!BP4&lt;=Body!$BD$27),Body!$BB$22,IF(AND('Zdroj data'!BP4&gt;=Body!$BE$27,'Zdroj data'!BP4&lt;=Body!$BG$27),Body!$BE$22,IF(AND('Zdroj data'!BP4&gt;=Body!$BH$27,'Zdroj data'!BP4&lt;=Body!$BJ$27),Body!$BH$22,IF(AND('Zdroj data'!BP4&gt;=Body!$BK$27,'Zdroj data'!BP4&lt;=Body!$BM$27),Body!$BK$22,IF(AND('Zdroj data'!BP4&gt;=Body!$BN$27,'Zdroj data'!BP4&lt;=Body!$BP$27),Body!$BN$22,IF(AND('Zdroj data'!BP4&gt;=Body!$BQ$27,'Zdroj data'!BP4&lt;=Body!$BS$27),Body!$BQ$22,IF(AND('Zdroj data'!BP4&gt;=Body!$BT$27,'Zdroj data'!BP4&lt;=Body!$BV$27),Body!$BT$22,IF(AND('Zdroj data'!BP4&gt;=Body!$BW$27,'Zdroj data'!BP4&lt;=Body!$BY$27),Body!$BW$22,IF('Zdroj data'!BP4&gt;=Body!$CB$27,$BZ$22," "))))))))))</f>
        <v>6</v>
      </c>
      <c r="X4" s="264">
        <f>IF('Zdroj data'!BA4=Body!$BB$28,$BB$22,IF('Zdroj data'!BA4=Body!$BE$28,$BE$22,IF(OR('Zdroj data'!BA4=Body!$BK$28,'Zdroj data'!BA4=Body!$BL$28,'Zdroj data'!BA4=Body!$BM$28),$BK$22,IF(OR('Zdroj data'!BA4=Body!$BT$28,'Zdroj data'!BA4=Body!$BV$28),$BT$22,IF(OR('Zdroj data'!BA4=Body!$BW$28,'Zdroj data'!BA4=Body!$BY$28),$BW$22,IF('Zdroj data'!BA4=Body!$BZ$28,$BZ$22," "))))))</f>
        <v>9</v>
      </c>
      <c r="Y4" s="264">
        <f>IF('Zdroj data'!AZ4=Body!$BZ$29,Body!$BZ$22,IF(OR('Zdroj data'!AZ4=$BT$29,'Zdroj data'!AZ4=$BU$29,'Zdroj data'!AZ4=$BV$29),$BT$22,IF(OR('Zdroj data'!AZ4=$BK$29,'Zdroj data'!AZ4=$BM$29),$BK$22,IF(OR('Zdroj data'!AZ4=$BE$29,'Zdroj data'!AZ4=$BG$29),$BE$22,IF(OR('Zdroj data'!AZ4=$AY$29,'Zdroj data'!AZ4=$BA$29),$AY$22," ")))))</f>
        <v>8</v>
      </c>
      <c r="Z4" s="264">
        <f>IF(AND('Zdroj data'!BF4="T",(OR('Zdroj data'!AZ4=Body!$AW$45,'Zdroj data'!AZ4=Body!$AW$46,'Zdroj data'!AZ4=Body!$AW$47,'Zdroj data'!AZ4=Body!$AW$48))),Body!$AY$22,IF(AND('Zdroj data'!BF4="T",(OR('Zdroj data'!AZ4=$AW$49,'Zdroj data'!AZ4=$AW$50,'Zdroj data'!AZ4=$AW$51,'Zdroj data'!AZ4=$AW$52))),$BZ$22,IF(AND(OR('Zdroj data'!BF4="VT",'Zdroj data'!BF4="T",'Zdroj data'!BF4="CH"),(OR('Zdroj data'!AZ4=$AW$43,'Zdroj data'!AZ4=$AW$44,))),$BZ$22,IF(AND('Zdroj data'!BF4="CH",(OR('Zdroj data'!AZ4=$AW$49,'Zdroj data'!AZ4=$AW$50,'Zdroj data'!AZ4=$AW$51,'Zdroj data'!AZ4=$AW$52))),$AY$22,IF(AND('Zdroj data'!BF4="CH",(OR('Zdroj data'!AZ4=$AW$45,'Zdroj data'!AZ4=$AW$46,'Zdroj data'!AZ4=$AW$47,'Zdroj data'!AZ4=$AW$48))),$BZ$22," ")))))</f>
        <v>10</v>
      </c>
      <c r="AA4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4" s="264">
        <f>IF(Tabulka1[[#This Row],[kv.ek.]]=Body!$BK$35,Body!$BK$34,IF(Tabulka1[[#This Row],[kv.ek.]]=Body!$BZ$35,Body!$BZ$34," "))</f>
        <v>5</v>
      </c>
      <c r="AC4" s="264" t="str">
        <f>IF(AND('Zdroj data'!BF4="T",(OR('Zdroj data'!AZ4=Body!$AW$45,'Zdroj data'!AZ4=Body!$AW$46,'Zdroj data'!AZ4=Body!$AW$47,'Zdroj data'!AZ4=Body!$AW$48))),Body!$AY$22,IF(AND('Zdroj data'!BF4="T",(OR('Zdroj data'!AZ4=$AW$49,'Zdroj data'!AZ4=$AW$50,'Zdroj data'!AZ4=$AW$51,'Zdroj data'!AZ4=$AW$52))),$BZ$22," "))</f>
        <v xml:space="preserve"> </v>
      </c>
      <c r="AD4" s="264">
        <f>IF(AND(OR('Zdroj data'!BF4="VT",'Zdroj data'!BF4="T",'Zdroj data'!BF4="CH"),(OR('Zdroj data'!AZ4=$AW$43,'Zdroj data'!AZ4=$AW$44,))),$BZ$22," ")</f>
        <v>10</v>
      </c>
      <c r="AE4" s="264" t="str">
        <f>IF(AND('Zdroj data'!BF4="CH",(OR('Zdroj data'!AZ4=$AW$49,'Zdroj data'!AZ4=$AW$50,'Zdroj data'!AZ4=$AW$51,'Zdroj data'!AZ4=$AW$52))),$AY$22,IF(AND('Zdroj data'!BF4="CH",(OR('Zdroj data'!AZ4=$AW$45,'Zdroj data'!AZ4=$AW$46,'Zdroj data'!AZ4=$AW$47,'Zdroj data'!AZ4=$AW$48))),$BZ$22," "))</f>
        <v xml:space="preserve"> </v>
      </c>
      <c r="AF4" s="264">
        <f>IF(AND('Zdroj data'!BG4="L",'Zdroj data'!AM4=Body!$AX$15),IF(AND('Zdroj data'!O4&gt;=Body!$AY$15,'Zdroj data'!O4&lt;=Body!$BA$15),Body!AY$6,IF(AND('Zdroj data'!O4&gt;=Body!$BB$15,'Zdroj data'!O4&lt;=Body!$BD$15),Body!BB$6,IF(AND('Zdroj data'!O4&gt;=Body!$BE$15,'Zdroj data'!O4&lt;=Body!$BG$15),Body!BE$6,IF(AND('Zdroj data'!O4&gt;=Body!$BH$15,'Zdroj data'!O4&lt;=Body!$BJ$15),Body!BH$6,IF(AND('Zdroj data'!O4&gt;=Body!$BK$15,'Zdroj data'!O4&lt;=Body!$BM$15),Body!BK$6,IF(AND('Zdroj data'!O4&gt;=Body!$BN$15,'Zdroj data'!O4&lt;=Body!$BP$15),Body!$BN$6,IF(AND('Zdroj data'!O4&gt;=Body!$BQ$15,'Zdroj data'!O4&lt;=Body!$BS$15),Body!$BQ$6,IF(AND('Zdroj data'!O4&gt;=Body!$BT$15,'Zdroj data'!O4&lt;=Body!$BV$15),Body!BT$6,IF(AND('Zdroj data'!O4&gt;=Body!$BW$15,'Zdroj data'!O4&lt;=Body!$BY$15),Body!$BW$6,IF('Zdroj data'!O4&gt;=Body!$CB$15,Body!$BZ$6," ")))))))))),IF(AND('Zdroj data'!BG4="ST",'Zdroj data'!AM4=Body!$AX$16),IF(AND('Zdroj data'!O4&gt;=Body!$AY$16,'Zdroj data'!O4&lt;=Body!$BA$16),Body!$AY$6,IF(AND('Zdroj data'!O4&gt;=Body!$BB$16,'Zdroj data'!O4&lt;=Body!$BD$16),Body!$BB$6,IF(AND('Zdroj data'!O4&gt;=Body!$BE$16,'Zdroj data'!O4&lt;=Body!$BG$16),Body!$BE$6,IF(AND('Zdroj data'!O4&gt;=Body!$BH$16,'Zdroj data'!O4&lt;=Body!$BJ$16),Body!$BH$6,IF(AND('Zdroj data'!O4&gt;=Body!$BK$16,'Zdroj data'!O4&lt;=Body!$BM$16),Body!$BK$6,IF(AND('Zdroj data'!O4&gt;=Body!$BN$16,'Zdroj data'!O4&lt;=Body!$BP$16),Body!$BN$6,IF(AND('Zdroj data'!O4&gt;=Body!$BQ$16,'Zdroj data'!O4&lt;=Body!$BS$16),Body!$BQ$6,IF(AND('Zdroj data'!O4&gt;=Body!$BT$16,'Zdroj data'!O4&lt;=Body!$BV$16),Body!$BT$6,IF(AND('Zdroj data'!O4&gt;=Body!$BW$16,'Zdroj data'!O4&lt;=Body!$BY$16),Body!$BW$6,IF('Zdroj data'!O4&gt;=Body!$CB$16,Body!$BZ$6," ")))))))))),IF(AND('Zdroj data'!BG4="T",'Zdroj data'!AM4=Body!$AX$17),IF(AND('Zdroj data'!O4&gt;=Body!$AY$17,'Zdroj data'!O4&lt;=Body!$BA$17),Body!$AY$6,IF(AND('Zdroj data'!O4&gt;=Body!$BB$17,'Zdroj data'!O4&lt;=Body!$BD$17),Body!$BB$6,IF(AND('Zdroj data'!O4&gt;=Body!$BE$17,'Zdroj data'!O4&lt;=Body!$BG$17),Body!$BE$6,IF(AND('Zdroj data'!O4&gt;=Body!$BH$17,'Zdroj data'!O4&lt;=Body!BJ18),Body!$BH$6,IF(AND('Zdroj data'!O4&gt;=Body!$BK$17,'Zdroj data'!O4&lt;=Body!$BM$17),Body!$BK$6,IF(AND('Zdroj data'!O4&gt;=Body!$BN$17,'Zdroj data'!O4&lt;=Body!$BP$17),Body!$BN$6,IF(AND('Zdroj data'!O4&gt;=Body!$BQ$17,'Zdroj data'!O4&lt;=Body!$BS$17),Body!$BQ$6,IF(AND('Zdroj data'!O4&gt;=Body!$BT$17,'Zdroj data'!O4&lt;=Body!$BV$17),Body!$BT$6,IF(AND('Zdroj data'!O4&gt;=Body!$BW$17,'Zdroj data'!O4&lt;=Body!$BY$17),Body!$BW$6,IF('Zdroj data'!O4&gt;=Body!$CB$17,Body!$BZ$6," "))))))))))," ")))</f>
        <v>5</v>
      </c>
      <c r="AG4" s="264">
        <f>IF(AND('Zdroj data'!$BG4="L",'Zdroj data'!$AM4=Body!$AX$15),IF(AND(Tabulka1[[#This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data'!$BG4="ST",'Zdroj data'!$AM4=Body!$AX$16),IF(AND(Tabulka1[[#This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data'!$BG4="T",'Zdroj data'!$AM4=Body!$AX$17),IF(AND(Tabulka1[[#This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Row],[K2O_60]]&lt;=Body!BJ18),Body!$BH$6,IF(AND(Tabulka1[[#This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2</v>
      </c>
      <c r="AH4" s="264" t="str">
        <f>IF(AND('Zdroj data'!BG4="L",'Zdroj data'!AM4=Body!$AX$18),IF(AND('Zdroj data'!O4&gt;=Body!$AY$18,'Zdroj data'!O4&lt;=Body!$BA$18),Body!AY$6,IF(AND('Zdroj data'!O4&gt;=Body!$BB$18,'Zdroj data'!O4&lt;=Body!$BD$18),Body!BB$6,IF(AND('Zdroj data'!O4&gt;=Body!$BE$18,'Zdroj data'!O4&lt;=Body!$BG$18),Body!BE$6,IF(AND('Zdroj data'!O4&gt;=Body!$BH$18,'Zdroj data'!O4&lt;=Body!$BJ$18),Body!BH$6,IF(AND('Zdroj data'!O4&gt;=Body!$BK$18,'Zdroj data'!O4&lt;=Body!$BM$18),Body!$BK$6,IF(AND('Zdroj data'!O4&gt;=Body!$BN$18,'Zdroj data'!O4&lt;=Body!$BP$18),Body!BN$6,IF(AND('Zdroj data'!O4&gt;=Body!$BQ$18,'Zdroj data'!O4&lt;=Body!$BS$18),Body!$BQ$6,IF(AND('Zdroj data'!O4&gt;=Body!$BT$18,'Zdroj data'!O4&lt;=Body!$BV$18),Body!$BT$6,IF(AND('Zdroj data'!O4&gt;=Body!$BW$18,'Zdroj data'!O4&lt;=Body!$BY$18),Body!$BW$6,IF('Zdroj data'!O4&gt;=Body!$CB$18,Body!$BZ$6," ")))))))))),IF(AND('Zdroj data'!BG4="ST",'Zdroj data'!AM4=Body!$AX$19),IF(AND('Zdroj data'!O4&gt;=Body!$AY$19,'Zdroj data'!O4&lt;=Body!$BA$19),Body!$AY$6,IF(AND('Zdroj data'!O4&gt;=Body!$BB$19,'Zdroj data'!O4&lt;=Body!$BD$19),Body!$BB$6,IF(AND('Zdroj data'!O4&gt;=Body!$BE$19,'Zdroj data'!O4&lt;=Body!$BG$19),Body!$BE$6,IF(AND('Zdroj data'!O4&gt;=Body!$BH$19,'Zdroj data'!O4&lt;=Body!$BJ$19),Body!$BH$6,IF(AND('Zdroj data'!O4&gt;=Body!$BK$19,'Zdroj data'!O4&lt;=Body!$BM$19),Body!$BK$6,IF(AND('Zdroj data'!O4&gt;=Body!$BN$19,'Zdroj data'!O4&lt;=Body!$BP$19),Body!$BN$6,IF(AND('Zdroj data'!O4&gt;=Body!$BQ$19,'Zdroj data'!O4&lt;=Body!$BS$19),Body!$BQ$6,IF(AND('Zdroj data'!O4&gt;=Body!$BT$19,'Zdroj data'!O8&lt;=Body!$BV$19),Body!$BT$6,IF(AND('Zdroj data'!O4&gt;=Body!$BW$19,'Zdroj data'!O4&lt;=Body!$BY$19),Body!$BW$6,IF('Zdroj data'!O4&gt;=Body!$CB$19,Body!$BZ$6," ")))))))))),IF(AND('Zdroj data'!BG4="T",'Zdroj data'!AM4=Body!$AX$20),IF(AND('Zdroj data'!O4&gt;=Body!$AY$20,'Zdroj data'!O4&lt;=Body!$BA$20),Body!$AY$6,IF(AND('Zdroj data'!O4&gt;=Body!$BB$20,'Zdroj data'!O4&lt;=Body!$BD$20),Body!$BB$6,IF(AND('Zdroj data'!O4&gt;=Body!$BE$20,'Zdroj data'!O4&lt;=Body!$BG$20),Body!$BE$6,IF(AND('Zdroj data'!O4&gt;=Body!$BH$20,'Zdroj data'!O4&lt;=Body!$BJ$20),Body!$BH$6,IF(AND('Zdroj data'!O4&gt;=Body!$BK$20,'Zdroj data'!O4&lt;=Body!$BM$20),Body!$BK$6,IF(AND('Zdroj data'!O4&gt;=Body!$BN$20,'Zdroj data'!O4&lt;=Body!$BP$20),Body!$BN$6,IF(AND('Zdroj data'!O4&gt;=Body!$BQ$20,'Zdroj data'!O4&lt;=Body!$BS$20),Body!$BQ$6,IF(AND('Zdroj data'!O4&gt;=Body!$BT$20,'Zdroj data'!O4&lt;=Body!BV21),Body!$BT$6,IF(AND('Zdroj data'!O4&gt;=Body!$BW$20,'Zdroj data'!O4&lt;=Body!$BY$20),Body!$BW$6,IF('Zdroj data'!O4&gt;=Body!$CB$20,Body!$BZ$6," "))))))))))," ")))</f>
        <v xml:space="preserve"> </v>
      </c>
      <c r="AI4" s="264" t="str">
        <f>IF(AND('Zdroj data'!$BG4="L",'Zdroj data'!$AM4=Body!$AX$18),IF(AND(Tabulka1[[#This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data'!$BG4="ST",'Zdroj data'!$AM4=Body!$AX$19),IF(AND(Tabulka1[[#This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data'!$BG4="T",'Zdroj data'!$AM4=Body!$AX$20),IF(AND(Tabulka1[[#This Row],[K2O_60]]&gt;=Body!$AY$20,'Zdroj data'!O4&lt;=Body!$BA$20),Body!$AY$6,IF(AND(Tabulka1[[#This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Row],[K2O_60]]&lt;=Body!BV21),Body!$BT$6,IF(AND(Tabulka1[[#This Row],[K2O_60]]&gt;=Body!$BW$20,Tabulka1[[#This Row],[K2O_60]]&lt;=Body!$BY$20),Body!$BW$6,IF(Tabulka1[[#This Row],[K2O_60]]&gt;=Body!$CB$20,Body!$BZ$6," "))))))))))," ")))</f>
        <v xml:space="preserve"> </v>
      </c>
      <c r="AJ4" s="265">
        <f t="shared" ref="AJ4:AJ21" si="2">(AA4*$AV$36+AB4*$AV$35)*16*$AT$35*2</f>
        <v>14.666666666666682</v>
      </c>
      <c r="AK4" s="264">
        <f t="shared" ref="AK4:AK67" si="3">(D4*$AV$7+F4*$AV$9+H4*$AV$13+J4*$AV$15+L4*$AV$12+N4*$AV$11+P4*$AV$10+Q4*$AV$21)*16*$AU$7*$AT$7</f>
        <v>26.547361684181478</v>
      </c>
      <c r="AL4" s="264">
        <f t="shared" ref="AL4:AL67" si="4">(E4*$AV$7+G4*$AV$9+I4*$AV$13+K4*$AV$15+M4*$AV$12+O4*$AV$11+P4*$AV$10+R4*$AV$21)*16*$AU$7*$AT$7</f>
        <v>24.89403500881658</v>
      </c>
      <c r="AM4" s="264">
        <f t="shared" ref="AM4:AM67" si="5">(S4*$AV$23+U4*$AV$25+V4*$AV$26+X4*$AV$28+Y4*$AV$29+Z4*$AV$30)*16*$AU$23*$AT$7</f>
        <v>72.954615766892601</v>
      </c>
      <c r="AN4" s="264">
        <f t="shared" ref="AN4:AN67" si="6">(T4*$AV$23+U4*$AV$25+W4*$AV$26+X4*$AV$28+Y4*$AV$29+Z4*$AV$30)*16*$AU$23*$AT$7</f>
        <v>72.954615766892601</v>
      </c>
      <c r="AO4" s="265">
        <f t="shared" si="0"/>
        <v>99.501977451074083</v>
      </c>
      <c r="AP4" s="265">
        <f t="shared" si="1"/>
        <v>97.848650775709189</v>
      </c>
      <c r="AQ4" s="318"/>
      <c r="AR4" s="338">
        <f t="shared" ref="AR4:AR67" si="7">AO4+AP4+AJ4</f>
        <v>212.01729489344996</v>
      </c>
      <c r="AS4" s="318"/>
      <c r="AT4" s="138"/>
      <c r="AU4" s="138"/>
      <c r="AV4" s="138"/>
      <c r="AX4" s="21"/>
      <c r="CD4" s="66"/>
      <c r="CE4" s="136"/>
      <c r="CF4" s="66"/>
    </row>
    <row r="5" spans="1:84" ht="16" thickBot="1" x14ac:dyDescent="0.4">
      <c r="A5" s="270">
        <v>809</v>
      </c>
      <c r="B5" s="156" t="s">
        <v>538</v>
      </c>
      <c r="C5" s="250" t="str">
        <f>VLOOKUP(B5,'Zdroj hloubka okresy'!$A$2:$D$171,2,FALSE)</f>
        <v>Pribram</v>
      </c>
      <c r="D5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10</v>
      </c>
      <c r="E5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10</v>
      </c>
      <c r="F5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5" s="264">
        <f>IF(AND(Tabulka1[[#This Row],[hum_60]]&gt;AY11,Tabulka1[[#This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5" s="264">
        <f>IF(Tabulka1[[#This Row],[kv.ek.]]=Body!$AX$13,IF(AND('Zdroj data'!M5&gt;=Body!$AY$13,'Zdroj data'!M5&lt;=Body!$BA$13),Body!$AY$6,IF(AND('Zdroj data'!M5&gt;=Body!$BB$13,'Zdroj data'!M5&lt;=Body!$BD$13),Body!$BB$6,IF(AND('Zdroj data'!M5&gt;=Body!$BE$13,'Zdroj data'!M5&lt;=Body!$BG$13),Body!$BE$6,IF(AND('Zdroj data'!M5&gt;=Body!$BH$13,'Zdroj data'!M5&lt;=Body!$BJ$13),Body!$BH$6,IF(AND('Zdroj data'!M5&gt;=Body!$BK$13,'Zdroj data'!M5&lt;=Body!$BM$13),Body!$BK$6,IF(AND('Zdroj data'!M5&gt;=Body!$BN$13,'Zdroj data'!M5&lt;=Body!$BP$13),Body!$BN$6,IF(AND('Zdroj data'!M5&gt;=Body!$BQ$13,'Zdroj data'!M5&lt;=Body!$BS$13),Body!$BQ$6,IF(AND('Zdroj data'!M5&gt;=Body!$BT$13,'Zdroj data'!M5&lt;=Body!$BV$13),Body!$BT$6,IF(AND('Zdroj data'!M5&gt;=Body!$BW$13,'Zdroj data'!M5&lt;=Body!$BY$13),Body!$BW$6,IF('Zdroj data'!M5&gt;=Body!$CB$13,Body!$BZ$6,"")))))))))),IF(Tabulka1[[#This Row],[kv.ek.]]=Body!$AX$14,IF(AND('Zdroj data'!N5&gt;=Body!$AY$14,'Zdroj data'!N5&lt;=Body!$BA$14),Body!$AY$6,IF(AND('Zdroj data'!N5&gt;=Body!$BB$14,'Zdroj data'!N5&lt;=Body!$BD$14),Body!$BB$6,IF(AND('Zdroj data'!N5&gt;=Body!$BE$14,'Zdroj data'!N5&lt;=Body!$BG$14),Body!$BE$6,IF(AND('Zdroj data'!N5&gt;=Body!$BH$14,'Zdroj data'!N5&lt;=Body!$BJ$14),Body!$BH$6,IF(AND('Zdroj data'!N5&gt;=Body!$BK$14,'Zdroj data'!N5&lt;=Body!$BM$14),Body!$BK$6,IF(AND('Zdroj data'!N5&gt;=Body!$BN$14,'Zdroj data'!N5&lt;=Body!$BP$14),Body!$BN$6,IF(AND('Zdroj data'!N5&gt;=Body!$BQ$14,'Zdroj data'!N5&lt;=Body!$BS$14),Body!$BQ$6,IF(AND('Zdroj data'!N5&gt;=Body!$BT$14,'Zdroj data'!N5&lt;=Body!$BV$14),Body!$BT$6,IF(AND('Zdroj data'!N5&gt;=Body!$BW$14,'Zdroj data'!N5&lt;=Body!$BY$14),Body!$BW$6,IF('Zdroj data'!N5&gt;=Body!$CB$14,Body!$BZ$6,"")))))))))),""))</f>
        <v>7</v>
      </c>
      <c r="I5" s="264">
        <f>IF(Tabulka1[[#This Row],[kv.ek.]]=Body!$AX$13,IF(AND('Zdroj data'!N5&gt;=Body!$AY$13,'Zdroj data'!N5&lt;=Body!$BA$13),Body!$AY$6,IF(AND('Zdroj data'!N5&gt;=Body!$BB$13,'Zdroj data'!N5&lt;=Body!$BD$13),Body!$BB$6,IF(AND('Zdroj data'!N5&gt;=Body!$BE$13,'Zdroj data'!N5&lt;=Body!$BG$13),Body!$BE$6,IF(AND('Zdroj data'!N5&gt;=Body!$BH$13,'Zdroj data'!N5&lt;=Body!$BJ$13),Body!$BH$6,IF(AND('Zdroj data'!N5&gt;=Body!$BK$13,'Zdroj data'!N5&lt;=Body!$BM$13),Body!$BK$6,IF(AND('Zdroj data'!N5&gt;=Body!$BN$13,'Zdroj data'!N5&lt;=Body!$BP$13),Body!$BN$6,IF(AND('Zdroj data'!N5&gt;=Body!$BQ$13,'Zdroj data'!N5&lt;=Body!$BS$13),Body!$BQ$6,IF(AND('Zdroj data'!N5&gt;=Body!$BT$13,'Zdroj data'!N5&lt;=Body!$BV$13),Body!$BT$6,IF(AND('Zdroj data'!N5&gt;=Body!$BW$13,'Zdroj data'!N5&lt;=Body!$BY$13),Body!$BW$6,IF('Zdroj data'!N5&gt;=Body!$CB$13,Body!$BZ$6," ")))))))))),IF(Tabulka1[[#This Row],[kv.ek.]]=Body!$AX$14,IF(AND('Zdroj data'!O5&gt;=Body!$AY$14,'Zdroj data'!O5&lt;=Body!$BA$14),Body!$AY$6,IF(AND('Zdroj data'!O5&gt;=Body!$BB$14,'Zdroj data'!O5&lt;=Body!$BD$14),Body!$BB$6,IF(AND('Zdroj data'!O5&gt;=Body!$BE$14,'Zdroj data'!O5&lt;=Body!$BG$14),Body!$BE$6,IF(AND('Zdroj data'!O5&gt;=Body!$BH$14,'Zdroj data'!O5&lt;=Body!$BJ$14),Body!$BH$6,IF(AND('Zdroj data'!O5&gt;=Body!$BK$14,'Zdroj data'!O5&lt;=Body!$BM$14),Body!$BK$6,IF(AND('Zdroj data'!O5&gt;=Body!$BN$14,'Zdroj data'!O5&lt;=Body!$BP$14),Body!$BN$6,IF(AND('Zdroj data'!O5&gt;=Body!$BQ$14,'Zdroj data'!O5&lt;=Body!$BS$14),Body!$BQ$6,IF(AND('Zdroj data'!O5&gt;=Body!$BT$14,'Zdroj data'!O5&lt;=Body!$BV$14),Body!$BT$6,IF(AND('Zdroj data'!O5&gt;=Body!$BW$14,'Zdroj data'!O5&lt;=Body!$BY$14),Body!$BW$6,IF('Zdroj data'!O5&gt;=Body!$CB$14,Body!$BZ$6," "))))))))))," "))</f>
        <v>7</v>
      </c>
      <c r="J5" s="264">
        <f t="shared" ref="J5:J68" si="8">IF(AF5=" ",AH5,AF5)</f>
        <v>2</v>
      </c>
      <c r="K5" s="264">
        <f t="shared" ref="K5:K68" si="9">IF(AG5=" ",AI5,AG5)</f>
        <v>2</v>
      </c>
      <c r="L5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5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5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5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5" s="264">
        <f>IF(Tabulka1[[#This Row],[RVK]]=Body!$BE$10,Body!$BE$6,IF(Tabulka1[[#This Row],[RVK]]=Body!$BK$10,Body!$BK$6,IF(Tabulka1[[#This Row],[RVK]]=Body!$BN$10,Body!$BN$6,IF(Tabulka1[[#This Row],[RVK]]=Body!$BZ$10,Body!$BZ$6," "))))</f>
        <v>10</v>
      </c>
      <c r="Q5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5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5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5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5" s="264">
        <f>IF('Zdroj data'!BB5=Body!$AY$25,Body!$AY$22,IF('Zdroj data'!BB5=Body!$BB$25,Body!$BB$22,IF('Zdroj data'!BB5=Body!$BE$25,Body!$BE$22,IF('Zdroj data'!BB5=Body!$BH$25,Body!$BH$22,IF('Zdroj data'!BB5=Body!BK$25,Body!$BK$22,IF('Zdroj data'!BB5=Body!$BN$25,Body!$BN$22,IF('Zdroj data'!BB5=Body!$BQ$25,Body!$BQ$22,IF('Zdroj data'!BB5=Body!$BT$25,Body!$BT$22,IF('Zdroj data'!BB5=Body!$BW$25,Body!$BW$22,IF('Zdroj data'!BB5=Body!$BZ$25,Body!$BZ$22," "))))))))))</f>
        <v>6</v>
      </c>
      <c r="V5" s="264">
        <f>IF(AND('Zdroj data'!BO5&gt;Body!$AY$27,'Zdroj data'!BO5&lt;=Body!$BA$27),Body!$AY$22,IF(AND('Zdroj data'!BO5&gt;=Body!$BB$27,'Zdroj data'!BO5&lt;=Body!$BD$27),Body!$BB$22,IF(AND('Zdroj data'!BO5&gt;=Body!$BE$27,'Zdroj data'!BO5&lt;=Body!$BG$27),Body!$BE$22,IF(AND('Zdroj data'!BO5&gt;=Body!$BH$27,'Zdroj data'!BO5&lt;=Body!$BJ$27),Body!$BH$22,IF(AND('Zdroj data'!BO5&gt;=Body!$BK$27,'Zdroj data'!BO5&lt;=Body!$BM$27),Body!$BK$22,IF(AND('Zdroj data'!BO5&gt;=Body!$BN$27,'Zdroj data'!BO5&lt;=Body!$BP$27),Body!$BN$22,IF(AND('Zdroj data'!BO5&gt;=Body!$BQ$27,'Zdroj data'!BO5&lt;=Body!$BS$27),Body!$BQ$22,IF(AND('Zdroj data'!BO5&gt;=Body!$BT$27,'Zdroj data'!BO5&lt;=Body!$BV$27),Body!$BT$22,IF(AND('Zdroj data'!BO5&gt;=Body!$BW$27,'Zdroj data'!BO5&lt;=Body!$BY$27),Body!$BW$22,IF('Zdroj data'!BO5&gt;=Body!$CB$27,$BZ$22," "))))))))))</f>
        <v>6</v>
      </c>
      <c r="W5" s="264">
        <f>IF(AND('Zdroj data'!BP5&gt;Body!$AY$27,'Zdroj data'!BP5&lt;=Body!$BA$27),Body!$AY$22,IF(AND('Zdroj data'!BP5&gt;=Body!$BB$27,'Zdroj data'!BP5&lt;=Body!$BD$27),Body!$BB$22,IF(AND('Zdroj data'!BP5&gt;=Body!$BE$27,'Zdroj data'!BP5&lt;=Body!$BG$27),Body!$BE$22,IF(AND('Zdroj data'!BP5&gt;=Body!$BH$27,'Zdroj data'!BP5&lt;=Body!$BJ$27),Body!$BH$22,IF(AND('Zdroj data'!BP5&gt;=Body!$BK$27,'Zdroj data'!BP5&lt;=Body!$BM$27),Body!$BK$22,IF(AND('Zdroj data'!BP5&gt;=Body!$BN$27,'Zdroj data'!BP5&lt;=Body!$BP$27),Body!$BN$22,IF(AND('Zdroj data'!BP5&gt;=Body!$BQ$27,'Zdroj data'!BP5&lt;=Body!$BS$27),Body!$BQ$22,IF(AND('Zdroj data'!BP5&gt;=Body!$BT$27,'Zdroj data'!BP5&lt;=Body!$BV$27),Body!$BT$22,IF(AND('Zdroj data'!BP5&gt;=Body!$BW$27,'Zdroj data'!BP5&lt;=Body!$BY$27),Body!$BW$22,IF('Zdroj data'!BP5&gt;=Body!$CB$27,$BZ$22," "))))))))))</f>
        <v>5</v>
      </c>
      <c r="X5" s="264">
        <f>IF('Zdroj data'!BA5=Body!$BB$28,$BB$22,IF('Zdroj data'!BA5=Body!$BE$28,$BE$22,IF(OR('Zdroj data'!BA5=Body!$BK$28,'Zdroj data'!BA5=Body!$BL$28,'Zdroj data'!BA5=Body!$BM$28),$BK$22,IF(OR('Zdroj data'!BA5=Body!$BT$28,'Zdroj data'!BA5=Body!$BV$28),$BT$22,IF(OR('Zdroj data'!BA5=Body!$BW$28,'Zdroj data'!BA5=Body!$BY$28),$BW$22,IF('Zdroj data'!BA5=Body!$BZ$28,$BZ$22," "))))))</f>
        <v>5</v>
      </c>
      <c r="Y5" s="264">
        <f>IF('Zdroj data'!AZ5=Body!$BZ$29,Body!$BZ$22,IF(OR('Zdroj data'!AZ5=$BT$29,'Zdroj data'!AZ5=$BU$29,'Zdroj data'!AZ5=$BV$29),$BT$22,IF(OR('Zdroj data'!AZ5=$BK$29,'Zdroj data'!AZ5=$BM$29),$BK$22,IF(OR('Zdroj data'!AZ5=$BE$29,'Zdroj data'!AZ5=$BG$29),$BE$22,IF(OR('Zdroj data'!AZ5=$AY$29,'Zdroj data'!AZ5=$BA$29),$AY$22," ")))))</f>
        <v>8</v>
      </c>
      <c r="Z5" s="264">
        <f>IF(AND('Zdroj data'!BF5="T",(OR('Zdroj data'!AZ5=Body!$AW$45,'Zdroj data'!AZ5=Body!$AW$46,'Zdroj data'!AZ5=Body!$AW$47,'Zdroj data'!AZ5=Body!$AW$48))),Body!$AY$22,IF(AND('Zdroj data'!BF5="T",(OR('Zdroj data'!AZ5=$AW$49,'Zdroj data'!AZ5=$AW$50,'Zdroj data'!AZ5=$AW$51,'Zdroj data'!AZ5=$AW$52))),$BZ$22,IF(AND(OR('Zdroj data'!BF5="VT",'Zdroj data'!BF5="T",'Zdroj data'!BF5="CH"),(OR('Zdroj data'!AZ5=$AW$43,'Zdroj data'!AZ5=$AW$44,))),$BZ$22,IF(AND('Zdroj data'!BF5="CH",(OR('Zdroj data'!AZ5=$AW$49,'Zdroj data'!AZ5=$AW$50,'Zdroj data'!AZ5=$AW$51,'Zdroj data'!AZ5=$AW$52))),$AY$22,IF(AND('Zdroj data'!BF5="CH",(OR('Zdroj data'!AZ5=$AW$45,'Zdroj data'!AZ5=$AW$46,'Zdroj data'!AZ5=$AW$47,'Zdroj data'!AZ5=$AW$48))),$BZ$22," ")))))</f>
        <v>10</v>
      </c>
      <c r="AA5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5" s="264">
        <f>IF(Tabulka1[[#This Row],[kv.ek.]]=Body!$BK$35,Body!$BK$34,IF(Tabulka1[[#This Row],[kv.ek.]]=Body!$BZ$35,Body!$BZ$34," "))</f>
        <v>10</v>
      </c>
      <c r="AC5" s="264" t="str">
        <f>IF(AND('Zdroj data'!BF5="T",(OR('Zdroj data'!AZ5=Body!$AW$45,'Zdroj data'!AZ5=Body!$AW$46,'Zdroj data'!AZ5=Body!$AW$47,'Zdroj data'!AZ5=Body!$AW$48))),Body!$AY$22,IF(AND('Zdroj data'!BF5="T",(OR('Zdroj data'!AZ5=$AW$49,'Zdroj data'!AZ5=$AW$50,'Zdroj data'!AZ5=$AW$51,'Zdroj data'!AZ5=$AW$52))),$BZ$22," "))</f>
        <v xml:space="preserve"> </v>
      </c>
      <c r="AD5" s="264">
        <f>IF(AND(OR('Zdroj data'!BF5="VT",'Zdroj data'!BF5="T",'Zdroj data'!BF5="CH"),(OR('Zdroj data'!AZ5=$AW$43,'Zdroj data'!AZ5=$AW$44,))),$BZ$22," ")</f>
        <v>10</v>
      </c>
      <c r="AE5" s="264" t="str">
        <f>IF(AND('Zdroj data'!BF5="CH",(OR('Zdroj data'!AZ5=$AW$49,'Zdroj data'!AZ5=$AW$50,'Zdroj data'!AZ5=$AW$51,'Zdroj data'!AZ5=$AW$52))),$AY$22,IF(AND('Zdroj data'!BF5="CH",(OR('Zdroj data'!AZ5=$AW$45,'Zdroj data'!AZ5=$AW$46,'Zdroj data'!AZ5=$AW$47,'Zdroj data'!AZ5=$AW$48))),$BZ$22," "))</f>
        <v xml:space="preserve"> </v>
      </c>
      <c r="AF5" s="264" t="str">
        <f>IF(AND('Zdroj data'!BG5="L",'Zdroj data'!AM5=Body!$AX$15),IF(AND('Zdroj data'!O5&gt;=Body!$AY$15,'Zdroj data'!O5&lt;=Body!$BA$15),Body!AY$6,IF(AND('Zdroj data'!O5&gt;=Body!$BB$15,'Zdroj data'!O5&lt;=Body!$BD$15),Body!BB$6,IF(AND('Zdroj data'!O5&gt;=Body!$BE$15,'Zdroj data'!O5&lt;=Body!$BG$15),Body!BE$6,IF(AND('Zdroj data'!O5&gt;=Body!$BH$15,'Zdroj data'!O5&lt;=Body!$BJ$15),Body!BH$6,IF(AND('Zdroj data'!O5&gt;=Body!$BK$15,'Zdroj data'!O5&lt;=Body!$BM$15),Body!BK$6,IF(AND('Zdroj data'!O5&gt;=Body!$BN$15,'Zdroj data'!O5&lt;=Body!$BP$15),Body!$BN$6,IF(AND('Zdroj data'!O5&gt;=Body!$BQ$15,'Zdroj data'!O5&lt;=Body!$BS$15),Body!$BQ$6,IF(AND('Zdroj data'!O5&gt;=Body!$BT$15,'Zdroj data'!O5&lt;=Body!$BV$15),Body!BT$6,IF(AND('Zdroj data'!O5&gt;=Body!$BW$15,'Zdroj data'!O5&lt;=Body!$BY$15),Body!$BW$6,IF('Zdroj data'!O5&gt;=Body!$CB$15,Body!$BZ$6," ")))))))))),IF(AND('Zdroj data'!BG5="ST",'Zdroj data'!AM5=Body!$AX$16),IF(AND('Zdroj data'!O5&gt;=Body!$AY$16,'Zdroj data'!O5&lt;=Body!$BA$16),Body!$AY$6,IF(AND('Zdroj data'!O5&gt;=Body!$BB$16,'Zdroj data'!O5&lt;=Body!$BD$16),Body!$BB$6,IF(AND('Zdroj data'!O5&gt;=Body!$BE$16,'Zdroj data'!O5&lt;=Body!$BG$16),Body!$BE$6,IF(AND('Zdroj data'!O5&gt;=Body!$BH$16,'Zdroj data'!O5&lt;=Body!$BJ$16),Body!$BH$6,IF(AND('Zdroj data'!O5&gt;=Body!$BK$16,'Zdroj data'!O5&lt;=Body!$BM$16),Body!$BK$6,IF(AND('Zdroj data'!O5&gt;=Body!$BN$16,'Zdroj data'!O5&lt;=Body!$BP$16),Body!$BN$6,IF(AND('Zdroj data'!O5&gt;=Body!$BQ$16,'Zdroj data'!O5&lt;=Body!$BS$16),Body!$BQ$6,IF(AND('Zdroj data'!O5&gt;=Body!$BT$16,'Zdroj data'!O5&lt;=Body!$BV$16),Body!$BT$6,IF(AND('Zdroj data'!O5&gt;=Body!$BW$16,'Zdroj data'!O5&lt;=Body!$BY$16),Body!$BW$6,IF('Zdroj data'!O5&gt;=Body!$CB$16,Body!$BZ$6," ")))))))))),IF(AND('Zdroj data'!BG5="T",'Zdroj data'!AM5=Body!$AX$17),IF(AND('Zdroj data'!O5&gt;=Body!$AY$17,'Zdroj data'!O5&lt;=Body!$BA$17),Body!$AY$6,IF(AND('Zdroj data'!O5&gt;=Body!$BB$17,'Zdroj data'!O5&lt;=Body!$BD$17),Body!$BB$6,IF(AND('Zdroj data'!O5&gt;=Body!$BE$17,'Zdroj data'!O5&lt;=Body!$BG$17),Body!$BE$6,IF(AND('Zdroj data'!O5&gt;=Body!$BH$17,'Zdroj data'!O5&lt;=Body!BJ19),Body!$BH$6,IF(AND('Zdroj data'!O5&gt;=Body!$BK$17,'Zdroj data'!O5&lt;=Body!$BM$17),Body!$BK$6,IF(AND('Zdroj data'!O5&gt;=Body!$BN$17,'Zdroj data'!O5&lt;=Body!$BP$17),Body!$BN$6,IF(AND('Zdroj data'!O5&gt;=Body!$BQ$17,'Zdroj data'!O5&lt;=Body!$BS$17),Body!$BQ$6,IF(AND('Zdroj data'!O5&gt;=Body!$BT$17,'Zdroj data'!O5&lt;=Body!$BV$17),Body!$BT$6,IF(AND('Zdroj data'!O5&gt;=Body!$BW$17,'Zdroj data'!O5&lt;=Body!$BY$17),Body!$BW$6,IF('Zdroj data'!O5&gt;=Body!$CB$17,Body!$BZ$6," "))))))))))," ")))</f>
        <v xml:space="preserve"> </v>
      </c>
      <c r="AG5" s="264" t="str">
        <f>IF(AND('Zdroj data'!$BG5="L",'Zdroj data'!$AM5=Body!$AX$15),IF(AND(Tabulka1[[#This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data'!$BG5="ST",'Zdroj data'!$AM5=Body!$AX$16),IF(AND(Tabulka1[[#This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data'!$BG5="T",'Zdroj data'!$AM5=Body!$AX$17),IF(AND(Tabulka1[[#This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Row],[K2O_60]]&lt;=Body!BJ19),Body!$BH$6,IF(AND(Tabulka1[[#This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5" s="264">
        <f>IF(AND('Zdroj data'!BG5="L",'Zdroj data'!AM5=Body!$AX$18),IF(AND('Zdroj data'!O5&gt;=Body!$AY$18,'Zdroj data'!O5&lt;=Body!$BA$18),Body!AY$6,IF(AND('Zdroj data'!O5&gt;=Body!$BB$18,'Zdroj data'!O5&lt;=Body!$BD$18),Body!BB$6,IF(AND('Zdroj data'!O5&gt;=Body!$BE$18,'Zdroj data'!O5&lt;=Body!$BG$18),Body!BE$6,IF(AND('Zdroj data'!O5&gt;=Body!$BH$18,'Zdroj data'!O5&lt;=Body!$BJ$18),Body!BH$6,IF(AND('Zdroj data'!O5&gt;=Body!$BK$18,'Zdroj data'!O5&lt;=Body!$BM$18),Body!$BK$6,IF(AND('Zdroj data'!O5&gt;=Body!$BN$18,'Zdroj data'!O5&lt;=Body!$BP$18),Body!BN$6,IF(AND('Zdroj data'!O5&gt;=Body!$BQ$18,'Zdroj data'!O5&lt;=Body!$BS$18),Body!$BQ$6,IF(AND('Zdroj data'!O5&gt;=Body!$BT$18,'Zdroj data'!O5&lt;=Body!$BV$18),Body!$BT$6,IF(AND('Zdroj data'!O5&gt;=Body!$BW$18,'Zdroj data'!O5&lt;=Body!$BY$18),Body!$BW$6,IF('Zdroj data'!O5&gt;=Body!$CB$18,Body!$BZ$6," ")))))))))),IF(AND('Zdroj data'!BG5="ST",'Zdroj data'!AM5=Body!$AX$19),IF(AND('Zdroj data'!O5&gt;=Body!$AY$19,'Zdroj data'!O5&lt;=Body!$BA$19),Body!$AY$6,IF(AND('Zdroj data'!O5&gt;=Body!$BB$19,'Zdroj data'!O5&lt;=Body!$BD$19),Body!$BB$6,IF(AND('Zdroj data'!O5&gt;=Body!$BE$19,'Zdroj data'!O5&lt;=Body!$BG$19),Body!$BE$6,IF(AND('Zdroj data'!O5&gt;=Body!$BH$19,'Zdroj data'!O5&lt;=Body!$BJ$19),Body!$BH$6,IF(AND('Zdroj data'!O5&gt;=Body!$BK$19,'Zdroj data'!O5&lt;=Body!$BM$19),Body!$BK$6,IF(AND('Zdroj data'!O5&gt;=Body!$BN$19,'Zdroj data'!O5&lt;=Body!$BP$19),Body!$BN$6,IF(AND('Zdroj data'!O5&gt;=Body!$BQ$19,'Zdroj data'!O5&lt;=Body!$BS$19),Body!$BQ$6,IF(AND('Zdroj data'!O5&gt;=Body!$BT$19,'Zdroj data'!O9&lt;=Body!$BV$19),Body!$BT$6,IF(AND('Zdroj data'!O5&gt;=Body!$BW$19,'Zdroj data'!O5&lt;=Body!$BY$19),Body!$BW$6,IF('Zdroj data'!O5&gt;=Body!$CB$19,Body!$BZ$6," ")))))))))),IF(AND('Zdroj data'!BG5="T",'Zdroj data'!AM5=Body!$AX$20),IF(AND('Zdroj data'!O5&gt;=Body!$AY$20,'Zdroj data'!O5&lt;=Body!$BA$20),Body!$AY$6,IF(AND('Zdroj data'!O5&gt;=Body!$BB$20,'Zdroj data'!O5&lt;=Body!$BD$20),Body!$BB$6,IF(AND('Zdroj data'!O5&gt;=Body!$BE$20,'Zdroj data'!O5&lt;=Body!$BG$20),Body!$BE$6,IF(AND('Zdroj data'!O5&gt;=Body!$BH$20,'Zdroj data'!O5&lt;=Body!$BJ$20),Body!$BH$6,IF(AND('Zdroj data'!O5&gt;=Body!$BK$20,'Zdroj data'!O5&lt;=Body!$BM$20),Body!$BK$6,IF(AND('Zdroj data'!O5&gt;=Body!$BN$20,'Zdroj data'!O5&lt;=Body!$BP$20),Body!$BN$6,IF(AND('Zdroj data'!O5&gt;=Body!$BQ$20,'Zdroj data'!O5&lt;=Body!$BS$20),Body!$BQ$6,IF(AND('Zdroj data'!O5&gt;=Body!$BT$20,'Zdroj data'!O5&lt;=Body!BV22),Body!$BT$6,IF(AND('Zdroj data'!O5&gt;=Body!$BW$20,'Zdroj data'!O5&lt;=Body!$BY$20),Body!$BW$6,IF('Zdroj data'!O5&gt;=Body!$CB$20,Body!$BZ$6," "))))))))))," ")))</f>
        <v>2</v>
      </c>
      <c r="AI5" s="264">
        <f>IF(AND('Zdroj data'!$BG5="L",'Zdroj data'!$AM5=Body!$AX$18),IF(AND(Tabulka1[[#This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data'!$BG5="ST",'Zdroj data'!$AM5=Body!$AX$19),IF(AND(Tabulka1[[#This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data'!$BG5="T",'Zdroj data'!$AM5=Body!$AX$20),IF(AND(Tabulka1[[#This Row],[K2O_60]]&gt;=Body!$AY$20,'Zdroj data'!O5&lt;=Body!$BA$20),Body!$AY$6,IF(AND(Tabulka1[[#This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Row],[K2O_60]]&lt;=Body!BV22),Body!$BT$6,IF(AND(Tabulka1[[#This Row],[K2O_60]]&gt;=Body!$BW$20,Tabulka1[[#This Row],[K2O_60]]&lt;=Body!$BY$20),Body!$BW$6,IF(Tabulka1[[#This Row],[K2O_60]]&gt;=Body!$CB$20,Body!$BZ$6," "))))))))))," ")))</f>
        <v>2</v>
      </c>
      <c r="AJ5" s="265">
        <f t="shared" si="2"/>
        <v>16.000000000000014</v>
      </c>
      <c r="AK5" s="264">
        <f t="shared" si="3"/>
        <v>33.96420565203502</v>
      </c>
      <c r="AL5" s="264">
        <f t="shared" si="4"/>
        <v>32.741017023582721</v>
      </c>
      <c r="AM5" s="264">
        <f t="shared" si="5"/>
        <v>64.25326286209345</v>
      </c>
      <c r="AN5" s="264">
        <f t="shared" si="6"/>
        <v>70.535917569043448</v>
      </c>
      <c r="AO5" s="265">
        <f t="shared" si="0"/>
        <v>98.21746851412847</v>
      </c>
      <c r="AP5" s="265">
        <f t="shared" si="1"/>
        <v>103.27693459262616</v>
      </c>
      <c r="AQ5" s="318"/>
      <c r="AR5" s="338">
        <f t="shared" si="7"/>
        <v>217.49440310675465</v>
      </c>
      <c r="AS5" s="318"/>
      <c r="AT5" s="138"/>
      <c r="AU5" s="467" t="s">
        <v>978</v>
      </c>
      <c r="AV5" s="467"/>
      <c r="CD5" s="66"/>
      <c r="CE5" s="136"/>
      <c r="CF5" s="66"/>
    </row>
    <row r="6" spans="1:84" ht="16" thickTop="1" x14ac:dyDescent="0.35">
      <c r="A6" s="270">
        <v>812</v>
      </c>
      <c r="B6" s="156" t="s">
        <v>539</v>
      </c>
      <c r="C6" s="250" t="str">
        <f>VLOOKUP(B6,'Zdroj hloubka okresy'!$A$2:$D$171,2,FALSE)</f>
        <v>Pribram</v>
      </c>
      <c r="D6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8</v>
      </c>
      <c r="E6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7</v>
      </c>
      <c r="F6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6" s="264">
        <f>IF(AND(Tabulka1[[#This Row],[hum_60]]&gt;AY12,Tabulka1[[#This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6" s="264">
        <f>IF(Tabulka1[[#This Row],[kv.ek.]]=Body!$AX$13,IF(AND('Zdroj data'!M6&gt;=Body!$AY$13,'Zdroj data'!M6&lt;=Body!$BA$13),Body!$AY$6,IF(AND('Zdroj data'!M6&gt;=Body!$BB$13,'Zdroj data'!M6&lt;=Body!$BD$13),Body!$BB$6,IF(AND('Zdroj data'!M6&gt;=Body!$BE$13,'Zdroj data'!M6&lt;=Body!$BG$13),Body!$BE$6,IF(AND('Zdroj data'!M6&gt;=Body!$BH$13,'Zdroj data'!M6&lt;=Body!$BJ$13),Body!$BH$6,IF(AND('Zdroj data'!M6&gt;=Body!$BK$13,'Zdroj data'!M6&lt;=Body!$BM$13),Body!$BK$6,IF(AND('Zdroj data'!M6&gt;=Body!$BN$13,'Zdroj data'!M6&lt;=Body!$BP$13),Body!$BN$6,IF(AND('Zdroj data'!M6&gt;=Body!$BQ$13,'Zdroj data'!M6&lt;=Body!$BS$13),Body!$BQ$6,IF(AND('Zdroj data'!M6&gt;=Body!$BT$13,'Zdroj data'!M6&lt;=Body!$BV$13),Body!$BT$6,IF(AND('Zdroj data'!M6&gt;=Body!$BW$13,'Zdroj data'!M6&lt;=Body!$BY$13),Body!$BW$6,IF('Zdroj data'!M6&gt;=Body!$CB$13,Body!$BZ$6,"")))))))))),IF(Tabulka1[[#This Row],[kv.ek.]]=Body!$AX$14,IF(AND('Zdroj data'!N6&gt;=Body!$AY$14,'Zdroj data'!N6&lt;=Body!$BA$14),Body!$AY$6,IF(AND('Zdroj data'!N6&gt;=Body!$BB$14,'Zdroj data'!N6&lt;=Body!$BD$14),Body!$BB$6,IF(AND('Zdroj data'!N6&gt;=Body!$BE$14,'Zdroj data'!N6&lt;=Body!$BG$14),Body!$BE$6,IF(AND('Zdroj data'!N6&gt;=Body!$BH$14,'Zdroj data'!N6&lt;=Body!$BJ$14),Body!$BH$6,IF(AND('Zdroj data'!N6&gt;=Body!$BK$14,'Zdroj data'!N6&lt;=Body!$BM$14),Body!$BK$6,IF(AND('Zdroj data'!N6&gt;=Body!$BN$14,'Zdroj data'!N6&lt;=Body!$BP$14),Body!$BN$6,IF(AND('Zdroj data'!N6&gt;=Body!$BQ$14,'Zdroj data'!N6&lt;=Body!$BS$14),Body!$BQ$6,IF(AND('Zdroj data'!N6&gt;=Body!$BT$14,'Zdroj data'!N6&lt;=Body!$BV$14),Body!$BT$6,IF(AND('Zdroj data'!N6&gt;=Body!$BW$14,'Zdroj data'!N6&lt;=Body!$BY$14),Body!$BW$6,IF('Zdroj data'!N6&gt;=Body!$CB$14,Body!$BZ$6,"")))))))))),""))</f>
        <v>1</v>
      </c>
      <c r="I6" s="264">
        <f>IF(Tabulka1[[#This Row],[kv.ek.]]=Body!$AX$13,IF(AND('Zdroj data'!N6&gt;=Body!$AY$13,'Zdroj data'!N6&lt;=Body!$BA$13),Body!$AY$6,IF(AND('Zdroj data'!N6&gt;=Body!$BB$13,'Zdroj data'!N6&lt;=Body!$BD$13),Body!$BB$6,IF(AND('Zdroj data'!N6&gt;=Body!$BE$13,'Zdroj data'!N6&lt;=Body!$BG$13),Body!$BE$6,IF(AND('Zdroj data'!N6&gt;=Body!$BH$13,'Zdroj data'!N6&lt;=Body!$BJ$13),Body!$BH$6,IF(AND('Zdroj data'!N6&gt;=Body!$BK$13,'Zdroj data'!N6&lt;=Body!$BM$13),Body!$BK$6,IF(AND('Zdroj data'!N6&gt;=Body!$BN$13,'Zdroj data'!N6&lt;=Body!$BP$13),Body!$BN$6,IF(AND('Zdroj data'!N6&gt;=Body!$BQ$13,'Zdroj data'!N6&lt;=Body!$BS$13),Body!$BQ$6,IF(AND('Zdroj data'!N6&gt;=Body!$BT$13,'Zdroj data'!N6&lt;=Body!$BV$13),Body!$BT$6,IF(AND('Zdroj data'!N6&gt;=Body!$BW$13,'Zdroj data'!N6&lt;=Body!$BY$13),Body!$BW$6,IF('Zdroj data'!N6&gt;=Body!$CB$13,Body!$BZ$6," ")))))))))),IF(Tabulka1[[#This Row],[kv.ek.]]=Body!$AX$14,IF(AND('Zdroj data'!O6&gt;=Body!$AY$14,'Zdroj data'!O6&lt;=Body!$BA$14),Body!$AY$6,IF(AND('Zdroj data'!O6&gt;=Body!$BB$14,'Zdroj data'!O6&lt;=Body!$BD$14),Body!$BB$6,IF(AND('Zdroj data'!O6&gt;=Body!$BE$14,'Zdroj data'!O6&lt;=Body!$BG$14),Body!$BE$6,IF(AND('Zdroj data'!O6&gt;=Body!$BH$14,'Zdroj data'!O6&lt;=Body!$BJ$14),Body!$BH$6,IF(AND('Zdroj data'!O6&gt;=Body!$BK$14,'Zdroj data'!O6&lt;=Body!$BM$14),Body!$BK$6,IF(AND('Zdroj data'!O6&gt;=Body!$BN$14,'Zdroj data'!O6&lt;=Body!$BP$14),Body!$BN$6,IF(AND('Zdroj data'!O6&gt;=Body!$BQ$14,'Zdroj data'!O6&lt;=Body!$BS$14),Body!$BQ$6,IF(AND('Zdroj data'!O6&gt;=Body!$BT$14,'Zdroj data'!O6&lt;=Body!$BV$14),Body!$BT$6,IF(AND('Zdroj data'!O6&gt;=Body!$BW$14,'Zdroj data'!O6&lt;=Body!$BY$14),Body!$BW$6,IF('Zdroj data'!O6&gt;=Body!$CB$14,Body!$BZ$6," "))))))))))," "))</f>
        <v>1</v>
      </c>
      <c r="J6" s="264">
        <f t="shared" si="8"/>
        <v>5</v>
      </c>
      <c r="K6" s="264">
        <f t="shared" si="9"/>
        <v>5</v>
      </c>
      <c r="L6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6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6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6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6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6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6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6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6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6" s="264">
        <f>IF('Zdroj data'!BB6=Body!$AY$25,Body!$AY$22,IF('Zdroj data'!BB6=Body!$BB$25,Body!$BB$22,IF('Zdroj data'!BB6=Body!$BE$25,Body!$BE$22,IF('Zdroj data'!BB6=Body!$BH$25,Body!$BH$22,IF('Zdroj data'!BB6=Body!BK$25,Body!$BK$22,IF('Zdroj data'!BB6=Body!$BN$25,Body!$BN$22,IF('Zdroj data'!BB6=Body!$BQ$25,Body!$BQ$22,IF('Zdroj data'!BB6=Body!$BT$25,Body!$BT$22,IF('Zdroj data'!BB6=Body!$BW$25,Body!$BW$22,IF('Zdroj data'!BB6=Body!$BZ$25,Body!$BZ$22," "))))))))))</f>
        <v>5</v>
      </c>
      <c r="V6" s="264">
        <f>IF(AND('Zdroj data'!BO6&gt;Body!$AY$27,'Zdroj data'!BO6&lt;=Body!$BA$27),Body!$AY$22,IF(AND('Zdroj data'!BO6&gt;=Body!$BB$27,'Zdroj data'!BO6&lt;=Body!$BD$27),Body!$BB$22,IF(AND('Zdroj data'!BO6&gt;=Body!$BE$27,'Zdroj data'!BO6&lt;=Body!$BG$27),Body!$BE$22,IF(AND('Zdroj data'!BO6&gt;=Body!$BH$27,'Zdroj data'!BO6&lt;=Body!$BJ$27),Body!$BH$22,IF(AND('Zdroj data'!BO6&gt;=Body!$BK$27,'Zdroj data'!BO6&lt;=Body!$BM$27),Body!$BK$22,IF(AND('Zdroj data'!BO6&gt;=Body!$BN$27,'Zdroj data'!BO6&lt;=Body!$BP$27),Body!$BN$22,IF(AND('Zdroj data'!BO6&gt;=Body!$BQ$27,'Zdroj data'!BO6&lt;=Body!$BS$27),Body!$BQ$22,IF(AND('Zdroj data'!BO6&gt;=Body!$BT$27,'Zdroj data'!BO6&lt;=Body!$BV$27),Body!$BT$22,IF(AND('Zdroj data'!BO6&gt;=Body!$BW$27,'Zdroj data'!BO6&lt;=Body!$BY$27),Body!$BW$22,IF('Zdroj data'!BO6&gt;=Body!$CB$27,$BZ$22," "))))))))))</f>
        <v>6</v>
      </c>
      <c r="W6" s="264">
        <f>IF(AND('Zdroj data'!BP6&gt;Body!$AY$27,'Zdroj data'!BP6&lt;=Body!$BA$27),Body!$AY$22,IF(AND('Zdroj data'!BP6&gt;=Body!$BB$27,'Zdroj data'!BP6&lt;=Body!$BD$27),Body!$BB$22,IF(AND('Zdroj data'!BP6&gt;=Body!$BE$27,'Zdroj data'!BP6&lt;=Body!$BG$27),Body!$BE$22,IF(AND('Zdroj data'!BP6&gt;=Body!$BH$27,'Zdroj data'!BP6&lt;=Body!$BJ$27),Body!$BH$22,IF(AND('Zdroj data'!BP6&gt;=Body!$BK$27,'Zdroj data'!BP6&lt;=Body!$BM$27),Body!$BK$22,IF(AND('Zdroj data'!BP6&gt;=Body!$BN$27,'Zdroj data'!BP6&lt;=Body!$BP$27),Body!$BN$22,IF(AND('Zdroj data'!BP6&gt;=Body!$BQ$27,'Zdroj data'!BP6&lt;=Body!$BS$27),Body!$BQ$22,IF(AND('Zdroj data'!BP6&gt;=Body!$BT$27,'Zdroj data'!BP6&lt;=Body!$BV$27),Body!$BT$22,IF(AND('Zdroj data'!BP6&gt;=Body!$BW$27,'Zdroj data'!BP6&lt;=Body!$BY$27),Body!$BW$22,IF('Zdroj data'!BP6&gt;=Body!$CB$27,$BZ$22," "))))))))))</f>
        <v>5</v>
      </c>
      <c r="X6" s="264">
        <f>IF('Zdroj data'!BA6=Body!$BB$28,$BB$22,IF('Zdroj data'!BA6=Body!$BE$28,$BE$22,IF(OR('Zdroj data'!BA6=Body!$BK$28,'Zdroj data'!BA6=Body!$BL$28,'Zdroj data'!BA6=Body!$BM$28),$BK$22,IF(OR('Zdroj data'!BA6=Body!$BT$28,'Zdroj data'!BA6=Body!$BV$28),$BT$22,IF(OR('Zdroj data'!BA6=Body!$BW$28,'Zdroj data'!BA6=Body!$BY$28),$BW$22,IF('Zdroj data'!BA6=Body!$BZ$28,$BZ$22," "))))))</f>
        <v>9</v>
      </c>
      <c r="Y6" s="264">
        <f>IF('Zdroj data'!AZ6=Body!$BZ$29,Body!$BZ$22,IF(OR('Zdroj data'!AZ6=$BT$29,'Zdroj data'!AZ6=$BU$29,'Zdroj data'!AZ6=$BV$29),$BT$22,IF(OR('Zdroj data'!AZ6=$BK$29,'Zdroj data'!AZ6=$BM$29),$BK$22,IF(OR('Zdroj data'!AZ6=$BE$29,'Zdroj data'!AZ6=$BG$29),$BE$22,IF(OR('Zdroj data'!AZ6=$AY$29,'Zdroj data'!AZ6=$BA$29),$AY$22," ")))))</f>
        <v>10</v>
      </c>
      <c r="Z6" s="264">
        <f>IF(AND('Zdroj data'!BF6="T",(OR('Zdroj data'!AZ6=Body!$AW$45,'Zdroj data'!AZ6=Body!$AW$46,'Zdroj data'!AZ6=Body!$AW$47,'Zdroj data'!AZ6=Body!$AW$48))),Body!$AY$22,IF(AND('Zdroj data'!BF6="T",(OR('Zdroj data'!AZ6=$AW$49,'Zdroj data'!AZ6=$AW$50,'Zdroj data'!AZ6=$AW$51,'Zdroj data'!AZ6=$AW$52))),$BZ$22,IF(AND(OR('Zdroj data'!BF6="VT",'Zdroj data'!BF6="T",'Zdroj data'!BF6="CH"),(OR('Zdroj data'!AZ6=$AW$43,'Zdroj data'!AZ6=$AW$44,))),$BZ$22,IF(AND('Zdroj data'!BF6="CH",(OR('Zdroj data'!AZ6=$AW$49,'Zdroj data'!AZ6=$AW$50,'Zdroj data'!AZ6=$AW$51,'Zdroj data'!AZ6=$AW$52))),$AY$22,IF(AND('Zdroj data'!BF6="CH",(OR('Zdroj data'!AZ6=$AW$45,'Zdroj data'!AZ6=$AW$46,'Zdroj data'!AZ6=$AW$47,'Zdroj data'!AZ6=$AW$48))),$BZ$22," ")))))</f>
        <v>10</v>
      </c>
      <c r="AA6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6" s="264">
        <f>IF(Tabulka1[[#This Row],[kv.ek.]]=Body!$BK$35,Body!$BK$34,IF(Tabulka1[[#This Row],[kv.ek.]]=Body!$BZ$35,Body!$BZ$34," "))</f>
        <v>5</v>
      </c>
      <c r="AC6" s="264" t="str">
        <f>IF(AND('Zdroj data'!BF6="T",(OR('Zdroj data'!AZ6=Body!$AW$45,'Zdroj data'!AZ6=Body!$AW$46,'Zdroj data'!AZ6=Body!$AW$47,'Zdroj data'!AZ6=Body!$AW$48))),Body!$AY$22,IF(AND('Zdroj data'!BF6="T",(OR('Zdroj data'!AZ6=$AW$49,'Zdroj data'!AZ6=$AW$50,'Zdroj data'!AZ6=$AW$51,'Zdroj data'!AZ6=$AW$52))),$BZ$22," "))</f>
        <v xml:space="preserve"> </v>
      </c>
      <c r="AD6" s="264">
        <f>IF(AND(OR('Zdroj data'!BF6="VT",'Zdroj data'!BF6="T",'Zdroj data'!BF6="CH"),(OR('Zdroj data'!AZ6=$AW$43,'Zdroj data'!AZ6=$AW$44,))),$BZ$22," ")</f>
        <v>10</v>
      </c>
      <c r="AE6" s="264" t="str">
        <f>IF(AND('Zdroj data'!BF6="CH",(OR('Zdroj data'!AZ6=$AW$49,'Zdroj data'!AZ6=$AW$50,'Zdroj data'!AZ6=$AW$51,'Zdroj data'!AZ6=$AW$52))),$AY$22,IF(AND('Zdroj data'!BF6="CH",(OR('Zdroj data'!AZ6=$AW$45,'Zdroj data'!AZ6=$AW$46,'Zdroj data'!AZ6=$AW$47,'Zdroj data'!AZ6=$AW$48))),$BZ$22," "))</f>
        <v xml:space="preserve"> </v>
      </c>
      <c r="AF6" s="264">
        <f>IF(AND('Zdroj data'!BG6="L",'Zdroj data'!AM6=Body!$AX$15),IF(AND('Zdroj data'!O6&gt;=Body!$AY$15,'Zdroj data'!O6&lt;=Body!$BA$15),Body!AY$6,IF(AND('Zdroj data'!O6&gt;=Body!$BB$15,'Zdroj data'!O6&lt;=Body!$BD$15),Body!BB$6,IF(AND('Zdroj data'!O6&gt;=Body!$BE$15,'Zdroj data'!O6&lt;=Body!$BG$15),Body!BE$6,IF(AND('Zdroj data'!O6&gt;=Body!$BH$15,'Zdroj data'!O6&lt;=Body!$BJ$15),Body!BH$6,IF(AND('Zdroj data'!O6&gt;=Body!$BK$15,'Zdroj data'!O6&lt;=Body!$BM$15),Body!BK$6,IF(AND('Zdroj data'!O6&gt;=Body!$BN$15,'Zdroj data'!O6&lt;=Body!$BP$15),Body!$BN$6,IF(AND('Zdroj data'!O6&gt;=Body!$BQ$15,'Zdroj data'!O6&lt;=Body!$BS$15),Body!$BQ$6,IF(AND('Zdroj data'!O6&gt;=Body!$BT$15,'Zdroj data'!O6&lt;=Body!$BV$15),Body!BT$6,IF(AND('Zdroj data'!O6&gt;=Body!$BW$15,'Zdroj data'!O6&lt;=Body!$BY$15),Body!$BW$6,IF('Zdroj data'!O6&gt;=Body!$CB$15,Body!$BZ$6," ")))))))))),IF(AND('Zdroj data'!BG6="ST",'Zdroj data'!AM6=Body!$AX$16),IF(AND('Zdroj data'!O6&gt;=Body!$AY$16,'Zdroj data'!O6&lt;=Body!$BA$16),Body!$AY$6,IF(AND('Zdroj data'!O6&gt;=Body!$BB$16,'Zdroj data'!O6&lt;=Body!$BD$16),Body!$BB$6,IF(AND('Zdroj data'!O6&gt;=Body!$BE$16,'Zdroj data'!O6&lt;=Body!$BG$16),Body!$BE$6,IF(AND('Zdroj data'!O6&gt;=Body!$BH$16,'Zdroj data'!O6&lt;=Body!$BJ$16),Body!$BH$6,IF(AND('Zdroj data'!O6&gt;=Body!$BK$16,'Zdroj data'!O6&lt;=Body!$BM$16),Body!$BK$6,IF(AND('Zdroj data'!O6&gt;=Body!$BN$16,'Zdroj data'!O6&lt;=Body!$BP$16),Body!$BN$6,IF(AND('Zdroj data'!O6&gt;=Body!$BQ$16,'Zdroj data'!O6&lt;=Body!$BS$16),Body!$BQ$6,IF(AND('Zdroj data'!O6&gt;=Body!$BT$16,'Zdroj data'!O6&lt;=Body!$BV$16),Body!$BT$6,IF(AND('Zdroj data'!O6&gt;=Body!$BW$16,'Zdroj data'!O6&lt;=Body!$BY$16),Body!$BW$6,IF('Zdroj data'!O6&gt;=Body!$CB$16,Body!$BZ$6," ")))))))))),IF(AND('Zdroj data'!BG6="T",'Zdroj data'!AM6=Body!$AX$17),IF(AND('Zdroj data'!O6&gt;=Body!$AY$17,'Zdroj data'!O6&lt;=Body!$BA$17),Body!$AY$6,IF(AND('Zdroj data'!O6&gt;=Body!$BB$17,'Zdroj data'!O6&lt;=Body!$BD$17),Body!$BB$6,IF(AND('Zdroj data'!O6&gt;=Body!$BE$17,'Zdroj data'!O6&lt;=Body!$BG$17),Body!$BE$6,IF(AND('Zdroj data'!O6&gt;=Body!$BH$17,'Zdroj data'!O6&lt;=Body!BJ20),Body!$BH$6,IF(AND('Zdroj data'!O6&gt;=Body!$BK$17,'Zdroj data'!O6&lt;=Body!$BM$17),Body!$BK$6,IF(AND('Zdroj data'!O6&gt;=Body!$BN$17,'Zdroj data'!O6&lt;=Body!$BP$17),Body!$BN$6,IF(AND('Zdroj data'!O6&gt;=Body!$BQ$17,'Zdroj data'!O6&lt;=Body!$BS$17),Body!$BQ$6,IF(AND('Zdroj data'!O6&gt;=Body!$BT$17,'Zdroj data'!O6&lt;=Body!$BV$17),Body!$BT$6,IF(AND('Zdroj data'!O6&gt;=Body!$BW$17,'Zdroj data'!O6&lt;=Body!$BY$17),Body!$BW$6,IF('Zdroj data'!O6&gt;=Body!$CB$17,Body!$BZ$6," "))))))))))," ")))</f>
        <v>5</v>
      </c>
      <c r="AG6" s="264">
        <f>IF(AND('Zdroj data'!$BG6="L",'Zdroj data'!$AM6=Body!$AX$15),IF(AND(Tabulka1[[#This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data'!$BG6="ST",'Zdroj data'!$AM6=Body!$AX$16),IF(AND(Tabulka1[[#This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data'!$BG6="T",'Zdroj data'!$AM6=Body!$AX$17),IF(AND(Tabulka1[[#This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Row],[K2O_60]]&lt;=Body!BJ20),Body!$BH$6,IF(AND(Tabulka1[[#This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5</v>
      </c>
      <c r="AH6" s="264" t="str">
        <f>IF(AND('Zdroj data'!BG6="L",'Zdroj data'!AM6=Body!$AX$18),IF(AND('Zdroj data'!O6&gt;=Body!$AY$18,'Zdroj data'!O6&lt;=Body!$BA$18),Body!AY$6,IF(AND('Zdroj data'!O6&gt;=Body!$BB$18,'Zdroj data'!O6&lt;=Body!$BD$18),Body!BB$6,IF(AND('Zdroj data'!O6&gt;=Body!$BE$18,'Zdroj data'!O6&lt;=Body!$BG$18),Body!BE$6,IF(AND('Zdroj data'!O6&gt;=Body!$BH$18,'Zdroj data'!O6&lt;=Body!$BJ$18),Body!BH$6,IF(AND('Zdroj data'!O6&gt;=Body!$BK$18,'Zdroj data'!O6&lt;=Body!$BM$18),Body!$BK$6,IF(AND('Zdroj data'!O6&gt;=Body!$BN$18,'Zdroj data'!O6&lt;=Body!$BP$18),Body!BN$6,IF(AND('Zdroj data'!O6&gt;=Body!$BQ$18,'Zdroj data'!O6&lt;=Body!$BS$18),Body!$BQ$6,IF(AND('Zdroj data'!O6&gt;=Body!$BT$18,'Zdroj data'!O6&lt;=Body!$BV$18),Body!$BT$6,IF(AND('Zdroj data'!O6&gt;=Body!$BW$18,'Zdroj data'!O6&lt;=Body!$BY$18),Body!$BW$6,IF('Zdroj data'!O6&gt;=Body!$CB$18,Body!$BZ$6," ")))))))))),IF(AND('Zdroj data'!BG6="ST",'Zdroj data'!AM6=Body!$AX$19),IF(AND('Zdroj data'!O6&gt;=Body!$AY$19,'Zdroj data'!O6&lt;=Body!$BA$19),Body!$AY$6,IF(AND('Zdroj data'!O6&gt;=Body!$BB$19,'Zdroj data'!O6&lt;=Body!$BD$19),Body!$BB$6,IF(AND('Zdroj data'!O6&gt;=Body!$BE$19,'Zdroj data'!O6&lt;=Body!$BG$19),Body!$BE$6,IF(AND('Zdroj data'!O6&gt;=Body!$BH$19,'Zdroj data'!O6&lt;=Body!$BJ$19),Body!$BH$6,IF(AND('Zdroj data'!O6&gt;=Body!$BK$19,'Zdroj data'!O6&lt;=Body!$BM$19),Body!$BK$6,IF(AND('Zdroj data'!O6&gt;=Body!$BN$19,'Zdroj data'!O6&lt;=Body!$BP$19),Body!$BN$6,IF(AND('Zdroj data'!O6&gt;=Body!$BQ$19,'Zdroj data'!O6&lt;=Body!$BS$19),Body!$BQ$6,IF(AND('Zdroj data'!O6&gt;=Body!$BT$19,'Zdroj data'!O10&lt;=Body!$BV$19),Body!$BT$6,IF(AND('Zdroj data'!O6&gt;=Body!$BW$19,'Zdroj data'!O6&lt;=Body!$BY$19),Body!$BW$6,IF('Zdroj data'!O6&gt;=Body!$CB$19,Body!$BZ$6," ")))))))))),IF(AND('Zdroj data'!BG6="T",'Zdroj data'!AM6=Body!$AX$20),IF(AND('Zdroj data'!O6&gt;=Body!$AY$20,'Zdroj data'!O6&lt;=Body!$BA$20),Body!$AY$6,IF(AND('Zdroj data'!O6&gt;=Body!$BB$20,'Zdroj data'!O6&lt;=Body!$BD$20),Body!$BB$6,IF(AND('Zdroj data'!O6&gt;=Body!$BE$20,'Zdroj data'!O6&lt;=Body!$BG$20),Body!$BE$6,IF(AND('Zdroj data'!O6&gt;=Body!$BH$20,'Zdroj data'!O6&lt;=Body!$BJ$20),Body!$BH$6,IF(AND('Zdroj data'!O6&gt;=Body!$BK$20,'Zdroj data'!O6&lt;=Body!$BM$20),Body!$BK$6,IF(AND('Zdroj data'!O6&gt;=Body!$BN$20,'Zdroj data'!O6&lt;=Body!$BP$20),Body!$BN$6,IF(AND('Zdroj data'!O6&gt;=Body!$BQ$20,'Zdroj data'!O6&lt;=Body!$BS$20),Body!$BQ$6,IF(AND('Zdroj data'!O6&gt;=Body!$BT$20,'Zdroj data'!O6&lt;=Body!BV23),Body!$BT$6,IF(AND('Zdroj data'!O6&gt;=Body!$BW$20,'Zdroj data'!O6&lt;=Body!$BY$20),Body!$BW$6,IF('Zdroj data'!O6&gt;=Body!$CB$20,Body!$BZ$6," "))))))))))," ")))</f>
        <v xml:space="preserve"> </v>
      </c>
      <c r="AI6" s="264" t="str">
        <f>IF(AND('Zdroj data'!$BG6="L",'Zdroj data'!$AM6=Body!$AX$18),IF(AND(Tabulka1[[#This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data'!$BG6="ST",'Zdroj data'!$AM6=Body!$AX$19),IF(AND(Tabulka1[[#This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data'!$BG6="T",'Zdroj data'!$AM6=Body!$AX$20),IF(AND(Tabulka1[[#This Row],[K2O_60]]&gt;=Body!$AY$20,'Zdroj data'!O6&lt;=Body!$BA$20),Body!$AY$6,IF(AND(Tabulka1[[#This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Row],[K2O_60]]&lt;=Body!BV23),Body!$BT$6,IF(AND(Tabulka1[[#This Row],[K2O_60]]&gt;=Body!$BW$20,Tabulka1[[#This Row],[K2O_60]]&lt;=Body!$BY$20),Body!$BW$6,IF(Tabulka1[[#This Row],[K2O_60]]&gt;=Body!$CB$20,Body!$BZ$6," "))))))))))," ")))</f>
        <v xml:space="preserve"> </v>
      </c>
      <c r="AJ6" s="265">
        <f t="shared" si="2"/>
        <v>5.3333333333333375</v>
      </c>
      <c r="AK6" s="264">
        <f t="shared" si="3"/>
        <v>31.693222980325441</v>
      </c>
      <c r="AL6" s="264">
        <f t="shared" si="4"/>
        <v>28.819957472762315</v>
      </c>
      <c r="AM6" s="264">
        <f t="shared" si="5"/>
        <v>66.044716973676799</v>
      </c>
      <c r="AN6" s="264">
        <f t="shared" si="6"/>
        <v>72.327371680626783</v>
      </c>
      <c r="AO6" s="265">
        <f t="shared" si="0"/>
        <v>97.737939954002243</v>
      </c>
      <c r="AP6" s="265">
        <f t="shared" si="1"/>
        <v>101.14732915338909</v>
      </c>
      <c r="AQ6" s="318"/>
      <c r="AR6" s="338">
        <f t="shared" si="7"/>
        <v>204.21860244072468</v>
      </c>
      <c r="AS6" s="318"/>
      <c r="AT6" s="395" t="s">
        <v>1008</v>
      </c>
      <c r="AU6" s="292" t="s">
        <v>917</v>
      </c>
      <c r="AV6" s="293" t="s">
        <v>914</v>
      </c>
      <c r="AW6" s="31" t="s">
        <v>866</v>
      </c>
      <c r="AX6" s="32" t="s">
        <v>916</v>
      </c>
      <c r="AY6" s="464">
        <v>1</v>
      </c>
      <c r="AZ6" s="465"/>
      <c r="BA6" s="466"/>
      <c r="BB6" s="464">
        <v>2</v>
      </c>
      <c r="BC6" s="465"/>
      <c r="BD6" s="466"/>
      <c r="BE6" s="464">
        <v>3</v>
      </c>
      <c r="BF6" s="465"/>
      <c r="BG6" s="466"/>
      <c r="BH6" s="464">
        <v>4</v>
      </c>
      <c r="BI6" s="465"/>
      <c r="BJ6" s="466"/>
      <c r="BK6" s="464">
        <v>5</v>
      </c>
      <c r="BL6" s="465"/>
      <c r="BM6" s="466"/>
      <c r="BN6" s="464">
        <v>6</v>
      </c>
      <c r="BO6" s="465"/>
      <c r="BP6" s="466"/>
      <c r="BQ6" s="464">
        <v>7</v>
      </c>
      <c r="BR6" s="465"/>
      <c r="BS6" s="466"/>
      <c r="BT6" s="464">
        <v>8</v>
      </c>
      <c r="BU6" s="465"/>
      <c r="BV6" s="466"/>
      <c r="BW6" s="464">
        <v>9</v>
      </c>
      <c r="BX6" s="465"/>
      <c r="BY6" s="466"/>
      <c r="BZ6" s="464">
        <v>10</v>
      </c>
      <c r="CA6" s="465"/>
      <c r="CB6" s="466"/>
      <c r="CD6" s="66"/>
      <c r="CE6" s="136"/>
      <c r="CF6" s="66"/>
    </row>
    <row r="7" spans="1:84" ht="15.5" x14ac:dyDescent="0.35">
      <c r="A7" s="270">
        <v>815</v>
      </c>
      <c r="B7" s="156" t="s">
        <v>559</v>
      </c>
      <c r="C7" s="250" t="str">
        <f>VLOOKUP(B7,'Zdroj hloubka okresy'!$A$2:$D$171,2,FALSE)</f>
        <v>Pribram</v>
      </c>
      <c r="D7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7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7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7" s="264">
        <f>IF(AND(Tabulka1[[#This Row],[hum_60]]&gt;AY13,Tabulka1[[#This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7" s="264">
        <f>IF(Tabulka1[[#This Row],[kv.ek.]]=Body!$AX$13,IF(AND('Zdroj data'!M7&gt;=Body!$AY$13,'Zdroj data'!M7&lt;=Body!$BA$13),Body!$AY$6,IF(AND('Zdroj data'!M7&gt;=Body!$BB$13,'Zdroj data'!M7&lt;=Body!$BD$13),Body!$BB$6,IF(AND('Zdroj data'!M7&gt;=Body!$BE$13,'Zdroj data'!M7&lt;=Body!$BG$13),Body!$BE$6,IF(AND('Zdroj data'!M7&gt;=Body!$BH$13,'Zdroj data'!M7&lt;=Body!$BJ$13),Body!$BH$6,IF(AND('Zdroj data'!M7&gt;=Body!$BK$13,'Zdroj data'!M7&lt;=Body!$BM$13),Body!$BK$6,IF(AND('Zdroj data'!M7&gt;=Body!$BN$13,'Zdroj data'!M7&lt;=Body!$BP$13),Body!$BN$6,IF(AND('Zdroj data'!M7&gt;=Body!$BQ$13,'Zdroj data'!M7&lt;=Body!$BS$13),Body!$BQ$6,IF(AND('Zdroj data'!M7&gt;=Body!$BT$13,'Zdroj data'!M7&lt;=Body!$BV$13),Body!$BT$6,IF(AND('Zdroj data'!M7&gt;=Body!$BW$13,'Zdroj data'!M7&lt;=Body!$BY$13),Body!$BW$6,IF('Zdroj data'!M7&gt;=Body!$CB$13,Body!$BZ$6,"")))))))))),IF(Tabulka1[[#This Row],[kv.ek.]]=Body!$AX$14,IF(AND('Zdroj data'!N7&gt;=Body!$AY$14,'Zdroj data'!N7&lt;=Body!$BA$14),Body!$AY$6,IF(AND('Zdroj data'!N7&gt;=Body!$BB$14,'Zdroj data'!N7&lt;=Body!$BD$14),Body!$BB$6,IF(AND('Zdroj data'!N7&gt;=Body!$BE$14,'Zdroj data'!N7&lt;=Body!$BG$14),Body!$BE$6,IF(AND('Zdroj data'!N7&gt;=Body!$BH$14,'Zdroj data'!N7&lt;=Body!$BJ$14),Body!$BH$6,IF(AND('Zdroj data'!N7&gt;=Body!$BK$14,'Zdroj data'!N7&lt;=Body!$BM$14),Body!$BK$6,IF(AND('Zdroj data'!N7&gt;=Body!$BN$14,'Zdroj data'!N7&lt;=Body!$BP$14),Body!$BN$6,IF(AND('Zdroj data'!N7&gt;=Body!$BQ$14,'Zdroj data'!N7&lt;=Body!$BS$14),Body!$BQ$6,IF(AND('Zdroj data'!N7&gt;=Body!$BT$14,'Zdroj data'!N7&lt;=Body!$BV$14),Body!$BT$6,IF(AND('Zdroj data'!N7&gt;=Body!$BW$14,'Zdroj data'!N7&lt;=Body!$BY$14),Body!$BW$6,IF('Zdroj data'!N7&gt;=Body!$CB$14,Body!$BZ$6,"")))))))))),""))</f>
        <v>1</v>
      </c>
      <c r="I7" s="264">
        <f>IF(Tabulka1[[#This Row],[kv.ek.]]=Body!$AX$13,IF(AND('Zdroj data'!N7&gt;=Body!$AY$13,'Zdroj data'!N7&lt;=Body!$BA$13),Body!$AY$6,IF(AND('Zdroj data'!N7&gt;=Body!$BB$13,'Zdroj data'!N7&lt;=Body!$BD$13),Body!$BB$6,IF(AND('Zdroj data'!N7&gt;=Body!$BE$13,'Zdroj data'!N7&lt;=Body!$BG$13),Body!$BE$6,IF(AND('Zdroj data'!N7&gt;=Body!$BH$13,'Zdroj data'!N7&lt;=Body!$BJ$13),Body!$BH$6,IF(AND('Zdroj data'!N7&gt;=Body!$BK$13,'Zdroj data'!N7&lt;=Body!$BM$13),Body!$BK$6,IF(AND('Zdroj data'!N7&gt;=Body!$BN$13,'Zdroj data'!N7&lt;=Body!$BP$13),Body!$BN$6,IF(AND('Zdroj data'!N7&gt;=Body!$BQ$13,'Zdroj data'!N7&lt;=Body!$BS$13),Body!$BQ$6,IF(AND('Zdroj data'!N7&gt;=Body!$BT$13,'Zdroj data'!N7&lt;=Body!$BV$13),Body!$BT$6,IF(AND('Zdroj data'!N7&gt;=Body!$BW$13,'Zdroj data'!N7&lt;=Body!$BY$13),Body!$BW$6,IF('Zdroj data'!N7&gt;=Body!$CB$13,Body!$BZ$6," ")))))))))),IF(Tabulka1[[#This Row],[kv.ek.]]=Body!$AX$14,IF(AND('Zdroj data'!O7&gt;=Body!$AY$14,'Zdroj data'!O7&lt;=Body!$BA$14),Body!$AY$6,IF(AND('Zdroj data'!O7&gt;=Body!$BB$14,'Zdroj data'!O7&lt;=Body!$BD$14),Body!$BB$6,IF(AND('Zdroj data'!O7&gt;=Body!$BE$14,'Zdroj data'!O7&lt;=Body!$BG$14),Body!$BE$6,IF(AND('Zdroj data'!O7&gt;=Body!$BH$14,'Zdroj data'!O7&lt;=Body!$BJ$14),Body!$BH$6,IF(AND('Zdroj data'!O7&gt;=Body!$BK$14,'Zdroj data'!O7&lt;=Body!$BM$14),Body!$BK$6,IF(AND('Zdroj data'!O7&gt;=Body!$BN$14,'Zdroj data'!O7&lt;=Body!$BP$14),Body!$BN$6,IF(AND('Zdroj data'!O7&gt;=Body!$BQ$14,'Zdroj data'!O7&lt;=Body!$BS$14),Body!$BQ$6,IF(AND('Zdroj data'!O7&gt;=Body!$BT$14,'Zdroj data'!O7&lt;=Body!$BV$14),Body!$BT$6,IF(AND('Zdroj data'!O7&gt;=Body!$BW$14,'Zdroj data'!O7&lt;=Body!$BY$14),Body!$BW$6,IF('Zdroj data'!O7&gt;=Body!$CB$14,Body!$BZ$6," "))))))))))," "))</f>
        <v>1</v>
      </c>
      <c r="J7" s="264">
        <f t="shared" si="8"/>
        <v>2</v>
      </c>
      <c r="K7" s="264">
        <f t="shared" si="9"/>
        <v>1</v>
      </c>
      <c r="L7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7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7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5</v>
      </c>
      <c r="O7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6</v>
      </c>
      <c r="P7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7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7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7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9</v>
      </c>
      <c r="T7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7" s="264">
        <f>IF('Zdroj data'!BB7=Body!$AY$25,Body!$AY$22,IF('Zdroj data'!BB7=Body!$BB$25,Body!$BB$22,IF('Zdroj data'!BB7=Body!$BE$25,Body!$BE$22,IF('Zdroj data'!BB7=Body!$BH$25,Body!$BH$22,IF('Zdroj data'!BB7=Body!BK$25,Body!$BK$22,IF('Zdroj data'!BB7=Body!$BN$25,Body!$BN$22,IF('Zdroj data'!BB7=Body!$BQ$25,Body!$BQ$22,IF('Zdroj data'!BB7=Body!$BT$25,Body!$BT$22,IF('Zdroj data'!BB7=Body!$BW$25,Body!$BW$22,IF('Zdroj data'!BB7=Body!$BZ$25,Body!$BZ$22," "))))))))))</f>
        <v>5</v>
      </c>
      <c r="V7" s="264">
        <f>IF(AND('Zdroj data'!BO7&gt;Body!$AY$27,'Zdroj data'!BO7&lt;=Body!$BA$27),Body!$AY$22,IF(AND('Zdroj data'!BO7&gt;=Body!$BB$27,'Zdroj data'!BO7&lt;=Body!$BD$27),Body!$BB$22,IF(AND('Zdroj data'!BO7&gt;=Body!$BE$27,'Zdroj data'!BO7&lt;=Body!$BG$27),Body!$BE$22,IF(AND('Zdroj data'!BO7&gt;=Body!$BH$27,'Zdroj data'!BO7&lt;=Body!$BJ$27),Body!$BH$22,IF(AND('Zdroj data'!BO7&gt;=Body!$BK$27,'Zdroj data'!BO7&lt;=Body!$BM$27),Body!$BK$22,IF(AND('Zdroj data'!BO7&gt;=Body!$BN$27,'Zdroj data'!BO7&lt;=Body!$BP$27),Body!$BN$22,IF(AND('Zdroj data'!BO7&gt;=Body!$BQ$27,'Zdroj data'!BO7&lt;=Body!$BS$27),Body!$BQ$22,IF(AND('Zdroj data'!BO7&gt;=Body!$BT$27,'Zdroj data'!BO7&lt;=Body!$BV$27),Body!$BT$22,IF(AND('Zdroj data'!BO7&gt;=Body!$BW$27,'Zdroj data'!BO7&lt;=Body!$BY$27),Body!$BW$22,IF('Zdroj data'!BO7&gt;=Body!$CB$27,$BZ$22," "))))))))))</f>
        <v>6</v>
      </c>
      <c r="W7" s="264">
        <f>IF(AND('Zdroj data'!BP7&gt;Body!$AY$27,'Zdroj data'!BP7&lt;=Body!$BA$27),Body!$AY$22,IF(AND('Zdroj data'!BP7&gt;=Body!$BB$27,'Zdroj data'!BP7&lt;=Body!$BD$27),Body!$BB$22,IF(AND('Zdroj data'!BP7&gt;=Body!$BE$27,'Zdroj data'!BP7&lt;=Body!$BG$27),Body!$BE$22,IF(AND('Zdroj data'!BP7&gt;=Body!$BH$27,'Zdroj data'!BP7&lt;=Body!$BJ$27),Body!$BH$22,IF(AND('Zdroj data'!BP7&gt;=Body!$BK$27,'Zdroj data'!BP7&lt;=Body!$BM$27),Body!$BK$22,IF(AND('Zdroj data'!BP7&gt;=Body!$BN$27,'Zdroj data'!BP7&lt;=Body!$BP$27),Body!$BN$22,IF(AND('Zdroj data'!BP7&gt;=Body!$BQ$27,'Zdroj data'!BP7&lt;=Body!$BS$27),Body!$BQ$22,IF(AND('Zdroj data'!BP7&gt;=Body!$BT$27,'Zdroj data'!BP7&lt;=Body!$BV$27),Body!$BT$22,IF(AND('Zdroj data'!BP7&gt;=Body!$BW$27,'Zdroj data'!BP7&lt;=Body!$BY$27),Body!$BW$22,IF('Zdroj data'!BP7&gt;=Body!$CB$27,$BZ$22," "))))))))))</f>
        <v>6</v>
      </c>
      <c r="X7" s="264">
        <f>IF('Zdroj data'!BA7=Body!$BB$28,$BB$22,IF('Zdroj data'!BA7=Body!$BE$28,$BE$22,IF(OR('Zdroj data'!BA7=Body!$BK$28,'Zdroj data'!BA7=Body!$BL$28,'Zdroj data'!BA7=Body!$BM$28),$BK$22,IF(OR('Zdroj data'!BA7=Body!$BT$28,'Zdroj data'!BA7=Body!$BV$28),$BT$22,IF(OR('Zdroj data'!BA7=Body!$BW$28,'Zdroj data'!BA7=Body!$BY$28),$BW$22,IF('Zdroj data'!BA7=Body!$BZ$28,$BZ$22," "))))))</f>
        <v>10</v>
      </c>
      <c r="Y7" s="264">
        <f>IF('Zdroj data'!AZ7=Body!$BZ$29,Body!$BZ$22,IF(OR('Zdroj data'!AZ7=$BT$29,'Zdroj data'!AZ7=$BU$29,'Zdroj data'!AZ7=$BV$29),$BT$22,IF(OR('Zdroj data'!AZ7=$BK$29,'Zdroj data'!AZ7=$BM$29),$BK$22,IF(OR('Zdroj data'!AZ7=$BE$29,'Zdroj data'!AZ7=$BG$29),$BE$22,IF(OR('Zdroj data'!AZ7=$AY$29,'Zdroj data'!AZ7=$BA$29),$AY$22," ")))))</f>
        <v>10</v>
      </c>
      <c r="Z7" s="264">
        <f>IF(AND('Zdroj data'!BF7="T",(OR('Zdroj data'!AZ7=Body!$AW$45,'Zdroj data'!AZ7=Body!$AW$46,'Zdroj data'!AZ7=Body!$AW$47,'Zdroj data'!AZ7=Body!$AW$48))),Body!$AY$22,IF(AND('Zdroj data'!BF7="T",(OR('Zdroj data'!AZ7=$AW$49,'Zdroj data'!AZ7=$AW$50,'Zdroj data'!AZ7=$AW$51,'Zdroj data'!AZ7=$AW$52))),$BZ$22,IF(AND(OR('Zdroj data'!BF7="VT",'Zdroj data'!BF7="T",'Zdroj data'!BF7="CH"),(OR('Zdroj data'!AZ7=$AW$43,'Zdroj data'!AZ7=$AW$44,))),$BZ$22,IF(AND('Zdroj data'!BF7="CH",(OR('Zdroj data'!AZ7=$AW$49,'Zdroj data'!AZ7=$AW$50,'Zdroj data'!AZ7=$AW$51,'Zdroj data'!AZ7=$AW$52))),$AY$22,IF(AND('Zdroj data'!BF7="CH",(OR('Zdroj data'!AZ7=$AW$45,'Zdroj data'!AZ7=$AW$46,'Zdroj data'!AZ7=$AW$47,'Zdroj data'!AZ7=$AW$48))),$BZ$22," ")))))</f>
        <v>10</v>
      </c>
      <c r="AA7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7" s="264">
        <f>IF(Tabulka1[[#This Row],[kv.ek.]]=Body!$BK$35,Body!$BK$34,IF(Tabulka1[[#This Row],[kv.ek.]]=Body!$BZ$35,Body!$BZ$34," "))</f>
        <v>5</v>
      </c>
      <c r="AC7" s="264" t="str">
        <f>IF(AND('Zdroj data'!BF7="T",(OR('Zdroj data'!AZ7=Body!$AW$45,'Zdroj data'!AZ7=Body!$AW$46,'Zdroj data'!AZ7=Body!$AW$47,'Zdroj data'!AZ7=Body!$AW$48))),Body!$AY$22,IF(AND('Zdroj data'!BF7="T",(OR('Zdroj data'!AZ7=$AW$49,'Zdroj data'!AZ7=$AW$50,'Zdroj data'!AZ7=$AW$51,'Zdroj data'!AZ7=$AW$52))),$BZ$22," "))</f>
        <v xml:space="preserve"> </v>
      </c>
      <c r="AD7" s="264">
        <f>IF(AND(OR('Zdroj data'!BF7="VT",'Zdroj data'!BF7="T",'Zdroj data'!BF7="CH"),(OR('Zdroj data'!AZ7=$AW$43,'Zdroj data'!AZ7=$AW$44,))),$BZ$22," ")</f>
        <v>10</v>
      </c>
      <c r="AE7" s="264" t="str">
        <f>IF(AND('Zdroj data'!BF7="CH",(OR('Zdroj data'!AZ7=$AW$49,'Zdroj data'!AZ7=$AW$50,'Zdroj data'!AZ7=$AW$51,'Zdroj data'!AZ7=$AW$52))),$AY$22,IF(AND('Zdroj data'!BF7="CH",(OR('Zdroj data'!AZ7=$AW$45,'Zdroj data'!AZ7=$AW$46,'Zdroj data'!AZ7=$AW$47,'Zdroj data'!AZ7=$AW$48))),$BZ$22," "))</f>
        <v xml:space="preserve"> </v>
      </c>
      <c r="AF7" s="264">
        <f>IF(AND('Zdroj data'!BG7="L",'Zdroj data'!AM7=Body!$AX$15),IF(AND('Zdroj data'!O7&gt;=Body!$AY$15,'Zdroj data'!O7&lt;=Body!$BA$15),Body!AY$6,IF(AND('Zdroj data'!O7&gt;=Body!$BB$15,'Zdroj data'!O7&lt;=Body!$BD$15),Body!BB$6,IF(AND('Zdroj data'!O7&gt;=Body!$BE$15,'Zdroj data'!O7&lt;=Body!$BG$15),Body!BE$6,IF(AND('Zdroj data'!O7&gt;=Body!$BH$15,'Zdroj data'!O7&lt;=Body!$BJ$15),Body!BH$6,IF(AND('Zdroj data'!O7&gt;=Body!$BK$15,'Zdroj data'!O7&lt;=Body!$BM$15),Body!BK$6,IF(AND('Zdroj data'!O7&gt;=Body!$BN$15,'Zdroj data'!O7&lt;=Body!$BP$15),Body!$BN$6,IF(AND('Zdroj data'!O7&gt;=Body!$BQ$15,'Zdroj data'!O7&lt;=Body!$BS$15),Body!$BQ$6,IF(AND('Zdroj data'!O7&gt;=Body!$BT$15,'Zdroj data'!O7&lt;=Body!$BV$15),Body!BT$6,IF(AND('Zdroj data'!O7&gt;=Body!$BW$15,'Zdroj data'!O7&lt;=Body!$BY$15),Body!$BW$6,IF('Zdroj data'!O7&gt;=Body!$CB$15,Body!$BZ$6," ")))))))))),IF(AND('Zdroj data'!BG7="ST",'Zdroj data'!AM7=Body!$AX$16),IF(AND('Zdroj data'!O7&gt;=Body!$AY$16,'Zdroj data'!O7&lt;=Body!$BA$16),Body!$AY$6,IF(AND('Zdroj data'!O7&gt;=Body!$BB$16,'Zdroj data'!O7&lt;=Body!$BD$16),Body!$BB$6,IF(AND('Zdroj data'!O7&gt;=Body!$BE$16,'Zdroj data'!O7&lt;=Body!$BG$16),Body!$BE$6,IF(AND('Zdroj data'!O7&gt;=Body!$BH$16,'Zdroj data'!O7&lt;=Body!$BJ$16),Body!$BH$6,IF(AND('Zdroj data'!O7&gt;=Body!$BK$16,'Zdroj data'!O7&lt;=Body!$BM$16),Body!$BK$6,IF(AND('Zdroj data'!O7&gt;=Body!$BN$16,'Zdroj data'!O7&lt;=Body!$BP$16),Body!$BN$6,IF(AND('Zdroj data'!O7&gt;=Body!$BQ$16,'Zdroj data'!O7&lt;=Body!$BS$16),Body!$BQ$6,IF(AND('Zdroj data'!O7&gt;=Body!$BT$16,'Zdroj data'!O7&lt;=Body!$BV$16),Body!$BT$6,IF(AND('Zdroj data'!O7&gt;=Body!$BW$16,'Zdroj data'!O7&lt;=Body!$BY$16),Body!$BW$6,IF('Zdroj data'!O7&gt;=Body!$CB$16,Body!$BZ$6," ")))))))))),IF(AND('Zdroj data'!BG7="T",'Zdroj data'!AM7=Body!$AX$17),IF(AND('Zdroj data'!O7&gt;=Body!$AY$17,'Zdroj data'!O7&lt;=Body!$BA$17),Body!$AY$6,IF(AND('Zdroj data'!O7&gt;=Body!$BB$17,'Zdroj data'!O7&lt;=Body!$BD$17),Body!$BB$6,IF(AND('Zdroj data'!O7&gt;=Body!$BE$17,'Zdroj data'!O7&lt;=Body!$BG$17),Body!$BE$6,IF(AND('Zdroj data'!O7&gt;=Body!$BH$17,'Zdroj data'!O7&lt;=Body!BJ21),Body!$BH$6,IF(AND('Zdroj data'!O7&gt;=Body!$BK$17,'Zdroj data'!O7&lt;=Body!$BM$17),Body!$BK$6,IF(AND('Zdroj data'!O7&gt;=Body!$BN$17,'Zdroj data'!O7&lt;=Body!$BP$17),Body!$BN$6,IF(AND('Zdroj data'!O7&gt;=Body!$BQ$17,'Zdroj data'!O7&lt;=Body!$BS$17),Body!$BQ$6,IF(AND('Zdroj data'!O7&gt;=Body!$BT$17,'Zdroj data'!O7&lt;=Body!$BV$17),Body!$BT$6,IF(AND('Zdroj data'!O7&gt;=Body!$BW$17,'Zdroj data'!O7&lt;=Body!$BY$17),Body!$BW$6,IF('Zdroj data'!O7&gt;=Body!$CB$17,Body!$BZ$6," "))))))))))," ")))</f>
        <v>2</v>
      </c>
      <c r="AG7" s="264">
        <f>IF(AND('Zdroj data'!$BG7="L",'Zdroj data'!$AM7=Body!$AX$15),IF(AND(Tabulka1[[#This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data'!$BG7="ST",'Zdroj data'!$AM7=Body!$AX$16),IF(AND(Tabulka1[[#This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data'!$BG7="T",'Zdroj data'!$AM7=Body!$AX$17),IF(AND(Tabulka1[[#This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Row],[K2O_60]]&lt;=Body!BJ21),Body!$BH$6,IF(AND(Tabulka1[[#This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7" s="264" t="str">
        <f>IF(AND('Zdroj data'!BG7="L",'Zdroj data'!AM7=Body!$AX$18),IF(AND('Zdroj data'!O7&gt;=Body!$AY$18,'Zdroj data'!O7&lt;=Body!$BA$18),Body!AY$6,IF(AND('Zdroj data'!O7&gt;=Body!$BB$18,'Zdroj data'!O7&lt;=Body!$BD$18),Body!BB$6,IF(AND('Zdroj data'!O7&gt;=Body!$BE$18,'Zdroj data'!O7&lt;=Body!$BG$18),Body!BE$6,IF(AND('Zdroj data'!O7&gt;=Body!$BH$18,'Zdroj data'!O7&lt;=Body!$BJ$18),Body!BH$6,IF(AND('Zdroj data'!O7&gt;=Body!$BK$18,'Zdroj data'!O7&lt;=Body!$BM$18),Body!$BK$6,IF(AND('Zdroj data'!O7&gt;=Body!$BN$18,'Zdroj data'!O7&lt;=Body!$BP$18),Body!BN$6,IF(AND('Zdroj data'!O7&gt;=Body!$BQ$18,'Zdroj data'!O7&lt;=Body!$BS$18),Body!$BQ$6,IF(AND('Zdroj data'!O7&gt;=Body!$BT$18,'Zdroj data'!O7&lt;=Body!$BV$18),Body!$BT$6,IF(AND('Zdroj data'!O7&gt;=Body!$BW$18,'Zdroj data'!O7&lt;=Body!$BY$18),Body!$BW$6,IF('Zdroj data'!O7&gt;=Body!$CB$18,Body!$BZ$6," ")))))))))),IF(AND('Zdroj data'!BG7="ST",'Zdroj data'!AM7=Body!$AX$19),IF(AND('Zdroj data'!O7&gt;=Body!$AY$19,'Zdroj data'!O7&lt;=Body!$BA$19),Body!$AY$6,IF(AND('Zdroj data'!O7&gt;=Body!$BB$19,'Zdroj data'!O7&lt;=Body!$BD$19),Body!$BB$6,IF(AND('Zdroj data'!O7&gt;=Body!$BE$19,'Zdroj data'!O7&lt;=Body!$BG$19),Body!$BE$6,IF(AND('Zdroj data'!O7&gt;=Body!$BH$19,'Zdroj data'!O7&lt;=Body!$BJ$19),Body!$BH$6,IF(AND('Zdroj data'!O7&gt;=Body!$BK$19,'Zdroj data'!O7&lt;=Body!$BM$19),Body!$BK$6,IF(AND('Zdroj data'!O7&gt;=Body!$BN$19,'Zdroj data'!O7&lt;=Body!$BP$19),Body!$BN$6,IF(AND('Zdroj data'!O7&gt;=Body!$BQ$19,'Zdroj data'!O7&lt;=Body!$BS$19),Body!$BQ$6,IF(AND('Zdroj data'!O7&gt;=Body!$BT$19,'Zdroj data'!O11&lt;=Body!$BV$19),Body!$BT$6,IF(AND('Zdroj data'!O7&gt;=Body!$BW$19,'Zdroj data'!O7&lt;=Body!$BY$19),Body!$BW$6,IF('Zdroj data'!O7&gt;=Body!$CB$19,Body!$BZ$6," ")))))))))),IF(AND('Zdroj data'!BG7="T",'Zdroj data'!AM7=Body!$AX$20),IF(AND('Zdroj data'!O7&gt;=Body!$AY$20,'Zdroj data'!O7&lt;=Body!$BA$20),Body!$AY$6,IF(AND('Zdroj data'!O7&gt;=Body!$BB$20,'Zdroj data'!O7&lt;=Body!$BD$20),Body!$BB$6,IF(AND('Zdroj data'!O7&gt;=Body!$BE$20,'Zdroj data'!O7&lt;=Body!$BG$20),Body!$BE$6,IF(AND('Zdroj data'!O7&gt;=Body!$BH$20,'Zdroj data'!O7&lt;=Body!$BJ$20),Body!$BH$6,IF(AND('Zdroj data'!O7&gt;=Body!$BK$20,'Zdroj data'!O7&lt;=Body!$BM$20),Body!$BK$6,IF(AND('Zdroj data'!O7&gt;=Body!$BN$20,'Zdroj data'!O7&lt;=Body!$BP$20),Body!$BN$6,IF(AND('Zdroj data'!O7&gt;=Body!$BQ$20,'Zdroj data'!O7&lt;=Body!$BS$20),Body!$BQ$6,IF(AND('Zdroj data'!O7&gt;=Body!$BT$20,'Zdroj data'!O7&lt;=Body!BV24),Body!$BT$6,IF(AND('Zdroj data'!O7&gt;=Body!$BW$20,'Zdroj data'!O7&lt;=Body!$BY$20),Body!$BW$6,IF('Zdroj data'!O7&gt;=Body!$CB$20,Body!$BZ$6," "))))))))))," ")))</f>
        <v xml:space="preserve"> </v>
      </c>
      <c r="AI7" s="264" t="str">
        <f>IF(AND('Zdroj data'!$BG7="L",'Zdroj data'!$AM7=Body!$AX$18),IF(AND(Tabulka1[[#This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data'!$BG7="ST",'Zdroj data'!$AM7=Body!$AX$19),IF(AND(Tabulka1[[#This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data'!$BG7="T",'Zdroj data'!$AM7=Body!$AX$20),IF(AND(Tabulka1[[#This Row],[K2O_60]]&gt;=Body!$AY$20,'Zdroj data'!O7&lt;=Body!$BA$20),Body!$AY$6,IF(AND(Tabulka1[[#This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Row],[K2O_60]]&lt;=Body!BV24),Body!$BT$6,IF(AND(Tabulka1[[#This Row],[K2O_60]]&gt;=Body!$BW$20,Tabulka1[[#This Row],[K2O_60]]&lt;=Body!$BY$20),Body!$BW$6,IF(Tabulka1[[#This Row],[K2O_60]]&gt;=Body!$CB$20,Body!$BZ$6," "))))))))))," ")))</f>
        <v xml:space="preserve"> </v>
      </c>
      <c r="AJ7" s="265">
        <f t="shared" si="2"/>
        <v>5.3333333333333375</v>
      </c>
      <c r="AK7" s="264">
        <f t="shared" si="3"/>
        <v>24.453695106755298</v>
      </c>
      <c r="AL7" s="264">
        <f t="shared" si="4"/>
        <v>23.507100081422852</v>
      </c>
      <c r="AM7" s="264">
        <f t="shared" si="5"/>
        <v>70.697397465828928</v>
      </c>
      <c r="AN7" s="264">
        <f t="shared" si="6"/>
        <v>62.870149551676953</v>
      </c>
      <c r="AO7" s="265">
        <f t="shared" si="0"/>
        <v>95.151092572584218</v>
      </c>
      <c r="AP7" s="265">
        <f t="shared" si="1"/>
        <v>86.377249633099808</v>
      </c>
      <c r="AQ7" s="318"/>
      <c r="AR7" s="338">
        <f t="shared" si="7"/>
        <v>186.86167553901737</v>
      </c>
      <c r="AS7" s="318"/>
      <c r="AT7" s="454">
        <v>0.95</v>
      </c>
      <c r="AU7" s="468">
        <v>0.4</v>
      </c>
      <c r="AV7" s="470">
        <v>5.5434703284526418E-2</v>
      </c>
      <c r="AW7" s="33" t="s">
        <v>843</v>
      </c>
      <c r="AX7" s="34"/>
      <c r="AY7" s="33">
        <v>0</v>
      </c>
      <c r="AZ7" s="35" t="s">
        <v>856</v>
      </c>
      <c r="BA7" s="36">
        <v>3.99</v>
      </c>
      <c r="BB7" s="37">
        <v>4</v>
      </c>
      <c r="BC7" s="38" t="s">
        <v>858</v>
      </c>
      <c r="BD7" s="36">
        <v>4.49</v>
      </c>
      <c r="BE7" s="37">
        <v>4.5</v>
      </c>
      <c r="BF7" s="39" t="s">
        <v>858</v>
      </c>
      <c r="BG7" s="36">
        <v>4.99</v>
      </c>
      <c r="BH7" s="40">
        <v>5</v>
      </c>
      <c r="BI7" s="39" t="s">
        <v>858</v>
      </c>
      <c r="BJ7" s="41">
        <v>5.49</v>
      </c>
      <c r="BK7" s="42">
        <v>5.5</v>
      </c>
      <c r="BL7" s="38" t="s">
        <v>858</v>
      </c>
      <c r="BM7" s="41">
        <v>5.99</v>
      </c>
      <c r="BN7" s="42">
        <v>6</v>
      </c>
      <c r="BO7" s="38" t="s">
        <v>858</v>
      </c>
      <c r="BP7" s="41">
        <v>6.49</v>
      </c>
      <c r="BQ7" s="42">
        <v>6.5</v>
      </c>
      <c r="BR7" s="38" t="s">
        <v>858</v>
      </c>
      <c r="BS7" s="41">
        <v>6.69</v>
      </c>
      <c r="BT7" s="42">
        <v>6.7</v>
      </c>
      <c r="BU7" s="38" t="s">
        <v>858</v>
      </c>
      <c r="BV7" s="41">
        <v>6.79</v>
      </c>
      <c r="BW7" s="42">
        <v>6.8</v>
      </c>
      <c r="BX7" s="38" t="s">
        <v>858</v>
      </c>
      <c r="BY7" s="41">
        <v>6.99</v>
      </c>
      <c r="BZ7" s="42">
        <v>7</v>
      </c>
      <c r="CA7" s="38" t="s">
        <v>858</v>
      </c>
      <c r="CB7" s="41">
        <v>7.1</v>
      </c>
      <c r="CD7" s="66"/>
      <c r="CE7" s="136"/>
      <c r="CF7" s="66"/>
    </row>
    <row r="8" spans="1:84" ht="15.5" x14ac:dyDescent="0.35">
      <c r="A8" s="270">
        <v>818</v>
      </c>
      <c r="B8" s="156" t="s">
        <v>544</v>
      </c>
      <c r="C8" s="250" t="str">
        <f>VLOOKUP(B8,'Zdroj hloubka okresy'!$A$2:$D$171,2,FALSE)</f>
        <v>Pribram</v>
      </c>
      <c r="D8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10</v>
      </c>
      <c r="E8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9</v>
      </c>
      <c r="F8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8" s="264">
        <f>IF(AND(Tabulka1[[#This Row],[hum_60]]&gt;AY14,Tabulka1[[#This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8" s="264">
        <f>IF(Tabulka1[[#This Row],[kv.ek.]]=Body!$AX$13,IF(AND('Zdroj data'!M8&gt;=Body!$AY$13,'Zdroj data'!M8&lt;=Body!$BA$13),Body!$AY$6,IF(AND('Zdroj data'!M8&gt;=Body!$BB$13,'Zdroj data'!M8&lt;=Body!$BD$13),Body!$BB$6,IF(AND('Zdroj data'!M8&gt;=Body!$BE$13,'Zdroj data'!M8&lt;=Body!$BG$13),Body!$BE$6,IF(AND('Zdroj data'!M8&gt;=Body!$BH$13,'Zdroj data'!M8&lt;=Body!$BJ$13),Body!$BH$6,IF(AND('Zdroj data'!M8&gt;=Body!$BK$13,'Zdroj data'!M8&lt;=Body!$BM$13),Body!$BK$6,IF(AND('Zdroj data'!M8&gt;=Body!$BN$13,'Zdroj data'!M8&lt;=Body!$BP$13),Body!$BN$6,IF(AND('Zdroj data'!M8&gt;=Body!$BQ$13,'Zdroj data'!M8&lt;=Body!$BS$13),Body!$BQ$6,IF(AND('Zdroj data'!M8&gt;=Body!$BT$13,'Zdroj data'!M8&lt;=Body!$BV$13),Body!$BT$6,IF(AND('Zdroj data'!M8&gt;=Body!$BW$13,'Zdroj data'!M8&lt;=Body!$BY$13),Body!$BW$6,IF('Zdroj data'!M8&gt;=Body!$CB$13,Body!$BZ$6,"")))))))))),IF(Tabulka1[[#This Row],[kv.ek.]]=Body!$AX$14,IF(AND('Zdroj data'!N8&gt;=Body!$AY$14,'Zdroj data'!N8&lt;=Body!$BA$14),Body!$AY$6,IF(AND('Zdroj data'!N8&gt;=Body!$BB$14,'Zdroj data'!N8&lt;=Body!$BD$14),Body!$BB$6,IF(AND('Zdroj data'!N8&gt;=Body!$BE$14,'Zdroj data'!N8&lt;=Body!$BG$14),Body!$BE$6,IF(AND('Zdroj data'!N8&gt;=Body!$BH$14,'Zdroj data'!N8&lt;=Body!$BJ$14),Body!$BH$6,IF(AND('Zdroj data'!N8&gt;=Body!$BK$14,'Zdroj data'!N8&lt;=Body!$BM$14),Body!$BK$6,IF(AND('Zdroj data'!N8&gt;=Body!$BN$14,'Zdroj data'!N8&lt;=Body!$BP$14),Body!$BN$6,IF(AND('Zdroj data'!N8&gt;=Body!$BQ$14,'Zdroj data'!N8&lt;=Body!$BS$14),Body!$BQ$6,IF(AND('Zdroj data'!N8&gt;=Body!$BT$14,'Zdroj data'!N8&lt;=Body!$BV$14),Body!$BT$6,IF(AND('Zdroj data'!N8&gt;=Body!$BW$14,'Zdroj data'!N8&lt;=Body!$BY$14),Body!$BW$6,IF('Zdroj data'!N8&gt;=Body!$CB$14,Body!$BZ$6,"")))))))))),""))</f>
        <v>1</v>
      </c>
      <c r="I8" s="264">
        <f>IF(Tabulka1[[#This Row],[kv.ek.]]=Body!$AX$13,IF(AND('Zdroj data'!N8&gt;=Body!$AY$13,'Zdroj data'!N8&lt;=Body!$BA$13),Body!$AY$6,IF(AND('Zdroj data'!N8&gt;=Body!$BB$13,'Zdroj data'!N8&lt;=Body!$BD$13),Body!$BB$6,IF(AND('Zdroj data'!N8&gt;=Body!$BE$13,'Zdroj data'!N8&lt;=Body!$BG$13),Body!$BE$6,IF(AND('Zdroj data'!N8&gt;=Body!$BH$13,'Zdroj data'!N8&lt;=Body!$BJ$13),Body!$BH$6,IF(AND('Zdroj data'!N8&gt;=Body!$BK$13,'Zdroj data'!N8&lt;=Body!$BM$13),Body!$BK$6,IF(AND('Zdroj data'!N8&gt;=Body!$BN$13,'Zdroj data'!N8&lt;=Body!$BP$13),Body!$BN$6,IF(AND('Zdroj data'!N8&gt;=Body!$BQ$13,'Zdroj data'!N8&lt;=Body!$BS$13),Body!$BQ$6,IF(AND('Zdroj data'!N8&gt;=Body!$BT$13,'Zdroj data'!N8&lt;=Body!$BV$13),Body!$BT$6,IF(AND('Zdroj data'!N8&gt;=Body!$BW$13,'Zdroj data'!N8&lt;=Body!$BY$13),Body!$BW$6,IF('Zdroj data'!N8&gt;=Body!$CB$13,Body!$BZ$6," ")))))))))),IF(Tabulka1[[#This Row],[kv.ek.]]=Body!$AX$14,IF(AND('Zdroj data'!O8&gt;=Body!$AY$14,'Zdroj data'!O8&lt;=Body!$BA$14),Body!$AY$6,IF(AND('Zdroj data'!O8&gt;=Body!$BB$14,'Zdroj data'!O8&lt;=Body!$BD$14),Body!$BB$6,IF(AND('Zdroj data'!O8&gt;=Body!$BE$14,'Zdroj data'!O8&lt;=Body!$BG$14),Body!$BE$6,IF(AND('Zdroj data'!O8&gt;=Body!$BH$14,'Zdroj data'!O8&lt;=Body!$BJ$14),Body!$BH$6,IF(AND('Zdroj data'!O8&gt;=Body!$BK$14,'Zdroj data'!O8&lt;=Body!$BM$14),Body!$BK$6,IF(AND('Zdroj data'!O8&gt;=Body!$BN$14,'Zdroj data'!O8&lt;=Body!$BP$14),Body!$BN$6,IF(AND('Zdroj data'!O8&gt;=Body!$BQ$14,'Zdroj data'!O8&lt;=Body!$BS$14),Body!$BQ$6,IF(AND('Zdroj data'!O8&gt;=Body!$BT$14,'Zdroj data'!O8&lt;=Body!$BV$14),Body!$BT$6,IF(AND('Zdroj data'!O8&gt;=Body!$BW$14,'Zdroj data'!O8&lt;=Body!$BY$14),Body!$BW$6,IF('Zdroj data'!O8&gt;=Body!$CB$14,Body!$BZ$6," "))))))))))," "))</f>
        <v>1</v>
      </c>
      <c r="J8" s="264">
        <f t="shared" si="8"/>
        <v>1</v>
      </c>
      <c r="K8" s="264">
        <f t="shared" si="9"/>
        <v>1</v>
      </c>
      <c r="L8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8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8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8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8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8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8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8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8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8" s="264">
        <f>IF('Zdroj data'!BB8=Body!$AY$25,Body!$AY$22,IF('Zdroj data'!BB8=Body!$BB$25,Body!$BB$22,IF('Zdroj data'!BB8=Body!$BE$25,Body!$BE$22,IF('Zdroj data'!BB8=Body!$BH$25,Body!$BH$22,IF('Zdroj data'!BB8=Body!BK$25,Body!$BK$22,IF('Zdroj data'!BB8=Body!$BN$25,Body!$BN$22,IF('Zdroj data'!BB8=Body!$BQ$25,Body!$BQ$22,IF('Zdroj data'!BB8=Body!$BT$25,Body!$BT$22,IF('Zdroj data'!BB8=Body!$BW$25,Body!$BW$22,IF('Zdroj data'!BB8=Body!$BZ$25,Body!$BZ$22," "))))))))))</f>
        <v>5</v>
      </c>
      <c r="V8" s="264">
        <f>IF(AND('Zdroj data'!BO8&gt;Body!$AY$27,'Zdroj data'!BO8&lt;=Body!$BA$27),Body!$AY$22,IF(AND('Zdroj data'!BO8&gt;=Body!$BB$27,'Zdroj data'!BO8&lt;=Body!$BD$27),Body!$BB$22,IF(AND('Zdroj data'!BO8&gt;=Body!$BE$27,'Zdroj data'!BO8&lt;=Body!$BG$27),Body!$BE$22,IF(AND('Zdroj data'!BO8&gt;=Body!$BH$27,'Zdroj data'!BO8&lt;=Body!$BJ$27),Body!$BH$22,IF(AND('Zdroj data'!BO8&gt;=Body!$BK$27,'Zdroj data'!BO8&lt;=Body!$BM$27),Body!$BK$22,IF(AND('Zdroj data'!BO8&gt;=Body!$BN$27,'Zdroj data'!BO8&lt;=Body!$BP$27),Body!$BN$22,IF(AND('Zdroj data'!BO8&gt;=Body!$BQ$27,'Zdroj data'!BO8&lt;=Body!$BS$27),Body!$BQ$22,IF(AND('Zdroj data'!BO8&gt;=Body!$BT$27,'Zdroj data'!BO8&lt;=Body!$BV$27),Body!$BT$22,IF(AND('Zdroj data'!BO8&gt;=Body!$BW$27,'Zdroj data'!BO8&lt;=Body!$BY$27),Body!$BW$22,IF('Zdroj data'!BO8&gt;=Body!$CB$27,$BZ$22," "))))))))))</f>
        <v>7</v>
      </c>
      <c r="W8" s="264">
        <f>IF(AND('Zdroj data'!BP8&gt;Body!$AY$27,'Zdroj data'!BP8&lt;=Body!$BA$27),Body!$AY$22,IF(AND('Zdroj data'!BP8&gt;=Body!$BB$27,'Zdroj data'!BP8&lt;=Body!$BD$27),Body!$BB$22,IF(AND('Zdroj data'!BP8&gt;=Body!$BE$27,'Zdroj data'!BP8&lt;=Body!$BG$27),Body!$BE$22,IF(AND('Zdroj data'!BP8&gt;=Body!$BH$27,'Zdroj data'!BP8&lt;=Body!$BJ$27),Body!$BH$22,IF(AND('Zdroj data'!BP8&gt;=Body!$BK$27,'Zdroj data'!BP8&lt;=Body!$BM$27),Body!$BK$22,IF(AND('Zdroj data'!BP8&gt;=Body!$BN$27,'Zdroj data'!BP8&lt;=Body!$BP$27),Body!$BN$22,IF(AND('Zdroj data'!BP8&gt;=Body!$BQ$27,'Zdroj data'!BP8&lt;=Body!$BS$27),Body!$BQ$22,IF(AND('Zdroj data'!BP8&gt;=Body!$BT$27,'Zdroj data'!BP8&lt;=Body!$BV$27),Body!$BT$22,IF(AND('Zdroj data'!BP8&gt;=Body!$BW$27,'Zdroj data'!BP8&lt;=Body!$BY$27),Body!$BW$22,IF('Zdroj data'!BP8&gt;=Body!$CB$27,$BZ$22," "))))))))))</f>
        <v>6</v>
      </c>
      <c r="X8" s="264">
        <f>IF('Zdroj data'!BA8=Body!$BB$28,$BB$22,IF('Zdroj data'!BA8=Body!$BE$28,$BE$22,IF(OR('Zdroj data'!BA8=Body!$BK$28,'Zdroj data'!BA8=Body!$BL$28,'Zdroj data'!BA8=Body!$BM$28),$BK$22,IF(OR('Zdroj data'!BA8=Body!$BT$28,'Zdroj data'!BA8=Body!$BV$28),$BT$22,IF(OR('Zdroj data'!BA8=Body!$BW$28,'Zdroj data'!BA8=Body!$BY$28),$BW$22,IF('Zdroj data'!BA8=Body!$BZ$28,$BZ$22," "))))))</f>
        <v>10</v>
      </c>
      <c r="Y8" s="264">
        <f>IF('Zdroj data'!AZ8=Body!$BZ$29,Body!$BZ$22,IF(OR('Zdroj data'!AZ8=$BT$29,'Zdroj data'!AZ8=$BU$29,'Zdroj data'!AZ8=$BV$29),$BT$22,IF(OR('Zdroj data'!AZ8=$BK$29,'Zdroj data'!AZ8=$BM$29),$BK$22,IF(OR('Zdroj data'!AZ8=$BE$29,'Zdroj data'!AZ8=$BG$29),$BE$22,IF(OR('Zdroj data'!AZ8=$AY$29,'Zdroj data'!AZ8=$BA$29),$AY$22," ")))))</f>
        <v>10</v>
      </c>
      <c r="Z8" s="264">
        <f>IF(AND('Zdroj data'!BF8="T",(OR('Zdroj data'!AZ8=Body!$AW$45,'Zdroj data'!AZ8=Body!$AW$46,'Zdroj data'!AZ8=Body!$AW$47,'Zdroj data'!AZ8=Body!$AW$48))),Body!$AY$22,IF(AND('Zdroj data'!BF8="T",(OR('Zdroj data'!AZ8=$AW$49,'Zdroj data'!AZ8=$AW$50,'Zdroj data'!AZ8=$AW$51,'Zdroj data'!AZ8=$AW$52))),$BZ$22,IF(AND(OR('Zdroj data'!BF8="VT",'Zdroj data'!BF8="T",'Zdroj data'!BF8="CH"),(OR('Zdroj data'!AZ8=$AW$43,'Zdroj data'!AZ8=$AW$44,))),$BZ$22,IF(AND('Zdroj data'!BF8="CH",(OR('Zdroj data'!AZ8=$AW$49,'Zdroj data'!AZ8=$AW$50,'Zdroj data'!AZ8=$AW$51,'Zdroj data'!AZ8=$AW$52))),$AY$22,IF(AND('Zdroj data'!BF8="CH",(OR('Zdroj data'!AZ8=$AW$45,'Zdroj data'!AZ8=$AW$46,'Zdroj data'!AZ8=$AW$47,'Zdroj data'!AZ8=$AW$48))),$BZ$22," ")))))</f>
        <v>10</v>
      </c>
      <c r="AA8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8" s="264">
        <f>IF(Tabulka1[[#This Row],[kv.ek.]]=Body!$BK$35,Body!$BK$34,IF(Tabulka1[[#This Row],[kv.ek.]]=Body!$BZ$35,Body!$BZ$34," "))</f>
        <v>5</v>
      </c>
      <c r="AC8" s="264" t="str">
        <f>IF(AND('Zdroj data'!BF8="T",(OR('Zdroj data'!AZ8=Body!$AW$45,'Zdroj data'!AZ8=Body!$AW$46,'Zdroj data'!AZ8=Body!$AW$47,'Zdroj data'!AZ8=Body!$AW$48))),Body!$AY$22,IF(AND('Zdroj data'!BF8="T",(OR('Zdroj data'!AZ8=$AW$49,'Zdroj data'!AZ8=$AW$50,'Zdroj data'!AZ8=$AW$51,'Zdroj data'!AZ8=$AW$52))),$BZ$22," "))</f>
        <v xml:space="preserve"> </v>
      </c>
      <c r="AD8" s="264">
        <f>IF(AND(OR('Zdroj data'!BF8="VT",'Zdroj data'!BF8="T",'Zdroj data'!BF8="CH"),(OR('Zdroj data'!AZ8=$AW$43,'Zdroj data'!AZ8=$AW$44,))),$BZ$22," ")</f>
        <v>10</v>
      </c>
      <c r="AE8" s="264" t="str">
        <f>IF(AND('Zdroj data'!BF8="CH",(OR('Zdroj data'!AZ8=$AW$49,'Zdroj data'!AZ8=$AW$50,'Zdroj data'!AZ8=$AW$51,'Zdroj data'!AZ8=$AW$52))),$AY$22,IF(AND('Zdroj data'!BF8="CH",(OR('Zdroj data'!AZ8=$AW$45,'Zdroj data'!AZ8=$AW$46,'Zdroj data'!AZ8=$AW$47,'Zdroj data'!AZ8=$AW$48))),$BZ$22," "))</f>
        <v xml:space="preserve"> </v>
      </c>
      <c r="AF8" s="264">
        <f>IF(AND('Zdroj data'!BG8="L",'Zdroj data'!AM8=Body!$AX$15),IF(AND('Zdroj data'!O8&gt;=Body!$AY$15,'Zdroj data'!O8&lt;=Body!$BA$15),Body!AY$6,IF(AND('Zdroj data'!O8&gt;=Body!$BB$15,'Zdroj data'!O8&lt;=Body!$BD$15),Body!BB$6,IF(AND('Zdroj data'!O8&gt;=Body!$BE$15,'Zdroj data'!O8&lt;=Body!$BG$15),Body!BE$6,IF(AND('Zdroj data'!O8&gt;=Body!$BH$15,'Zdroj data'!O8&lt;=Body!$BJ$15),Body!BH$6,IF(AND('Zdroj data'!O8&gt;=Body!$BK$15,'Zdroj data'!O8&lt;=Body!$BM$15),Body!BK$6,IF(AND('Zdroj data'!O8&gt;=Body!$BN$15,'Zdroj data'!O8&lt;=Body!$BP$15),Body!$BN$6,IF(AND('Zdroj data'!O8&gt;=Body!$BQ$15,'Zdroj data'!O8&lt;=Body!$BS$15),Body!$BQ$6,IF(AND('Zdroj data'!O8&gt;=Body!$BT$15,'Zdroj data'!O8&lt;=Body!$BV$15),Body!BT$6,IF(AND('Zdroj data'!O8&gt;=Body!$BW$15,'Zdroj data'!O8&lt;=Body!$BY$15),Body!$BW$6,IF('Zdroj data'!O8&gt;=Body!$CB$15,Body!$BZ$6," ")))))))))),IF(AND('Zdroj data'!BG8="ST",'Zdroj data'!AM8=Body!$AX$16),IF(AND('Zdroj data'!O8&gt;=Body!$AY$16,'Zdroj data'!O8&lt;=Body!$BA$16),Body!$AY$6,IF(AND('Zdroj data'!O8&gt;=Body!$BB$16,'Zdroj data'!O8&lt;=Body!$BD$16),Body!$BB$6,IF(AND('Zdroj data'!O8&gt;=Body!$BE$16,'Zdroj data'!O8&lt;=Body!$BG$16),Body!$BE$6,IF(AND('Zdroj data'!O8&gt;=Body!$BH$16,'Zdroj data'!O8&lt;=Body!$BJ$16),Body!$BH$6,IF(AND('Zdroj data'!O8&gt;=Body!$BK$16,'Zdroj data'!O8&lt;=Body!$BM$16),Body!$BK$6,IF(AND('Zdroj data'!O8&gt;=Body!$BN$16,'Zdroj data'!O8&lt;=Body!$BP$16),Body!$BN$6,IF(AND('Zdroj data'!O8&gt;=Body!$BQ$16,'Zdroj data'!O8&lt;=Body!$BS$16),Body!$BQ$6,IF(AND('Zdroj data'!O8&gt;=Body!$BT$16,'Zdroj data'!O8&lt;=Body!$BV$16),Body!$BT$6,IF(AND('Zdroj data'!O8&gt;=Body!$BW$16,'Zdroj data'!O8&lt;=Body!$BY$16),Body!$BW$6,IF('Zdroj data'!O8&gt;=Body!$CB$16,Body!$BZ$6," ")))))))))),IF(AND('Zdroj data'!BG8="T",'Zdroj data'!AM8=Body!$AX$17),IF(AND('Zdroj data'!O8&gt;=Body!$AY$17,'Zdroj data'!O8&lt;=Body!$BA$17),Body!$AY$6,IF(AND('Zdroj data'!O8&gt;=Body!$BB$17,'Zdroj data'!O8&lt;=Body!$BD$17),Body!$BB$6,IF(AND('Zdroj data'!O8&gt;=Body!$BE$17,'Zdroj data'!O8&lt;=Body!$BG$17),Body!$BE$6,IF(AND('Zdroj data'!O8&gt;=Body!$BH$17,'Zdroj data'!O8&lt;=Body!BJ22),Body!$BH$6,IF(AND('Zdroj data'!O8&gt;=Body!$BK$17,'Zdroj data'!O8&lt;=Body!$BM$17),Body!$BK$6,IF(AND('Zdroj data'!O8&gt;=Body!$BN$17,'Zdroj data'!O8&lt;=Body!$BP$17),Body!$BN$6,IF(AND('Zdroj data'!O8&gt;=Body!$BQ$17,'Zdroj data'!O8&lt;=Body!$BS$17),Body!$BQ$6,IF(AND('Zdroj data'!O8&gt;=Body!$BT$17,'Zdroj data'!O8&lt;=Body!$BV$17),Body!$BT$6,IF(AND('Zdroj data'!O8&gt;=Body!$BW$17,'Zdroj data'!O8&lt;=Body!$BY$17),Body!$BW$6,IF('Zdroj data'!O8&gt;=Body!$CB$17,Body!$BZ$6," "))))))))))," ")))</f>
        <v>1</v>
      </c>
      <c r="AG8" s="264">
        <f>IF(AND('Zdroj data'!$BG8="L",'Zdroj data'!$AM8=Body!$AX$15),IF(AND(Tabulka1[[#This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data'!$BG8="ST",'Zdroj data'!$AM8=Body!$AX$16),IF(AND(Tabulka1[[#This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data'!$BG8="T",'Zdroj data'!$AM8=Body!$AX$17),IF(AND(Tabulka1[[#This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Row],[K2O_60]]&lt;=Body!BJ22),Body!$BH$6,IF(AND(Tabulka1[[#This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8" s="264" t="str">
        <f>IF(AND('Zdroj data'!BG8="L",'Zdroj data'!AM8=Body!$AX$18),IF(AND('Zdroj data'!O8&gt;=Body!$AY$18,'Zdroj data'!O8&lt;=Body!$BA$18),Body!AY$6,IF(AND('Zdroj data'!O8&gt;=Body!$BB$18,'Zdroj data'!O8&lt;=Body!$BD$18),Body!BB$6,IF(AND('Zdroj data'!O8&gt;=Body!$BE$18,'Zdroj data'!O8&lt;=Body!$BG$18),Body!BE$6,IF(AND('Zdroj data'!O8&gt;=Body!$BH$18,'Zdroj data'!O8&lt;=Body!$BJ$18),Body!BH$6,IF(AND('Zdroj data'!O8&gt;=Body!$BK$18,'Zdroj data'!O8&lt;=Body!$BM$18),Body!$BK$6,IF(AND('Zdroj data'!O8&gt;=Body!$BN$18,'Zdroj data'!O8&lt;=Body!$BP$18),Body!BN$6,IF(AND('Zdroj data'!O8&gt;=Body!$BQ$18,'Zdroj data'!O8&lt;=Body!$BS$18),Body!$BQ$6,IF(AND('Zdroj data'!O8&gt;=Body!$BT$18,'Zdroj data'!O8&lt;=Body!$BV$18),Body!$BT$6,IF(AND('Zdroj data'!O8&gt;=Body!$BW$18,'Zdroj data'!O8&lt;=Body!$BY$18),Body!$BW$6,IF('Zdroj data'!O8&gt;=Body!$CB$18,Body!$BZ$6," ")))))))))),IF(AND('Zdroj data'!BG8="ST",'Zdroj data'!AM8=Body!$AX$19),IF(AND('Zdroj data'!O8&gt;=Body!$AY$19,'Zdroj data'!O8&lt;=Body!$BA$19),Body!$AY$6,IF(AND('Zdroj data'!O8&gt;=Body!$BB$19,'Zdroj data'!O8&lt;=Body!$BD$19),Body!$BB$6,IF(AND('Zdroj data'!O8&gt;=Body!$BE$19,'Zdroj data'!O8&lt;=Body!$BG$19),Body!$BE$6,IF(AND('Zdroj data'!O8&gt;=Body!$BH$19,'Zdroj data'!O8&lt;=Body!$BJ$19),Body!$BH$6,IF(AND('Zdroj data'!O8&gt;=Body!$BK$19,'Zdroj data'!O8&lt;=Body!$BM$19),Body!$BK$6,IF(AND('Zdroj data'!O8&gt;=Body!$BN$19,'Zdroj data'!O8&lt;=Body!$BP$19),Body!$BN$6,IF(AND('Zdroj data'!O8&gt;=Body!$BQ$19,'Zdroj data'!O8&lt;=Body!$BS$19),Body!$BQ$6,IF(AND('Zdroj data'!O8&gt;=Body!$BT$19,'Zdroj data'!O12&lt;=Body!$BV$19),Body!$BT$6,IF(AND('Zdroj data'!O8&gt;=Body!$BW$19,'Zdroj data'!O8&lt;=Body!$BY$19),Body!$BW$6,IF('Zdroj data'!O8&gt;=Body!$CB$19,Body!$BZ$6," ")))))))))),IF(AND('Zdroj data'!BG8="T",'Zdroj data'!AM8=Body!$AX$20),IF(AND('Zdroj data'!O8&gt;=Body!$AY$20,'Zdroj data'!O8&lt;=Body!$BA$20),Body!$AY$6,IF(AND('Zdroj data'!O8&gt;=Body!$BB$20,'Zdroj data'!O8&lt;=Body!$BD$20),Body!$BB$6,IF(AND('Zdroj data'!O8&gt;=Body!$BE$20,'Zdroj data'!O8&lt;=Body!$BG$20),Body!$BE$6,IF(AND('Zdroj data'!O8&gt;=Body!$BH$20,'Zdroj data'!O8&lt;=Body!$BJ$20),Body!$BH$6,IF(AND('Zdroj data'!O8&gt;=Body!$BK$20,'Zdroj data'!O8&lt;=Body!$BM$20),Body!$BK$6,IF(AND('Zdroj data'!O8&gt;=Body!$BN$20,'Zdroj data'!O8&lt;=Body!$BP$20),Body!$BN$6,IF(AND('Zdroj data'!O8&gt;=Body!$BQ$20,'Zdroj data'!O8&lt;=Body!$BS$20),Body!$BQ$6,IF(AND('Zdroj data'!O8&gt;=Body!$BT$20,'Zdroj data'!O8&lt;=Body!BV25),Body!$BT$6,IF(AND('Zdroj data'!O8&gt;=Body!$BW$20,'Zdroj data'!O8&lt;=Body!$BY$20),Body!$BW$6,IF('Zdroj data'!O8&gt;=Body!$CB$20,Body!$BZ$6," "))))))))))," ")))</f>
        <v xml:space="preserve"> </v>
      </c>
      <c r="AI8" s="264" t="str">
        <f>IF(AND('Zdroj data'!$BG8="L",'Zdroj data'!$AM8=Body!$AX$18),IF(AND(Tabulka1[[#This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data'!$BG8="ST",'Zdroj data'!$AM8=Body!$AX$19),IF(AND(Tabulka1[[#This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data'!$BG8="T",'Zdroj data'!$AM8=Body!$AX$20),IF(AND(Tabulka1[[#This Row],[K2O_60]]&gt;=Body!$AY$20,'Zdroj data'!O8&lt;=Body!$BA$20),Body!$AY$6,IF(AND(Tabulka1[[#This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Row],[K2O_60]]&lt;=Body!BV25),Body!$BT$6,IF(AND(Tabulka1[[#This Row],[K2O_60]]&gt;=Body!$BW$20,Tabulka1[[#This Row],[K2O_60]]&lt;=Body!$BY$20),Body!$BW$6,IF(Tabulka1[[#This Row],[K2O_60]]&gt;=Body!$CB$20,Body!$BZ$6," "))))))))))," ")))</f>
        <v xml:space="preserve"> </v>
      </c>
      <c r="AJ8" s="265">
        <f t="shared" si="2"/>
        <v>5.3333333333333375</v>
      </c>
      <c r="AK8" s="264">
        <f t="shared" si="3"/>
        <v>26.675601435016681</v>
      </c>
      <c r="AL8" s="264">
        <f t="shared" si="4"/>
        <v>23.820678950022398</v>
      </c>
      <c r="AM8" s="264">
        <f t="shared" si="5"/>
        <v>68.328366715954928</v>
      </c>
      <c r="AN8" s="264">
        <f t="shared" si="6"/>
        <v>66.783773508752944</v>
      </c>
      <c r="AO8" s="265">
        <f t="shared" si="0"/>
        <v>95.003968150971616</v>
      </c>
      <c r="AP8" s="265">
        <f t="shared" si="1"/>
        <v>90.604452458775341</v>
      </c>
      <c r="AQ8" s="318"/>
      <c r="AR8" s="338">
        <f t="shared" si="7"/>
        <v>190.9417539430803</v>
      </c>
      <c r="AS8" s="318"/>
      <c r="AT8" s="454"/>
      <c r="AU8" s="468"/>
      <c r="AV8" s="470"/>
      <c r="AW8" s="25"/>
      <c r="AX8" s="24"/>
      <c r="AY8" s="25"/>
      <c r="AZ8" s="43" t="s">
        <v>857</v>
      </c>
      <c r="BA8" s="44">
        <v>8</v>
      </c>
      <c r="BB8" s="45">
        <v>7.8</v>
      </c>
      <c r="BC8" s="29" t="s">
        <v>858</v>
      </c>
      <c r="BD8" s="44">
        <v>7.99</v>
      </c>
      <c r="BE8" s="45">
        <v>7.7</v>
      </c>
      <c r="BF8" s="46" t="s">
        <v>858</v>
      </c>
      <c r="BG8" s="44">
        <v>7.79</v>
      </c>
      <c r="BH8" s="47">
        <v>7.6</v>
      </c>
      <c r="BI8" s="48" t="s">
        <v>858</v>
      </c>
      <c r="BJ8" s="27">
        <v>7.69</v>
      </c>
      <c r="BK8" s="28">
        <v>7.5</v>
      </c>
      <c r="BL8" s="49" t="s">
        <v>858</v>
      </c>
      <c r="BM8" s="27">
        <v>7.59</v>
      </c>
      <c r="BN8" s="28">
        <v>7.4</v>
      </c>
      <c r="BO8" s="49" t="s">
        <v>858</v>
      </c>
      <c r="BP8" s="27">
        <v>7.49</v>
      </c>
      <c r="BQ8" s="28">
        <v>7.3</v>
      </c>
      <c r="BR8" s="49" t="s">
        <v>858</v>
      </c>
      <c r="BS8" s="27">
        <v>7.39</v>
      </c>
      <c r="BT8" s="28">
        <v>7.2</v>
      </c>
      <c r="BU8" s="49" t="s">
        <v>858</v>
      </c>
      <c r="BV8" s="27">
        <v>7.29</v>
      </c>
      <c r="BW8" s="28">
        <v>7.11</v>
      </c>
      <c r="BX8" s="49" t="s">
        <v>858</v>
      </c>
      <c r="BY8" s="27">
        <v>7.19</v>
      </c>
      <c r="BZ8" s="28"/>
      <c r="CA8" s="49" t="s">
        <v>858</v>
      </c>
      <c r="CB8" s="27"/>
      <c r="CD8" s="66"/>
      <c r="CE8" s="136"/>
      <c r="CF8" s="66"/>
    </row>
    <row r="9" spans="1:84" ht="15.5" x14ac:dyDescent="0.35">
      <c r="A9" s="270">
        <v>821</v>
      </c>
      <c r="B9" s="156" t="s">
        <v>521</v>
      </c>
      <c r="C9" s="250" t="str">
        <f>VLOOKUP(B9,'Zdroj hloubka okresy'!$A$2:$D$171,2,FALSE)</f>
        <v>Pribram</v>
      </c>
      <c r="D9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9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9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9" s="264">
        <f>IF(AND(Tabulka1[[#This Row],[hum_60]]&gt;AY15,Tabulka1[[#This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9" s="264">
        <f>IF(Tabulka1[[#This Row],[kv.ek.]]=Body!$AX$13,IF(AND('Zdroj data'!M9&gt;=Body!$AY$13,'Zdroj data'!M9&lt;=Body!$BA$13),Body!$AY$6,IF(AND('Zdroj data'!M9&gt;=Body!$BB$13,'Zdroj data'!M9&lt;=Body!$BD$13),Body!$BB$6,IF(AND('Zdroj data'!M9&gt;=Body!$BE$13,'Zdroj data'!M9&lt;=Body!$BG$13),Body!$BE$6,IF(AND('Zdroj data'!M9&gt;=Body!$BH$13,'Zdroj data'!M9&lt;=Body!$BJ$13),Body!$BH$6,IF(AND('Zdroj data'!M9&gt;=Body!$BK$13,'Zdroj data'!M9&lt;=Body!$BM$13),Body!$BK$6,IF(AND('Zdroj data'!M9&gt;=Body!$BN$13,'Zdroj data'!M9&lt;=Body!$BP$13),Body!$BN$6,IF(AND('Zdroj data'!M9&gt;=Body!$BQ$13,'Zdroj data'!M9&lt;=Body!$BS$13),Body!$BQ$6,IF(AND('Zdroj data'!M9&gt;=Body!$BT$13,'Zdroj data'!M9&lt;=Body!$BV$13),Body!$BT$6,IF(AND('Zdroj data'!M9&gt;=Body!$BW$13,'Zdroj data'!M9&lt;=Body!$BY$13),Body!$BW$6,IF('Zdroj data'!M9&gt;=Body!$CB$13,Body!$BZ$6,"")))))))))),IF(Tabulka1[[#This Row],[kv.ek.]]=Body!$AX$14,IF(AND('Zdroj data'!N9&gt;=Body!$AY$14,'Zdroj data'!N9&lt;=Body!$BA$14),Body!$AY$6,IF(AND('Zdroj data'!N9&gt;=Body!$BB$14,'Zdroj data'!N9&lt;=Body!$BD$14),Body!$BB$6,IF(AND('Zdroj data'!N9&gt;=Body!$BE$14,'Zdroj data'!N9&lt;=Body!$BG$14),Body!$BE$6,IF(AND('Zdroj data'!N9&gt;=Body!$BH$14,'Zdroj data'!N9&lt;=Body!$BJ$14),Body!$BH$6,IF(AND('Zdroj data'!N9&gt;=Body!$BK$14,'Zdroj data'!N9&lt;=Body!$BM$14),Body!$BK$6,IF(AND('Zdroj data'!N9&gt;=Body!$BN$14,'Zdroj data'!N9&lt;=Body!$BP$14),Body!$BN$6,IF(AND('Zdroj data'!N9&gt;=Body!$BQ$14,'Zdroj data'!N9&lt;=Body!$BS$14),Body!$BQ$6,IF(AND('Zdroj data'!N9&gt;=Body!$BT$14,'Zdroj data'!N9&lt;=Body!$BV$14),Body!$BT$6,IF(AND('Zdroj data'!N9&gt;=Body!$BW$14,'Zdroj data'!N9&lt;=Body!$BY$14),Body!$BW$6,IF('Zdroj data'!N9&gt;=Body!$CB$14,Body!$BZ$6,"")))))))))),""))</f>
        <v>1</v>
      </c>
      <c r="I9" s="264">
        <f>IF(Tabulka1[[#This Row],[kv.ek.]]=Body!$AX$13,IF(AND('Zdroj data'!N9&gt;=Body!$AY$13,'Zdroj data'!N9&lt;=Body!$BA$13),Body!$AY$6,IF(AND('Zdroj data'!N9&gt;=Body!$BB$13,'Zdroj data'!N9&lt;=Body!$BD$13),Body!$BB$6,IF(AND('Zdroj data'!N9&gt;=Body!$BE$13,'Zdroj data'!N9&lt;=Body!$BG$13),Body!$BE$6,IF(AND('Zdroj data'!N9&gt;=Body!$BH$13,'Zdroj data'!N9&lt;=Body!$BJ$13),Body!$BH$6,IF(AND('Zdroj data'!N9&gt;=Body!$BK$13,'Zdroj data'!N9&lt;=Body!$BM$13),Body!$BK$6,IF(AND('Zdroj data'!N9&gt;=Body!$BN$13,'Zdroj data'!N9&lt;=Body!$BP$13),Body!$BN$6,IF(AND('Zdroj data'!N9&gt;=Body!$BQ$13,'Zdroj data'!N9&lt;=Body!$BS$13),Body!$BQ$6,IF(AND('Zdroj data'!N9&gt;=Body!$BT$13,'Zdroj data'!N9&lt;=Body!$BV$13),Body!$BT$6,IF(AND('Zdroj data'!N9&gt;=Body!$BW$13,'Zdroj data'!N9&lt;=Body!$BY$13),Body!$BW$6,IF('Zdroj data'!N9&gt;=Body!$CB$13,Body!$BZ$6," ")))))))))),IF(Tabulka1[[#This Row],[kv.ek.]]=Body!$AX$14,IF(AND('Zdroj data'!O9&gt;=Body!$AY$14,'Zdroj data'!O9&lt;=Body!$BA$14),Body!$AY$6,IF(AND('Zdroj data'!O9&gt;=Body!$BB$14,'Zdroj data'!O9&lt;=Body!$BD$14),Body!$BB$6,IF(AND('Zdroj data'!O9&gt;=Body!$BE$14,'Zdroj data'!O9&lt;=Body!$BG$14),Body!$BE$6,IF(AND('Zdroj data'!O9&gt;=Body!$BH$14,'Zdroj data'!O9&lt;=Body!$BJ$14),Body!$BH$6,IF(AND('Zdroj data'!O9&gt;=Body!$BK$14,'Zdroj data'!O9&lt;=Body!$BM$14),Body!$BK$6,IF(AND('Zdroj data'!O9&gt;=Body!$BN$14,'Zdroj data'!O9&lt;=Body!$BP$14),Body!$BN$6,IF(AND('Zdroj data'!O9&gt;=Body!$BQ$14,'Zdroj data'!O9&lt;=Body!$BS$14),Body!$BQ$6,IF(AND('Zdroj data'!O9&gt;=Body!$BT$14,'Zdroj data'!O9&lt;=Body!$BV$14),Body!$BT$6,IF(AND('Zdroj data'!O9&gt;=Body!$BW$14,'Zdroj data'!O9&lt;=Body!$BY$14),Body!$BW$6,IF('Zdroj data'!O9&gt;=Body!$CB$14,Body!$BZ$6," "))))))))))," "))</f>
        <v>1</v>
      </c>
      <c r="J9" s="264">
        <f t="shared" si="8"/>
        <v>1</v>
      </c>
      <c r="K9" s="264">
        <f t="shared" si="9"/>
        <v>1</v>
      </c>
      <c r="L9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9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9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5</v>
      </c>
      <c r="O9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6</v>
      </c>
      <c r="P9" s="264">
        <f>IF(Tabulka1[[#This Row],[RVK]]=Body!$BE$10,Body!$BE$6,IF(Tabulka1[[#This Row],[RVK]]=Body!$BK$10,Body!$BK$6,IF(Tabulka1[[#This Row],[RVK]]=Body!$BN$10,Body!$BN$6,IF(Tabulka1[[#This Row],[RVK]]=Body!$BZ$10,Body!$BZ$6," "))))</f>
        <v>10</v>
      </c>
      <c r="Q9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9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9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9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9" s="264">
        <f>IF('Zdroj data'!BB9=Body!$AY$25,Body!$AY$22,IF('Zdroj data'!BB9=Body!$BB$25,Body!$BB$22,IF('Zdroj data'!BB9=Body!$BE$25,Body!$BE$22,IF('Zdroj data'!BB9=Body!$BH$25,Body!$BH$22,IF('Zdroj data'!BB9=Body!BK$25,Body!$BK$22,IF('Zdroj data'!BB9=Body!$BN$25,Body!$BN$22,IF('Zdroj data'!BB9=Body!$BQ$25,Body!$BQ$22,IF('Zdroj data'!BB9=Body!$BT$25,Body!$BT$22,IF('Zdroj data'!BB9=Body!$BW$25,Body!$BW$22,IF('Zdroj data'!BB9=Body!$BZ$25,Body!$BZ$22," "))))))))))</f>
        <v>6</v>
      </c>
      <c r="V9" s="264">
        <f>IF(AND('Zdroj data'!BO9&gt;Body!$AY$27,'Zdroj data'!BO9&lt;=Body!$BA$27),Body!$AY$22,IF(AND('Zdroj data'!BO9&gt;=Body!$BB$27,'Zdroj data'!BO9&lt;=Body!$BD$27),Body!$BB$22,IF(AND('Zdroj data'!BO9&gt;=Body!$BE$27,'Zdroj data'!BO9&lt;=Body!$BG$27),Body!$BE$22,IF(AND('Zdroj data'!BO9&gt;=Body!$BH$27,'Zdroj data'!BO9&lt;=Body!$BJ$27),Body!$BH$22,IF(AND('Zdroj data'!BO9&gt;=Body!$BK$27,'Zdroj data'!BO9&lt;=Body!$BM$27),Body!$BK$22,IF(AND('Zdroj data'!BO9&gt;=Body!$BN$27,'Zdroj data'!BO9&lt;=Body!$BP$27),Body!$BN$22,IF(AND('Zdroj data'!BO9&gt;=Body!$BQ$27,'Zdroj data'!BO9&lt;=Body!$BS$27),Body!$BQ$22,IF(AND('Zdroj data'!BO9&gt;=Body!$BT$27,'Zdroj data'!BO9&lt;=Body!$BV$27),Body!$BT$22,IF(AND('Zdroj data'!BO9&gt;=Body!$BW$27,'Zdroj data'!BO9&lt;=Body!$BY$27),Body!$BW$22,IF('Zdroj data'!BO9&gt;=Body!$CB$27,$BZ$22," "))))))))))</f>
        <v>6</v>
      </c>
      <c r="W9" s="264">
        <f>IF(AND('Zdroj data'!BP9&gt;Body!$AY$27,'Zdroj data'!BP9&lt;=Body!$BA$27),Body!$AY$22,IF(AND('Zdroj data'!BP9&gt;=Body!$BB$27,'Zdroj data'!BP9&lt;=Body!$BD$27),Body!$BB$22,IF(AND('Zdroj data'!BP9&gt;=Body!$BE$27,'Zdroj data'!BP9&lt;=Body!$BG$27),Body!$BE$22,IF(AND('Zdroj data'!BP9&gt;=Body!$BH$27,'Zdroj data'!BP9&lt;=Body!$BJ$27),Body!$BH$22,IF(AND('Zdroj data'!BP9&gt;=Body!$BK$27,'Zdroj data'!BP9&lt;=Body!$BM$27),Body!$BK$22,IF(AND('Zdroj data'!BP9&gt;=Body!$BN$27,'Zdroj data'!BP9&lt;=Body!$BP$27),Body!$BN$22,IF(AND('Zdroj data'!BP9&gt;=Body!$BQ$27,'Zdroj data'!BP9&lt;=Body!$BS$27),Body!$BQ$22,IF(AND('Zdroj data'!BP9&gt;=Body!$BT$27,'Zdroj data'!BP9&lt;=Body!$BV$27),Body!$BT$22,IF(AND('Zdroj data'!BP9&gt;=Body!$BW$27,'Zdroj data'!BP9&lt;=Body!$BY$27),Body!$BW$22,IF('Zdroj data'!BP9&gt;=Body!$CB$27,$BZ$22," "))))))))))</f>
        <v>6</v>
      </c>
      <c r="X9" s="264">
        <f>IF('Zdroj data'!BA9=Body!$BB$28,$BB$22,IF('Zdroj data'!BA9=Body!$BE$28,$BE$22,IF(OR('Zdroj data'!BA9=Body!$BK$28,'Zdroj data'!BA9=Body!$BL$28,'Zdroj data'!BA9=Body!$BM$28),$BK$22,IF(OR('Zdroj data'!BA9=Body!$BT$28,'Zdroj data'!BA9=Body!$BV$28),$BT$22,IF(OR('Zdroj data'!BA9=Body!$BW$28,'Zdroj data'!BA9=Body!$BY$28),$BW$22,IF('Zdroj data'!BA9=Body!$BZ$28,$BZ$22," "))))))</f>
        <v>5</v>
      </c>
      <c r="Y9" s="264">
        <f>IF('Zdroj data'!AZ9=Body!$BZ$29,Body!$BZ$22,IF(OR('Zdroj data'!AZ9=$BT$29,'Zdroj data'!AZ9=$BU$29,'Zdroj data'!AZ9=$BV$29),$BT$22,IF(OR('Zdroj data'!AZ9=$BK$29,'Zdroj data'!AZ9=$BM$29),$BK$22,IF(OR('Zdroj data'!AZ9=$BE$29,'Zdroj data'!AZ9=$BG$29),$BE$22,IF(OR('Zdroj data'!AZ9=$AY$29,'Zdroj data'!AZ9=$BA$29),$AY$22," ")))))</f>
        <v>8</v>
      </c>
      <c r="Z9" s="264">
        <f>IF(AND('Zdroj data'!BF9="T",(OR('Zdroj data'!AZ9=Body!$AW$45,'Zdroj data'!AZ9=Body!$AW$46,'Zdroj data'!AZ9=Body!$AW$47,'Zdroj data'!AZ9=Body!$AW$48))),Body!$AY$22,IF(AND('Zdroj data'!BF9="T",(OR('Zdroj data'!AZ9=$AW$49,'Zdroj data'!AZ9=$AW$50,'Zdroj data'!AZ9=$AW$51,'Zdroj data'!AZ9=$AW$52))),$BZ$22,IF(AND(OR('Zdroj data'!BF9="VT",'Zdroj data'!BF9="T",'Zdroj data'!BF9="CH"),(OR('Zdroj data'!AZ9=$AW$43,'Zdroj data'!AZ9=$AW$44,))),$BZ$22,IF(AND('Zdroj data'!BF9="CH",(OR('Zdroj data'!AZ9=$AW$49,'Zdroj data'!AZ9=$AW$50,'Zdroj data'!AZ9=$AW$51,'Zdroj data'!AZ9=$AW$52))),$AY$22,IF(AND('Zdroj data'!BF9="CH",(OR('Zdroj data'!AZ9=$AW$45,'Zdroj data'!AZ9=$AW$46,'Zdroj data'!AZ9=$AW$47,'Zdroj data'!AZ9=$AW$48))),$BZ$22," ")))))</f>
        <v>10</v>
      </c>
      <c r="AA9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9" s="264">
        <f>IF(Tabulka1[[#This Row],[kv.ek.]]=Body!$BK$35,Body!$BK$34,IF(Tabulka1[[#This Row],[kv.ek.]]=Body!$BZ$35,Body!$BZ$34," "))</f>
        <v>5</v>
      </c>
      <c r="AC9" s="264" t="str">
        <f>IF(AND('Zdroj data'!BF9="T",(OR('Zdroj data'!AZ9=Body!$AW$45,'Zdroj data'!AZ9=Body!$AW$46,'Zdroj data'!AZ9=Body!$AW$47,'Zdroj data'!AZ9=Body!$AW$48))),Body!$AY$22,IF(AND('Zdroj data'!BF9="T",(OR('Zdroj data'!AZ9=$AW$49,'Zdroj data'!AZ9=$AW$50,'Zdroj data'!AZ9=$AW$51,'Zdroj data'!AZ9=$AW$52))),$BZ$22," "))</f>
        <v xml:space="preserve"> </v>
      </c>
      <c r="AD9" s="264">
        <f>IF(AND(OR('Zdroj data'!BF9="VT",'Zdroj data'!BF9="T",'Zdroj data'!BF9="CH"),(OR('Zdroj data'!AZ9=$AW$43,'Zdroj data'!AZ9=$AW$44,))),$BZ$22," ")</f>
        <v>10</v>
      </c>
      <c r="AE9" s="264" t="str">
        <f>IF(AND('Zdroj data'!BF9="CH",(OR('Zdroj data'!AZ9=$AW$49,'Zdroj data'!AZ9=$AW$50,'Zdroj data'!AZ9=$AW$51,'Zdroj data'!AZ9=$AW$52))),$AY$22,IF(AND('Zdroj data'!BF9="CH",(OR('Zdroj data'!AZ9=$AW$45,'Zdroj data'!AZ9=$AW$46,'Zdroj data'!AZ9=$AW$47,'Zdroj data'!AZ9=$AW$48))),$BZ$22," "))</f>
        <v xml:space="preserve"> </v>
      </c>
      <c r="AF9" s="264">
        <f>IF(AND('Zdroj data'!BG9="L",'Zdroj data'!AM9=Body!$AX$15),IF(AND('Zdroj data'!O9&gt;=Body!$AY$15,'Zdroj data'!O9&lt;=Body!$BA$15),Body!AY$6,IF(AND('Zdroj data'!O9&gt;=Body!$BB$15,'Zdroj data'!O9&lt;=Body!$BD$15),Body!BB$6,IF(AND('Zdroj data'!O9&gt;=Body!$BE$15,'Zdroj data'!O9&lt;=Body!$BG$15),Body!BE$6,IF(AND('Zdroj data'!O9&gt;=Body!$BH$15,'Zdroj data'!O9&lt;=Body!$BJ$15),Body!BH$6,IF(AND('Zdroj data'!O9&gt;=Body!$BK$15,'Zdroj data'!O9&lt;=Body!$BM$15),Body!BK$6,IF(AND('Zdroj data'!O9&gt;=Body!$BN$15,'Zdroj data'!O9&lt;=Body!$BP$15),Body!$BN$6,IF(AND('Zdroj data'!O9&gt;=Body!$BQ$15,'Zdroj data'!O9&lt;=Body!$BS$15),Body!$BQ$6,IF(AND('Zdroj data'!O9&gt;=Body!$BT$15,'Zdroj data'!O9&lt;=Body!$BV$15),Body!BT$6,IF(AND('Zdroj data'!O9&gt;=Body!$BW$15,'Zdroj data'!O9&lt;=Body!$BY$15),Body!$BW$6,IF('Zdroj data'!O9&gt;=Body!$CB$15,Body!$BZ$6," ")))))))))),IF(AND('Zdroj data'!BG9="ST",'Zdroj data'!AM9=Body!$AX$16),IF(AND('Zdroj data'!O9&gt;=Body!$AY$16,'Zdroj data'!O9&lt;=Body!$BA$16),Body!$AY$6,IF(AND('Zdroj data'!O9&gt;=Body!$BB$16,'Zdroj data'!O9&lt;=Body!$BD$16),Body!$BB$6,IF(AND('Zdroj data'!O9&gt;=Body!$BE$16,'Zdroj data'!O9&lt;=Body!$BG$16),Body!$BE$6,IF(AND('Zdroj data'!O9&gt;=Body!$BH$16,'Zdroj data'!O9&lt;=Body!$BJ$16),Body!$BH$6,IF(AND('Zdroj data'!O9&gt;=Body!$BK$16,'Zdroj data'!O9&lt;=Body!$BM$16),Body!$BK$6,IF(AND('Zdroj data'!O9&gt;=Body!$BN$16,'Zdroj data'!O9&lt;=Body!$BP$16),Body!$BN$6,IF(AND('Zdroj data'!O9&gt;=Body!$BQ$16,'Zdroj data'!O9&lt;=Body!$BS$16),Body!$BQ$6,IF(AND('Zdroj data'!O9&gt;=Body!$BT$16,'Zdroj data'!O9&lt;=Body!$BV$16),Body!$BT$6,IF(AND('Zdroj data'!O9&gt;=Body!$BW$16,'Zdroj data'!O9&lt;=Body!$BY$16),Body!$BW$6,IF('Zdroj data'!O9&gt;=Body!$CB$16,Body!$BZ$6," ")))))))))),IF(AND('Zdroj data'!BG9="T",'Zdroj data'!AM9=Body!$AX$17),IF(AND('Zdroj data'!O9&gt;=Body!$AY$17,'Zdroj data'!O9&lt;=Body!$BA$17),Body!$AY$6,IF(AND('Zdroj data'!O9&gt;=Body!$BB$17,'Zdroj data'!O9&lt;=Body!$BD$17),Body!$BB$6,IF(AND('Zdroj data'!O9&gt;=Body!$BE$17,'Zdroj data'!O9&lt;=Body!$BG$17),Body!$BE$6,IF(AND('Zdroj data'!O9&gt;=Body!$BH$17,'Zdroj data'!O9&lt;=Body!BJ23),Body!$BH$6,IF(AND('Zdroj data'!O9&gt;=Body!$BK$17,'Zdroj data'!O9&lt;=Body!$BM$17),Body!$BK$6,IF(AND('Zdroj data'!O9&gt;=Body!$BN$17,'Zdroj data'!O9&lt;=Body!$BP$17),Body!$BN$6,IF(AND('Zdroj data'!O9&gt;=Body!$BQ$17,'Zdroj data'!O9&lt;=Body!$BS$17),Body!$BQ$6,IF(AND('Zdroj data'!O9&gt;=Body!$BT$17,'Zdroj data'!O9&lt;=Body!$BV$17),Body!$BT$6,IF(AND('Zdroj data'!O9&gt;=Body!$BW$17,'Zdroj data'!O9&lt;=Body!$BY$17),Body!$BW$6,IF('Zdroj data'!O9&gt;=Body!$CB$17,Body!$BZ$6," "))))))))))," ")))</f>
        <v>1</v>
      </c>
      <c r="AG9" s="264">
        <f>IF(AND('Zdroj data'!$BG9="L",'Zdroj data'!$AM9=Body!$AX$15),IF(AND(Tabulka1[[#This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data'!$BG9="ST",'Zdroj data'!$AM9=Body!$AX$16),IF(AND(Tabulka1[[#This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data'!$BG9="T",'Zdroj data'!$AM9=Body!$AX$17),IF(AND(Tabulka1[[#This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Row],[K2O_60]]&lt;=Body!BJ23),Body!$BH$6,IF(AND(Tabulka1[[#This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9" s="264" t="str">
        <f>IF(AND('Zdroj data'!BG9="L",'Zdroj data'!AM9=Body!$AX$18),IF(AND('Zdroj data'!O9&gt;=Body!$AY$18,'Zdroj data'!O9&lt;=Body!$BA$18),Body!AY$6,IF(AND('Zdroj data'!O9&gt;=Body!$BB$18,'Zdroj data'!O9&lt;=Body!$BD$18),Body!BB$6,IF(AND('Zdroj data'!O9&gt;=Body!$BE$18,'Zdroj data'!O9&lt;=Body!$BG$18),Body!BE$6,IF(AND('Zdroj data'!O9&gt;=Body!$BH$18,'Zdroj data'!O9&lt;=Body!$BJ$18),Body!BH$6,IF(AND('Zdroj data'!O9&gt;=Body!$BK$18,'Zdroj data'!O9&lt;=Body!$BM$18),Body!$BK$6,IF(AND('Zdroj data'!O9&gt;=Body!$BN$18,'Zdroj data'!O9&lt;=Body!$BP$18),Body!BN$6,IF(AND('Zdroj data'!O9&gt;=Body!$BQ$18,'Zdroj data'!O9&lt;=Body!$BS$18),Body!$BQ$6,IF(AND('Zdroj data'!O9&gt;=Body!$BT$18,'Zdroj data'!O9&lt;=Body!$BV$18),Body!$BT$6,IF(AND('Zdroj data'!O9&gt;=Body!$BW$18,'Zdroj data'!O9&lt;=Body!$BY$18),Body!$BW$6,IF('Zdroj data'!O9&gt;=Body!$CB$18,Body!$BZ$6," ")))))))))),IF(AND('Zdroj data'!BG9="ST",'Zdroj data'!AM9=Body!$AX$19),IF(AND('Zdroj data'!O9&gt;=Body!$AY$19,'Zdroj data'!O9&lt;=Body!$BA$19),Body!$AY$6,IF(AND('Zdroj data'!O9&gt;=Body!$BB$19,'Zdroj data'!O9&lt;=Body!$BD$19),Body!$BB$6,IF(AND('Zdroj data'!O9&gt;=Body!$BE$19,'Zdroj data'!O9&lt;=Body!$BG$19),Body!$BE$6,IF(AND('Zdroj data'!O9&gt;=Body!$BH$19,'Zdroj data'!O9&lt;=Body!$BJ$19),Body!$BH$6,IF(AND('Zdroj data'!O9&gt;=Body!$BK$19,'Zdroj data'!O9&lt;=Body!$BM$19),Body!$BK$6,IF(AND('Zdroj data'!O9&gt;=Body!$BN$19,'Zdroj data'!O9&lt;=Body!$BP$19),Body!$BN$6,IF(AND('Zdroj data'!O9&gt;=Body!$BQ$19,'Zdroj data'!O9&lt;=Body!$BS$19),Body!$BQ$6,IF(AND('Zdroj data'!O9&gt;=Body!$BT$19,'Zdroj data'!O13&lt;=Body!$BV$19),Body!$BT$6,IF(AND('Zdroj data'!O9&gt;=Body!$BW$19,'Zdroj data'!O9&lt;=Body!$BY$19),Body!$BW$6,IF('Zdroj data'!O9&gt;=Body!$CB$19,Body!$BZ$6," ")))))))))),IF(AND('Zdroj data'!BG9="T",'Zdroj data'!AM9=Body!$AX$20),IF(AND('Zdroj data'!O9&gt;=Body!$AY$20,'Zdroj data'!O9&lt;=Body!$BA$20),Body!$AY$6,IF(AND('Zdroj data'!O9&gt;=Body!$BB$20,'Zdroj data'!O9&lt;=Body!$BD$20),Body!$BB$6,IF(AND('Zdroj data'!O9&gt;=Body!$BE$20,'Zdroj data'!O9&lt;=Body!$BG$20),Body!$BE$6,IF(AND('Zdroj data'!O9&gt;=Body!$BH$20,'Zdroj data'!O9&lt;=Body!$BJ$20),Body!$BH$6,IF(AND('Zdroj data'!O9&gt;=Body!$BK$20,'Zdroj data'!O9&lt;=Body!$BM$20),Body!$BK$6,IF(AND('Zdroj data'!O9&gt;=Body!$BN$20,'Zdroj data'!O9&lt;=Body!$BP$20),Body!$BN$6,IF(AND('Zdroj data'!O9&gt;=Body!$BQ$20,'Zdroj data'!O9&lt;=Body!$BS$20),Body!$BQ$6,IF(AND('Zdroj data'!O9&gt;=Body!$BT$20,'Zdroj data'!O9&lt;=Body!BV26),Body!$BT$6,IF(AND('Zdroj data'!O9&gt;=Body!$BW$20,'Zdroj data'!O9&lt;=Body!$BY$20),Body!$BW$6,IF('Zdroj data'!O9&gt;=Body!$CB$20,Body!$BZ$6," "))))))))))," ")))</f>
        <v xml:space="preserve"> </v>
      </c>
      <c r="AI9" s="264" t="str">
        <f>IF(AND('Zdroj data'!$BG9="L",'Zdroj data'!$AM9=Body!$AX$18),IF(AND(Tabulka1[[#This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data'!$BG9="ST",'Zdroj data'!$AM9=Body!$AX$19),IF(AND(Tabulka1[[#This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data'!$BG9="T",'Zdroj data'!$AM9=Body!$AX$20),IF(AND(Tabulka1[[#This Row],[K2O_60]]&gt;=Body!$AY$20,'Zdroj data'!O9&lt;=Body!$BA$20),Body!$AY$6,IF(AND(Tabulka1[[#This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Row],[K2O_60]]&lt;=Body!BV26),Body!$BT$6,IF(AND(Tabulka1[[#This Row],[K2O_60]]&gt;=Body!$BW$20,Tabulka1[[#This Row],[K2O_60]]&lt;=Body!$BY$20),Body!$BW$6,IF(Tabulka1[[#This Row],[K2O_60]]&gt;=Body!$CB$20,Body!$BZ$6," "))))))))))," ")))</f>
        <v xml:space="preserve"> </v>
      </c>
      <c r="AJ9" s="265">
        <f t="shared" si="2"/>
        <v>14.666666666666682</v>
      </c>
      <c r="AK9" s="264">
        <f t="shared" si="3"/>
        <v>28.118858336856039</v>
      </c>
      <c r="AL9" s="264">
        <f t="shared" si="4"/>
        <v>26.400233746152178</v>
      </c>
      <c r="AM9" s="264">
        <f t="shared" si="5"/>
        <v>64.25326286209345</v>
      </c>
      <c r="AN9" s="264">
        <f t="shared" si="6"/>
        <v>64.25326286209345</v>
      </c>
      <c r="AO9" s="265">
        <f t="shared" si="0"/>
        <v>92.372121198949486</v>
      </c>
      <c r="AP9" s="265">
        <f t="shared" si="1"/>
        <v>90.653496608245632</v>
      </c>
      <c r="AQ9" s="318"/>
      <c r="AR9" s="338">
        <f t="shared" si="7"/>
        <v>197.6922844738618</v>
      </c>
      <c r="AS9" s="318"/>
      <c r="AT9" s="454"/>
      <c r="AU9" s="468"/>
      <c r="AV9" s="152">
        <v>0.30765362808196162</v>
      </c>
      <c r="AW9" s="33" t="s">
        <v>974</v>
      </c>
      <c r="AX9" s="34"/>
      <c r="AY9" s="33">
        <v>0</v>
      </c>
      <c r="AZ9" s="35" t="s">
        <v>856</v>
      </c>
      <c r="BA9" s="36">
        <v>0.49</v>
      </c>
      <c r="BB9" s="37">
        <v>0.5</v>
      </c>
      <c r="BC9" s="38" t="s">
        <v>858</v>
      </c>
      <c r="BD9" s="36">
        <v>0.99</v>
      </c>
      <c r="BE9" s="37">
        <v>1</v>
      </c>
      <c r="BF9" s="39" t="s">
        <v>858</v>
      </c>
      <c r="BG9" s="36">
        <v>1.49</v>
      </c>
      <c r="BH9" s="40">
        <v>1.5</v>
      </c>
      <c r="BI9" s="39" t="s">
        <v>858</v>
      </c>
      <c r="BJ9" s="41">
        <v>1.89</v>
      </c>
      <c r="BK9" s="42">
        <v>1.9</v>
      </c>
      <c r="BL9" s="38" t="s">
        <v>858</v>
      </c>
      <c r="BM9" s="41">
        <v>2.29</v>
      </c>
      <c r="BN9" s="42">
        <v>2.2999999999999998</v>
      </c>
      <c r="BO9" s="38" t="s">
        <v>858</v>
      </c>
      <c r="BP9" s="41">
        <v>2.69</v>
      </c>
      <c r="BQ9" s="42">
        <v>2.7</v>
      </c>
      <c r="BR9" s="38" t="s">
        <v>858</v>
      </c>
      <c r="BS9" s="41">
        <v>2.99</v>
      </c>
      <c r="BT9" s="42">
        <v>3</v>
      </c>
      <c r="BU9" s="38" t="s">
        <v>858</v>
      </c>
      <c r="BV9" s="41">
        <v>3.99</v>
      </c>
      <c r="BW9" s="42">
        <v>4</v>
      </c>
      <c r="BX9" s="38" t="s">
        <v>858</v>
      </c>
      <c r="BY9" s="41">
        <v>4.99</v>
      </c>
      <c r="BZ9" s="42"/>
      <c r="CA9" s="38" t="s">
        <v>855</v>
      </c>
      <c r="CB9" s="41">
        <v>5</v>
      </c>
      <c r="CD9" s="66"/>
      <c r="CE9" s="136"/>
      <c r="CF9" s="66"/>
    </row>
    <row r="10" spans="1:84" ht="15.5" x14ac:dyDescent="0.35">
      <c r="A10" s="270">
        <v>824</v>
      </c>
      <c r="B10" s="156" t="s">
        <v>565</v>
      </c>
      <c r="C10" s="250" t="str">
        <f>VLOOKUP(B10,'Zdroj hloubka okresy'!$A$2:$D$171,2,FALSE)</f>
        <v>Pribram</v>
      </c>
      <c r="D10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10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10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6</v>
      </c>
      <c r="G10" s="264">
        <f>IF(AND(Tabulka1[[#This Row],[hum_60]]&gt;AY16,Tabulka1[[#This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0" s="264">
        <f>IF(Tabulka1[[#This Row],[kv.ek.]]=Body!$AX$13,IF(AND('Zdroj data'!M10&gt;=Body!$AY$13,'Zdroj data'!M10&lt;=Body!$BA$13),Body!$AY$6,IF(AND('Zdroj data'!M10&gt;=Body!$BB$13,'Zdroj data'!M10&lt;=Body!$BD$13),Body!$BB$6,IF(AND('Zdroj data'!M10&gt;=Body!$BE$13,'Zdroj data'!M10&lt;=Body!$BG$13),Body!$BE$6,IF(AND('Zdroj data'!M10&gt;=Body!$BH$13,'Zdroj data'!M10&lt;=Body!$BJ$13),Body!$BH$6,IF(AND('Zdroj data'!M10&gt;=Body!$BK$13,'Zdroj data'!M10&lt;=Body!$BM$13),Body!$BK$6,IF(AND('Zdroj data'!M10&gt;=Body!$BN$13,'Zdroj data'!M10&lt;=Body!$BP$13),Body!$BN$6,IF(AND('Zdroj data'!M10&gt;=Body!$BQ$13,'Zdroj data'!M10&lt;=Body!$BS$13),Body!$BQ$6,IF(AND('Zdroj data'!M10&gt;=Body!$BT$13,'Zdroj data'!M10&lt;=Body!$BV$13),Body!$BT$6,IF(AND('Zdroj data'!M10&gt;=Body!$BW$13,'Zdroj data'!M10&lt;=Body!$BY$13),Body!$BW$6,IF('Zdroj data'!M10&gt;=Body!$CB$13,Body!$BZ$6,"")))))))))),IF(Tabulka1[[#This Row],[kv.ek.]]=Body!$AX$14,IF(AND('Zdroj data'!N10&gt;=Body!$AY$14,'Zdroj data'!N10&lt;=Body!$BA$14),Body!$AY$6,IF(AND('Zdroj data'!N10&gt;=Body!$BB$14,'Zdroj data'!N10&lt;=Body!$BD$14),Body!$BB$6,IF(AND('Zdroj data'!N10&gt;=Body!$BE$14,'Zdroj data'!N10&lt;=Body!$BG$14),Body!$BE$6,IF(AND('Zdroj data'!N10&gt;=Body!$BH$14,'Zdroj data'!N10&lt;=Body!$BJ$14),Body!$BH$6,IF(AND('Zdroj data'!N10&gt;=Body!$BK$14,'Zdroj data'!N10&lt;=Body!$BM$14),Body!$BK$6,IF(AND('Zdroj data'!N10&gt;=Body!$BN$14,'Zdroj data'!N10&lt;=Body!$BP$14),Body!$BN$6,IF(AND('Zdroj data'!N10&gt;=Body!$BQ$14,'Zdroj data'!N10&lt;=Body!$BS$14),Body!$BQ$6,IF(AND('Zdroj data'!N10&gt;=Body!$BT$14,'Zdroj data'!N10&lt;=Body!$BV$14),Body!$BT$6,IF(AND('Zdroj data'!N10&gt;=Body!$BW$14,'Zdroj data'!N10&lt;=Body!$BY$14),Body!$BW$6,IF('Zdroj data'!N10&gt;=Body!$CB$14,Body!$BZ$6,"")))))))))),""))</f>
        <v>1</v>
      </c>
      <c r="I10" s="264">
        <f>IF(Tabulka1[[#This Row],[kv.ek.]]=Body!$AX$13,IF(AND('Zdroj data'!N10&gt;=Body!$AY$13,'Zdroj data'!N10&lt;=Body!$BA$13),Body!$AY$6,IF(AND('Zdroj data'!N10&gt;=Body!$BB$13,'Zdroj data'!N10&lt;=Body!$BD$13),Body!$BB$6,IF(AND('Zdroj data'!N10&gt;=Body!$BE$13,'Zdroj data'!N10&lt;=Body!$BG$13),Body!$BE$6,IF(AND('Zdroj data'!N10&gt;=Body!$BH$13,'Zdroj data'!N10&lt;=Body!$BJ$13),Body!$BH$6,IF(AND('Zdroj data'!N10&gt;=Body!$BK$13,'Zdroj data'!N10&lt;=Body!$BM$13),Body!$BK$6,IF(AND('Zdroj data'!N10&gt;=Body!$BN$13,'Zdroj data'!N10&lt;=Body!$BP$13),Body!$BN$6,IF(AND('Zdroj data'!N10&gt;=Body!$BQ$13,'Zdroj data'!N10&lt;=Body!$BS$13),Body!$BQ$6,IF(AND('Zdroj data'!N10&gt;=Body!$BT$13,'Zdroj data'!N10&lt;=Body!$BV$13),Body!$BT$6,IF(AND('Zdroj data'!N10&gt;=Body!$BW$13,'Zdroj data'!N10&lt;=Body!$BY$13),Body!$BW$6,IF('Zdroj data'!N10&gt;=Body!$CB$13,Body!$BZ$6," ")))))))))),IF(Tabulka1[[#This Row],[kv.ek.]]=Body!$AX$14,IF(AND('Zdroj data'!O10&gt;=Body!$AY$14,'Zdroj data'!O10&lt;=Body!$BA$14),Body!$AY$6,IF(AND('Zdroj data'!O10&gt;=Body!$BB$14,'Zdroj data'!O10&lt;=Body!$BD$14),Body!$BB$6,IF(AND('Zdroj data'!O10&gt;=Body!$BE$14,'Zdroj data'!O10&lt;=Body!$BG$14),Body!$BE$6,IF(AND('Zdroj data'!O10&gt;=Body!$BH$14,'Zdroj data'!O10&lt;=Body!$BJ$14),Body!$BH$6,IF(AND('Zdroj data'!O10&gt;=Body!$BK$14,'Zdroj data'!O10&lt;=Body!$BM$14),Body!$BK$6,IF(AND('Zdroj data'!O10&gt;=Body!$BN$14,'Zdroj data'!O10&lt;=Body!$BP$14),Body!$BN$6,IF(AND('Zdroj data'!O10&gt;=Body!$BQ$14,'Zdroj data'!O10&lt;=Body!$BS$14),Body!$BQ$6,IF(AND('Zdroj data'!O10&gt;=Body!$BT$14,'Zdroj data'!O10&lt;=Body!$BV$14),Body!$BT$6,IF(AND('Zdroj data'!O10&gt;=Body!$BW$14,'Zdroj data'!O10&lt;=Body!$BY$14),Body!$BW$6,IF('Zdroj data'!O10&gt;=Body!$CB$14,Body!$BZ$6," "))))))))))," "))</f>
        <v>1</v>
      </c>
      <c r="J10" s="264">
        <f t="shared" si="8"/>
        <v>2</v>
      </c>
      <c r="K10" s="264">
        <f t="shared" si="9"/>
        <v>1</v>
      </c>
      <c r="L10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10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10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4</v>
      </c>
      <c r="O10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4</v>
      </c>
      <c r="P10" s="264">
        <f>IF(Tabulka1[[#This Row],[RVK]]=Body!$BE$10,Body!$BE$6,IF(Tabulka1[[#This Row],[RVK]]=Body!$BK$10,Body!$BK$6,IF(Tabulka1[[#This Row],[RVK]]=Body!$BN$10,Body!$BN$6,IF(Tabulka1[[#This Row],[RVK]]=Body!$BZ$10,Body!$BZ$6," "))))</f>
        <v>10</v>
      </c>
      <c r="Q10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10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10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9</v>
      </c>
      <c r="T10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10" s="264">
        <f>IF('Zdroj data'!BB10=Body!$AY$25,Body!$AY$22,IF('Zdroj data'!BB10=Body!$BB$25,Body!$BB$22,IF('Zdroj data'!BB10=Body!$BE$25,Body!$BE$22,IF('Zdroj data'!BB10=Body!$BH$25,Body!$BH$22,IF('Zdroj data'!BB10=Body!BK$25,Body!$BK$22,IF('Zdroj data'!BB10=Body!$BN$25,Body!$BN$22,IF('Zdroj data'!BB10=Body!$BQ$25,Body!$BQ$22,IF('Zdroj data'!BB10=Body!$BT$25,Body!$BT$22,IF('Zdroj data'!BB10=Body!$BW$25,Body!$BW$22,IF('Zdroj data'!BB10=Body!$BZ$25,Body!$BZ$22," "))))))))))</f>
        <v>3</v>
      </c>
      <c r="V10" s="264">
        <f>IF(AND('Zdroj data'!BO10&gt;Body!$AY$27,'Zdroj data'!BO10&lt;=Body!$BA$27),Body!$AY$22,IF(AND('Zdroj data'!BO10&gt;=Body!$BB$27,'Zdroj data'!BO10&lt;=Body!$BD$27),Body!$BB$22,IF(AND('Zdroj data'!BO10&gt;=Body!$BE$27,'Zdroj data'!BO10&lt;=Body!$BG$27),Body!$BE$22,IF(AND('Zdroj data'!BO10&gt;=Body!$BH$27,'Zdroj data'!BO10&lt;=Body!$BJ$27),Body!$BH$22,IF(AND('Zdroj data'!BO10&gt;=Body!$BK$27,'Zdroj data'!BO10&lt;=Body!$BM$27),Body!$BK$22,IF(AND('Zdroj data'!BO10&gt;=Body!$BN$27,'Zdroj data'!BO10&lt;=Body!$BP$27),Body!$BN$22,IF(AND('Zdroj data'!BO10&gt;=Body!$BQ$27,'Zdroj data'!BO10&lt;=Body!$BS$27),Body!$BQ$22,IF(AND('Zdroj data'!BO10&gt;=Body!$BT$27,'Zdroj data'!BO10&lt;=Body!$BV$27),Body!$BT$22,IF(AND('Zdroj data'!BO10&gt;=Body!$BW$27,'Zdroj data'!BO10&lt;=Body!$BY$27),Body!$BW$22,IF('Zdroj data'!BO10&gt;=Body!$CB$27,$BZ$22," "))))))))))</f>
        <v>5</v>
      </c>
      <c r="W10" s="264">
        <f>IF(AND('Zdroj data'!BP10&gt;Body!$AY$27,'Zdroj data'!BP10&lt;=Body!$BA$27),Body!$AY$22,IF(AND('Zdroj data'!BP10&gt;=Body!$BB$27,'Zdroj data'!BP10&lt;=Body!$BD$27),Body!$BB$22,IF(AND('Zdroj data'!BP10&gt;=Body!$BE$27,'Zdroj data'!BP10&lt;=Body!$BG$27),Body!$BE$22,IF(AND('Zdroj data'!BP10&gt;=Body!$BH$27,'Zdroj data'!BP10&lt;=Body!$BJ$27),Body!$BH$22,IF(AND('Zdroj data'!BP10&gt;=Body!$BK$27,'Zdroj data'!BP10&lt;=Body!$BM$27),Body!$BK$22,IF(AND('Zdroj data'!BP10&gt;=Body!$BN$27,'Zdroj data'!BP10&lt;=Body!$BP$27),Body!$BN$22,IF(AND('Zdroj data'!BP10&gt;=Body!$BQ$27,'Zdroj data'!BP10&lt;=Body!$BS$27),Body!$BQ$22,IF(AND('Zdroj data'!BP10&gt;=Body!$BT$27,'Zdroj data'!BP10&lt;=Body!$BV$27),Body!$BT$22,IF(AND('Zdroj data'!BP10&gt;=Body!$BW$27,'Zdroj data'!BP10&lt;=Body!$BY$27),Body!$BW$22,IF('Zdroj data'!BP10&gt;=Body!$CB$27,$BZ$22," "))))))))))</f>
        <v>5</v>
      </c>
      <c r="X10" s="264">
        <f>IF('Zdroj data'!BA10=Body!$BB$28,$BB$22,IF('Zdroj data'!BA10=Body!$BE$28,$BE$22,IF(OR('Zdroj data'!BA10=Body!$BK$28,'Zdroj data'!BA10=Body!$BL$28,'Zdroj data'!BA10=Body!$BM$28),$BK$22,IF(OR('Zdroj data'!BA10=Body!$BT$28,'Zdroj data'!BA10=Body!$BV$28),$BT$22,IF(OR('Zdroj data'!BA10=Body!$BW$28,'Zdroj data'!BA10=Body!$BY$28),$BW$22,IF('Zdroj data'!BA10=Body!$BZ$28,$BZ$22," "))))))</f>
        <v>9</v>
      </c>
      <c r="Y10" s="264">
        <f>IF('Zdroj data'!AZ10=Body!$BZ$29,Body!$BZ$22,IF(OR('Zdroj data'!AZ10=$BT$29,'Zdroj data'!AZ10=$BU$29,'Zdroj data'!AZ10=$BV$29),$BT$22,IF(OR('Zdroj data'!AZ10=$BK$29,'Zdroj data'!AZ10=$BM$29),$BK$22,IF(OR('Zdroj data'!AZ10=$BE$29,'Zdroj data'!AZ10=$BG$29),$BE$22,IF(OR('Zdroj data'!AZ10=$AY$29,'Zdroj data'!AZ10=$BA$29),$AY$22," ")))))</f>
        <v>10</v>
      </c>
      <c r="Z10" s="264">
        <f>IF(AND('Zdroj data'!BF10="T",(OR('Zdroj data'!AZ10=Body!$AW$45,'Zdroj data'!AZ10=Body!$AW$46,'Zdroj data'!AZ10=Body!$AW$47,'Zdroj data'!AZ10=Body!$AW$48))),Body!$AY$22,IF(AND('Zdroj data'!BF10="T",(OR('Zdroj data'!AZ10=$AW$49,'Zdroj data'!AZ10=$AW$50,'Zdroj data'!AZ10=$AW$51,'Zdroj data'!AZ10=$AW$52))),$BZ$22,IF(AND(OR('Zdroj data'!BF10="VT",'Zdroj data'!BF10="T",'Zdroj data'!BF10="CH"),(OR('Zdroj data'!AZ10=$AW$43,'Zdroj data'!AZ10=$AW$44,))),$BZ$22,IF(AND('Zdroj data'!BF10="CH",(OR('Zdroj data'!AZ10=$AW$49,'Zdroj data'!AZ10=$AW$50,'Zdroj data'!AZ10=$AW$51,'Zdroj data'!AZ10=$AW$52))),$AY$22,IF(AND('Zdroj data'!BF10="CH",(OR('Zdroj data'!AZ10=$AW$45,'Zdroj data'!AZ10=$AW$46,'Zdroj data'!AZ10=$AW$47,'Zdroj data'!AZ10=$AW$48))),$BZ$22," ")))))</f>
        <v>10</v>
      </c>
      <c r="AA10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</v>
      </c>
      <c r="AB10" s="264">
        <f>IF(Tabulka1[[#This Row],[kv.ek.]]=Body!$BK$35,Body!$BK$34,IF(Tabulka1[[#This Row],[kv.ek.]]=Body!$BZ$35,Body!$BZ$34," "))</f>
        <v>5</v>
      </c>
      <c r="AC10" s="264" t="str">
        <f>IF(AND('Zdroj data'!BF10="T",(OR('Zdroj data'!AZ10=Body!$AW$45,'Zdroj data'!AZ10=Body!$AW$46,'Zdroj data'!AZ10=Body!$AW$47,'Zdroj data'!AZ10=Body!$AW$48))),Body!$AY$22,IF(AND('Zdroj data'!BF10="T",(OR('Zdroj data'!AZ10=$AW$49,'Zdroj data'!AZ10=$AW$50,'Zdroj data'!AZ10=$AW$51,'Zdroj data'!AZ10=$AW$52))),$BZ$22," "))</f>
        <v xml:space="preserve"> </v>
      </c>
      <c r="AD10" s="264">
        <f>IF(AND(OR('Zdroj data'!BF10="VT",'Zdroj data'!BF10="T",'Zdroj data'!BF10="CH"),(OR('Zdroj data'!AZ10=$AW$43,'Zdroj data'!AZ10=$AW$44,))),$BZ$22," ")</f>
        <v>10</v>
      </c>
      <c r="AE10" s="264" t="str">
        <f>IF(AND('Zdroj data'!BF10="CH",(OR('Zdroj data'!AZ10=$AW$49,'Zdroj data'!AZ10=$AW$50,'Zdroj data'!AZ10=$AW$51,'Zdroj data'!AZ10=$AW$52))),$AY$22,IF(AND('Zdroj data'!BF10="CH",(OR('Zdroj data'!AZ10=$AW$45,'Zdroj data'!AZ10=$AW$46,'Zdroj data'!AZ10=$AW$47,'Zdroj data'!AZ10=$AW$48))),$BZ$22," "))</f>
        <v xml:space="preserve"> </v>
      </c>
      <c r="AF10" s="264">
        <f>IF(AND('Zdroj data'!BG10="L",'Zdroj data'!AM10=Body!$AX$15),IF(AND('Zdroj data'!O10&gt;=Body!$AY$15,'Zdroj data'!O10&lt;=Body!$BA$15),Body!AY$6,IF(AND('Zdroj data'!O10&gt;=Body!$BB$15,'Zdroj data'!O10&lt;=Body!$BD$15),Body!BB$6,IF(AND('Zdroj data'!O10&gt;=Body!$BE$15,'Zdroj data'!O10&lt;=Body!$BG$15),Body!BE$6,IF(AND('Zdroj data'!O10&gt;=Body!$BH$15,'Zdroj data'!O10&lt;=Body!$BJ$15),Body!BH$6,IF(AND('Zdroj data'!O10&gt;=Body!$BK$15,'Zdroj data'!O10&lt;=Body!$BM$15),Body!BK$6,IF(AND('Zdroj data'!O10&gt;=Body!$BN$15,'Zdroj data'!O10&lt;=Body!$BP$15),Body!$BN$6,IF(AND('Zdroj data'!O10&gt;=Body!$BQ$15,'Zdroj data'!O10&lt;=Body!$BS$15),Body!$BQ$6,IF(AND('Zdroj data'!O10&gt;=Body!$BT$15,'Zdroj data'!O10&lt;=Body!$BV$15),Body!BT$6,IF(AND('Zdroj data'!O10&gt;=Body!$BW$15,'Zdroj data'!O10&lt;=Body!$BY$15),Body!$BW$6,IF('Zdroj data'!O10&gt;=Body!$CB$15,Body!$BZ$6," ")))))))))),IF(AND('Zdroj data'!BG10="ST",'Zdroj data'!AM10=Body!$AX$16),IF(AND('Zdroj data'!O10&gt;=Body!$AY$16,'Zdroj data'!O10&lt;=Body!$BA$16),Body!$AY$6,IF(AND('Zdroj data'!O10&gt;=Body!$BB$16,'Zdroj data'!O10&lt;=Body!$BD$16),Body!$BB$6,IF(AND('Zdroj data'!O10&gt;=Body!$BE$16,'Zdroj data'!O10&lt;=Body!$BG$16),Body!$BE$6,IF(AND('Zdroj data'!O10&gt;=Body!$BH$16,'Zdroj data'!O10&lt;=Body!$BJ$16),Body!$BH$6,IF(AND('Zdroj data'!O10&gt;=Body!$BK$16,'Zdroj data'!O10&lt;=Body!$BM$16),Body!$BK$6,IF(AND('Zdroj data'!O10&gt;=Body!$BN$16,'Zdroj data'!O10&lt;=Body!$BP$16),Body!$BN$6,IF(AND('Zdroj data'!O10&gt;=Body!$BQ$16,'Zdroj data'!O10&lt;=Body!$BS$16),Body!$BQ$6,IF(AND('Zdroj data'!O10&gt;=Body!$BT$16,'Zdroj data'!O10&lt;=Body!$BV$16),Body!$BT$6,IF(AND('Zdroj data'!O10&gt;=Body!$BW$16,'Zdroj data'!O10&lt;=Body!$BY$16),Body!$BW$6,IF('Zdroj data'!O10&gt;=Body!$CB$16,Body!$BZ$6," ")))))))))),IF(AND('Zdroj data'!BG10="T",'Zdroj data'!AM10=Body!$AX$17),IF(AND('Zdroj data'!O10&gt;=Body!$AY$17,'Zdroj data'!O10&lt;=Body!$BA$17),Body!$AY$6,IF(AND('Zdroj data'!O10&gt;=Body!$BB$17,'Zdroj data'!O10&lt;=Body!$BD$17),Body!$BB$6,IF(AND('Zdroj data'!O10&gt;=Body!$BE$17,'Zdroj data'!O10&lt;=Body!$BG$17),Body!$BE$6,IF(AND('Zdroj data'!O10&gt;=Body!$BH$17,'Zdroj data'!O10&lt;=Body!BJ24),Body!$BH$6,IF(AND('Zdroj data'!O10&gt;=Body!$BK$17,'Zdroj data'!O10&lt;=Body!$BM$17),Body!$BK$6,IF(AND('Zdroj data'!O10&gt;=Body!$BN$17,'Zdroj data'!O10&lt;=Body!$BP$17),Body!$BN$6,IF(AND('Zdroj data'!O10&gt;=Body!$BQ$17,'Zdroj data'!O10&lt;=Body!$BS$17),Body!$BQ$6,IF(AND('Zdroj data'!O10&gt;=Body!$BT$17,'Zdroj data'!O10&lt;=Body!$BV$17),Body!$BT$6,IF(AND('Zdroj data'!O10&gt;=Body!$BW$17,'Zdroj data'!O10&lt;=Body!$BY$17),Body!$BW$6,IF('Zdroj data'!O10&gt;=Body!$CB$17,Body!$BZ$6," "))))))))))," ")))</f>
        <v>2</v>
      </c>
      <c r="AG10" s="264">
        <f>IF(AND('Zdroj data'!$BG10="L",'Zdroj data'!$AM10=Body!$AX$15),IF(AND(Tabulka1[[#This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data'!$BG10="ST",'Zdroj data'!$AM10=Body!$AX$16),IF(AND(Tabulka1[[#This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data'!$BG10="T",'Zdroj data'!$AM10=Body!$AX$17),IF(AND(Tabulka1[[#This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Row],[K2O_60]]&lt;=Body!BJ24),Body!$BH$6,IF(AND(Tabulka1[[#This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0" s="264" t="str">
        <f>IF(AND('Zdroj data'!BG10="L",'Zdroj data'!AM10=Body!$AX$18),IF(AND('Zdroj data'!O10&gt;=Body!$AY$18,'Zdroj data'!O10&lt;=Body!$BA$18),Body!AY$6,IF(AND('Zdroj data'!O10&gt;=Body!$BB$18,'Zdroj data'!O10&lt;=Body!$BD$18),Body!BB$6,IF(AND('Zdroj data'!O10&gt;=Body!$BE$18,'Zdroj data'!O10&lt;=Body!$BG$18),Body!BE$6,IF(AND('Zdroj data'!O10&gt;=Body!$BH$18,'Zdroj data'!O10&lt;=Body!$BJ$18),Body!BH$6,IF(AND('Zdroj data'!O10&gt;=Body!$BK$18,'Zdroj data'!O10&lt;=Body!$BM$18),Body!$BK$6,IF(AND('Zdroj data'!O10&gt;=Body!$BN$18,'Zdroj data'!O10&lt;=Body!$BP$18),Body!BN$6,IF(AND('Zdroj data'!O10&gt;=Body!$BQ$18,'Zdroj data'!O10&lt;=Body!$BS$18),Body!$BQ$6,IF(AND('Zdroj data'!O10&gt;=Body!$BT$18,'Zdroj data'!O10&lt;=Body!$BV$18),Body!$BT$6,IF(AND('Zdroj data'!O10&gt;=Body!$BW$18,'Zdroj data'!O10&lt;=Body!$BY$18),Body!$BW$6,IF('Zdroj data'!O10&gt;=Body!$CB$18,Body!$BZ$6," ")))))))))),IF(AND('Zdroj data'!BG10="ST",'Zdroj data'!AM10=Body!$AX$19),IF(AND('Zdroj data'!O10&gt;=Body!$AY$19,'Zdroj data'!O10&lt;=Body!$BA$19),Body!$AY$6,IF(AND('Zdroj data'!O10&gt;=Body!$BB$19,'Zdroj data'!O10&lt;=Body!$BD$19),Body!$BB$6,IF(AND('Zdroj data'!O10&gt;=Body!$BE$19,'Zdroj data'!O10&lt;=Body!$BG$19),Body!$BE$6,IF(AND('Zdroj data'!O10&gt;=Body!$BH$19,'Zdroj data'!O10&lt;=Body!$BJ$19),Body!$BH$6,IF(AND('Zdroj data'!O10&gt;=Body!$BK$19,'Zdroj data'!O10&lt;=Body!$BM$19),Body!$BK$6,IF(AND('Zdroj data'!O10&gt;=Body!$BN$19,'Zdroj data'!O10&lt;=Body!$BP$19),Body!$BN$6,IF(AND('Zdroj data'!O10&gt;=Body!$BQ$19,'Zdroj data'!O10&lt;=Body!$BS$19),Body!$BQ$6,IF(AND('Zdroj data'!O10&gt;=Body!$BT$19,'Zdroj data'!O14&lt;=Body!$BV$19),Body!$BT$6,IF(AND('Zdroj data'!O10&gt;=Body!$BW$19,'Zdroj data'!O10&lt;=Body!$BY$19),Body!$BW$6,IF('Zdroj data'!O10&gt;=Body!$CB$19,Body!$BZ$6," ")))))))))),IF(AND('Zdroj data'!BG10="T",'Zdroj data'!AM10=Body!$AX$20),IF(AND('Zdroj data'!O10&gt;=Body!$AY$20,'Zdroj data'!O10&lt;=Body!$BA$20),Body!$AY$6,IF(AND('Zdroj data'!O10&gt;=Body!$BB$20,'Zdroj data'!O10&lt;=Body!$BD$20),Body!$BB$6,IF(AND('Zdroj data'!O10&gt;=Body!$BE$20,'Zdroj data'!O10&lt;=Body!$BG$20),Body!$BE$6,IF(AND('Zdroj data'!O10&gt;=Body!$BH$20,'Zdroj data'!O10&lt;=Body!$BJ$20),Body!$BH$6,IF(AND('Zdroj data'!O10&gt;=Body!$BK$20,'Zdroj data'!O10&lt;=Body!$BM$20),Body!$BK$6,IF(AND('Zdroj data'!O10&gt;=Body!$BN$20,'Zdroj data'!O10&lt;=Body!$BP$20),Body!$BN$6,IF(AND('Zdroj data'!O10&gt;=Body!$BQ$20,'Zdroj data'!O10&lt;=Body!$BS$20),Body!$BQ$6,IF(AND('Zdroj data'!O10&gt;=Body!$BT$20,'Zdroj data'!O10&lt;=Body!BV27),Body!$BT$6,IF(AND('Zdroj data'!O10&gt;=Body!$BW$20,'Zdroj data'!O10&lt;=Body!$BY$20),Body!$BW$6,IF('Zdroj data'!O10&gt;=Body!$CB$20,Body!$BZ$6," "))))))))))," ")))</f>
        <v xml:space="preserve"> </v>
      </c>
      <c r="AI10" s="264" t="str">
        <f>IF(AND('Zdroj data'!$BG10="L",'Zdroj data'!$AM10=Body!$AX$18),IF(AND(Tabulka1[[#This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data'!$BG10="ST",'Zdroj data'!$AM10=Body!$AX$19),IF(AND(Tabulka1[[#This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data'!$BG10="T",'Zdroj data'!$AM10=Body!$AX$20),IF(AND(Tabulka1[[#This Row],[K2O_60]]&gt;=Body!$AY$20,'Zdroj data'!O10&lt;=Body!$BA$20),Body!$AY$6,IF(AND(Tabulka1[[#This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Row],[K2O_60]]&lt;=Body!BV27),Body!$BT$6,IF(AND(Tabulka1[[#This Row],[K2O_60]]&gt;=Body!$BW$20,Tabulka1[[#This Row],[K2O_60]]&lt;=Body!$BY$20),Body!$BW$6,IF(Tabulka1[[#This Row],[K2O_60]]&gt;=Body!$CB$20,Body!$BZ$6," "))))))))))," ")))</f>
        <v xml:space="preserve"> </v>
      </c>
      <c r="AJ10" s="265">
        <f t="shared" si="2"/>
        <v>2.6666666666666687</v>
      </c>
      <c r="AK10" s="264">
        <f t="shared" si="3"/>
        <v>33.974681040410886</v>
      </c>
      <c r="AL10" s="264">
        <f t="shared" si="4"/>
        <v>27.184674599624262</v>
      </c>
      <c r="AM10" s="264">
        <f t="shared" si="5"/>
        <v>64.249505424235963</v>
      </c>
      <c r="AN10" s="264">
        <f t="shared" si="6"/>
        <v>56.422257510083959</v>
      </c>
      <c r="AO10" s="265">
        <f t="shared" si="0"/>
        <v>98.224186464646849</v>
      </c>
      <c r="AP10" s="265">
        <f t="shared" si="1"/>
        <v>83.606932109708225</v>
      </c>
      <c r="AQ10" s="318"/>
      <c r="AR10" s="338">
        <f t="shared" si="7"/>
        <v>184.49778524102172</v>
      </c>
      <c r="AS10" s="318"/>
      <c r="AT10" s="454"/>
      <c r="AU10" s="468"/>
      <c r="AV10" s="152">
        <v>0.13145639775008175</v>
      </c>
      <c r="AW10" s="25" t="s">
        <v>807</v>
      </c>
      <c r="AX10" s="24"/>
      <c r="AY10" s="479">
        <v>0</v>
      </c>
      <c r="AZ10" s="480"/>
      <c r="BA10" s="481"/>
      <c r="BB10" s="45"/>
      <c r="BC10" s="29"/>
      <c r="BD10" s="44"/>
      <c r="BE10" s="479">
        <v>4</v>
      </c>
      <c r="BF10" s="480"/>
      <c r="BG10" s="481"/>
      <c r="BH10" s="479"/>
      <c r="BI10" s="480"/>
      <c r="BJ10" s="481"/>
      <c r="BK10" s="479">
        <v>3</v>
      </c>
      <c r="BL10" s="480"/>
      <c r="BM10" s="481"/>
      <c r="BN10" s="479">
        <v>2</v>
      </c>
      <c r="BO10" s="480"/>
      <c r="BP10" s="481"/>
      <c r="BQ10" s="482" t="s">
        <v>858</v>
      </c>
      <c r="BR10" s="483"/>
      <c r="BS10" s="484"/>
      <c r="BT10" s="482" t="s">
        <v>858</v>
      </c>
      <c r="BU10" s="483"/>
      <c r="BV10" s="484"/>
      <c r="BW10" s="482" t="s">
        <v>858</v>
      </c>
      <c r="BX10" s="483"/>
      <c r="BY10" s="484"/>
      <c r="BZ10" s="479">
        <v>1</v>
      </c>
      <c r="CA10" s="480"/>
      <c r="CB10" s="481"/>
    </row>
    <row r="11" spans="1:84" ht="15.5" x14ac:dyDescent="0.35">
      <c r="A11" s="270">
        <v>827</v>
      </c>
      <c r="B11" s="156" t="s">
        <v>545</v>
      </c>
      <c r="C11" s="250" t="str">
        <f>VLOOKUP(B11,'Zdroj hloubka okresy'!$A$2:$D$171,2,FALSE)</f>
        <v>Pribram</v>
      </c>
      <c r="D11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9</v>
      </c>
      <c r="E11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11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11" s="264">
        <f>IF(AND(Tabulka1[[#This Row],[hum_60]]&gt;AY17,Tabulka1[[#This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1" s="264">
        <f>IF(Tabulka1[[#This Row],[kv.ek.]]=Body!$AX$13,IF(AND('Zdroj data'!M11&gt;=Body!$AY$13,'Zdroj data'!M11&lt;=Body!$BA$13),Body!$AY$6,IF(AND('Zdroj data'!M11&gt;=Body!$BB$13,'Zdroj data'!M11&lt;=Body!$BD$13),Body!$BB$6,IF(AND('Zdroj data'!M11&gt;=Body!$BE$13,'Zdroj data'!M11&lt;=Body!$BG$13),Body!$BE$6,IF(AND('Zdroj data'!M11&gt;=Body!$BH$13,'Zdroj data'!M11&lt;=Body!$BJ$13),Body!$BH$6,IF(AND('Zdroj data'!M11&gt;=Body!$BK$13,'Zdroj data'!M11&lt;=Body!$BM$13),Body!$BK$6,IF(AND('Zdroj data'!M11&gt;=Body!$BN$13,'Zdroj data'!M11&lt;=Body!$BP$13),Body!$BN$6,IF(AND('Zdroj data'!M11&gt;=Body!$BQ$13,'Zdroj data'!M11&lt;=Body!$BS$13),Body!$BQ$6,IF(AND('Zdroj data'!M11&gt;=Body!$BT$13,'Zdroj data'!M11&lt;=Body!$BV$13),Body!$BT$6,IF(AND('Zdroj data'!M11&gt;=Body!$BW$13,'Zdroj data'!M11&lt;=Body!$BY$13),Body!$BW$6,IF('Zdroj data'!M11&gt;=Body!$CB$13,Body!$BZ$6,"")))))))))),IF(Tabulka1[[#This Row],[kv.ek.]]=Body!$AX$14,IF(AND('Zdroj data'!N11&gt;=Body!$AY$14,'Zdroj data'!N11&lt;=Body!$BA$14),Body!$AY$6,IF(AND('Zdroj data'!N11&gt;=Body!$BB$14,'Zdroj data'!N11&lt;=Body!$BD$14),Body!$BB$6,IF(AND('Zdroj data'!N11&gt;=Body!$BE$14,'Zdroj data'!N11&lt;=Body!$BG$14),Body!$BE$6,IF(AND('Zdroj data'!N11&gt;=Body!$BH$14,'Zdroj data'!N11&lt;=Body!$BJ$14),Body!$BH$6,IF(AND('Zdroj data'!N11&gt;=Body!$BK$14,'Zdroj data'!N11&lt;=Body!$BM$14),Body!$BK$6,IF(AND('Zdroj data'!N11&gt;=Body!$BN$14,'Zdroj data'!N11&lt;=Body!$BP$14),Body!$BN$6,IF(AND('Zdroj data'!N11&gt;=Body!$BQ$14,'Zdroj data'!N11&lt;=Body!$BS$14),Body!$BQ$6,IF(AND('Zdroj data'!N11&gt;=Body!$BT$14,'Zdroj data'!N11&lt;=Body!$BV$14),Body!$BT$6,IF(AND('Zdroj data'!N11&gt;=Body!$BW$14,'Zdroj data'!N11&lt;=Body!$BY$14),Body!$BW$6,IF('Zdroj data'!N11&gt;=Body!$CB$14,Body!$BZ$6,"")))))))))),""))</f>
        <v>6</v>
      </c>
      <c r="I11" s="264">
        <f>IF(Tabulka1[[#This Row],[kv.ek.]]=Body!$AX$13,IF(AND('Zdroj data'!N11&gt;=Body!$AY$13,'Zdroj data'!N11&lt;=Body!$BA$13),Body!$AY$6,IF(AND('Zdroj data'!N11&gt;=Body!$BB$13,'Zdroj data'!N11&lt;=Body!$BD$13),Body!$BB$6,IF(AND('Zdroj data'!N11&gt;=Body!$BE$13,'Zdroj data'!N11&lt;=Body!$BG$13),Body!$BE$6,IF(AND('Zdroj data'!N11&gt;=Body!$BH$13,'Zdroj data'!N11&lt;=Body!$BJ$13),Body!$BH$6,IF(AND('Zdroj data'!N11&gt;=Body!$BK$13,'Zdroj data'!N11&lt;=Body!$BM$13),Body!$BK$6,IF(AND('Zdroj data'!N11&gt;=Body!$BN$13,'Zdroj data'!N11&lt;=Body!$BP$13),Body!$BN$6,IF(AND('Zdroj data'!N11&gt;=Body!$BQ$13,'Zdroj data'!N11&lt;=Body!$BS$13),Body!$BQ$6,IF(AND('Zdroj data'!N11&gt;=Body!$BT$13,'Zdroj data'!N11&lt;=Body!$BV$13),Body!$BT$6,IF(AND('Zdroj data'!N11&gt;=Body!$BW$13,'Zdroj data'!N11&lt;=Body!$BY$13),Body!$BW$6,IF('Zdroj data'!N11&gt;=Body!$CB$13,Body!$BZ$6," ")))))))))),IF(Tabulka1[[#This Row],[kv.ek.]]=Body!$AX$14,IF(AND('Zdroj data'!O11&gt;=Body!$AY$14,'Zdroj data'!O11&lt;=Body!$BA$14),Body!$AY$6,IF(AND('Zdroj data'!O11&gt;=Body!$BB$14,'Zdroj data'!O11&lt;=Body!$BD$14),Body!$BB$6,IF(AND('Zdroj data'!O11&gt;=Body!$BE$14,'Zdroj data'!O11&lt;=Body!$BG$14),Body!$BE$6,IF(AND('Zdroj data'!O11&gt;=Body!$BH$14,'Zdroj data'!O11&lt;=Body!$BJ$14),Body!$BH$6,IF(AND('Zdroj data'!O11&gt;=Body!$BK$14,'Zdroj data'!O11&lt;=Body!$BM$14),Body!$BK$6,IF(AND('Zdroj data'!O11&gt;=Body!$BN$14,'Zdroj data'!O11&lt;=Body!$BP$14),Body!$BN$6,IF(AND('Zdroj data'!O11&gt;=Body!$BQ$14,'Zdroj data'!O11&lt;=Body!$BS$14),Body!$BQ$6,IF(AND('Zdroj data'!O11&gt;=Body!$BT$14,'Zdroj data'!O11&lt;=Body!$BV$14),Body!$BT$6,IF(AND('Zdroj data'!O11&gt;=Body!$BW$14,'Zdroj data'!O11&lt;=Body!$BY$14),Body!$BW$6,IF('Zdroj data'!O11&gt;=Body!$CB$14,Body!$BZ$6," "))))))))))," "))</f>
        <v>3</v>
      </c>
      <c r="J11" s="264">
        <f t="shared" si="8"/>
        <v>5</v>
      </c>
      <c r="K11" s="264">
        <f t="shared" si="9"/>
        <v>3</v>
      </c>
      <c r="L11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11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11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11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11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1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11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11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11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11" s="264">
        <f>IF('Zdroj data'!BB11=Body!$AY$25,Body!$AY$22,IF('Zdroj data'!BB11=Body!$BB$25,Body!$BB$22,IF('Zdroj data'!BB11=Body!$BE$25,Body!$BE$22,IF('Zdroj data'!BB11=Body!$BH$25,Body!$BH$22,IF('Zdroj data'!BB11=Body!BK$25,Body!$BK$22,IF('Zdroj data'!BB11=Body!$BN$25,Body!$BN$22,IF('Zdroj data'!BB11=Body!$BQ$25,Body!$BQ$22,IF('Zdroj data'!BB11=Body!$BT$25,Body!$BT$22,IF('Zdroj data'!BB11=Body!$BW$25,Body!$BW$22,IF('Zdroj data'!BB11=Body!$BZ$25,Body!$BZ$22," "))))))))))</f>
        <v>3</v>
      </c>
      <c r="V11" s="264">
        <f>IF(AND('Zdroj data'!BO11&gt;Body!$AY$27,'Zdroj data'!BO11&lt;=Body!$BA$27),Body!$AY$22,IF(AND('Zdroj data'!BO11&gt;=Body!$BB$27,'Zdroj data'!BO11&lt;=Body!$BD$27),Body!$BB$22,IF(AND('Zdroj data'!BO11&gt;=Body!$BE$27,'Zdroj data'!BO11&lt;=Body!$BG$27),Body!$BE$22,IF(AND('Zdroj data'!BO11&gt;=Body!$BH$27,'Zdroj data'!BO11&lt;=Body!$BJ$27),Body!$BH$22,IF(AND('Zdroj data'!BO11&gt;=Body!$BK$27,'Zdroj data'!BO11&lt;=Body!$BM$27),Body!$BK$22,IF(AND('Zdroj data'!BO11&gt;=Body!$BN$27,'Zdroj data'!BO11&lt;=Body!$BP$27),Body!$BN$22,IF(AND('Zdroj data'!BO11&gt;=Body!$BQ$27,'Zdroj data'!BO11&lt;=Body!$BS$27),Body!$BQ$22,IF(AND('Zdroj data'!BO11&gt;=Body!$BT$27,'Zdroj data'!BO11&lt;=Body!$BV$27),Body!$BT$22,IF(AND('Zdroj data'!BO11&gt;=Body!$BW$27,'Zdroj data'!BO11&lt;=Body!$BY$27),Body!$BW$22,IF('Zdroj data'!BO11&gt;=Body!$CB$27,$BZ$22," "))))))))))</f>
        <v>6</v>
      </c>
      <c r="W11" s="264">
        <f>IF(AND('Zdroj data'!BP11&gt;Body!$AY$27,'Zdroj data'!BP11&lt;=Body!$BA$27),Body!$AY$22,IF(AND('Zdroj data'!BP11&gt;=Body!$BB$27,'Zdroj data'!BP11&lt;=Body!$BD$27),Body!$BB$22,IF(AND('Zdroj data'!BP11&gt;=Body!$BE$27,'Zdroj data'!BP11&lt;=Body!$BG$27),Body!$BE$22,IF(AND('Zdroj data'!BP11&gt;=Body!$BH$27,'Zdroj data'!BP11&lt;=Body!$BJ$27),Body!$BH$22,IF(AND('Zdroj data'!BP11&gt;=Body!$BK$27,'Zdroj data'!BP11&lt;=Body!$BM$27),Body!$BK$22,IF(AND('Zdroj data'!BP11&gt;=Body!$BN$27,'Zdroj data'!BP11&lt;=Body!$BP$27),Body!$BN$22,IF(AND('Zdroj data'!BP11&gt;=Body!$BQ$27,'Zdroj data'!BP11&lt;=Body!$BS$27),Body!$BQ$22,IF(AND('Zdroj data'!BP11&gt;=Body!$BT$27,'Zdroj data'!BP11&lt;=Body!$BV$27),Body!$BT$22,IF(AND('Zdroj data'!BP11&gt;=Body!$BW$27,'Zdroj data'!BP11&lt;=Body!$BY$27),Body!$BW$22,IF('Zdroj data'!BP11&gt;=Body!$CB$27,$BZ$22," "))))))))))</f>
        <v>5</v>
      </c>
      <c r="X11" s="264">
        <f>IF('Zdroj data'!BA11=Body!$BB$28,$BB$22,IF('Zdroj data'!BA11=Body!$BE$28,$BE$22,IF(OR('Zdroj data'!BA11=Body!$BK$28,'Zdroj data'!BA11=Body!$BL$28,'Zdroj data'!BA11=Body!$BM$28),$BK$22,IF(OR('Zdroj data'!BA11=Body!$BT$28,'Zdroj data'!BA11=Body!$BV$28),$BT$22,IF(OR('Zdroj data'!BA11=Body!$BW$28,'Zdroj data'!BA11=Body!$BY$28),$BW$22,IF('Zdroj data'!BA11=Body!$BZ$28,$BZ$22," "))))))</f>
        <v>8</v>
      </c>
      <c r="Y11" s="264">
        <f>IF('Zdroj data'!AZ11=Body!$BZ$29,Body!$BZ$22,IF(OR('Zdroj data'!AZ11=$BT$29,'Zdroj data'!AZ11=$BU$29,'Zdroj data'!AZ11=$BV$29),$BT$22,IF(OR('Zdroj data'!AZ11=$BK$29,'Zdroj data'!AZ11=$BM$29),$BK$22,IF(OR('Zdroj data'!AZ11=$BE$29,'Zdroj data'!AZ11=$BG$29),$BE$22,IF(OR('Zdroj data'!AZ11=$AY$29,'Zdroj data'!AZ11=$BA$29),$AY$22," ")))))</f>
        <v>8</v>
      </c>
      <c r="Z11" s="264">
        <f>IF(AND('Zdroj data'!BF11="T",(OR('Zdroj data'!AZ11=Body!$AW$45,'Zdroj data'!AZ11=Body!$AW$46,'Zdroj data'!AZ11=Body!$AW$47,'Zdroj data'!AZ11=Body!$AW$48))),Body!$AY$22,IF(AND('Zdroj data'!BF11="T",(OR('Zdroj data'!AZ11=$AW$49,'Zdroj data'!AZ11=$AW$50,'Zdroj data'!AZ11=$AW$51,'Zdroj data'!AZ11=$AW$52))),$BZ$22,IF(AND(OR('Zdroj data'!BF11="VT",'Zdroj data'!BF11="T",'Zdroj data'!BF11="CH"),(OR('Zdroj data'!AZ11=$AW$43,'Zdroj data'!AZ11=$AW$44,))),$BZ$22,IF(AND('Zdroj data'!BF11="CH",(OR('Zdroj data'!AZ11=$AW$49,'Zdroj data'!AZ11=$AW$50,'Zdroj data'!AZ11=$AW$51,'Zdroj data'!AZ11=$AW$52))),$AY$22,IF(AND('Zdroj data'!BF11="CH",(OR('Zdroj data'!AZ11=$AW$45,'Zdroj data'!AZ11=$AW$46,'Zdroj data'!AZ11=$AW$47,'Zdroj data'!AZ11=$AW$48))),$BZ$22," ")))))</f>
        <v>10</v>
      </c>
      <c r="AA11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</v>
      </c>
      <c r="AB11" s="264">
        <f>IF(Tabulka1[[#This Row],[kv.ek.]]=Body!$BK$35,Body!$BK$34,IF(Tabulka1[[#This Row],[kv.ek.]]=Body!$BZ$35,Body!$BZ$34," "))</f>
        <v>5</v>
      </c>
      <c r="AC11" s="264" t="str">
        <f>IF(AND('Zdroj data'!BF11="T",(OR('Zdroj data'!AZ11=Body!$AW$45,'Zdroj data'!AZ11=Body!$AW$46,'Zdroj data'!AZ11=Body!$AW$47,'Zdroj data'!AZ11=Body!$AW$48))),Body!$AY$22,IF(AND('Zdroj data'!BF11="T",(OR('Zdroj data'!AZ11=$AW$49,'Zdroj data'!AZ11=$AW$50,'Zdroj data'!AZ11=$AW$51,'Zdroj data'!AZ11=$AW$52))),$BZ$22," "))</f>
        <v xml:space="preserve"> </v>
      </c>
      <c r="AD11" s="264">
        <f>IF(AND(OR('Zdroj data'!BF11="VT",'Zdroj data'!BF11="T",'Zdroj data'!BF11="CH"),(OR('Zdroj data'!AZ11=$AW$43,'Zdroj data'!AZ11=$AW$44,))),$BZ$22," ")</f>
        <v>10</v>
      </c>
      <c r="AE11" s="264" t="str">
        <f>IF(AND('Zdroj data'!BF11="CH",(OR('Zdroj data'!AZ11=$AW$49,'Zdroj data'!AZ11=$AW$50,'Zdroj data'!AZ11=$AW$51,'Zdroj data'!AZ11=$AW$52))),$AY$22,IF(AND('Zdroj data'!BF11="CH",(OR('Zdroj data'!AZ11=$AW$45,'Zdroj data'!AZ11=$AW$46,'Zdroj data'!AZ11=$AW$47,'Zdroj data'!AZ11=$AW$48))),$BZ$22," "))</f>
        <v xml:space="preserve"> </v>
      </c>
      <c r="AF11" s="264">
        <f>IF(AND('Zdroj data'!BG11="L",'Zdroj data'!AM11=Body!$AX$15),IF(AND('Zdroj data'!O11&gt;=Body!$AY$15,'Zdroj data'!O11&lt;=Body!$BA$15),Body!AY$6,IF(AND('Zdroj data'!O11&gt;=Body!$BB$15,'Zdroj data'!O11&lt;=Body!$BD$15),Body!BB$6,IF(AND('Zdroj data'!O11&gt;=Body!$BE$15,'Zdroj data'!O11&lt;=Body!$BG$15),Body!BE$6,IF(AND('Zdroj data'!O11&gt;=Body!$BH$15,'Zdroj data'!O11&lt;=Body!$BJ$15),Body!BH$6,IF(AND('Zdroj data'!O11&gt;=Body!$BK$15,'Zdroj data'!O11&lt;=Body!$BM$15),Body!BK$6,IF(AND('Zdroj data'!O11&gt;=Body!$BN$15,'Zdroj data'!O11&lt;=Body!$BP$15),Body!$BN$6,IF(AND('Zdroj data'!O11&gt;=Body!$BQ$15,'Zdroj data'!O11&lt;=Body!$BS$15),Body!$BQ$6,IF(AND('Zdroj data'!O11&gt;=Body!$BT$15,'Zdroj data'!O11&lt;=Body!$BV$15),Body!BT$6,IF(AND('Zdroj data'!O11&gt;=Body!$BW$15,'Zdroj data'!O11&lt;=Body!$BY$15),Body!$BW$6,IF('Zdroj data'!O11&gt;=Body!$CB$15,Body!$BZ$6," ")))))))))),IF(AND('Zdroj data'!BG11="ST",'Zdroj data'!AM11=Body!$AX$16),IF(AND('Zdroj data'!O11&gt;=Body!$AY$16,'Zdroj data'!O11&lt;=Body!$BA$16),Body!$AY$6,IF(AND('Zdroj data'!O11&gt;=Body!$BB$16,'Zdroj data'!O11&lt;=Body!$BD$16),Body!$BB$6,IF(AND('Zdroj data'!O11&gt;=Body!$BE$16,'Zdroj data'!O11&lt;=Body!$BG$16),Body!$BE$6,IF(AND('Zdroj data'!O11&gt;=Body!$BH$16,'Zdroj data'!O11&lt;=Body!$BJ$16),Body!$BH$6,IF(AND('Zdroj data'!O11&gt;=Body!$BK$16,'Zdroj data'!O11&lt;=Body!$BM$16),Body!$BK$6,IF(AND('Zdroj data'!O11&gt;=Body!$BN$16,'Zdroj data'!O11&lt;=Body!$BP$16),Body!$BN$6,IF(AND('Zdroj data'!O11&gt;=Body!$BQ$16,'Zdroj data'!O11&lt;=Body!$BS$16),Body!$BQ$6,IF(AND('Zdroj data'!O11&gt;=Body!$BT$16,'Zdroj data'!O11&lt;=Body!$BV$16),Body!$BT$6,IF(AND('Zdroj data'!O11&gt;=Body!$BW$16,'Zdroj data'!O11&lt;=Body!$BY$16),Body!$BW$6,IF('Zdroj data'!O11&gt;=Body!$CB$16,Body!$BZ$6," ")))))))))),IF(AND('Zdroj data'!BG11="T",'Zdroj data'!AM11=Body!$AX$17),IF(AND('Zdroj data'!O11&gt;=Body!$AY$17,'Zdroj data'!O11&lt;=Body!$BA$17),Body!$AY$6,IF(AND('Zdroj data'!O11&gt;=Body!$BB$17,'Zdroj data'!O11&lt;=Body!$BD$17),Body!$BB$6,IF(AND('Zdroj data'!O11&gt;=Body!$BE$17,'Zdroj data'!O11&lt;=Body!$BG$17),Body!$BE$6,IF(AND('Zdroj data'!O11&gt;=Body!$BH$17,'Zdroj data'!O11&lt;=Body!BJ25),Body!$BH$6,IF(AND('Zdroj data'!O11&gt;=Body!$BK$17,'Zdroj data'!O11&lt;=Body!$BM$17),Body!$BK$6,IF(AND('Zdroj data'!O11&gt;=Body!$BN$17,'Zdroj data'!O11&lt;=Body!$BP$17),Body!$BN$6,IF(AND('Zdroj data'!O11&gt;=Body!$BQ$17,'Zdroj data'!O11&lt;=Body!$BS$17),Body!$BQ$6,IF(AND('Zdroj data'!O11&gt;=Body!$BT$17,'Zdroj data'!O11&lt;=Body!$BV$17),Body!$BT$6,IF(AND('Zdroj data'!O11&gt;=Body!$BW$17,'Zdroj data'!O11&lt;=Body!$BY$17),Body!$BW$6,IF('Zdroj data'!O11&gt;=Body!$CB$17,Body!$BZ$6," "))))))))))," ")))</f>
        <v>5</v>
      </c>
      <c r="AG11" s="264">
        <f>IF(AND('Zdroj data'!$BG11="L",'Zdroj data'!$AM11=Body!$AX$15),IF(AND(Tabulka1[[#This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data'!$BG11="ST",'Zdroj data'!$AM11=Body!$AX$16),IF(AND(Tabulka1[[#This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data'!$BG11="T",'Zdroj data'!$AM11=Body!$AX$17),IF(AND(Tabulka1[[#This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Row],[K2O_60]]&lt;=Body!BJ25),Body!$BH$6,IF(AND(Tabulka1[[#This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3</v>
      </c>
      <c r="AH11" s="264" t="str">
        <f>IF(AND('Zdroj data'!BG11="L",'Zdroj data'!AM11=Body!$AX$18),IF(AND('Zdroj data'!O11&gt;=Body!$AY$18,'Zdroj data'!O11&lt;=Body!$BA$18),Body!AY$6,IF(AND('Zdroj data'!O11&gt;=Body!$BB$18,'Zdroj data'!O11&lt;=Body!$BD$18),Body!BB$6,IF(AND('Zdroj data'!O11&gt;=Body!$BE$18,'Zdroj data'!O11&lt;=Body!$BG$18),Body!BE$6,IF(AND('Zdroj data'!O11&gt;=Body!$BH$18,'Zdroj data'!O11&lt;=Body!$BJ$18),Body!BH$6,IF(AND('Zdroj data'!O11&gt;=Body!$BK$18,'Zdroj data'!O11&lt;=Body!$BM$18),Body!$BK$6,IF(AND('Zdroj data'!O11&gt;=Body!$BN$18,'Zdroj data'!O11&lt;=Body!$BP$18),Body!BN$6,IF(AND('Zdroj data'!O11&gt;=Body!$BQ$18,'Zdroj data'!O11&lt;=Body!$BS$18),Body!$BQ$6,IF(AND('Zdroj data'!O11&gt;=Body!$BT$18,'Zdroj data'!O11&lt;=Body!$BV$18),Body!$BT$6,IF(AND('Zdroj data'!O11&gt;=Body!$BW$18,'Zdroj data'!O11&lt;=Body!$BY$18),Body!$BW$6,IF('Zdroj data'!O11&gt;=Body!$CB$18,Body!$BZ$6," ")))))))))),IF(AND('Zdroj data'!BG11="ST",'Zdroj data'!AM11=Body!$AX$19),IF(AND('Zdroj data'!O11&gt;=Body!$AY$19,'Zdroj data'!O11&lt;=Body!$BA$19),Body!$AY$6,IF(AND('Zdroj data'!O11&gt;=Body!$BB$19,'Zdroj data'!O11&lt;=Body!$BD$19),Body!$BB$6,IF(AND('Zdroj data'!O11&gt;=Body!$BE$19,'Zdroj data'!O11&lt;=Body!$BG$19),Body!$BE$6,IF(AND('Zdroj data'!O11&gt;=Body!$BH$19,'Zdroj data'!O11&lt;=Body!$BJ$19),Body!$BH$6,IF(AND('Zdroj data'!O11&gt;=Body!$BK$19,'Zdroj data'!O11&lt;=Body!$BM$19),Body!$BK$6,IF(AND('Zdroj data'!O11&gt;=Body!$BN$19,'Zdroj data'!O11&lt;=Body!$BP$19),Body!$BN$6,IF(AND('Zdroj data'!O11&gt;=Body!$BQ$19,'Zdroj data'!O11&lt;=Body!$BS$19),Body!$BQ$6,IF(AND('Zdroj data'!O11&gt;=Body!$BT$19,'Zdroj data'!O15&lt;=Body!$BV$19),Body!$BT$6,IF(AND('Zdroj data'!O11&gt;=Body!$BW$19,'Zdroj data'!O11&lt;=Body!$BY$19),Body!$BW$6,IF('Zdroj data'!O11&gt;=Body!$CB$19,Body!$BZ$6," ")))))))))),IF(AND('Zdroj data'!BG11="T",'Zdroj data'!AM11=Body!$AX$20),IF(AND('Zdroj data'!O11&gt;=Body!$AY$20,'Zdroj data'!O11&lt;=Body!$BA$20),Body!$AY$6,IF(AND('Zdroj data'!O11&gt;=Body!$BB$20,'Zdroj data'!O11&lt;=Body!$BD$20),Body!$BB$6,IF(AND('Zdroj data'!O11&gt;=Body!$BE$20,'Zdroj data'!O11&lt;=Body!$BG$20),Body!$BE$6,IF(AND('Zdroj data'!O11&gt;=Body!$BH$20,'Zdroj data'!O11&lt;=Body!$BJ$20),Body!$BH$6,IF(AND('Zdroj data'!O11&gt;=Body!$BK$20,'Zdroj data'!O11&lt;=Body!$BM$20),Body!$BK$6,IF(AND('Zdroj data'!O11&gt;=Body!$BN$20,'Zdroj data'!O11&lt;=Body!$BP$20),Body!$BN$6,IF(AND('Zdroj data'!O11&gt;=Body!$BQ$20,'Zdroj data'!O11&lt;=Body!$BS$20),Body!$BQ$6,IF(AND('Zdroj data'!O11&gt;=Body!$BT$20,'Zdroj data'!O11&lt;=Body!BV28),Body!$BT$6,IF(AND('Zdroj data'!O11&gt;=Body!$BW$20,'Zdroj data'!O11&lt;=Body!$BY$20),Body!$BW$6,IF('Zdroj data'!O11&gt;=Body!$CB$20,Body!$BZ$6," "))))))))))," ")))</f>
        <v xml:space="preserve"> </v>
      </c>
      <c r="AI11" s="264" t="str">
        <f>IF(AND('Zdroj data'!$BG11="L",'Zdroj data'!$AM11=Body!$AX$18),IF(AND(Tabulka1[[#This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data'!$BG11="ST",'Zdroj data'!$AM11=Body!$AX$19),IF(AND(Tabulka1[[#This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data'!$BG11="T",'Zdroj data'!$AM11=Body!$AX$20),IF(AND(Tabulka1[[#This Row],[K2O_60]]&gt;=Body!$AY$20,'Zdroj data'!O11&lt;=Body!$BA$20),Body!$AY$6,IF(AND(Tabulka1[[#This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Row],[K2O_60]]&lt;=Body!BV28),Body!$BT$6,IF(AND(Tabulka1[[#This Row],[K2O_60]]&gt;=Body!$BW$20,Tabulka1[[#This Row],[K2O_60]]&lt;=Body!$BY$20),Body!$BW$6,IF(Tabulka1[[#This Row],[K2O_60]]&gt;=Body!$CB$20,Body!$BZ$6," "))))))))))," ")))</f>
        <v xml:space="preserve"> </v>
      </c>
      <c r="AJ11" s="265">
        <f t="shared" si="2"/>
        <v>2.6666666666666687</v>
      </c>
      <c r="AK11" s="264">
        <f t="shared" si="3"/>
        <v>30.365441944598881</v>
      </c>
      <c r="AL11" s="264">
        <f t="shared" si="4"/>
        <v>26.951785551851202</v>
      </c>
      <c r="AM11" s="264">
        <f t="shared" si="5"/>
        <v>60.224069018349617</v>
      </c>
      <c r="AN11" s="264">
        <f t="shared" si="6"/>
        <v>66.506723725299608</v>
      </c>
      <c r="AO11" s="265">
        <f t="shared" si="0"/>
        <v>90.589510962948495</v>
      </c>
      <c r="AP11" s="265">
        <f t="shared" si="1"/>
        <v>93.45850927715081</v>
      </c>
      <c r="AQ11" s="318"/>
      <c r="AR11" s="338">
        <f t="shared" si="7"/>
        <v>186.71468690676596</v>
      </c>
      <c r="AS11" s="318"/>
      <c r="AT11" s="454"/>
      <c r="AU11" s="468"/>
      <c r="AV11" s="152">
        <v>0.13145639775008175</v>
      </c>
      <c r="AW11" s="33" t="s">
        <v>844</v>
      </c>
      <c r="AX11" s="34"/>
      <c r="AY11" s="33">
        <v>0</v>
      </c>
      <c r="AZ11" s="35" t="s">
        <v>856</v>
      </c>
      <c r="BA11" s="36">
        <v>19.989999999999998</v>
      </c>
      <c r="BB11" s="37">
        <v>20</v>
      </c>
      <c r="BC11" s="38" t="s">
        <v>858</v>
      </c>
      <c r="BD11" s="36">
        <v>29.99</v>
      </c>
      <c r="BE11" s="37">
        <v>30</v>
      </c>
      <c r="BF11" s="39" t="s">
        <v>858</v>
      </c>
      <c r="BG11" s="36">
        <v>39.99</v>
      </c>
      <c r="BH11" s="40">
        <v>40</v>
      </c>
      <c r="BI11" s="39" t="s">
        <v>858</v>
      </c>
      <c r="BJ11" s="41">
        <v>49.99</v>
      </c>
      <c r="BK11" s="42">
        <v>50</v>
      </c>
      <c r="BL11" s="38" t="s">
        <v>858</v>
      </c>
      <c r="BM11" s="41">
        <v>59.99</v>
      </c>
      <c r="BN11" s="42">
        <v>60</v>
      </c>
      <c r="BO11" s="38" t="s">
        <v>858</v>
      </c>
      <c r="BP11" s="41">
        <v>69.989999999999995</v>
      </c>
      <c r="BQ11" s="42">
        <v>70</v>
      </c>
      <c r="BR11" s="38" t="s">
        <v>858</v>
      </c>
      <c r="BS11" s="41">
        <v>79.989999999999995</v>
      </c>
      <c r="BT11" s="42">
        <v>80</v>
      </c>
      <c r="BU11" s="38" t="s">
        <v>858</v>
      </c>
      <c r="BV11" s="41">
        <v>89.99</v>
      </c>
      <c r="BW11" s="42">
        <v>90</v>
      </c>
      <c r="BX11" s="38" t="s">
        <v>858</v>
      </c>
      <c r="BY11" s="41">
        <v>94.99</v>
      </c>
      <c r="BZ11" s="42">
        <v>95</v>
      </c>
      <c r="CA11" s="38" t="s">
        <v>858</v>
      </c>
      <c r="CB11" s="41">
        <v>100</v>
      </c>
    </row>
    <row r="12" spans="1:84" ht="15.5" x14ac:dyDescent="0.35">
      <c r="A12" s="270">
        <v>830</v>
      </c>
      <c r="B12" s="156" t="s">
        <v>117</v>
      </c>
      <c r="C12" s="250" t="str">
        <f>VLOOKUP(B12,'Zdroj hloubka okresy'!$A$2:$D$171,2,FALSE)</f>
        <v>Pribram</v>
      </c>
      <c r="D12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12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8</v>
      </c>
      <c r="F12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2" s="264">
        <f>IF(AND(Tabulka1[[#This Row],[hum_60]]&gt;AY18,Tabulka1[[#This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2" s="264">
        <f>IF(Tabulka1[[#This Row],[kv.ek.]]=Body!$AX$13,IF(AND('Zdroj data'!M12&gt;=Body!$AY$13,'Zdroj data'!M12&lt;=Body!$BA$13),Body!$AY$6,IF(AND('Zdroj data'!M12&gt;=Body!$BB$13,'Zdroj data'!M12&lt;=Body!$BD$13),Body!$BB$6,IF(AND('Zdroj data'!M12&gt;=Body!$BE$13,'Zdroj data'!M12&lt;=Body!$BG$13),Body!$BE$6,IF(AND('Zdroj data'!M12&gt;=Body!$BH$13,'Zdroj data'!M12&lt;=Body!$BJ$13),Body!$BH$6,IF(AND('Zdroj data'!M12&gt;=Body!$BK$13,'Zdroj data'!M12&lt;=Body!$BM$13),Body!$BK$6,IF(AND('Zdroj data'!M12&gt;=Body!$BN$13,'Zdroj data'!M12&lt;=Body!$BP$13),Body!$BN$6,IF(AND('Zdroj data'!M12&gt;=Body!$BQ$13,'Zdroj data'!M12&lt;=Body!$BS$13),Body!$BQ$6,IF(AND('Zdroj data'!M12&gt;=Body!$BT$13,'Zdroj data'!M12&lt;=Body!$BV$13),Body!$BT$6,IF(AND('Zdroj data'!M12&gt;=Body!$BW$13,'Zdroj data'!M12&lt;=Body!$BY$13),Body!$BW$6,IF('Zdroj data'!M12&gt;=Body!$CB$13,Body!$BZ$6,"")))))))))),IF(Tabulka1[[#This Row],[kv.ek.]]=Body!$AX$14,IF(AND('Zdroj data'!N12&gt;=Body!$AY$14,'Zdroj data'!N12&lt;=Body!$BA$14),Body!$AY$6,IF(AND('Zdroj data'!N12&gt;=Body!$BB$14,'Zdroj data'!N12&lt;=Body!$BD$14),Body!$BB$6,IF(AND('Zdroj data'!N12&gt;=Body!$BE$14,'Zdroj data'!N12&lt;=Body!$BG$14),Body!$BE$6,IF(AND('Zdroj data'!N12&gt;=Body!$BH$14,'Zdroj data'!N12&lt;=Body!$BJ$14),Body!$BH$6,IF(AND('Zdroj data'!N12&gt;=Body!$BK$14,'Zdroj data'!N12&lt;=Body!$BM$14),Body!$BK$6,IF(AND('Zdroj data'!N12&gt;=Body!$BN$14,'Zdroj data'!N12&lt;=Body!$BP$14),Body!$BN$6,IF(AND('Zdroj data'!N12&gt;=Body!$BQ$14,'Zdroj data'!N12&lt;=Body!$BS$14),Body!$BQ$6,IF(AND('Zdroj data'!N12&gt;=Body!$BT$14,'Zdroj data'!N12&lt;=Body!$BV$14),Body!$BT$6,IF(AND('Zdroj data'!N12&gt;=Body!$BW$14,'Zdroj data'!N12&lt;=Body!$BY$14),Body!$BW$6,IF('Zdroj data'!N12&gt;=Body!$CB$14,Body!$BZ$6,"")))))))))),""))</f>
        <v>1</v>
      </c>
      <c r="I12" s="264">
        <f>IF(Tabulka1[[#This Row],[kv.ek.]]=Body!$AX$13,IF(AND('Zdroj data'!N12&gt;=Body!$AY$13,'Zdroj data'!N12&lt;=Body!$BA$13),Body!$AY$6,IF(AND('Zdroj data'!N12&gt;=Body!$BB$13,'Zdroj data'!N12&lt;=Body!$BD$13),Body!$BB$6,IF(AND('Zdroj data'!N12&gt;=Body!$BE$13,'Zdroj data'!N12&lt;=Body!$BG$13),Body!$BE$6,IF(AND('Zdroj data'!N12&gt;=Body!$BH$13,'Zdroj data'!N12&lt;=Body!$BJ$13),Body!$BH$6,IF(AND('Zdroj data'!N12&gt;=Body!$BK$13,'Zdroj data'!N12&lt;=Body!$BM$13),Body!$BK$6,IF(AND('Zdroj data'!N12&gt;=Body!$BN$13,'Zdroj data'!N12&lt;=Body!$BP$13),Body!$BN$6,IF(AND('Zdroj data'!N12&gt;=Body!$BQ$13,'Zdroj data'!N12&lt;=Body!$BS$13),Body!$BQ$6,IF(AND('Zdroj data'!N12&gt;=Body!$BT$13,'Zdroj data'!N12&lt;=Body!$BV$13),Body!$BT$6,IF(AND('Zdroj data'!N12&gt;=Body!$BW$13,'Zdroj data'!N12&lt;=Body!$BY$13),Body!$BW$6,IF('Zdroj data'!N12&gt;=Body!$CB$13,Body!$BZ$6," ")))))))))),IF(Tabulka1[[#This Row],[kv.ek.]]=Body!$AX$14,IF(AND('Zdroj data'!O12&gt;=Body!$AY$14,'Zdroj data'!O12&lt;=Body!$BA$14),Body!$AY$6,IF(AND('Zdroj data'!O12&gt;=Body!$BB$14,'Zdroj data'!O12&lt;=Body!$BD$14),Body!$BB$6,IF(AND('Zdroj data'!O12&gt;=Body!$BE$14,'Zdroj data'!O12&lt;=Body!$BG$14),Body!$BE$6,IF(AND('Zdroj data'!O12&gt;=Body!$BH$14,'Zdroj data'!O12&lt;=Body!$BJ$14),Body!$BH$6,IF(AND('Zdroj data'!O12&gt;=Body!$BK$14,'Zdroj data'!O12&lt;=Body!$BM$14),Body!$BK$6,IF(AND('Zdroj data'!O12&gt;=Body!$BN$14,'Zdroj data'!O12&lt;=Body!$BP$14),Body!$BN$6,IF(AND('Zdroj data'!O12&gt;=Body!$BQ$14,'Zdroj data'!O12&lt;=Body!$BS$14),Body!$BQ$6,IF(AND('Zdroj data'!O12&gt;=Body!$BT$14,'Zdroj data'!O12&lt;=Body!$BV$14),Body!$BT$6,IF(AND('Zdroj data'!O12&gt;=Body!$BW$14,'Zdroj data'!O12&lt;=Body!$BY$14),Body!$BW$6,IF('Zdroj data'!O12&gt;=Body!$CB$14,Body!$BZ$6," "))))))))))," "))</f>
        <v>1</v>
      </c>
      <c r="J12" s="264">
        <f t="shared" si="8"/>
        <v>1</v>
      </c>
      <c r="K12" s="264">
        <f t="shared" si="9"/>
        <v>1</v>
      </c>
      <c r="L12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12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12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12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12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2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12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12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12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12" s="264">
        <f>IF('Zdroj data'!BB12=Body!$AY$25,Body!$AY$22,IF('Zdroj data'!BB12=Body!$BB$25,Body!$BB$22,IF('Zdroj data'!BB12=Body!$BE$25,Body!$BE$22,IF('Zdroj data'!BB12=Body!$BH$25,Body!$BH$22,IF('Zdroj data'!BB12=Body!BK$25,Body!$BK$22,IF('Zdroj data'!BB12=Body!$BN$25,Body!$BN$22,IF('Zdroj data'!BB12=Body!$BQ$25,Body!$BQ$22,IF('Zdroj data'!BB12=Body!$BT$25,Body!$BT$22,IF('Zdroj data'!BB12=Body!$BW$25,Body!$BW$22,IF('Zdroj data'!BB12=Body!$BZ$25,Body!$BZ$22," "))))))))))</f>
        <v>5</v>
      </c>
      <c r="V12" s="264">
        <f>IF(AND('Zdroj data'!BO12&gt;Body!$AY$27,'Zdroj data'!BO12&lt;=Body!$BA$27),Body!$AY$22,IF(AND('Zdroj data'!BO12&gt;=Body!$BB$27,'Zdroj data'!BO12&lt;=Body!$BD$27),Body!$BB$22,IF(AND('Zdroj data'!BO12&gt;=Body!$BE$27,'Zdroj data'!BO12&lt;=Body!$BG$27),Body!$BE$22,IF(AND('Zdroj data'!BO12&gt;=Body!$BH$27,'Zdroj data'!BO12&lt;=Body!$BJ$27),Body!$BH$22,IF(AND('Zdroj data'!BO12&gt;=Body!$BK$27,'Zdroj data'!BO12&lt;=Body!$BM$27),Body!$BK$22,IF(AND('Zdroj data'!BO12&gt;=Body!$BN$27,'Zdroj data'!BO12&lt;=Body!$BP$27),Body!$BN$22,IF(AND('Zdroj data'!BO12&gt;=Body!$BQ$27,'Zdroj data'!BO12&lt;=Body!$BS$27),Body!$BQ$22,IF(AND('Zdroj data'!BO12&gt;=Body!$BT$27,'Zdroj data'!BO12&lt;=Body!$BV$27),Body!$BT$22,IF(AND('Zdroj data'!BO12&gt;=Body!$BW$27,'Zdroj data'!BO12&lt;=Body!$BY$27),Body!$BW$22,IF('Zdroj data'!BO12&gt;=Body!$CB$27,$BZ$22," "))))))))))</f>
        <v>7</v>
      </c>
      <c r="W12" s="264">
        <f>IF(AND('Zdroj data'!BP12&gt;Body!$AY$27,'Zdroj data'!BP12&lt;=Body!$BA$27),Body!$AY$22,IF(AND('Zdroj data'!BP12&gt;=Body!$BB$27,'Zdroj data'!BP12&lt;=Body!$BD$27),Body!$BB$22,IF(AND('Zdroj data'!BP12&gt;=Body!$BE$27,'Zdroj data'!BP12&lt;=Body!$BG$27),Body!$BE$22,IF(AND('Zdroj data'!BP12&gt;=Body!$BH$27,'Zdroj data'!BP12&lt;=Body!$BJ$27),Body!$BH$22,IF(AND('Zdroj data'!BP12&gt;=Body!$BK$27,'Zdroj data'!BP12&lt;=Body!$BM$27),Body!$BK$22,IF(AND('Zdroj data'!BP12&gt;=Body!$BN$27,'Zdroj data'!BP12&lt;=Body!$BP$27),Body!$BN$22,IF(AND('Zdroj data'!BP12&gt;=Body!$BQ$27,'Zdroj data'!BP12&lt;=Body!$BS$27),Body!$BQ$22,IF(AND('Zdroj data'!BP12&gt;=Body!$BT$27,'Zdroj data'!BP12&lt;=Body!$BV$27),Body!$BT$22,IF(AND('Zdroj data'!BP12&gt;=Body!$BW$27,'Zdroj data'!BP12&lt;=Body!$BY$27),Body!$BW$22,IF('Zdroj data'!BP12&gt;=Body!$CB$27,$BZ$22," "))))))))))</f>
        <v>8</v>
      </c>
      <c r="X12" s="264">
        <f>IF('Zdroj data'!BA12=Body!$BB$28,$BB$22,IF('Zdroj data'!BA12=Body!$BE$28,$BE$22,IF(OR('Zdroj data'!BA12=Body!$BK$28,'Zdroj data'!BA12=Body!$BL$28,'Zdroj data'!BA12=Body!$BM$28),$BK$22,IF(OR('Zdroj data'!BA12=Body!$BT$28,'Zdroj data'!BA12=Body!$BV$28),$BT$22,IF(OR('Zdroj data'!BA12=Body!$BW$28,'Zdroj data'!BA12=Body!$BY$28),$BW$22,IF('Zdroj data'!BA12=Body!$BZ$28,$BZ$22," "))))))</f>
        <v>9</v>
      </c>
      <c r="Y12" s="264">
        <f>IF('Zdroj data'!AZ12=Body!$BZ$29,Body!$BZ$22,IF(OR('Zdroj data'!AZ12=$BT$29,'Zdroj data'!AZ12=$BU$29,'Zdroj data'!AZ12=$BV$29),$BT$22,IF(OR('Zdroj data'!AZ12=$BK$29,'Zdroj data'!AZ12=$BM$29),$BK$22,IF(OR('Zdroj data'!AZ12=$BE$29,'Zdroj data'!AZ12=$BG$29),$BE$22,IF(OR('Zdroj data'!AZ12=$AY$29,'Zdroj data'!AZ12=$BA$29),$AY$22," ")))))</f>
        <v>10</v>
      </c>
      <c r="Z12" s="264">
        <f>IF(AND('Zdroj data'!BF12="T",(OR('Zdroj data'!AZ12=Body!$AW$45,'Zdroj data'!AZ12=Body!$AW$46,'Zdroj data'!AZ12=Body!$AW$47,'Zdroj data'!AZ12=Body!$AW$48))),Body!$AY$22,IF(AND('Zdroj data'!BF12="T",(OR('Zdroj data'!AZ12=$AW$49,'Zdroj data'!AZ12=$AW$50,'Zdroj data'!AZ12=$AW$51,'Zdroj data'!AZ12=$AW$52))),$BZ$22,IF(AND(OR('Zdroj data'!BF12="VT",'Zdroj data'!BF12="T",'Zdroj data'!BF12="CH"),(OR('Zdroj data'!AZ12=$AW$43,'Zdroj data'!AZ12=$AW$44,))),$BZ$22,IF(AND('Zdroj data'!BF12="CH",(OR('Zdroj data'!AZ12=$AW$49,'Zdroj data'!AZ12=$AW$50,'Zdroj data'!AZ12=$AW$51,'Zdroj data'!AZ12=$AW$52))),$AY$22,IF(AND('Zdroj data'!BF12="CH",(OR('Zdroj data'!AZ12=$AW$45,'Zdroj data'!AZ12=$AW$46,'Zdroj data'!AZ12=$AW$47,'Zdroj data'!AZ12=$AW$48))),$BZ$22," ")))))</f>
        <v>10</v>
      </c>
      <c r="AA12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2" s="264">
        <f>IF(Tabulka1[[#This Row],[kv.ek.]]=Body!$BK$35,Body!$BK$34,IF(Tabulka1[[#This Row],[kv.ek.]]=Body!$BZ$35,Body!$BZ$34," "))</f>
        <v>5</v>
      </c>
      <c r="AC12" s="264" t="str">
        <f>IF(AND('Zdroj data'!BF12="T",(OR('Zdroj data'!AZ12=Body!$AW$45,'Zdroj data'!AZ12=Body!$AW$46,'Zdroj data'!AZ12=Body!$AW$47,'Zdroj data'!AZ12=Body!$AW$48))),Body!$AY$22,IF(AND('Zdroj data'!BF12="T",(OR('Zdroj data'!AZ12=$AW$49,'Zdroj data'!AZ12=$AW$50,'Zdroj data'!AZ12=$AW$51,'Zdroj data'!AZ12=$AW$52))),$BZ$22," "))</f>
        <v xml:space="preserve"> </v>
      </c>
      <c r="AD12" s="264">
        <f>IF(AND(OR('Zdroj data'!BF12="VT",'Zdroj data'!BF12="T",'Zdroj data'!BF12="CH"),(OR('Zdroj data'!AZ12=$AW$43,'Zdroj data'!AZ12=$AW$44,))),$BZ$22," ")</f>
        <v>10</v>
      </c>
      <c r="AE12" s="264" t="str">
        <f>IF(AND('Zdroj data'!BF12="CH",(OR('Zdroj data'!AZ12=$AW$49,'Zdroj data'!AZ12=$AW$50,'Zdroj data'!AZ12=$AW$51,'Zdroj data'!AZ12=$AW$52))),$AY$22,IF(AND('Zdroj data'!BF12="CH",(OR('Zdroj data'!AZ12=$AW$45,'Zdroj data'!AZ12=$AW$46,'Zdroj data'!AZ12=$AW$47,'Zdroj data'!AZ12=$AW$48))),$BZ$22," "))</f>
        <v xml:space="preserve"> </v>
      </c>
      <c r="AF12" s="264">
        <f>IF(AND('Zdroj data'!BG12="L",'Zdroj data'!AM12=Body!$AX$15),IF(AND('Zdroj data'!O12&gt;=Body!$AY$15,'Zdroj data'!O12&lt;=Body!$BA$15),Body!AY$6,IF(AND('Zdroj data'!O12&gt;=Body!$BB$15,'Zdroj data'!O12&lt;=Body!$BD$15),Body!BB$6,IF(AND('Zdroj data'!O12&gt;=Body!$BE$15,'Zdroj data'!O12&lt;=Body!$BG$15),Body!BE$6,IF(AND('Zdroj data'!O12&gt;=Body!$BH$15,'Zdroj data'!O12&lt;=Body!$BJ$15),Body!BH$6,IF(AND('Zdroj data'!O12&gt;=Body!$BK$15,'Zdroj data'!O12&lt;=Body!$BM$15),Body!BK$6,IF(AND('Zdroj data'!O12&gt;=Body!$BN$15,'Zdroj data'!O12&lt;=Body!$BP$15),Body!$BN$6,IF(AND('Zdroj data'!O12&gt;=Body!$BQ$15,'Zdroj data'!O12&lt;=Body!$BS$15),Body!$BQ$6,IF(AND('Zdroj data'!O12&gt;=Body!$BT$15,'Zdroj data'!O12&lt;=Body!$BV$15),Body!BT$6,IF(AND('Zdroj data'!O12&gt;=Body!$BW$15,'Zdroj data'!O12&lt;=Body!$BY$15),Body!$BW$6,IF('Zdroj data'!O12&gt;=Body!$CB$15,Body!$BZ$6," ")))))))))),IF(AND('Zdroj data'!BG12="ST",'Zdroj data'!AM12=Body!$AX$16),IF(AND('Zdroj data'!O12&gt;=Body!$AY$16,'Zdroj data'!O12&lt;=Body!$BA$16),Body!$AY$6,IF(AND('Zdroj data'!O12&gt;=Body!$BB$16,'Zdroj data'!O12&lt;=Body!$BD$16),Body!$BB$6,IF(AND('Zdroj data'!O12&gt;=Body!$BE$16,'Zdroj data'!O12&lt;=Body!$BG$16),Body!$BE$6,IF(AND('Zdroj data'!O12&gt;=Body!$BH$16,'Zdroj data'!O12&lt;=Body!$BJ$16),Body!$BH$6,IF(AND('Zdroj data'!O12&gt;=Body!$BK$16,'Zdroj data'!O12&lt;=Body!$BM$16),Body!$BK$6,IF(AND('Zdroj data'!O12&gt;=Body!$BN$16,'Zdroj data'!O12&lt;=Body!$BP$16),Body!$BN$6,IF(AND('Zdroj data'!O12&gt;=Body!$BQ$16,'Zdroj data'!O12&lt;=Body!$BS$16),Body!$BQ$6,IF(AND('Zdroj data'!O12&gt;=Body!$BT$16,'Zdroj data'!O12&lt;=Body!$BV$16),Body!$BT$6,IF(AND('Zdroj data'!O12&gt;=Body!$BW$16,'Zdroj data'!O12&lt;=Body!$BY$16),Body!$BW$6,IF('Zdroj data'!O12&gt;=Body!$CB$16,Body!$BZ$6," ")))))))))),IF(AND('Zdroj data'!BG12="T",'Zdroj data'!AM12=Body!$AX$17),IF(AND('Zdroj data'!O12&gt;=Body!$AY$17,'Zdroj data'!O12&lt;=Body!$BA$17),Body!$AY$6,IF(AND('Zdroj data'!O12&gt;=Body!$BB$17,'Zdroj data'!O12&lt;=Body!$BD$17),Body!$BB$6,IF(AND('Zdroj data'!O12&gt;=Body!$BE$17,'Zdroj data'!O12&lt;=Body!$BG$17),Body!$BE$6,IF(AND('Zdroj data'!O12&gt;=Body!$BH$17,'Zdroj data'!O12&lt;=Body!BJ26),Body!$BH$6,IF(AND('Zdroj data'!O12&gt;=Body!$BK$17,'Zdroj data'!O12&lt;=Body!$BM$17),Body!$BK$6,IF(AND('Zdroj data'!O12&gt;=Body!$BN$17,'Zdroj data'!O12&lt;=Body!$BP$17),Body!$BN$6,IF(AND('Zdroj data'!O12&gt;=Body!$BQ$17,'Zdroj data'!O12&lt;=Body!$BS$17),Body!$BQ$6,IF(AND('Zdroj data'!O12&gt;=Body!$BT$17,'Zdroj data'!O12&lt;=Body!$BV$17),Body!$BT$6,IF(AND('Zdroj data'!O12&gt;=Body!$BW$17,'Zdroj data'!O12&lt;=Body!$BY$17),Body!$BW$6,IF('Zdroj data'!O12&gt;=Body!$CB$17,Body!$BZ$6," "))))))))))," ")))</f>
        <v>1</v>
      </c>
      <c r="AG12" s="264">
        <f>IF(AND('Zdroj data'!$BG12="L",'Zdroj data'!$AM12=Body!$AX$15),IF(AND(Tabulka1[[#This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data'!$BG12="ST",'Zdroj data'!$AM12=Body!$AX$16),IF(AND(Tabulka1[[#This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data'!$BG12="T",'Zdroj data'!$AM12=Body!$AX$17),IF(AND(Tabulka1[[#This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Row],[K2O_60]]&lt;=Body!BJ26),Body!$BH$6,IF(AND(Tabulka1[[#This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2" s="264" t="str">
        <f>IF(AND('Zdroj data'!BG12="L",'Zdroj data'!AM12=Body!$AX$18),IF(AND('Zdroj data'!O12&gt;=Body!$AY$18,'Zdroj data'!O12&lt;=Body!$BA$18),Body!AY$6,IF(AND('Zdroj data'!O12&gt;=Body!$BB$18,'Zdroj data'!O12&lt;=Body!$BD$18),Body!BB$6,IF(AND('Zdroj data'!O12&gt;=Body!$BE$18,'Zdroj data'!O12&lt;=Body!$BG$18),Body!BE$6,IF(AND('Zdroj data'!O12&gt;=Body!$BH$18,'Zdroj data'!O12&lt;=Body!$BJ$18),Body!BH$6,IF(AND('Zdroj data'!O12&gt;=Body!$BK$18,'Zdroj data'!O12&lt;=Body!$BM$18),Body!$BK$6,IF(AND('Zdroj data'!O12&gt;=Body!$BN$18,'Zdroj data'!O12&lt;=Body!$BP$18),Body!BN$6,IF(AND('Zdroj data'!O12&gt;=Body!$BQ$18,'Zdroj data'!O12&lt;=Body!$BS$18),Body!$BQ$6,IF(AND('Zdroj data'!O12&gt;=Body!$BT$18,'Zdroj data'!O12&lt;=Body!$BV$18),Body!$BT$6,IF(AND('Zdroj data'!O12&gt;=Body!$BW$18,'Zdroj data'!O12&lt;=Body!$BY$18),Body!$BW$6,IF('Zdroj data'!O12&gt;=Body!$CB$18,Body!$BZ$6," ")))))))))),IF(AND('Zdroj data'!BG12="ST",'Zdroj data'!AM12=Body!$AX$19),IF(AND('Zdroj data'!O12&gt;=Body!$AY$19,'Zdroj data'!O12&lt;=Body!$BA$19),Body!$AY$6,IF(AND('Zdroj data'!O12&gt;=Body!$BB$19,'Zdroj data'!O12&lt;=Body!$BD$19),Body!$BB$6,IF(AND('Zdroj data'!O12&gt;=Body!$BE$19,'Zdroj data'!O12&lt;=Body!$BG$19),Body!$BE$6,IF(AND('Zdroj data'!O12&gt;=Body!$BH$19,'Zdroj data'!O12&lt;=Body!$BJ$19),Body!$BH$6,IF(AND('Zdroj data'!O12&gt;=Body!$BK$19,'Zdroj data'!O12&lt;=Body!$BM$19),Body!$BK$6,IF(AND('Zdroj data'!O12&gt;=Body!$BN$19,'Zdroj data'!O12&lt;=Body!$BP$19),Body!$BN$6,IF(AND('Zdroj data'!O12&gt;=Body!$BQ$19,'Zdroj data'!O12&lt;=Body!$BS$19),Body!$BQ$6,IF(AND('Zdroj data'!O12&gt;=Body!$BT$19,'Zdroj data'!O16&lt;=Body!$BV$19),Body!$BT$6,IF(AND('Zdroj data'!O12&gt;=Body!$BW$19,'Zdroj data'!O12&lt;=Body!$BY$19),Body!$BW$6,IF('Zdroj data'!O12&gt;=Body!$CB$19,Body!$BZ$6," ")))))))))),IF(AND('Zdroj data'!BG12="T",'Zdroj data'!AM12=Body!$AX$20),IF(AND('Zdroj data'!O12&gt;=Body!$AY$20,'Zdroj data'!O12&lt;=Body!$BA$20),Body!$AY$6,IF(AND('Zdroj data'!O12&gt;=Body!$BB$20,'Zdroj data'!O12&lt;=Body!$BD$20),Body!$BB$6,IF(AND('Zdroj data'!O12&gt;=Body!$BE$20,'Zdroj data'!O12&lt;=Body!$BG$20),Body!$BE$6,IF(AND('Zdroj data'!O12&gt;=Body!$BH$20,'Zdroj data'!O12&lt;=Body!$BJ$20),Body!$BH$6,IF(AND('Zdroj data'!O12&gt;=Body!$BK$20,'Zdroj data'!O12&lt;=Body!$BM$20),Body!$BK$6,IF(AND('Zdroj data'!O12&gt;=Body!$BN$20,'Zdroj data'!O12&lt;=Body!$BP$20),Body!$BN$6,IF(AND('Zdroj data'!O12&gt;=Body!$BQ$20,'Zdroj data'!O12&lt;=Body!$BS$20),Body!$BQ$6,IF(AND('Zdroj data'!O12&gt;=Body!$BT$20,'Zdroj data'!O12&lt;=Body!BV29),Body!$BT$6,IF(AND('Zdroj data'!O12&gt;=Body!$BW$20,'Zdroj data'!O12&lt;=Body!$BY$20),Body!$BW$6,IF('Zdroj data'!O12&gt;=Body!$CB$20,Body!$BZ$6," "))))))))))," ")))</f>
        <v xml:space="preserve"> </v>
      </c>
      <c r="AI12" s="264" t="str">
        <f>IF(AND('Zdroj data'!$BG12="L",'Zdroj data'!$AM12=Body!$AX$18),IF(AND(Tabulka1[[#This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data'!$BG12="ST",'Zdroj data'!$AM12=Body!$AX$19),IF(AND(Tabulka1[[#This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data'!$BG12="T",'Zdroj data'!$AM12=Body!$AX$20),IF(AND(Tabulka1[[#This Row],[K2O_60]]&gt;=Body!$AY$20,'Zdroj data'!O12&lt;=Body!$BA$20),Body!$AY$6,IF(AND(Tabulka1[[#This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Row],[K2O_60]]&lt;=Body!BV29),Body!$BT$6,IF(AND(Tabulka1[[#This Row],[K2O_60]]&gt;=Body!$BW$20,Tabulka1[[#This Row],[K2O_60]]&lt;=Body!$BY$20),Body!$BW$6,IF(Tabulka1[[#This Row],[K2O_60]]&gt;=Body!$CB$20,Body!$BZ$6," "))))))))))," ")))</f>
        <v xml:space="preserve"> </v>
      </c>
      <c r="AJ12" s="265">
        <f t="shared" si="2"/>
        <v>5.3333333333333375</v>
      </c>
      <c r="AK12" s="264">
        <f t="shared" si="3"/>
        <v>25.198917117989168</v>
      </c>
      <c r="AL12" s="264">
        <f t="shared" si="4"/>
        <v>24.67655504313052</v>
      </c>
      <c r="AM12" s="264">
        <f t="shared" si="5"/>
        <v>67.589310180878783</v>
      </c>
      <c r="AN12" s="264">
        <f t="shared" si="6"/>
        <v>69.133903388080768</v>
      </c>
      <c r="AO12" s="265">
        <f t="shared" si="0"/>
        <v>92.788227298867952</v>
      </c>
      <c r="AP12" s="265">
        <f t="shared" si="1"/>
        <v>93.810458431211288</v>
      </c>
      <c r="AQ12" s="318"/>
      <c r="AR12" s="338">
        <f t="shared" si="7"/>
        <v>191.93201906341258</v>
      </c>
      <c r="AS12" s="318"/>
      <c r="AT12" s="454"/>
      <c r="AU12" s="468"/>
      <c r="AV12" s="152">
        <v>0.10647128787599243</v>
      </c>
      <c r="AW12" s="25" t="s">
        <v>845</v>
      </c>
      <c r="AX12" s="24"/>
      <c r="AY12" s="25">
        <v>0</v>
      </c>
      <c r="AZ12" s="43" t="s">
        <v>856</v>
      </c>
      <c r="BA12" s="44">
        <v>6.99</v>
      </c>
      <c r="BB12" s="45">
        <v>7</v>
      </c>
      <c r="BC12" s="29" t="s">
        <v>858</v>
      </c>
      <c r="BD12" s="44">
        <v>9.99</v>
      </c>
      <c r="BE12" s="45">
        <v>10</v>
      </c>
      <c r="BF12" s="46" t="s">
        <v>858</v>
      </c>
      <c r="BG12" s="44">
        <v>12.99</v>
      </c>
      <c r="BH12" s="47">
        <v>13</v>
      </c>
      <c r="BI12" s="48" t="s">
        <v>858</v>
      </c>
      <c r="BJ12" s="27">
        <v>15.99</v>
      </c>
      <c r="BK12" s="30">
        <v>16</v>
      </c>
      <c r="BL12" s="49" t="s">
        <v>858</v>
      </c>
      <c r="BM12" s="27">
        <v>18.989999999999998</v>
      </c>
      <c r="BN12" s="28">
        <v>19</v>
      </c>
      <c r="BO12" s="49" t="s">
        <v>858</v>
      </c>
      <c r="BP12" s="27">
        <v>20.99</v>
      </c>
      <c r="BQ12" s="28">
        <v>21</v>
      </c>
      <c r="BR12" s="49" t="s">
        <v>858</v>
      </c>
      <c r="BS12" s="27">
        <v>23.99</v>
      </c>
      <c r="BT12" s="28">
        <v>24</v>
      </c>
      <c r="BU12" s="49" t="s">
        <v>858</v>
      </c>
      <c r="BV12" s="27">
        <v>26.99</v>
      </c>
      <c r="BW12" s="28">
        <v>27</v>
      </c>
      <c r="BX12" s="49" t="s">
        <v>858</v>
      </c>
      <c r="BY12" s="27">
        <v>29.99</v>
      </c>
      <c r="BZ12" s="28"/>
      <c r="CA12" s="49" t="s">
        <v>857</v>
      </c>
      <c r="CB12" s="27">
        <v>30</v>
      </c>
    </row>
    <row r="13" spans="1:84" ht="15.5" x14ac:dyDescent="0.35">
      <c r="A13" s="270">
        <v>833</v>
      </c>
      <c r="B13" s="156" t="s">
        <v>546</v>
      </c>
      <c r="C13" s="250" t="str">
        <f>VLOOKUP(B13,'Zdroj hloubka okresy'!$A$2:$D$171,2,FALSE)</f>
        <v>Pribram</v>
      </c>
      <c r="D13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13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13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3" s="264">
        <f>IF(AND(Tabulka1[[#This Row],[hum_60]]&gt;AY19,Tabulka1[[#This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3" s="264">
        <f>IF(Tabulka1[[#This Row],[kv.ek.]]=Body!$AX$13,IF(AND('Zdroj data'!M13&gt;=Body!$AY$13,'Zdroj data'!M13&lt;=Body!$BA$13),Body!$AY$6,IF(AND('Zdroj data'!M13&gt;=Body!$BB$13,'Zdroj data'!M13&lt;=Body!$BD$13),Body!$BB$6,IF(AND('Zdroj data'!M13&gt;=Body!$BE$13,'Zdroj data'!M13&lt;=Body!$BG$13),Body!$BE$6,IF(AND('Zdroj data'!M13&gt;=Body!$BH$13,'Zdroj data'!M13&lt;=Body!$BJ$13),Body!$BH$6,IF(AND('Zdroj data'!M13&gt;=Body!$BK$13,'Zdroj data'!M13&lt;=Body!$BM$13),Body!$BK$6,IF(AND('Zdroj data'!M13&gt;=Body!$BN$13,'Zdroj data'!M13&lt;=Body!$BP$13),Body!$BN$6,IF(AND('Zdroj data'!M13&gt;=Body!$BQ$13,'Zdroj data'!M13&lt;=Body!$BS$13),Body!$BQ$6,IF(AND('Zdroj data'!M13&gt;=Body!$BT$13,'Zdroj data'!M13&lt;=Body!$BV$13),Body!$BT$6,IF(AND('Zdroj data'!M13&gt;=Body!$BW$13,'Zdroj data'!M13&lt;=Body!$BY$13),Body!$BW$6,IF('Zdroj data'!M13&gt;=Body!$CB$13,Body!$BZ$6,"")))))))))),IF(Tabulka1[[#This Row],[kv.ek.]]=Body!$AX$14,IF(AND('Zdroj data'!N13&gt;=Body!$AY$14,'Zdroj data'!N13&lt;=Body!$BA$14),Body!$AY$6,IF(AND('Zdroj data'!N13&gt;=Body!$BB$14,'Zdroj data'!N13&lt;=Body!$BD$14),Body!$BB$6,IF(AND('Zdroj data'!N13&gt;=Body!$BE$14,'Zdroj data'!N13&lt;=Body!$BG$14),Body!$BE$6,IF(AND('Zdroj data'!N13&gt;=Body!$BH$14,'Zdroj data'!N13&lt;=Body!$BJ$14),Body!$BH$6,IF(AND('Zdroj data'!N13&gt;=Body!$BK$14,'Zdroj data'!N13&lt;=Body!$BM$14),Body!$BK$6,IF(AND('Zdroj data'!N13&gt;=Body!$BN$14,'Zdroj data'!N13&lt;=Body!$BP$14),Body!$BN$6,IF(AND('Zdroj data'!N13&gt;=Body!$BQ$14,'Zdroj data'!N13&lt;=Body!$BS$14),Body!$BQ$6,IF(AND('Zdroj data'!N13&gt;=Body!$BT$14,'Zdroj data'!N13&lt;=Body!$BV$14),Body!$BT$6,IF(AND('Zdroj data'!N13&gt;=Body!$BW$14,'Zdroj data'!N13&lt;=Body!$BY$14),Body!$BW$6,IF('Zdroj data'!N13&gt;=Body!$CB$14,Body!$BZ$6,"")))))))))),""))</f>
        <v>1</v>
      </c>
      <c r="I13" s="264">
        <f>IF(Tabulka1[[#This Row],[kv.ek.]]=Body!$AX$13,IF(AND('Zdroj data'!N13&gt;=Body!$AY$13,'Zdroj data'!N13&lt;=Body!$BA$13),Body!$AY$6,IF(AND('Zdroj data'!N13&gt;=Body!$BB$13,'Zdroj data'!N13&lt;=Body!$BD$13),Body!$BB$6,IF(AND('Zdroj data'!N13&gt;=Body!$BE$13,'Zdroj data'!N13&lt;=Body!$BG$13),Body!$BE$6,IF(AND('Zdroj data'!N13&gt;=Body!$BH$13,'Zdroj data'!N13&lt;=Body!$BJ$13),Body!$BH$6,IF(AND('Zdroj data'!N13&gt;=Body!$BK$13,'Zdroj data'!N13&lt;=Body!$BM$13),Body!$BK$6,IF(AND('Zdroj data'!N13&gt;=Body!$BN$13,'Zdroj data'!N13&lt;=Body!$BP$13),Body!$BN$6,IF(AND('Zdroj data'!N13&gt;=Body!$BQ$13,'Zdroj data'!N13&lt;=Body!$BS$13),Body!$BQ$6,IF(AND('Zdroj data'!N13&gt;=Body!$BT$13,'Zdroj data'!N13&lt;=Body!$BV$13),Body!$BT$6,IF(AND('Zdroj data'!N13&gt;=Body!$BW$13,'Zdroj data'!N13&lt;=Body!$BY$13),Body!$BW$6,IF('Zdroj data'!N13&gt;=Body!$CB$13,Body!$BZ$6," ")))))))))),IF(Tabulka1[[#This Row],[kv.ek.]]=Body!$AX$14,IF(AND('Zdroj data'!O13&gt;=Body!$AY$14,'Zdroj data'!O13&lt;=Body!$BA$14),Body!$AY$6,IF(AND('Zdroj data'!O13&gt;=Body!$BB$14,'Zdroj data'!O13&lt;=Body!$BD$14),Body!$BB$6,IF(AND('Zdroj data'!O13&gt;=Body!$BE$14,'Zdroj data'!O13&lt;=Body!$BG$14),Body!$BE$6,IF(AND('Zdroj data'!O13&gt;=Body!$BH$14,'Zdroj data'!O13&lt;=Body!$BJ$14),Body!$BH$6,IF(AND('Zdroj data'!O13&gt;=Body!$BK$14,'Zdroj data'!O13&lt;=Body!$BM$14),Body!$BK$6,IF(AND('Zdroj data'!O13&gt;=Body!$BN$14,'Zdroj data'!O13&lt;=Body!$BP$14),Body!$BN$6,IF(AND('Zdroj data'!O13&gt;=Body!$BQ$14,'Zdroj data'!O13&lt;=Body!$BS$14),Body!$BQ$6,IF(AND('Zdroj data'!O13&gt;=Body!$BT$14,'Zdroj data'!O13&lt;=Body!$BV$14),Body!$BT$6,IF(AND('Zdroj data'!O13&gt;=Body!$BW$14,'Zdroj data'!O13&lt;=Body!$BY$14),Body!$BW$6,IF('Zdroj data'!O13&gt;=Body!$CB$14,Body!$BZ$6," "))))))))))," "))</f>
        <v>1</v>
      </c>
      <c r="J13" s="264">
        <f t="shared" si="8"/>
        <v>1</v>
      </c>
      <c r="K13" s="264">
        <f t="shared" si="9"/>
        <v>1</v>
      </c>
      <c r="L13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13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13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5</v>
      </c>
      <c r="O13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5</v>
      </c>
      <c r="P13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3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13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13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13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13" s="264">
        <f>IF('Zdroj data'!BB13=Body!$AY$25,Body!$AY$22,IF('Zdroj data'!BB13=Body!$BB$25,Body!$BB$22,IF('Zdroj data'!BB13=Body!$BE$25,Body!$BE$22,IF('Zdroj data'!BB13=Body!$BH$25,Body!$BH$22,IF('Zdroj data'!BB13=Body!BK$25,Body!$BK$22,IF('Zdroj data'!BB13=Body!$BN$25,Body!$BN$22,IF('Zdroj data'!BB13=Body!$BQ$25,Body!$BQ$22,IF('Zdroj data'!BB13=Body!$BT$25,Body!$BT$22,IF('Zdroj data'!BB13=Body!$BW$25,Body!$BW$22,IF('Zdroj data'!BB13=Body!$BZ$25,Body!$BZ$22," "))))))))))</f>
        <v>3</v>
      </c>
      <c r="V13" s="264">
        <f>IF(AND('Zdroj data'!BO13&gt;Body!$AY$27,'Zdroj data'!BO13&lt;=Body!$BA$27),Body!$AY$22,IF(AND('Zdroj data'!BO13&gt;=Body!$BB$27,'Zdroj data'!BO13&lt;=Body!$BD$27),Body!$BB$22,IF(AND('Zdroj data'!BO13&gt;=Body!$BE$27,'Zdroj data'!BO13&lt;=Body!$BG$27),Body!$BE$22,IF(AND('Zdroj data'!BO13&gt;=Body!$BH$27,'Zdroj data'!BO13&lt;=Body!$BJ$27),Body!$BH$22,IF(AND('Zdroj data'!BO13&gt;=Body!$BK$27,'Zdroj data'!BO13&lt;=Body!$BM$27),Body!$BK$22,IF(AND('Zdroj data'!BO13&gt;=Body!$BN$27,'Zdroj data'!BO13&lt;=Body!$BP$27),Body!$BN$22,IF(AND('Zdroj data'!BO13&gt;=Body!$BQ$27,'Zdroj data'!BO13&lt;=Body!$BS$27),Body!$BQ$22,IF(AND('Zdroj data'!BO13&gt;=Body!$BT$27,'Zdroj data'!BO13&lt;=Body!$BV$27),Body!$BT$22,IF(AND('Zdroj data'!BO13&gt;=Body!$BW$27,'Zdroj data'!BO13&lt;=Body!$BY$27),Body!$BW$22,IF('Zdroj data'!BO13&gt;=Body!$CB$27,$BZ$22," "))))))))))</f>
        <v>6</v>
      </c>
      <c r="W13" s="264">
        <f>IF(AND('Zdroj data'!BP13&gt;Body!$AY$27,'Zdroj data'!BP13&lt;=Body!$BA$27),Body!$AY$22,IF(AND('Zdroj data'!BP13&gt;=Body!$BB$27,'Zdroj data'!BP13&lt;=Body!$BD$27),Body!$BB$22,IF(AND('Zdroj data'!BP13&gt;=Body!$BE$27,'Zdroj data'!BP13&lt;=Body!$BG$27),Body!$BE$22,IF(AND('Zdroj data'!BP13&gt;=Body!$BH$27,'Zdroj data'!BP13&lt;=Body!$BJ$27),Body!$BH$22,IF(AND('Zdroj data'!BP13&gt;=Body!$BK$27,'Zdroj data'!BP13&lt;=Body!$BM$27),Body!$BK$22,IF(AND('Zdroj data'!BP13&gt;=Body!$BN$27,'Zdroj data'!BP13&lt;=Body!$BP$27),Body!$BN$22,IF(AND('Zdroj data'!BP13&gt;=Body!$BQ$27,'Zdroj data'!BP13&lt;=Body!$BS$27),Body!$BQ$22,IF(AND('Zdroj data'!BP13&gt;=Body!$BT$27,'Zdroj data'!BP13&lt;=Body!$BV$27),Body!$BT$22,IF(AND('Zdroj data'!BP13&gt;=Body!$BW$27,'Zdroj data'!BP13&lt;=Body!$BY$27),Body!$BW$22,IF('Zdroj data'!BP13&gt;=Body!$CB$27,$BZ$22," "))))))))))</f>
        <v>5</v>
      </c>
      <c r="X13" s="264">
        <f>IF('Zdroj data'!BA13=Body!$BB$28,$BB$22,IF('Zdroj data'!BA13=Body!$BE$28,$BE$22,IF(OR('Zdroj data'!BA13=Body!$BK$28,'Zdroj data'!BA13=Body!$BL$28,'Zdroj data'!BA13=Body!$BM$28),$BK$22,IF(OR('Zdroj data'!BA13=Body!$BT$28,'Zdroj data'!BA13=Body!$BV$28),$BT$22,IF(OR('Zdroj data'!BA13=Body!$BW$28,'Zdroj data'!BA13=Body!$BY$28),$BW$22,IF('Zdroj data'!BA13=Body!$BZ$28,$BZ$22," "))))))</f>
        <v>8</v>
      </c>
      <c r="Y13" s="264">
        <f>IF('Zdroj data'!AZ13=Body!$BZ$29,Body!$BZ$22,IF(OR('Zdroj data'!AZ13=$BT$29,'Zdroj data'!AZ13=$BU$29,'Zdroj data'!AZ13=$BV$29),$BT$22,IF(OR('Zdroj data'!AZ13=$BK$29,'Zdroj data'!AZ13=$BM$29),$BK$22,IF(OR('Zdroj data'!AZ13=$BE$29,'Zdroj data'!AZ13=$BG$29),$BE$22,IF(OR('Zdroj data'!AZ13=$AY$29,'Zdroj data'!AZ13=$BA$29),$AY$22," ")))))</f>
        <v>10</v>
      </c>
      <c r="Z13" s="264">
        <f>IF(AND('Zdroj data'!BF13="T",(OR('Zdroj data'!AZ13=Body!$AW$45,'Zdroj data'!AZ13=Body!$AW$46,'Zdroj data'!AZ13=Body!$AW$47,'Zdroj data'!AZ13=Body!$AW$48))),Body!$AY$22,IF(AND('Zdroj data'!BF13="T",(OR('Zdroj data'!AZ13=$AW$49,'Zdroj data'!AZ13=$AW$50,'Zdroj data'!AZ13=$AW$51,'Zdroj data'!AZ13=$AW$52))),$BZ$22,IF(AND(OR('Zdroj data'!BF13="VT",'Zdroj data'!BF13="T",'Zdroj data'!BF13="CH"),(OR('Zdroj data'!AZ13=$AW$43,'Zdroj data'!AZ13=$AW$44,))),$BZ$22,IF(AND('Zdroj data'!BF13="CH",(OR('Zdroj data'!AZ13=$AW$49,'Zdroj data'!AZ13=$AW$50,'Zdroj data'!AZ13=$AW$51,'Zdroj data'!AZ13=$AW$52))),$AY$22,IF(AND('Zdroj data'!BF13="CH",(OR('Zdroj data'!AZ13=$AW$45,'Zdroj data'!AZ13=$AW$46,'Zdroj data'!AZ13=$AW$47,'Zdroj data'!AZ13=$AW$48))),$BZ$22," ")))))</f>
        <v>10</v>
      </c>
      <c r="AA13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</v>
      </c>
      <c r="AB13" s="264">
        <f>IF(Tabulka1[[#This Row],[kv.ek.]]=Body!$BK$35,Body!$BK$34,IF(Tabulka1[[#This Row],[kv.ek.]]=Body!$BZ$35,Body!$BZ$34," "))</f>
        <v>5</v>
      </c>
      <c r="AC13" s="264" t="str">
        <f>IF(AND('Zdroj data'!BF13="T",(OR('Zdroj data'!AZ13=Body!$AW$45,'Zdroj data'!AZ13=Body!$AW$46,'Zdroj data'!AZ13=Body!$AW$47,'Zdroj data'!AZ13=Body!$AW$48))),Body!$AY$22,IF(AND('Zdroj data'!BF13="T",(OR('Zdroj data'!AZ13=$AW$49,'Zdroj data'!AZ13=$AW$50,'Zdroj data'!AZ13=$AW$51,'Zdroj data'!AZ13=$AW$52))),$BZ$22," "))</f>
        <v xml:space="preserve"> </v>
      </c>
      <c r="AD13" s="264">
        <f>IF(AND(OR('Zdroj data'!BF13="VT",'Zdroj data'!BF13="T",'Zdroj data'!BF13="CH"),(OR('Zdroj data'!AZ13=$AW$43,'Zdroj data'!AZ13=$AW$44,))),$BZ$22," ")</f>
        <v>10</v>
      </c>
      <c r="AE13" s="264" t="str">
        <f>IF(AND('Zdroj data'!BF13="CH",(OR('Zdroj data'!AZ13=$AW$49,'Zdroj data'!AZ13=$AW$50,'Zdroj data'!AZ13=$AW$51,'Zdroj data'!AZ13=$AW$52))),$AY$22,IF(AND('Zdroj data'!BF13="CH",(OR('Zdroj data'!AZ13=$AW$45,'Zdroj data'!AZ13=$AW$46,'Zdroj data'!AZ13=$AW$47,'Zdroj data'!AZ13=$AW$48))),$BZ$22," "))</f>
        <v xml:space="preserve"> </v>
      </c>
      <c r="AF13" s="264">
        <f>IF(AND('Zdroj data'!BG13="L",'Zdroj data'!AM13=Body!$AX$15),IF(AND('Zdroj data'!O13&gt;=Body!$AY$15,'Zdroj data'!O13&lt;=Body!$BA$15),Body!AY$6,IF(AND('Zdroj data'!O13&gt;=Body!$BB$15,'Zdroj data'!O13&lt;=Body!$BD$15),Body!BB$6,IF(AND('Zdroj data'!O13&gt;=Body!$BE$15,'Zdroj data'!O13&lt;=Body!$BG$15),Body!BE$6,IF(AND('Zdroj data'!O13&gt;=Body!$BH$15,'Zdroj data'!O13&lt;=Body!$BJ$15),Body!BH$6,IF(AND('Zdroj data'!O13&gt;=Body!$BK$15,'Zdroj data'!O13&lt;=Body!$BM$15),Body!BK$6,IF(AND('Zdroj data'!O13&gt;=Body!$BN$15,'Zdroj data'!O13&lt;=Body!$BP$15),Body!$BN$6,IF(AND('Zdroj data'!O13&gt;=Body!$BQ$15,'Zdroj data'!O13&lt;=Body!$BS$15),Body!$BQ$6,IF(AND('Zdroj data'!O13&gt;=Body!$BT$15,'Zdroj data'!O13&lt;=Body!$BV$15),Body!BT$6,IF(AND('Zdroj data'!O13&gt;=Body!$BW$15,'Zdroj data'!O13&lt;=Body!$BY$15),Body!$BW$6,IF('Zdroj data'!O13&gt;=Body!$CB$15,Body!$BZ$6," ")))))))))),IF(AND('Zdroj data'!BG13="ST",'Zdroj data'!AM13=Body!$AX$16),IF(AND('Zdroj data'!O13&gt;=Body!$AY$16,'Zdroj data'!O13&lt;=Body!$BA$16),Body!$AY$6,IF(AND('Zdroj data'!O13&gt;=Body!$BB$16,'Zdroj data'!O13&lt;=Body!$BD$16),Body!$BB$6,IF(AND('Zdroj data'!O13&gt;=Body!$BE$16,'Zdroj data'!O13&lt;=Body!$BG$16),Body!$BE$6,IF(AND('Zdroj data'!O13&gt;=Body!$BH$16,'Zdroj data'!O13&lt;=Body!$BJ$16),Body!$BH$6,IF(AND('Zdroj data'!O13&gt;=Body!$BK$16,'Zdroj data'!O13&lt;=Body!$BM$16),Body!$BK$6,IF(AND('Zdroj data'!O13&gt;=Body!$BN$16,'Zdroj data'!O13&lt;=Body!$BP$16),Body!$BN$6,IF(AND('Zdroj data'!O13&gt;=Body!$BQ$16,'Zdroj data'!O13&lt;=Body!$BS$16),Body!$BQ$6,IF(AND('Zdroj data'!O13&gt;=Body!$BT$16,'Zdroj data'!O13&lt;=Body!$BV$16),Body!$BT$6,IF(AND('Zdroj data'!O13&gt;=Body!$BW$16,'Zdroj data'!O13&lt;=Body!$BY$16),Body!$BW$6,IF('Zdroj data'!O13&gt;=Body!$CB$16,Body!$BZ$6," ")))))))))),IF(AND('Zdroj data'!BG13="T",'Zdroj data'!AM13=Body!$AX$17),IF(AND('Zdroj data'!O13&gt;=Body!$AY$17,'Zdroj data'!O13&lt;=Body!$BA$17),Body!$AY$6,IF(AND('Zdroj data'!O13&gt;=Body!$BB$17,'Zdroj data'!O13&lt;=Body!$BD$17),Body!$BB$6,IF(AND('Zdroj data'!O13&gt;=Body!$BE$17,'Zdroj data'!O13&lt;=Body!$BG$17),Body!$BE$6,IF(AND('Zdroj data'!O13&gt;=Body!$BH$17,'Zdroj data'!O13&lt;=Body!BJ27),Body!$BH$6,IF(AND('Zdroj data'!O13&gt;=Body!$BK$17,'Zdroj data'!O13&lt;=Body!$BM$17),Body!$BK$6,IF(AND('Zdroj data'!O13&gt;=Body!$BN$17,'Zdroj data'!O13&lt;=Body!$BP$17),Body!$BN$6,IF(AND('Zdroj data'!O13&gt;=Body!$BQ$17,'Zdroj data'!O13&lt;=Body!$BS$17),Body!$BQ$6,IF(AND('Zdroj data'!O13&gt;=Body!$BT$17,'Zdroj data'!O13&lt;=Body!$BV$17),Body!$BT$6,IF(AND('Zdroj data'!O13&gt;=Body!$BW$17,'Zdroj data'!O13&lt;=Body!$BY$17),Body!$BW$6,IF('Zdroj data'!O13&gt;=Body!$CB$17,Body!$BZ$6," "))))))))))," ")))</f>
        <v>1</v>
      </c>
      <c r="AG13" s="264">
        <f>IF(AND('Zdroj data'!$BG13="L",'Zdroj data'!$AM13=Body!$AX$15),IF(AND(Tabulka1[[#This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data'!$BG13="ST",'Zdroj data'!$AM13=Body!$AX$16),IF(AND(Tabulka1[[#This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data'!$BG13="T",'Zdroj data'!$AM13=Body!$AX$17),IF(AND(Tabulka1[[#This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Row],[K2O_60]]&lt;=Body!BJ27),Body!$BH$6,IF(AND(Tabulka1[[#This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3" s="264" t="str">
        <f>IF(AND('Zdroj data'!BG13="L",'Zdroj data'!AM13=Body!$AX$18),IF(AND('Zdroj data'!O13&gt;=Body!$AY$18,'Zdroj data'!O13&lt;=Body!$BA$18),Body!AY$6,IF(AND('Zdroj data'!O13&gt;=Body!$BB$18,'Zdroj data'!O13&lt;=Body!$BD$18),Body!BB$6,IF(AND('Zdroj data'!O13&gt;=Body!$BE$18,'Zdroj data'!O13&lt;=Body!$BG$18),Body!BE$6,IF(AND('Zdroj data'!O13&gt;=Body!$BH$18,'Zdroj data'!O13&lt;=Body!$BJ$18),Body!BH$6,IF(AND('Zdroj data'!O13&gt;=Body!$BK$18,'Zdroj data'!O13&lt;=Body!$BM$18),Body!$BK$6,IF(AND('Zdroj data'!O13&gt;=Body!$BN$18,'Zdroj data'!O13&lt;=Body!$BP$18),Body!BN$6,IF(AND('Zdroj data'!O13&gt;=Body!$BQ$18,'Zdroj data'!O13&lt;=Body!$BS$18),Body!$BQ$6,IF(AND('Zdroj data'!O13&gt;=Body!$BT$18,'Zdroj data'!O13&lt;=Body!$BV$18),Body!$BT$6,IF(AND('Zdroj data'!O13&gt;=Body!$BW$18,'Zdroj data'!O13&lt;=Body!$BY$18),Body!$BW$6,IF('Zdroj data'!O13&gt;=Body!$CB$18,Body!$BZ$6," ")))))))))),IF(AND('Zdroj data'!BG13="ST",'Zdroj data'!AM13=Body!$AX$19),IF(AND('Zdroj data'!O13&gt;=Body!$AY$19,'Zdroj data'!O13&lt;=Body!$BA$19),Body!$AY$6,IF(AND('Zdroj data'!O13&gt;=Body!$BB$19,'Zdroj data'!O13&lt;=Body!$BD$19),Body!$BB$6,IF(AND('Zdroj data'!O13&gt;=Body!$BE$19,'Zdroj data'!O13&lt;=Body!$BG$19),Body!$BE$6,IF(AND('Zdroj data'!O13&gt;=Body!$BH$19,'Zdroj data'!O13&lt;=Body!$BJ$19),Body!$BH$6,IF(AND('Zdroj data'!O13&gt;=Body!$BK$19,'Zdroj data'!O13&lt;=Body!$BM$19),Body!$BK$6,IF(AND('Zdroj data'!O13&gt;=Body!$BN$19,'Zdroj data'!O13&lt;=Body!$BP$19),Body!$BN$6,IF(AND('Zdroj data'!O13&gt;=Body!$BQ$19,'Zdroj data'!O13&lt;=Body!$BS$19),Body!$BQ$6,IF(AND('Zdroj data'!O13&gt;=Body!$BT$19,'Zdroj data'!O17&lt;=Body!$BV$19),Body!$BT$6,IF(AND('Zdroj data'!O13&gt;=Body!$BW$19,'Zdroj data'!O13&lt;=Body!$BY$19),Body!$BW$6,IF('Zdroj data'!O13&gt;=Body!$CB$19,Body!$BZ$6," ")))))))))),IF(AND('Zdroj data'!BG13="T",'Zdroj data'!AM13=Body!$AX$20),IF(AND('Zdroj data'!O13&gt;=Body!$AY$20,'Zdroj data'!O13&lt;=Body!$BA$20),Body!$AY$6,IF(AND('Zdroj data'!O13&gt;=Body!$BB$20,'Zdroj data'!O13&lt;=Body!$BD$20),Body!$BB$6,IF(AND('Zdroj data'!O13&gt;=Body!$BE$20,'Zdroj data'!O13&lt;=Body!$BG$20),Body!$BE$6,IF(AND('Zdroj data'!O13&gt;=Body!$BH$20,'Zdroj data'!O13&lt;=Body!$BJ$20),Body!$BH$6,IF(AND('Zdroj data'!O13&gt;=Body!$BK$20,'Zdroj data'!O13&lt;=Body!$BM$20),Body!$BK$6,IF(AND('Zdroj data'!O13&gt;=Body!$BN$20,'Zdroj data'!O13&lt;=Body!$BP$20),Body!$BN$6,IF(AND('Zdroj data'!O13&gt;=Body!$BQ$20,'Zdroj data'!O13&lt;=Body!$BS$20),Body!$BQ$6,IF(AND('Zdroj data'!O13&gt;=Body!$BT$20,'Zdroj data'!O13&lt;=Body!BV30),Body!$BT$6,IF(AND('Zdroj data'!O13&gt;=Body!$BW$20,'Zdroj data'!O13&lt;=Body!$BY$20),Body!$BW$6,IF('Zdroj data'!O13&gt;=Body!$CB$20,Body!$BZ$6," "))))))))))," ")))</f>
        <v xml:space="preserve"> </v>
      </c>
      <c r="AI13" s="264" t="str">
        <f>IF(AND('Zdroj data'!$BG13="L",'Zdroj data'!$AM13=Body!$AX$18),IF(AND(Tabulka1[[#This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data'!$BG13="ST",'Zdroj data'!$AM13=Body!$AX$19),IF(AND(Tabulka1[[#This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data'!$BG13="T",'Zdroj data'!$AM13=Body!$AX$20),IF(AND(Tabulka1[[#This Row],[K2O_60]]&gt;=Body!$AY$20,'Zdroj data'!O13&lt;=Body!$BA$20),Body!$AY$6,IF(AND(Tabulka1[[#This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Row],[K2O_60]]&lt;=Body!BV30),Body!$BT$6,IF(AND(Tabulka1[[#This Row],[K2O_60]]&gt;=Body!$BW$20,Tabulka1[[#This Row],[K2O_60]]&lt;=Body!$BY$20),Body!$BW$6,IF(Tabulka1[[#This Row],[K2O_60]]&gt;=Body!$CB$20,Body!$BZ$6," "))))))))))," ")))</f>
        <v xml:space="preserve"> </v>
      </c>
      <c r="AJ13" s="265">
        <f t="shared" si="2"/>
        <v>2.6666666666666687</v>
      </c>
      <c r="AK13" s="264">
        <f t="shared" si="3"/>
        <v>26.532275057020442</v>
      </c>
      <c r="AL13" s="264">
        <f t="shared" si="4"/>
        <v>25.529543608195645</v>
      </c>
      <c r="AM13" s="264">
        <f t="shared" si="5"/>
        <v>68.968666053437772</v>
      </c>
      <c r="AN13" s="264">
        <f t="shared" si="6"/>
        <v>63.510448889159811</v>
      </c>
      <c r="AO13" s="265">
        <f t="shared" si="0"/>
        <v>95.500941110458214</v>
      </c>
      <c r="AP13" s="265">
        <f t="shared" si="1"/>
        <v>89.039992497355456</v>
      </c>
      <c r="AQ13" s="318"/>
      <c r="AR13" s="338">
        <f t="shared" si="7"/>
        <v>187.20760027448031</v>
      </c>
      <c r="AS13" s="318"/>
      <c r="AT13" s="454"/>
      <c r="AU13" s="468"/>
      <c r="AV13" s="470">
        <v>3.7451689829867053E-2</v>
      </c>
      <c r="AW13" s="33" t="s">
        <v>846</v>
      </c>
      <c r="AX13" s="34" t="s">
        <v>824</v>
      </c>
      <c r="AY13" s="33">
        <v>0</v>
      </c>
      <c r="AZ13" s="35" t="s">
        <v>856</v>
      </c>
      <c r="BA13" s="36">
        <v>49.99</v>
      </c>
      <c r="BB13" s="37">
        <v>50</v>
      </c>
      <c r="BC13" s="38" t="s">
        <v>858</v>
      </c>
      <c r="BD13" s="72">
        <v>64.989999999999995</v>
      </c>
      <c r="BE13" s="73">
        <v>65</v>
      </c>
      <c r="BF13" s="74" t="s">
        <v>858</v>
      </c>
      <c r="BG13" s="72">
        <v>79.989999999999995</v>
      </c>
      <c r="BH13" s="75">
        <v>80</v>
      </c>
      <c r="BI13" s="74" t="s">
        <v>858</v>
      </c>
      <c r="BJ13" s="76">
        <v>94.99</v>
      </c>
      <c r="BK13" s="77">
        <v>95</v>
      </c>
      <c r="BL13" s="78" t="s">
        <v>858</v>
      </c>
      <c r="BM13" s="76">
        <v>109.99</v>
      </c>
      <c r="BN13" s="77">
        <v>110</v>
      </c>
      <c r="BO13" s="78" t="s">
        <v>858</v>
      </c>
      <c r="BP13" s="76">
        <v>134.99</v>
      </c>
      <c r="BQ13" s="77">
        <v>135</v>
      </c>
      <c r="BR13" s="78" t="s">
        <v>858</v>
      </c>
      <c r="BS13" s="76">
        <v>144.99</v>
      </c>
      <c r="BT13" s="77">
        <v>145</v>
      </c>
      <c r="BU13" s="78" t="s">
        <v>858</v>
      </c>
      <c r="BV13" s="76">
        <v>164.99</v>
      </c>
      <c r="BW13" s="77">
        <v>164.99</v>
      </c>
      <c r="BX13" s="78" t="s">
        <v>858</v>
      </c>
      <c r="BY13" s="76">
        <v>184.99</v>
      </c>
      <c r="BZ13" s="77"/>
      <c r="CA13" s="78" t="s">
        <v>857</v>
      </c>
      <c r="CB13" s="76">
        <v>185</v>
      </c>
      <c r="CC13" s="79"/>
    </row>
    <row r="14" spans="1:84" ht="15.5" x14ac:dyDescent="0.35">
      <c r="A14" s="270">
        <v>836</v>
      </c>
      <c r="B14" s="156" t="s">
        <v>550</v>
      </c>
      <c r="C14" s="250" t="str">
        <f>VLOOKUP(B14,'Zdroj hloubka okresy'!$A$2:$D$171,2,FALSE)</f>
        <v>Pribram</v>
      </c>
      <c r="D14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14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14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2</v>
      </c>
      <c r="G14" s="264">
        <f>IF(AND(Tabulka1[[#This Row],[hum_60]]&gt;AY20,Tabulka1[[#This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1</v>
      </c>
      <c r="H14" s="264">
        <f>IF(Tabulka1[[#This Row],[kv.ek.]]=Body!$AX$13,IF(AND('Zdroj data'!M14&gt;=Body!$AY$13,'Zdroj data'!M14&lt;=Body!$BA$13),Body!$AY$6,IF(AND('Zdroj data'!M14&gt;=Body!$BB$13,'Zdroj data'!M14&lt;=Body!$BD$13),Body!$BB$6,IF(AND('Zdroj data'!M14&gt;=Body!$BE$13,'Zdroj data'!M14&lt;=Body!$BG$13),Body!$BE$6,IF(AND('Zdroj data'!M14&gt;=Body!$BH$13,'Zdroj data'!M14&lt;=Body!$BJ$13),Body!$BH$6,IF(AND('Zdroj data'!M14&gt;=Body!$BK$13,'Zdroj data'!M14&lt;=Body!$BM$13),Body!$BK$6,IF(AND('Zdroj data'!M14&gt;=Body!$BN$13,'Zdroj data'!M14&lt;=Body!$BP$13),Body!$BN$6,IF(AND('Zdroj data'!M14&gt;=Body!$BQ$13,'Zdroj data'!M14&lt;=Body!$BS$13),Body!$BQ$6,IF(AND('Zdroj data'!M14&gt;=Body!$BT$13,'Zdroj data'!M14&lt;=Body!$BV$13),Body!$BT$6,IF(AND('Zdroj data'!M14&gt;=Body!$BW$13,'Zdroj data'!M14&lt;=Body!$BY$13),Body!$BW$6,IF('Zdroj data'!M14&gt;=Body!$CB$13,Body!$BZ$6,"")))))))))),IF(Tabulka1[[#This Row],[kv.ek.]]=Body!$AX$14,IF(AND('Zdroj data'!N14&gt;=Body!$AY$14,'Zdroj data'!N14&lt;=Body!$BA$14),Body!$AY$6,IF(AND('Zdroj data'!N14&gt;=Body!$BB$14,'Zdroj data'!N14&lt;=Body!$BD$14),Body!$BB$6,IF(AND('Zdroj data'!N14&gt;=Body!$BE$14,'Zdroj data'!N14&lt;=Body!$BG$14),Body!$BE$6,IF(AND('Zdroj data'!N14&gt;=Body!$BH$14,'Zdroj data'!N14&lt;=Body!$BJ$14),Body!$BH$6,IF(AND('Zdroj data'!N14&gt;=Body!$BK$14,'Zdroj data'!N14&lt;=Body!$BM$14),Body!$BK$6,IF(AND('Zdroj data'!N14&gt;=Body!$BN$14,'Zdroj data'!N14&lt;=Body!$BP$14),Body!$BN$6,IF(AND('Zdroj data'!N14&gt;=Body!$BQ$14,'Zdroj data'!N14&lt;=Body!$BS$14),Body!$BQ$6,IF(AND('Zdroj data'!N14&gt;=Body!$BT$14,'Zdroj data'!N14&lt;=Body!$BV$14),Body!$BT$6,IF(AND('Zdroj data'!N14&gt;=Body!$BW$14,'Zdroj data'!N14&lt;=Body!$BY$14),Body!$BW$6,IF('Zdroj data'!N14&gt;=Body!$CB$14,Body!$BZ$6,"")))))))))),""))</f>
        <v>1</v>
      </c>
      <c r="I14" s="264">
        <f>IF(Tabulka1[[#This Row],[kv.ek.]]=Body!$AX$13,IF(AND('Zdroj data'!N14&gt;=Body!$AY$13,'Zdroj data'!N14&lt;=Body!$BA$13),Body!$AY$6,IF(AND('Zdroj data'!N14&gt;=Body!$BB$13,'Zdroj data'!N14&lt;=Body!$BD$13),Body!$BB$6,IF(AND('Zdroj data'!N14&gt;=Body!$BE$13,'Zdroj data'!N14&lt;=Body!$BG$13),Body!$BE$6,IF(AND('Zdroj data'!N14&gt;=Body!$BH$13,'Zdroj data'!N14&lt;=Body!$BJ$13),Body!$BH$6,IF(AND('Zdroj data'!N14&gt;=Body!$BK$13,'Zdroj data'!N14&lt;=Body!$BM$13),Body!$BK$6,IF(AND('Zdroj data'!N14&gt;=Body!$BN$13,'Zdroj data'!N14&lt;=Body!$BP$13),Body!$BN$6,IF(AND('Zdroj data'!N14&gt;=Body!$BQ$13,'Zdroj data'!N14&lt;=Body!$BS$13),Body!$BQ$6,IF(AND('Zdroj data'!N14&gt;=Body!$BT$13,'Zdroj data'!N14&lt;=Body!$BV$13),Body!$BT$6,IF(AND('Zdroj data'!N14&gt;=Body!$BW$13,'Zdroj data'!N14&lt;=Body!$BY$13),Body!$BW$6,IF('Zdroj data'!N14&gt;=Body!$CB$13,Body!$BZ$6," ")))))))))),IF(Tabulka1[[#This Row],[kv.ek.]]=Body!$AX$14,IF(AND('Zdroj data'!O14&gt;=Body!$AY$14,'Zdroj data'!O14&lt;=Body!$BA$14),Body!$AY$6,IF(AND('Zdroj data'!O14&gt;=Body!$BB$14,'Zdroj data'!O14&lt;=Body!$BD$14),Body!$BB$6,IF(AND('Zdroj data'!O14&gt;=Body!$BE$14,'Zdroj data'!O14&lt;=Body!$BG$14),Body!$BE$6,IF(AND('Zdroj data'!O14&gt;=Body!$BH$14,'Zdroj data'!O14&lt;=Body!$BJ$14),Body!$BH$6,IF(AND('Zdroj data'!O14&gt;=Body!$BK$14,'Zdroj data'!O14&lt;=Body!$BM$14),Body!$BK$6,IF(AND('Zdroj data'!O14&gt;=Body!$BN$14,'Zdroj data'!O14&lt;=Body!$BP$14),Body!$BN$6,IF(AND('Zdroj data'!O14&gt;=Body!$BQ$14,'Zdroj data'!O14&lt;=Body!$BS$14),Body!$BQ$6,IF(AND('Zdroj data'!O14&gt;=Body!$BT$14,'Zdroj data'!O14&lt;=Body!$BV$14),Body!$BT$6,IF(AND('Zdroj data'!O14&gt;=Body!$BW$14,'Zdroj data'!O14&lt;=Body!$BY$14),Body!$BW$6,IF('Zdroj data'!O14&gt;=Body!$CB$14,Body!$BZ$6," "))))))))))," "))</f>
        <v>1</v>
      </c>
      <c r="J14" s="264">
        <f t="shared" si="8"/>
        <v>3</v>
      </c>
      <c r="K14" s="264">
        <f t="shared" si="9"/>
        <v>2</v>
      </c>
      <c r="L14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14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2</v>
      </c>
      <c r="N14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4</v>
      </c>
      <c r="O14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5</v>
      </c>
      <c r="P14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4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14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14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14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14" s="264">
        <f>IF('Zdroj data'!BB14=Body!$AY$25,Body!$AY$22,IF('Zdroj data'!BB14=Body!$BB$25,Body!$BB$22,IF('Zdroj data'!BB14=Body!$BE$25,Body!$BE$22,IF('Zdroj data'!BB14=Body!$BH$25,Body!$BH$22,IF('Zdroj data'!BB14=Body!BK$25,Body!$BK$22,IF('Zdroj data'!BB14=Body!$BN$25,Body!$BN$22,IF('Zdroj data'!BB14=Body!$BQ$25,Body!$BQ$22,IF('Zdroj data'!BB14=Body!$BT$25,Body!$BT$22,IF('Zdroj data'!BB14=Body!$BW$25,Body!$BW$22,IF('Zdroj data'!BB14=Body!$BZ$25,Body!$BZ$22," "))))))))))</f>
        <v>5</v>
      </c>
      <c r="V14" s="264">
        <f>IF(AND('Zdroj data'!BO14&gt;Body!$AY$27,'Zdroj data'!BO14&lt;=Body!$BA$27),Body!$AY$22,IF(AND('Zdroj data'!BO14&gt;=Body!$BB$27,'Zdroj data'!BO14&lt;=Body!$BD$27),Body!$BB$22,IF(AND('Zdroj data'!BO14&gt;=Body!$BE$27,'Zdroj data'!BO14&lt;=Body!$BG$27),Body!$BE$22,IF(AND('Zdroj data'!BO14&gt;=Body!$BH$27,'Zdroj data'!BO14&lt;=Body!$BJ$27),Body!$BH$22,IF(AND('Zdroj data'!BO14&gt;=Body!$BK$27,'Zdroj data'!BO14&lt;=Body!$BM$27),Body!$BK$22,IF(AND('Zdroj data'!BO14&gt;=Body!$BN$27,'Zdroj data'!BO14&lt;=Body!$BP$27),Body!$BN$22,IF(AND('Zdroj data'!BO14&gt;=Body!$BQ$27,'Zdroj data'!BO14&lt;=Body!$BS$27),Body!$BQ$22,IF(AND('Zdroj data'!BO14&gt;=Body!$BT$27,'Zdroj data'!BO14&lt;=Body!$BV$27),Body!$BT$22,IF(AND('Zdroj data'!BO14&gt;=Body!$BW$27,'Zdroj data'!BO14&lt;=Body!$BY$27),Body!$BW$22,IF('Zdroj data'!BO14&gt;=Body!$CB$27,$BZ$22," "))))))))))</f>
        <v>5</v>
      </c>
      <c r="W14" s="264">
        <f>IF(AND('Zdroj data'!BP14&gt;Body!$AY$27,'Zdroj data'!BP14&lt;=Body!$BA$27),Body!$AY$22,IF(AND('Zdroj data'!BP14&gt;=Body!$BB$27,'Zdroj data'!BP14&lt;=Body!$BD$27),Body!$BB$22,IF(AND('Zdroj data'!BP14&gt;=Body!$BE$27,'Zdroj data'!BP14&lt;=Body!$BG$27),Body!$BE$22,IF(AND('Zdroj data'!BP14&gt;=Body!$BH$27,'Zdroj data'!BP14&lt;=Body!$BJ$27),Body!$BH$22,IF(AND('Zdroj data'!BP14&gt;=Body!$BK$27,'Zdroj data'!BP14&lt;=Body!$BM$27),Body!$BK$22,IF(AND('Zdroj data'!BP14&gt;=Body!$BN$27,'Zdroj data'!BP14&lt;=Body!$BP$27),Body!$BN$22,IF(AND('Zdroj data'!BP14&gt;=Body!$BQ$27,'Zdroj data'!BP14&lt;=Body!$BS$27),Body!$BQ$22,IF(AND('Zdroj data'!BP14&gt;=Body!$BT$27,'Zdroj data'!BP14&lt;=Body!$BV$27),Body!$BT$22,IF(AND('Zdroj data'!BP14&gt;=Body!$BW$27,'Zdroj data'!BP14&lt;=Body!$BY$27),Body!$BW$22,IF('Zdroj data'!BP14&gt;=Body!$CB$27,$BZ$22," "))))))))))</f>
        <v>8</v>
      </c>
      <c r="X14" s="264">
        <f>IF('Zdroj data'!BA14=Body!$BB$28,$BB$22,IF('Zdroj data'!BA14=Body!$BE$28,$BE$22,IF(OR('Zdroj data'!BA14=Body!$BK$28,'Zdroj data'!BA14=Body!$BL$28,'Zdroj data'!BA14=Body!$BM$28),$BK$22,IF(OR('Zdroj data'!BA14=Body!$BT$28,'Zdroj data'!BA14=Body!$BV$28),$BT$22,IF(OR('Zdroj data'!BA14=Body!$BW$28,'Zdroj data'!BA14=Body!$BY$28),$BW$22,IF('Zdroj data'!BA14=Body!$BZ$28,$BZ$22," "))))))</f>
        <v>5</v>
      </c>
      <c r="Y14" s="264">
        <f>IF('Zdroj data'!AZ14=Body!$BZ$29,Body!$BZ$22,IF(OR('Zdroj data'!AZ14=$BT$29,'Zdroj data'!AZ14=$BU$29,'Zdroj data'!AZ14=$BV$29),$BT$22,IF(OR('Zdroj data'!AZ14=$BK$29,'Zdroj data'!AZ14=$BM$29),$BK$22,IF(OR('Zdroj data'!AZ14=$BE$29,'Zdroj data'!AZ14=$BG$29),$BE$22,IF(OR('Zdroj data'!AZ14=$AY$29,'Zdroj data'!AZ14=$BA$29),$AY$22," ")))))</f>
        <v>8</v>
      </c>
      <c r="Z14" s="264">
        <f>IF(AND('Zdroj data'!BF14="T",(OR('Zdroj data'!AZ14=Body!$AW$45,'Zdroj data'!AZ14=Body!$AW$46,'Zdroj data'!AZ14=Body!$AW$47,'Zdroj data'!AZ14=Body!$AW$48))),Body!$AY$22,IF(AND('Zdroj data'!BF14="T",(OR('Zdroj data'!AZ14=$AW$49,'Zdroj data'!AZ14=$AW$50,'Zdroj data'!AZ14=$AW$51,'Zdroj data'!AZ14=$AW$52))),$BZ$22,IF(AND(OR('Zdroj data'!BF14="VT",'Zdroj data'!BF14="T",'Zdroj data'!BF14="CH"),(OR('Zdroj data'!AZ14=$AW$43,'Zdroj data'!AZ14=$AW$44,))),$BZ$22,IF(AND('Zdroj data'!BF14="CH",(OR('Zdroj data'!AZ14=$AW$49,'Zdroj data'!AZ14=$AW$50,'Zdroj data'!AZ14=$AW$51,'Zdroj data'!AZ14=$AW$52))),$AY$22,IF(AND('Zdroj data'!BF14="CH",(OR('Zdroj data'!AZ14=$AW$45,'Zdroj data'!AZ14=$AW$46,'Zdroj data'!AZ14=$AW$47,'Zdroj data'!AZ14=$AW$48))),$BZ$22," ")))))</f>
        <v>10</v>
      </c>
      <c r="AA14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4" s="264">
        <f>IF(Tabulka1[[#This Row],[kv.ek.]]=Body!$BK$35,Body!$BK$34,IF(Tabulka1[[#This Row],[kv.ek.]]=Body!$BZ$35,Body!$BZ$34," "))</f>
        <v>5</v>
      </c>
      <c r="AC14" s="264" t="str">
        <f>IF(AND('Zdroj data'!BF14="T",(OR('Zdroj data'!AZ14=Body!$AW$45,'Zdroj data'!AZ14=Body!$AW$46,'Zdroj data'!AZ14=Body!$AW$47,'Zdroj data'!AZ14=Body!$AW$48))),Body!$AY$22,IF(AND('Zdroj data'!BF14="T",(OR('Zdroj data'!AZ14=$AW$49,'Zdroj data'!AZ14=$AW$50,'Zdroj data'!AZ14=$AW$51,'Zdroj data'!AZ14=$AW$52))),$BZ$22," "))</f>
        <v xml:space="preserve"> </v>
      </c>
      <c r="AD14" s="264">
        <f>IF(AND(OR('Zdroj data'!BF14="VT",'Zdroj data'!BF14="T",'Zdroj data'!BF14="CH"),(OR('Zdroj data'!AZ14=$AW$43,'Zdroj data'!AZ14=$AW$44,))),$BZ$22," ")</f>
        <v>10</v>
      </c>
      <c r="AE14" s="264" t="str">
        <f>IF(AND('Zdroj data'!BF14="CH",(OR('Zdroj data'!AZ14=$AW$49,'Zdroj data'!AZ14=$AW$50,'Zdroj data'!AZ14=$AW$51,'Zdroj data'!AZ14=$AW$52))),$AY$22,IF(AND('Zdroj data'!BF14="CH",(OR('Zdroj data'!AZ14=$AW$45,'Zdroj data'!AZ14=$AW$46,'Zdroj data'!AZ14=$AW$47,'Zdroj data'!AZ14=$AW$48))),$BZ$22," "))</f>
        <v xml:space="preserve"> </v>
      </c>
      <c r="AF14" s="264">
        <f>IF(AND('Zdroj data'!BG14="L",'Zdroj data'!AM14=Body!$AX$15),IF(AND('Zdroj data'!O14&gt;=Body!$AY$15,'Zdroj data'!O14&lt;=Body!$BA$15),Body!AY$6,IF(AND('Zdroj data'!O14&gt;=Body!$BB$15,'Zdroj data'!O14&lt;=Body!$BD$15),Body!BB$6,IF(AND('Zdroj data'!O14&gt;=Body!$BE$15,'Zdroj data'!O14&lt;=Body!$BG$15),Body!BE$6,IF(AND('Zdroj data'!O14&gt;=Body!$BH$15,'Zdroj data'!O14&lt;=Body!$BJ$15),Body!BH$6,IF(AND('Zdroj data'!O14&gt;=Body!$BK$15,'Zdroj data'!O14&lt;=Body!$BM$15),Body!BK$6,IF(AND('Zdroj data'!O14&gt;=Body!$BN$15,'Zdroj data'!O14&lt;=Body!$BP$15),Body!$BN$6,IF(AND('Zdroj data'!O14&gt;=Body!$BQ$15,'Zdroj data'!O14&lt;=Body!$BS$15),Body!$BQ$6,IF(AND('Zdroj data'!O14&gt;=Body!$BT$15,'Zdroj data'!O14&lt;=Body!$BV$15),Body!BT$6,IF(AND('Zdroj data'!O14&gt;=Body!$BW$15,'Zdroj data'!O14&lt;=Body!$BY$15),Body!$BW$6,IF('Zdroj data'!O14&gt;=Body!$CB$15,Body!$BZ$6," ")))))))))),IF(AND('Zdroj data'!BG14="ST",'Zdroj data'!AM14=Body!$AX$16),IF(AND('Zdroj data'!O14&gt;=Body!$AY$16,'Zdroj data'!O14&lt;=Body!$BA$16),Body!$AY$6,IF(AND('Zdroj data'!O14&gt;=Body!$BB$16,'Zdroj data'!O14&lt;=Body!$BD$16),Body!$BB$6,IF(AND('Zdroj data'!O14&gt;=Body!$BE$16,'Zdroj data'!O14&lt;=Body!$BG$16),Body!$BE$6,IF(AND('Zdroj data'!O14&gt;=Body!$BH$16,'Zdroj data'!O14&lt;=Body!$BJ$16),Body!$BH$6,IF(AND('Zdroj data'!O14&gt;=Body!$BK$16,'Zdroj data'!O14&lt;=Body!$BM$16),Body!$BK$6,IF(AND('Zdroj data'!O14&gt;=Body!$BN$16,'Zdroj data'!O14&lt;=Body!$BP$16),Body!$BN$6,IF(AND('Zdroj data'!O14&gt;=Body!$BQ$16,'Zdroj data'!O14&lt;=Body!$BS$16),Body!$BQ$6,IF(AND('Zdroj data'!O14&gt;=Body!$BT$16,'Zdroj data'!O14&lt;=Body!$BV$16),Body!$BT$6,IF(AND('Zdroj data'!O14&gt;=Body!$BW$16,'Zdroj data'!O14&lt;=Body!$BY$16),Body!$BW$6,IF('Zdroj data'!O14&gt;=Body!$CB$16,Body!$BZ$6," ")))))))))),IF(AND('Zdroj data'!BG14="T",'Zdroj data'!AM14=Body!$AX$17),IF(AND('Zdroj data'!O14&gt;=Body!$AY$17,'Zdroj data'!O14&lt;=Body!$BA$17),Body!$AY$6,IF(AND('Zdroj data'!O14&gt;=Body!$BB$17,'Zdroj data'!O14&lt;=Body!$BD$17),Body!$BB$6,IF(AND('Zdroj data'!O14&gt;=Body!$BE$17,'Zdroj data'!O14&lt;=Body!$BG$17),Body!$BE$6,IF(AND('Zdroj data'!O14&gt;=Body!$BH$17,'Zdroj data'!O14&lt;=Body!BJ28),Body!$BH$6,IF(AND('Zdroj data'!O14&gt;=Body!$BK$17,'Zdroj data'!O14&lt;=Body!$BM$17),Body!$BK$6,IF(AND('Zdroj data'!O14&gt;=Body!$BN$17,'Zdroj data'!O14&lt;=Body!$BP$17),Body!$BN$6,IF(AND('Zdroj data'!O14&gt;=Body!$BQ$17,'Zdroj data'!O14&lt;=Body!$BS$17),Body!$BQ$6,IF(AND('Zdroj data'!O14&gt;=Body!$BT$17,'Zdroj data'!O14&lt;=Body!$BV$17),Body!$BT$6,IF(AND('Zdroj data'!O14&gt;=Body!$BW$17,'Zdroj data'!O14&lt;=Body!$BY$17),Body!$BW$6,IF('Zdroj data'!O14&gt;=Body!$CB$17,Body!$BZ$6," "))))))))))," ")))</f>
        <v>3</v>
      </c>
      <c r="AG14" s="264">
        <f>IF(AND('Zdroj data'!$BG14="L",'Zdroj data'!$AM14=Body!$AX$15),IF(AND(Tabulka1[[#This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data'!$BG14="ST",'Zdroj data'!$AM14=Body!$AX$16),IF(AND(Tabulka1[[#This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data'!$BG14="T",'Zdroj data'!$AM14=Body!$AX$17),IF(AND(Tabulka1[[#This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Row],[K2O_60]]&lt;=Body!BJ28),Body!$BH$6,IF(AND(Tabulka1[[#This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2</v>
      </c>
      <c r="AH14" s="264" t="str">
        <f>IF(AND('Zdroj data'!BG14="L",'Zdroj data'!AM14=Body!$AX$18),IF(AND('Zdroj data'!O14&gt;=Body!$AY$18,'Zdroj data'!O14&lt;=Body!$BA$18),Body!AY$6,IF(AND('Zdroj data'!O14&gt;=Body!$BB$18,'Zdroj data'!O14&lt;=Body!$BD$18),Body!BB$6,IF(AND('Zdroj data'!O14&gt;=Body!$BE$18,'Zdroj data'!O14&lt;=Body!$BG$18),Body!BE$6,IF(AND('Zdroj data'!O14&gt;=Body!$BH$18,'Zdroj data'!O14&lt;=Body!$BJ$18),Body!BH$6,IF(AND('Zdroj data'!O14&gt;=Body!$BK$18,'Zdroj data'!O14&lt;=Body!$BM$18),Body!$BK$6,IF(AND('Zdroj data'!O14&gt;=Body!$BN$18,'Zdroj data'!O14&lt;=Body!$BP$18),Body!BN$6,IF(AND('Zdroj data'!O14&gt;=Body!$BQ$18,'Zdroj data'!O14&lt;=Body!$BS$18),Body!$BQ$6,IF(AND('Zdroj data'!O14&gt;=Body!$BT$18,'Zdroj data'!O14&lt;=Body!$BV$18),Body!$BT$6,IF(AND('Zdroj data'!O14&gt;=Body!$BW$18,'Zdroj data'!O14&lt;=Body!$BY$18),Body!$BW$6,IF('Zdroj data'!O14&gt;=Body!$CB$18,Body!$BZ$6," ")))))))))),IF(AND('Zdroj data'!BG14="ST",'Zdroj data'!AM14=Body!$AX$19),IF(AND('Zdroj data'!O14&gt;=Body!$AY$19,'Zdroj data'!O14&lt;=Body!$BA$19),Body!$AY$6,IF(AND('Zdroj data'!O14&gt;=Body!$BB$19,'Zdroj data'!O14&lt;=Body!$BD$19),Body!$BB$6,IF(AND('Zdroj data'!O14&gt;=Body!$BE$19,'Zdroj data'!O14&lt;=Body!$BG$19),Body!$BE$6,IF(AND('Zdroj data'!O14&gt;=Body!$BH$19,'Zdroj data'!O14&lt;=Body!$BJ$19),Body!$BH$6,IF(AND('Zdroj data'!O14&gt;=Body!$BK$19,'Zdroj data'!O14&lt;=Body!$BM$19),Body!$BK$6,IF(AND('Zdroj data'!O14&gt;=Body!$BN$19,'Zdroj data'!O14&lt;=Body!$BP$19),Body!$BN$6,IF(AND('Zdroj data'!O14&gt;=Body!$BQ$19,'Zdroj data'!O14&lt;=Body!$BS$19),Body!$BQ$6,IF(AND('Zdroj data'!O14&gt;=Body!$BT$19,'Zdroj data'!O18&lt;=Body!$BV$19),Body!$BT$6,IF(AND('Zdroj data'!O14&gt;=Body!$BW$19,'Zdroj data'!O14&lt;=Body!$BY$19),Body!$BW$6,IF('Zdroj data'!O14&gt;=Body!$CB$19,Body!$BZ$6," ")))))))))),IF(AND('Zdroj data'!BG14="T",'Zdroj data'!AM14=Body!$AX$20),IF(AND('Zdroj data'!O14&gt;=Body!$AY$20,'Zdroj data'!O14&lt;=Body!$BA$20),Body!$AY$6,IF(AND('Zdroj data'!O14&gt;=Body!$BB$20,'Zdroj data'!O14&lt;=Body!$BD$20),Body!$BB$6,IF(AND('Zdroj data'!O14&gt;=Body!$BE$20,'Zdroj data'!O14&lt;=Body!$BG$20),Body!$BE$6,IF(AND('Zdroj data'!O14&gt;=Body!$BH$20,'Zdroj data'!O14&lt;=Body!$BJ$20),Body!$BH$6,IF(AND('Zdroj data'!O14&gt;=Body!$BK$20,'Zdroj data'!O14&lt;=Body!$BM$20),Body!$BK$6,IF(AND('Zdroj data'!O14&gt;=Body!$BN$20,'Zdroj data'!O14&lt;=Body!$BP$20),Body!$BN$6,IF(AND('Zdroj data'!O14&gt;=Body!$BQ$20,'Zdroj data'!O14&lt;=Body!$BS$20),Body!$BQ$6,IF(AND('Zdroj data'!O14&gt;=Body!$BT$20,'Zdroj data'!O14&lt;=Body!BV31),Body!$BT$6,IF(AND('Zdroj data'!O14&gt;=Body!$BW$20,'Zdroj data'!O14&lt;=Body!$BY$20),Body!$BW$6,IF('Zdroj data'!O14&gt;=Body!$CB$20,Body!$BZ$6," "))))))))))," ")))</f>
        <v xml:space="preserve"> </v>
      </c>
      <c r="AI14" s="264" t="str">
        <f>IF(AND('Zdroj data'!$BG14="L",'Zdroj data'!$AM14=Body!$AX$18),IF(AND(Tabulka1[[#This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data'!$BG14="ST",'Zdroj data'!$AM14=Body!$AX$19),IF(AND(Tabulka1[[#This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data'!$BG14="T",'Zdroj data'!$AM14=Body!$AX$20),IF(AND(Tabulka1[[#This Row],[K2O_60]]&gt;=Body!$AY$20,'Zdroj data'!O14&lt;=Body!$BA$20),Body!$AY$6,IF(AND(Tabulka1[[#This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Row],[K2O_60]]&lt;=Body!BV31),Body!$BT$6,IF(AND(Tabulka1[[#This Row],[K2O_60]]&gt;=Body!$BW$20,Tabulka1[[#This Row],[K2O_60]]&lt;=Body!$BY$20),Body!$BW$6,IF(Tabulka1[[#This Row],[K2O_60]]&gt;=Body!$CB$20,Body!$BZ$6," "))))))))))," ")))</f>
        <v xml:space="preserve"> </v>
      </c>
      <c r="AJ14" s="265">
        <f t="shared" si="2"/>
        <v>8.0000000000000071</v>
      </c>
      <c r="AK14" s="264">
        <f t="shared" si="3"/>
        <v>18.648861083861906</v>
      </c>
      <c r="AL14" s="264">
        <f t="shared" si="4"/>
        <v>16.736220654842345</v>
      </c>
      <c r="AM14" s="264">
        <f t="shared" si="5"/>
        <v>56.71292454815805</v>
      </c>
      <c r="AN14" s="264">
        <f t="shared" si="6"/>
        <v>61.34670416976401</v>
      </c>
      <c r="AO14" s="265">
        <f t="shared" si="0"/>
        <v>75.361785632019959</v>
      </c>
      <c r="AP14" s="265">
        <f t="shared" si="1"/>
        <v>78.082924824606351</v>
      </c>
      <c r="AQ14" s="318"/>
      <c r="AR14" s="338">
        <f t="shared" si="7"/>
        <v>161.4447104566263</v>
      </c>
      <c r="AS14" s="318"/>
      <c r="AT14" s="454"/>
      <c r="AU14" s="468"/>
      <c r="AV14" s="470"/>
      <c r="AW14" s="33" t="s">
        <v>847</v>
      </c>
      <c r="AX14" s="34" t="s">
        <v>796</v>
      </c>
      <c r="AY14" s="33">
        <v>0</v>
      </c>
      <c r="AZ14" s="35" t="s">
        <v>856</v>
      </c>
      <c r="BA14" s="36">
        <v>24.99</v>
      </c>
      <c r="BB14" s="37">
        <v>25</v>
      </c>
      <c r="BC14" s="38" t="s">
        <v>858</v>
      </c>
      <c r="BD14" s="72">
        <v>36.99</v>
      </c>
      <c r="BE14" s="73">
        <v>37</v>
      </c>
      <c r="BF14" s="74" t="s">
        <v>858</v>
      </c>
      <c r="BG14" s="72">
        <v>49.99</v>
      </c>
      <c r="BH14" s="75">
        <v>50</v>
      </c>
      <c r="BI14" s="74" t="s">
        <v>858</v>
      </c>
      <c r="BJ14" s="76">
        <v>62.99</v>
      </c>
      <c r="BK14" s="77">
        <v>63</v>
      </c>
      <c r="BL14" s="78" t="s">
        <v>858</v>
      </c>
      <c r="BM14" s="76">
        <v>75.989999999999995</v>
      </c>
      <c r="BN14" s="77">
        <v>76</v>
      </c>
      <c r="BO14" s="78" t="s">
        <v>858</v>
      </c>
      <c r="BP14" s="76">
        <v>89.99</v>
      </c>
      <c r="BQ14" s="77">
        <v>90</v>
      </c>
      <c r="BR14" s="78" t="s">
        <v>858</v>
      </c>
      <c r="BS14" s="76">
        <v>109.99</v>
      </c>
      <c r="BT14" s="77">
        <v>110</v>
      </c>
      <c r="BU14" s="78" t="s">
        <v>858</v>
      </c>
      <c r="BV14" s="76">
        <v>129.99</v>
      </c>
      <c r="BW14" s="77">
        <v>130</v>
      </c>
      <c r="BX14" s="78" t="s">
        <v>858</v>
      </c>
      <c r="BY14" s="76">
        <v>149.99</v>
      </c>
      <c r="BZ14" s="77"/>
      <c r="CA14" s="78" t="s">
        <v>857</v>
      </c>
      <c r="CB14" s="76">
        <v>150</v>
      </c>
      <c r="CC14" s="79"/>
    </row>
    <row r="15" spans="1:84" ht="15.5" x14ac:dyDescent="0.35">
      <c r="A15" s="270">
        <v>839</v>
      </c>
      <c r="B15" s="156" t="s">
        <v>529</v>
      </c>
      <c r="C15" s="250" t="str">
        <f>VLOOKUP(B15,'Zdroj hloubka okresy'!$A$2:$D$171,2,FALSE)</f>
        <v>Pribram</v>
      </c>
      <c r="D15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15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15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5" s="264">
        <f>IF(AND(Tabulka1[[#This Row],[hum_60]]&gt;AY21,Tabulka1[[#This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5" s="264">
        <f>IF(Tabulka1[[#This Row],[kv.ek.]]=Body!$AX$13,IF(AND('Zdroj data'!M15&gt;=Body!$AY$13,'Zdroj data'!M15&lt;=Body!$BA$13),Body!$AY$6,IF(AND('Zdroj data'!M15&gt;=Body!$BB$13,'Zdroj data'!M15&lt;=Body!$BD$13),Body!$BB$6,IF(AND('Zdroj data'!M15&gt;=Body!$BE$13,'Zdroj data'!M15&lt;=Body!$BG$13),Body!$BE$6,IF(AND('Zdroj data'!M15&gt;=Body!$BH$13,'Zdroj data'!M15&lt;=Body!$BJ$13),Body!$BH$6,IF(AND('Zdroj data'!M15&gt;=Body!$BK$13,'Zdroj data'!M15&lt;=Body!$BM$13),Body!$BK$6,IF(AND('Zdroj data'!M15&gt;=Body!$BN$13,'Zdroj data'!M15&lt;=Body!$BP$13),Body!$BN$6,IF(AND('Zdroj data'!M15&gt;=Body!$BQ$13,'Zdroj data'!M15&lt;=Body!$BS$13),Body!$BQ$6,IF(AND('Zdroj data'!M15&gt;=Body!$BT$13,'Zdroj data'!M15&lt;=Body!$BV$13),Body!$BT$6,IF(AND('Zdroj data'!M15&gt;=Body!$BW$13,'Zdroj data'!M15&lt;=Body!$BY$13),Body!$BW$6,IF('Zdroj data'!M15&gt;=Body!$CB$13,Body!$BZ$6,"")))))))))),IF(Tabulka1[[#This Row],[kv.ek.]]=Body!$AX$14,IF(AND('Zdroj data'!N15&gt;=Body!$AY$14,'Zdroj data'!N15&lt;=Body!$BA$14),Body!$AY$6,IF(AND('Zdroj data'!N15&gt;=Body!$BB$14,'Zdroj data'!N15&lt;=Body!$BD$14),Body!$BB$6,IF(AND('Zdroj data'!N15&gt;=Body!$BE$14,'Zdroj data'!N15&lt;=Body!$BG$14),Body!$BE$6,IF(AND('Zdroj data'!N15&gt;=Body!$BH$14,'Zdroj data'!N15&lt;=Body!$BJ$14),Body!$BH$6,IF(AND('Zdroj data'!N15&gt;=Body!$BK$14,'Zdroj data'!N15&lt;=Body!$BM$14),Body!$BK$6,IF(AND('Zdroj data'!N15&gt;=Body!$BN$14,'Zdroj data'!N15&lt;=Body!$BP$14),Body!$BN$6,IF(AND('Zdroj data'!N15&gt;=Body!$BQ$14,'Zdroj data'!N15&lt;=Body!$BS$14),Body!$BQ$6,IF(AND('Zdroj data'!N15&gt;=Body!$BT$14,'Zdroj data'!N15&lt;=Body!$BV$14),Body!$BT$6,IF(AND('Zdroj data'!N15&gt;=Body!$BW$14,'Zdroj data'!N15&lt;=Body!$BY$14),Body!$BW$6,IF('Zdroj data'!N15&gt;=Body!$CB$14,Body!$BZ$6,"")))))))))),""))</f>
        <v>1</v>
      </c>
      <c r="I15" s="264">
        <f>IF(Tabulka1[[#This Row],[kv.ek.]]=Body!$AX$13,IF(AND('Zdroj data'!N15&gt;=Body!$AY$13,'Zdroj data'!N15&lt;=Body!$BA$13),Body!$AY$6,IF(AND('Zdroj data'!N15&gt;=Body!$BB$13,'Zdroj data'!N15&lt;=Body!$BD$13),Body!$BB$6,IF(AND('Zdroj data'!N15&gt;=Body!$BE$13,'Zdroj data'!N15&lt;=Body!$BG$13),Body!$BE$6,IF(AND('Zdroj data'!N15&gt;=Body!$BH$13,'Zdroj data'!N15&lt;=Body!$BJ$13),Body!$BH$6,IF(AND('Zdroj data'!N15&gt;=Body!$BK$13,'Zdroj data'!N15&lt;=Body!$BM$13),Body!$BK$6,IF(AND('Zdroj data'!N15&gt;=Body!$BN$13,'Zdroj data'!N15&lt;=Body!$BP$13),Body!$BN$6,IF(AND('Zdroj data'!N15&gt;=Body!$BQ$13,'Zdroj data'!N15&lt;=Body!$BS$13),Body!$BQ$6,IF(AND('Zdroj data'!N15&gt;=Body!$BT$13,'Zdroj data'!N15&lt;=Body!$BV$13),Body!$BT$6,IF(AND('Zdroj data'!N15&gt;=Body!$BW$13,'Zdroj data'!N15&lt;=Body!$BY$13),Body!$BW$6,IF('Zdroj data'!N15&gt;=Body!$CB$13,Body!$BZ$6," ")))))))))),IF(Tabulka1[[#This Row],[kv.ek.]]=Body!$AX$14,IF(AND('Zdroj data'!O15&gt;=Body!$AY$14,'Zdroj data'!O15&lt;=Body!$BA$14),Body!$AY$6,IF(AND('Zdroj data'!O15&gt;=Body!$BB$14,'Zdroj data'!O15&lt;=Body!$BD$14),Body!$BB$6,IF(AND('Zdroj data'!O15&gt;=Body!$BE$14,'Zdroj data'!O15&lt;=Body!$BG$14),Body!$BE$6,IF(AND('Zdroj data'!O15&gt;=Body!$BH$14,'Zdroj data'!O15&lt;=Body!$BJ$14),Body!$BH$6,IF(AND('Zdroj data'!O15&gt;=Body!$BK$14,'Zdroj data'!O15&lt;=Body!$BM$14),Body!$BK$6,IF(AND('Zdroj data'!O15&gt;=Body!$BN$14,'Zdroj data'!O15&lt;=Body!$BP$14),Body!$BN$6,IF(AND('Zdroj data'!O15&gt;=Body!$BQ$14,'Zdroj data'!O15&lt;=Body!$BS$14),Body!$BQ$6,IF(AND('Zdroj data'!O15&gt;=Body!$BT$14,'Zdroj data'!O15&lt;=Body!$BV$14),Body!$BT$6,IF(AND('Zdroj data'!O15&gt;=Body!$BW$14,'Zdroj data'!O15&lt;=Body!$BY$14),Body!$BW$6,IF('Zdroj data'!O15&gt;=Body!$CB$14,Body!$BZ$6," "))))))))))," "))</f>
        <v>1</v>
      </c>
      <c r="J15" s="264">
        <f t="shared" si="8"/>
        <v>1</v>
      </c>
      <c r="K15" s="264">
        <f t="shared" si="9"/>
        <v>1</v>
      </c>
      <c r="L15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15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2</v>
      </c>
      <c r="N15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5</v>
      </c>
      <c r="O15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5</v>
      </c>
      <c r="P15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5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2</v>
      </c>
      <c r="R15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2</v>
      </c>
      <c r="S15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4</v>
      </c>
      <c r="T15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4</v>
      </c>
      <c r="U15" s="264">
        <f>IF('Zdroj data'!BB15=Body!$AY$25,Body!$AY$22,IF('Zdroj data'!BB15=Body!$BB$25,Body!$BB$22,IF('Zdroj data'!BB15=Body!$BE$25,Body!$BE$22,IF('Zdroj data'!BB15=Body!$BH$25,Body!$BH$22,IF('Zdroj data'!BB15=Body!BK$25,Body!$BK$22,IF('Zdroj data'!BB15=Body!$BN$25,Body!$BN$22,IF('Zdroj data'!BB15=Body!$BQ$25,Body!$BQ$22,IF('Zdroj data'!BB15=Body!$BT$25,Body!$BT$22,IF('Zdroj data'!BB15=Body!$BW$25,Body!$BW$22,IF('Zdroj data'!BB15=Body!$BZ$25,Body!$BZ$22," "))))))))))</f>
        <v>5</v>
      </c>
      <c r="V15" s="264">
        <f>IF(AND('Zdroj data'!BO15&gt;Body!$AY$27,'Zdroj data'!BO15&lt;=Body!$BA$27),Body!$AY$22,IF(AND('Zdroj data'!BO15&gt;=Body!$BB$27,'Zdroj data'!BO15&lt;=Body!$BD$27),Body!$BB$22,IF(AND('Zdroj data'!BO15&gt;=Body!$BE$27,'Zdroj data'!BO15&lt;=Body!$BG$27),Body!$BE$22,IF(AND('Zdroj data'!BO15&gt;=Body!$BH$27,'Zdroj data'!BO15&lt;=Body!$BJ$27),Body!$BH$22,IF(AND('Zdroj data'!BO15&gt;=Body!$BK$27,'Zdroj data'!BO15&lt;=Body!$BM$27),Body!$BK$22,IF(AND('Zdroj data'!BO15&gt;=Body!$BN$27,'Zdroj data'!BO15&lt;=Body!$BP$27),Body!$BN$22,IF(AND('Zdroj data'!BO15&gt;=Body!$BQ$27,'Zdroj data'!BO15&lt;=Body!$BS$27),Body!$BQ$22,IF(AND('Zdroj data'!BO15&gt;=Body!$BT$27,'Zdroj data'!BO15&lt;=Body!$BV$27),Body!$BT$22,IF(AND('Zdroj data'!BO15&gt;=Body!$BW$27,'Zdroj data'!BO15&lt;=Body!$BY$27),Body!$BW$22,IF('Zdroj data'!BO15&gt;=Body!$CB$27,$BZ$22," "))))))))))</f>
        <v>6</v>
      </c>
      <c r="W15" s="264">
        <f>IF(AND('Zdroj data'!BP15&gt;Body!$AY$27,'Zdroj data'!BP15&lt;=Body!$BA$27),Body!$AY$22,IF(AND('Zdroj data'!BP15&gt;=Body!$BB$27,'Zdroj data'!BP15&lt;=Body!$BD$27),Body!$BB$22,IF(AND('Zdroj data'!BP15&gt;=Body!$BE$27,'Zdroj data'!BP15&lt;=Body!$BG$27),Body!$BE$22,IF(AND('Zdroj data'!BP15&gt;=Body!$BH$27,'Zdroj data'!BP15&lt;=Body!$BJ$27),Body!$BH$22,IF(AND('Zdroj data'!BP15&gt;=Body!$BK$27,'Zdroj data'!BP15&lt;=Body!$BM$27),Body!$BK$22,IF(AND('Zdroj data'!BP15&gt;=Body!$BN$27,'Zdroj data'!BP15&lt;=Body!$BP$27),Body!$BN$22,IF(AND('Zdroj data'!BP15&gt;=Body!$BQ$27,'Zdroj data'!BP15&lt;=Body!$BS$27),Body!$BQ$22,IF(AND('Zdroj data'!BP15&gt;=Body!$BT$27,'Zdroj data'!BP15&lt;=Body!$BV$27),Body!$BT$22,IF(AND('Zdroj data'!BP15&gt;=Body!$BW$27,'Zdroj data'!BP15&lt;=Body!$BY$27),Body!$BW$22,IF('Zdroj data'!BP15&gt;=Body!$CB$27,$BZ$22," "))))))))))</f>
        <v>5</v>
      </c>
      <c r="X15" s="264">
        <f>IF('Zdroj data'!BA15=Body!$BB$28,$BB$22,IF('Zdroj data'!BA15=Body!$BE$28,$BE$22,IF(OR('Zdroj data'!BA15=Body!$BK$28,'Zdroj data'!BA15=Body!$BL$28,'Zdroj data'!BA15=Body!$BM$28),$BK$22,IF(OR('Zdroj data'!BA15=Body!$BT$28,'Zdroj data'!BA15=Body!$BV$28),$BT$22,IF(OR('Zdroj data'!BA15=Body!$BW$28,'Zdroj data'!BA15=Body!$BY$28),$BW$22,IF('Zdroj data'!BA15=Body!$BZ$28,$BZ$22," "))))))</f>
        <v>9</v>
      </c>
      <c r="Y15" s="264">
        <f>IF('Zdroj data'!AZ15=Body!$BZ$29,Body!$BZ$22,IF(OR('Zdroj data'!AZ15=$BT$29,'Zdroj data'!AZ15=$BU$29,'Zdroj data'!AZ15=$BV$29),$BT$22,IF(OR('Zdroj data'!AZ15=$BK$29,'Zdroj data'!AZ15=$BM$29),$BK$22,IF(OR('Zdroj data'!AZ15=$BE$29,'Zdroj data'!AZ15=$BG$29),$BE$22,IF(OR('Zdroj data'!AZ15=$AY$29,'Zdroj data'!AZ15=$BA$29),$AY$22," ")))))</f>
        <v>8</v>
      </c>
      <c r="Z15" s="264">
        <f>IF(AND('Zdroj data'!BF15="T",(OR('Zdroj data'!AZ15=Body!$AW$45,'Zdroj data'!AZ15=Body!$AW$46,'Zdroj data'!AZ15=Body!$AW$47,'Zdroj data'!AZ15=Body!$AW$48))),Body!$AY$22,IF(AND('Zdroj data'!BF15="T",(OR('Zdroj data'!AZ15=$AW$49,'Zdroj data'!AZ15=$AW$50,'Zdroj data'!AZ15=$AW$51,'Zdroj data'!AZ15=$AW$52))),$BZ$22,IF(AND(OR('Zdroj data'!BF15="VT",'Zdroj data'!BF15="T",'Zdroj data'!BF15="CH"),(OR('Zdroj data'!AZ15=$AW$43,'Zdroj data'!AZ15=$AW$44,))),$BZ$22,IF(AND('Zdroj data'!BF15="CH",(OR('Zdroj data'!AZ15=$AW$49,'Zdroj data'!AZ15=$AW$50,'Zdroj data'!AZ15=$AW$51,'Zdroj data'!AZ15=$AW$52))),$AY$22,IF(AND('Zdroj data'!BF15="CH",(OR('Zdroj data'!AZ15=$AW$45,'Zdroj data'!AZ15=$AW$46,'Zdroj data'!AZ15=$AW$47,'Zdroj data'!AZ15=$AW$48))),$BZ$22," ")))))</f>
        <v>10</v>
      </c>
      <c r="AA15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5" s="264">
        <f>IF(Tabulka1[[#This Row],[kv.ek.]]=Body!$BK$35,Body!$BK$34,IF(Tabulka1[[#This Row],[kv.ek.]]=Body!$BZ$35,Body!$BZ$34," "))</f>
        <v>5</v>
      </c>
      <c r="AC15" s="264" t="str">
        <f>IF(AND('Zdroj data'!BF15="T",(OR('Zdroj data'!AZ15=Body!$AW$45,'Zdroj data'!AZ15=Body!$AW$46,'Zdroj data'!AZ15=Body!$AW$47,'Zdroj data'!AZ15=Body!$AW$48))),Body!$AY$22,IF(AND('Zdroj data'!BF15="T",(OR('Zdroj data'!AZ15=$AW$49,'Zdroj data'!AZ15=$AW$50,'Zdroj data'!AZ15=$AW$51,'Zdroj data'!AZ15=$AW$52))),$BZ$22," "))</f>
        <v xml:space="preserve"> </v>
      </c>
      <c r="AD15" s="264">
        <f>IF(AND(OR('Zdroj data'!BF15="VT",'Zdroj data'!BF15="T",'Zdroj data'!BF15="CH"),(OR('Zdroj data'!AZ15=$AW$43,'Zdroj data'!AZ15=$AW$44,))),$BZ$22," ")</f>
        <v>10</v>
      </c>
      <c r="AE15" s="264" t="str">
        <f>IF(AND('Zdroj data'!BF15="CH",(OR('Zdroj data'!AZ15=$AW$49,'Zdroj data'!AZ15=$AW$50,'Zdroj data'!AZ15=$AW$51,'Zdroj data'!AZ15=$AW$52))),$AY$22,IF(AND('Zdroj data'!BF15="CH",(OR('Zdroj data'!AZ15=$AW$45,'Zdroj data'!AZ15=$AW$46,'Zdroj data'!AZ15=$AW$47,'Zdroj data'!AZ15=$AW$48))),$BZ$22," "))</f>
        <v xml:space="preserve"> </v>
      </c>
      <c r="AF15" s="264">
        <f>IF(AND('Zdroj data'!BG15="L",'Zdroj data'!AM15=Body!$AX$15),IF(AND('Zdroj data'!O15&gt;=Body!$AY$15,'Zdroj data'!O15&lt;=Body!$BA$15),Body!AY$6,IF(AND('Zdroj data'!O15&gt;=Body!$BB$15,'Zdroj data'!O15&lt;=Body!$BD$15),Body!BB$6,IF(AND('Zdroj data'!O15&gt;=Body!$BE$15,'Zdroj data'!O15&lt;=Body!$BG$15),Body!BE$6,IF(AND('Zdroj data'!O15&gt;=Body!$BH$15,'Zdroj data'!O15&lt;=Body!$BJ$15),Body!BH$6,IF(AND('Zdroj data'!O15&gt;=Body!$BK$15,'Zdroj data'!O15&lt;=Body!$BM$15),Body!BK$6,IF(AND('Zdroj data'!O15&gt;=Body!$BN$15,'Zdroj data'!O15&lt;=Body!$BP$15),Body!$BN$6,IF(AND('Zdroj data'!O15&gt;=Body!$BQ$15,'Zdroj data'!O15&lt;=Body!$BS$15),Body!$BQ$6,IF(AND('Zdroj data'!O15&gt;=Body!$BT$15,'Zdroj data'!O15&lt;=Body!$BV$15),Body!BT$6,IF(AND('Zdroj data'!O15&gt;=Body!$BW$15,'Zdroj data'!O15&lt;=Body!$BY$15),Body!$BW$6,IF('Zdroj data'!O15&gt;=Body!$CB$15,Body!$BZ$6," ")))))))))),IF(AND('Zdroj data'!BG15="ST",'Zdroj data'!AM15=Body!$AX$16),IF(AND('Zdroj data'!O15&gt;=Body!$AY$16,'Zdroj data'!O15&lt;=Body!$BA$16),Body!$AY$6,IF(AND('Zdroj data'!O15&gt;=Body!$BB$16,'Zdroj data'!O15&lt;=Body!$BD$16),Body!$BB$6,IF(AND('Zdroj data'!O15&gt;=Body!$BE$16,'Zdroj data'!O15&lt;=Body!$BG$16),Body!$BE$6,IF(AND('Zdroj data'!O15&gt;=Body!$BH$16,'Zdroj data'!O15&lt;=Body!$BJ$16),Body!$BH$6,IF(AND('Zdroj data'!O15&gt;=Body!$BK$16,'Zdroj data'!O15&lt;=Body!$BM$16),Body!$BK$6,IF(AND('Zdroj data'!O15&gt;=Body!$BN$16,'Zdroj data'!O15&lt;=Body!$BP$16),Body!$BN$6,IF(AND('Zdroj data'!O15&gt;=Body!$BQ$16,'Zdroj data'!O15&lt;=Body!$BS$16),Body!$BQ$6,IF(AND('Zdroj data'!O15&gt;=Body!$BT$16,'Zdroj data'!O15&lt;=Body!$BV$16),Body!$BT$6,IF(AND('Zdroj data'!O15&gt;=Body!$BW$16,'Zdroj data'!O15&lt;=Body!$BY$16),Body!$BW$6,IF('Zdroj data'!O15&gt;=Body!$CB$16,Body!$BZ$6," ")))))))))),IF(AND('Zdroj data'!BG15="T",'Zdroj data'!AM15=Body!$AX$17),IF(AND('Zdroj data'!O15&gt;=Body!$AY$17,'Zdroj data'!O15&lt;=Body!$BA$17),Body!$AY$6,IF(AND('Zdroj data'!O15&gt;=Body!$BB$17,'Zdroj data'!O15&lt;=Body!$BD$17),Body!$BB$6,IF(AND('Zdroj data'!O15&gt;=Body!$BE$17,'Zdroj data'!O15&lt;=Body!$BG$17),Body!$BE$6,IF(AND('Zdroj data'!O15&gt;=Body!$BH$17,'Zdroj data'!O15&lt;=Body!BJ29),Body!$BH$6,IF(AND('Zdroj data'!O15&gt;=Body!$BK$17,'Zdroj data'!O15&lt;=Body!$BM$17),Body!$BK$6,IF(AND('Zdroj data'!O15&gt;=Body!$BN$17,'Zdroj data'!O15&lt;=Body!$BP$17),Body!$BN$6,IF(AND('Zdroj data'!O15&gt;=Body!$BQ$17,'Zdroj data'!O15&lt;=Body!$BS$17),Body!$BQ$6,IF(AND('Zdroj data'!O15&gt;=Body!$BT$17,'Zdroj data'!O15&lt;=Body!$BV$17),Body!$BT$6,IF(AND('Zdroj data'!O15&gt;=Body!$BW$17,'Zdroj data'!O15&lt;=Body!$BY$17),Body!$BW$6,IF('Zdroj data'!O15&gt;=Body!$CB$17,Body!$BZ$6," "))))))))))," ")))</f>
        <v>1</v>
      </c>
      <c r="AG15" s="264">
        <f>IF(AND('Zdroj data'!$BG15="L",'Zdroj data'!$AM15=Body!$AX$15),IF(AND(Tabulka1[[#This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data'!$BG15="ST",'Zdroj data'!$AM15=Body!$AX$16),IF(AND(Tabulka1[[#This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data'!$BG15="T",'Zdroj data'!$AM15=Body!$AX$17),IF(AND(Tabulka1[[#This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Row],[K2O_60]]&lt;=Body!BJ29),Body!$BH$6,IF(AND(Tabulka1[[#This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5" s="264" t="str">
        <f>IF(AND('Zdroj data'!BG15="L",'Zdroj data'!AM15=Body!$AX$18),IF(AND('Zdroj data'!O15&gt;=Body!$AY$18,'Zdroj data'!O15&lt;=Body!$BA$18),Body!AY$6,IF(AND('Zdroj data'!O15&gt;=Body!$BB$18,'Zdroj data'!O15&lt;=Body!$BD$18),Body!BB$6,IF(AND('Zdroj data'!O15&gt;=Body!$BE$18,'Zdroj data'!O15&lt;=Body!$BG$18),Body!BE$6,IF(AND('Zdroj data'!O15&gt;=Body!$BH$18,'Zdroj data'!O15&lt;=Body!$BJ$18),Body!BH$6,IF(AND('Zdroj data'!O15&gt;=Body!$BK$18,'Zdroj data'!O15&lt;=Body!$BM$18),Body!$BK$6,IF(AND('Zdroj data'!O15&gt;=Body!$BN$18,'Zdroj data'!O15&lt;=Body!$BP$18),Body!BN$6,IF(AND('Zdroj data'!O15&gt;=Body!$BQ$18,'Zdroj data'!O15&lt;=Body!$BS$18),Body!$BQ$6,IF(AND('Zdroj data'!O15&gt;=Body!$BT$18,'Zdroj data'!O15&lt;=Body!$BV$18),Body!$BT$6,IF(AND('Zdroj data'!O15&gt;=Body!$BW$18,'Zdroj data'!O15&lt;=Body!$BY$18),Body!$BW$6,IF('Zdroj data'!O15&gt;=Body!$CB$18,Body!$BZ$6," ")))))))))),IF(AND('Zdroj data'!BG15="ST",'Zdroj data'!AM15=Body!$AX$19),IF(AND('Zdroj data'!O15&gt;=Body!$AY$19,'Zdroj data'!O15&lt;=Body!$BA$19),Body!$AY$6,IF(AND('Zdroj data'!O15&gt;=Body!$BB$19,'Zdroj data'!O15&lt;=Body!$BD$19),Body!$BB$6,IF(AND('Zdroj data'!O15&gt;=Body!$BE$19,'Zdroj data'!O15&lt;=Body!$BG$19),Body!$BE$6,IF(AND('Zdroj data'!O15&gt;=Body!$BH$19,'Zdroj data'!O15&lt;=Body!$BJ$19),Body!$BH$6,IF(AND('Zdroj data'!O15&gt;=Body!$BK$19,'Zdroj data'!O15&lt;=Body!$BM$19),Body!$BK$6,IF(AND('Zdroj data'!O15&gt;=Body!$BN$19,'Zdroj data'!O15&lt;=Body!$BP$19),Body!$BN$6,IF(AND('Zdroj data'!O15&gt;=Body!$BQ$19,'Zdroj data'!O15&lt;=Body!$BS$19),Body!$BQ$6,IF(AND('Zdroj data'!O15&gt;=Body!$BT$19,'Zdroj data'!O19&lt;=Body!$BV$19),Body!$BT$6,IF(AND('Zdroj data'!O15&gt;=Body!$BW$19,'Zdroj data'!O15&lt;=Body!$BY$19),Body!$BW$6,IF('Zdroj data'!O15&gt;=Body!$CB$19,Body!$BZ$6," ")))))))))),IF(AND('Zdroj data'!BG15="T",'Zdroj data'!AM15=Body!$AX$20),IF(AND('Zdroj data'!O15&gt;=Body!$AY$20,'Zdroj data'!O15&lt;=Body!$BA$20),Body!$AY$6,IF(AND('Zdroj data'!O15&gt;=Body!$BB$20,'Zdroj data'!O15&lt;=Body!$BD$20),Body!$BB$6,IF(AND('Zdroj data'!O15&gt;=Body!$BE$20,'Zdroj data'!O15&lt;=Body!$BG$20),Body!$BE$6,IF(AND('Zdroj data'!O15&gt;=Body!$BH$20,'Zdroj data'!O15&lt;=Body!$BJ$20),Body!$BH$6,IF(AND('Zdroj data'!O15&gt;=Body!$BK$20,'Zdroj data'!O15&lt;=Body!$BM$20),Body!$BK$6,IF(AND('Zdroj data'!O15&gt;=Body!$BN$20,'Zdroj data'!O15&lt;=Body!$BP$20),Body!$BN$6,IF(AND('Zdroj data'!O15&gt;=Body!$BQ$20,'Zdroj data'!O15&lt;=Body!$BS$20),Body!$BQ$6,IF(AND('Zdroj data'!O15&gt;=Body!$BT$20,'Zdroj data'!O15&lt;=Body!BV32),Body!$BT$6,IF(AND('Zdroj data'!O15&gt;=Body!$BW$20,'Zdroj data'!O15&lt;=Body!$BY$20),Body!$BW$6,IF('Zdroj data'!O15&gt;=Body!$CB$20,Body!$BZ$6," "))))))))))," ")))</f>
        <v xml:space="preserve"> </v>
      </c>
      <c r="AI15" s="264" t="str">
        <f>IF(AND('Zdroj data'!$BG15="L",'Zdroj data'!$AM15=Body!$AX$18),IF(AND(Tabulka1[[#This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data'!$BG15="ST",'Zdroj data'!$AM15=Body!$AX$19),IF(AND(Tabulka1[[#This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data'!$BG15="T",'Zdroj data'!$AM15=Body!$AX$20),IF(AND(Tabulka1[[#This Row],[K2O_60]]&gt;=Body!$AY$20,'Zdroj data'!O15&lt;=Body!$BA$20),Body!$AY$6,IF(AND(Tabulka1[[#This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Row],[K2O_60]]&lt;=Body!BV32),Body!$BT$6,IF(AND(Tabulka1[[#This Row],[K2O_60]]&gt;=Body!$BW$20,Tabulka1[[#This Row],[K2O_60]]&lt;=Body!$BY$20),Body!$BW$6,IF(Tabulka1[[#This Row],[K2O_60]]&gt;=Body!$CB$20,Body!$BZ$6," "))))))))))," ")))</f>
        <v xml:space="preserve"> </v>
      </c>
      <c r="AJ15" s="265">
        <f t="shared" si="2"/>
        <v>8.0000000000000071</v>
      </c>
      <c r="AK15" s="264">
        <f t="shared" si="3"/>
        <v>20.062815754375826</v>
      </c>
      <c r="AL15" s="264">
        <f t="shared" si="4"/>
        <v>17.544936265351463</v>
      </c>
      <c r="AM15" s="264">
        <f t="shared" si="5"/>
        <v>49.472872024436654</v>
      </c>
      <c r="AN15" s="264">
        <f t="shared" si="6"/>
        <v>47.928278817234663</v>
      </c>
      <c r="AO15" s="265">
        <f t="shared" si="0"/>
        <v>69.535687778812473</v>
      </c>
      <c r="AP15" s="265">
        <f t="shared" si="1"/>
        <v>65.473215082586123</v>
      </c>
      <c r="AQ15" s="318"/>
      <c r="AR15" s="338">
        <f t="shared" si="7"/>
        <v>143.00890286139861</v>
      </c>
      <c r="AS15" s="318"/>
      <c r="AT15" s="454"/>
      <c r="AU15" s="468"/>
      <c r="AV15" s="470">
        <v>3.191049972297489E-2</v>
      </c>
      <c r="AW15" s="25" t="s">
        <v>848</v>
      </c>
      <c r="AX15" s="133" t="s">
        <v>824</v>
      </c>
      <c r="AY15" s="25">
        <v>0</v>
      </c>
      <c r="AZ15" s="43" t="s">
        <v>856</v>
      </c>
      <c r="BA15" s="44">
        <v>99.99</v>
      </c>
      <c r="BB15" s="45">
        <v>100</v>
      </c>
      <c r="BC15" s="29" t="s">
        <v>858</v>
      </c>
      <c r="BD15" s="80">
        <v>129.99</v>
      </c>
      <c r="BE15" s="81">
        <v>130</v>
      </c>
      <c r="BF15" s="82" t="s">
        <v>858</v>
      </c>
      <c r="BG15" s="80">
        <v>159.99</v>
      </c>
      <c r="BH15" s="83">
        <v>160</v>
      </c>
      <c r="BI15" s="84" t="s">
        <v>858</v>
      </c>
      <c r="BJ15" s="85">
        <v>199.99</v>
      </c>
      <c r="BK15" s="86">
        <v>200</v>
      </c>
      <c r="BL15" s="87" t="s">
        <v>858</v>
      </c>
      <c r="BM15" s="88">
        <v>237.99</v>
      </c>
      <c r="BN15" s="89">
        <v>238</v>
      </c>
      <c r="BO15" s="87" t="s">
        <v>858</v>
      </c>
      <c r="BP15" s="85">
        <v>274.99</v>
      </c>
      <c r="BQ15" s="90">
        <v>275</v>
      </c>
      <c r="BR15" s="87" t="s">
        <v>858</v>
      </c>
      <c r="BS15" s="88">
        <v>309.99</v>
      </c>
      <c r="BT15" s="90">
        <v>310</v>
      </c>
      <c r="BU15" s="87" t="s">
        <v>858</v>
      </c>
      <c r="BV15" s="85">
        <v>344.99</v>
      </c>
      <c r="BW15" s="90">
        <v>345</v>
      </c>
      <c r="BX15" s="87" t="s">
        <v>858</v>
      </c>
      <c r="BY15" s="88">
        <v>379.99</v>
      </c>
      <c r="BZ15" s="90"/>
      <c r="CA15" s="91" t="s">
        <v>857</v>
      </c>
      <c r="CB15" s="85">
        <v>380</v>
      </c>
      <c r="CC15" s="79"/>
    </row>
    <row r="16" spans="1:84" ht="15.5" x14ac:dyDescent="0.35">
      <c r="A16" s="270">
        <v>842</v>
      </c>
      <c r="B16" s="156" t="s">
        <v>108</v>
      </c>
      <c r="C16" s="250" t="str">
        <f>VLOOKUP(B16,'Zdroj hloubka okresy'!$A$2:$D$171,2,FALSE)</f>
        <v>Pribram</v>
      </c>
      <c r="D16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16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16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6" s="264">
        <f>IF(AND(Tabulka1[[#This Row],[hum_60]]&gt;AY22,Tabulka1[[#This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6" s="264">
        <f>IF(Tabulka1[[#This Row],[kv.ek.]]=Body!$AX$13,IF(AND('Zdroj data'!M16&gt;=Body!$AY$13,'Zdroj data'!M16&lt;=Body!$BA$13),Body!$AY$6,IF(AND('Zdroj data'!M16&gt;=Body!$BB$13,'Zdroj data'!M16&lt;=Body!$BD$13),Body!$BB$6,IF(AND('Zdroj data'!M16&gt;=Body!$BE$13,'Zdroj data'!M16&lt;=Body!$BG$13),Body!$BE$6,IF(AND('Zdroj data'!M16&gt;=Body!$BH$13,'Zdroj data'!M16&lt;=Body!$BJ$13),Body!$BH$6,IF(AND('Zdroj data'!M16&gt;=Body!$BK$13,'Zdroj data'!M16&lt;=Body!$BM$13),Body!$BK$6,IF(AND('Zdroj data'!M16&gt;=Body!$BN$13,'Zdroj data'!M16&lt;=Body!$BP$13),Body!$BN$6,IF(AND('Zdroj data'!M16&gt;=Body!$BQ$13,'Zdroj data'!M16&lt;=Body!$BS$13),Body!$BQ$6,IF(AND('Zdroj data'!M16&gt;=Body!$BT$13,'Zdroj data'!M16&lt;=Body!$BV$13),Body!$BT$6,IF(AND('Zdroj data'!M16&gt;=Body!$BW$13,'Zdroj data'!M16&lt;=Body!$BY$13),Body!$BW$6,IF('Zdroj data'!M16&gt;=Body!$CB$13,Body!$BZ$6,"")))))))))),IF(Tabulka1[[#This Row],[kv.ek.]]=Body!$AX$14,IF(AND('Zdroj data'!N16&gt;=Body!$AY$14,'Zdroj data'!N16&lt;=Body!$BA$14),Body!$AY$6,IF(AND('Zdroj data'!N16&gt;=Body!$BB$14,'Zdroj data'!N16&lt;=Body!$BD$14),Body!$BB$6,IF(AND('Zdroj data'!N16&gt;=Body!$BE$14,'Zdroj data'!N16&lt;=Body!$BG$14),Body!$BE$6,IF(AND('Zdroj data'!N16&gt;=Body!$BH$14,'Zdroj data'!N16&lt;=Body!$BJ$14),Body!$BH$6,IF(AND('Zdroj data'!N16&gt;=Body!$BK$14,'Zdroj data'!N16&lt;=Body!$BM$14),Body!$BK$6,IF(AND('Zdroj data'!N16&gt;=Body!$BN$14,'Zdroj data'!N16&lt;=Body!$BP$14),Body!$BN$6,IF(AND('Zdroj data'!N16&gt;=Body!$BQ$14,'Zdroj data'!N16&lt;=Body!$BS$14),Body!$BQ$6,IF(AND('Zdroj data'!N16&gt;=Body!$BT$14,'Zdroj data'!N16&lt;=Body!$BV$14),Body!$BT$6,IF(AND('Zdroj data'!N16&gt;=Body!$BW$14,'Zdroj data'!N16&lt;=Body!$BY$14),Body!$BW$6,IF('Zdroj data'!N16&gt;=Body!$CB$14,Body!$BZ$6,"")))))))))),""))</f>
        <v>2</v>
      </c>
      <c r="I16" s="264">
        <f>IF(Tabulka1[[#This Row],[kv.ek.]]=Body!$AX$13,IF(AND('Zdroj data'!N16&gt;=Body!$AY$13,'Zdroj data'!N16&lt;=Body!$BA$13),Body!$AY$6,IF(AND('Zdroj data'!N16&gt;=Body!$BB$13,'Zdroj data'!N16&lt;=Body!$BD$13),Body!$BB$6,IF(AND('Zdroj data'!N16&gt;=Body!$BE$13,'Zdroj data'!N16&lt;=Body!$BG$13),Body!$BE$6,IF(AND('Zdroj data'!N16&gt;=Body!$BH$13,'Zdroj data'!N16&lt;=Body!$BJ$13),Body!$BH$6,IF(AND('Zdroj data'!N16&gt;=Body!$BK$13,'Zdroj data'!N16&lt;=Body!$BM$13),Body!$BK$6,IF(AND('Zdroj data'!N16&gt;=Body!$BN$13,'Zdroj data'!N16&lt;=Body!$BP$13),Body!$BN$6,IF(AND('Zdroj data'!N16&gt;=Body!$BQ$13,'Zdroj data'!N16&lt;=Body!$BS$13),Body!$BQ$6,IF(AND('Zdroj data'!N16&gt;=Body!$BT$13,'Zdroj data'!N16&lt;=Body!$BV$13),Body!$BT$6,IF(AND('Zdroj data'!N16&gt;=Body!$BW$13,'Zdroj data'!N16&lt;=Body!$BY$13),Body!$BW$6,IF('Zdroj data'!N16&gt;=Body!$CB$13,Body!$BZ$6," ")))))))))),IF(Tabulka1[[#This Row],[kv.ek.]]=Body!$AX$14,IF(AND('Zdroj data'!O16&gt;=Body!$AY$14,'Zdroj data'!O16&lt;=Body!$BA$14),Body!$AY$6,IF(AND('Zdroj data'!O16&gt;=Body!$BB$14,'Zdroj data'!O16&lt;=Body!$BD$14),Body!$BB$6,IF(AND('Zdroj data'!O16&gt;=Body!$BE$14,'Zdroj data'!O16&lt;=Body!$BG$14),Body!$BE$6,IF(AND('Zdroj data'!O16&gt;=Body!$BH$14,'Zdroj data'!O16&lt;=Body!$BJ$14),Body!$BH$6,IF(AND('Zdroj data'!O16&gt;=Body!$BK$14,'Zdroj data'!O16&lt;=Body!$BM$14),Body!$BK$6,IF(AND('Zdroj data'!O16&gt;=Body!$BN$14,'Zdroj data'!O16&lt;=Body!$BP$14),Body!$BN$6,IF(AND('Zdroj data'!O16&gt;=Body!$BQ$14,'Zdroj data'!O16&lt;=Body!$BS$14),Body!$BQ$6,IF(AND('Zdroj data'!O16&gt;=Body!$BT$14,'Zdroj data'!O16&lt;=Body!$BV$14),Body!$BT$6,IF(AND('Zdroj data'!O16&gt;=Body!$BW$14,'Zdroj data'!O16&lt;=Body!$BY$14),Body!$BW$6,IF('Zdroj data'!O16&gt;=Body!$CB$14,Body!$BZ$6," "))))))))))," "))</f>
        <v>10</v>
      </c>
      <c r="J16" s="264">
        <f t="shared" si="8"/>
        <v>3</v>
      </c>
      <c r="K16" s="264">
        <f t="shared" si="9"/>
        <v>2</v>
      </c>
      <c r="L16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16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16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5</v>
      </c>
      <c r="O16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5</v>
      </c>
      <c r="P16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16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16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16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16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16" s="264">
        <f>IF('Zdroj data'!BB16=Body!$AY$25,Body!$AY$22,IF('Zdroj data'!BB16=Body!$BB$25,Body!$BB$22,IF('Zdroj data'!BB16=Body!$BE$25,Body!$BE$22,IF('Zdroj data'!BB16=Body!$BH$25,Body!$BH$22,IF('Zdroj data'!BB16=Body!BK$25,Body!$BK$22,IF('Zdroj data'!BB16=Body!$BN$25,Body!$BN$22,IF('Zdroj data'!BB16=Body!$BQ$25,Body!$BQ$22,IF('Zdroj data'!BB16=Body!$BT$25,Body!$BT$22,IF('Zdroj data'!BB16=Body!$BW$25,Body!$BW$22,IF('Zdroj data'!BB16=Body!$BZ$25,Body!$BZ$22," "))))))))))</f>
        <v>5</v>
      </c>
      <c r="V16" s="264">
        <f>IF(AND('Zdroj data'!BO16&gt;Body!$AY$27,'Zdroj data'!BO16&lt;=Body!$BA$27),Body!$AY$22,IF(AND('Zdroj data'!BO16&gt;=Body!$BB$27,'Zdroj data'!BO16&lt;=Body!$BD$27),Body!$BB$22,IF(AND('Zdroj data'!BO16&gt;=Body!$BE$27,'Zdroj data'!BO16&lt;=Body!$BG$27),Body!$BE$22,IF(AND('Zdroj data'!BO16&gt;=Body!$BH$27,'Zdroj data'!BO16&lt;=Body!$BJ$27),Body!$BH$22,IF(AND('Zdroj data'!BO16&gt;=Body!$BK$27,'Zdroj data'!BO16&lt;=Body!$BM$27),Body!$BK$22,IF(AND('Zdroj data'!BO16&gt;=Body!$BN$27,'Zdroj data'!BO16&lt;=Body!$BP$27),Body!$BN$22,IF(AND('Zdroj data'!BO16&gt;=Body!$BQ$27,'Zdroj data'!BO16&lt;=Body!$BS$27),Body!$BQ$22,IF(AND('Zdroj data'!BO16&gt;=Body!$BT$27,'Zdroj data'!BO16&lt;=Body!$BV$27),Body!$BT$22,IF(AND('Zdroj data'!BO16&gt;=Body!$BW$27,'Zdroj data'!BO16&lt;=Body!$BY$27),Body!$BW$22,IF('Zdroj data'!BO16&gt;=Body!$CB$27,$BZ$22," "))))))))))</f>
        <v>6</v>
      </c>
      <c r="W16" s="264">
        <f>IF(AND('Zdroj data'!BP16&gt;Body!$AY$27,'Zdroj data'!BP16&lt;=Body!$BA$27),Body!$AY$22,IF(AND('Zdroj data'!BP16&gt;=Body!$BB$27,'Zdroj data'!BP16&lt;=Body!$BD$27),Body!$BB$22,IF(AND('Zdroj data'!BP16&gt;=Body!$BE$27,'Zdroj data'!BP16&lt;=Body!$BG$27),Body!$BE$22,IF(AND('Zdroj data'!BP16&gt;=Body!$BH$27,'Zdroj data'!BP16&lt;=Body!$BJ$27),Body!$BH$22,IF(AND('Zdroj data'!BP16&gt;=Body!$BK$27,'Zdroj data'!BP16&lt;=Body!$BM$27),Body!$BK$22,IF(AND('Zdroj data'!BP16&gt;=Body!$BN$27,'Zdroj data'!BP16&lt;=Body!$BP$27),Body!$BN$22,IF(AND('Zdroj data'!BP16&gt;=Body!$BQ$27,'Zdroj data'!BP16&lt;=Body!$BS$27),Body!$BQ$22,IF(AND('Zdroj data'!BP16&gt;=Body!$BT$27,'Zdroj data'!BP16&lt;=Body!$BV$27),Body!$BT$22,IF(AND('Zdroj data'!BP16&gt;=Body!$BW$27,'Zdroj data'!BP16&lt;=Body!$BY$27),Body!$BW$22,IF('Zdroj data'!BP16&gt;=Body!$CB$27,$BZ$22," "))))))))))</f>
        <v>10</v>
      </c>
      <c r="X16" s="264">
        <f>IF('Zdroj data'!BA16=Body!$BB$28,$BB$22,IF('Zdroj data'!BA16=Body!$BE$28,$BE$22,IF(OR('Zdroj data'!BA16=Body!$BK$28,'Zdroj data'!BA16=Body!$BL$28,'Zdroj data'!BA16=Body!$BM$28),$BK$22,IF(OR('Zdroj data'!BA16=Body!$BT$28,'Zdroj data'!BA16=Body!$BV$28),$BT$22,IF(OR('Zdroj data'!BA16=Body!$BW$28,'Zdroj data'!BA16=Body!$BY$28),$BW$22,IF('Zdroj data'!BA16=Body!$BZ$28,$BZ$22," "))))))</f>
        <v>5</v>
      </c>
      <c r="Y16" s="264">
        <f>IF('Zdroj data'!AZ16=Body!$BZ$29,Body!$BZ$22,IF(OR('Zdroj data'!AZ16=$BT$29,'Zdroj data'!AZ16=$BU$29,'Zdroj data'!AZ16=$BV$29),$BT$22,IF(OR('Zdroj data'!AZ16=$BK$29,'Zdroj data'!AZ16=$BM$29),$BK$22,IF(OR('Zdroj data'!AZ16=$BE$29,'Zdroj data'!AZ16=$BG$29),$BE$22,IF(OR('Zdroj data'!AZ16=$AY$29,'Zdroj data'!AZ16=$BA$29),$AY$22," ")))))</f>
        <v>8</v>
      </c>
      <c r="Z16" s="264">
        <f>IF(AND('Zdroj data'!BF16="T",(OR('Zdroj data'!AZ16=Body!$AW$45,'Zdroj data'!AZ16=Body!$AW$46,'Zdroj data'!AZ16=Body!$AW$47,'Zdroj data'!AZ16=Body!$AW$48))),Body!$AY$22,IF(AND('Zdroj data'!BF16="T",(OR('Zdroj data'!AZ16=$AW$49,'Zdroj data'!AZ16=$AW$50,'Zdroj data'!AZ16=$AW$51,'Zdroj data'!AZ16=$AW$52))),$BZ$22,IF(AND(OR('Zdroj data'!BF16="VT",'Zdroj data'!BF16="T",'Zdroj data'!BF16="CH"),(OR('Zdroj data'!AZ16=$AW$43,'Zdroj data'!AZ16=$AW$44,))),$BZ$22,IF(AND('Zdroj data'!BF16="CH",(OR('Zdroj data'!AZ16=$AW$49,'Zdroj data'!AZ16=$AW$50,'Zdroj data'!AZ16=$AW$51,'Zdroj data'!AZ16=$AW$52))),$AY$22,IF(AND('Zdroj data'!BF16="CH",(OR('Zdroj data'!AZ16=$AW$45,'Zdroj data'!AZ16=$AW$46,'Zdroj data'!AZ16=$AW$47,'Zdroj data'!AZ16=$AW$48))),$BZ$22," ")))))</f>
        <v>10</v>
      </c>
      <c r="AA16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16" s="264">
        <f>IF(Tabulka1[[#This Row],[kv.ek.]]=Body!$BK$35,Body!$BK$34,IF(Tabulka1[[#This Row],[kv.ek.]]=Body!$BZ$35,Body!$BZ$34," "))</f>
        <v>10</v>
      </c>
      <c r="AC16" s="264" t="str">
        <f>IF(AND('Zdroj data'!BF16="T",(OR('Zdroj data'!AZ16=Body!$AW$45,'Zdroj data'!AZ16=Body!$AW$46,'Zdroj data'!AZ16=Body!$AW$47,'Zdroj data'!AZ16=Body!$AW$48))),Body!$AY$22,IF(AND('Zdroj data'!BF16="T",(OR('Zdroj data'!AZ16=$AW$49,'Zdroj data'!AZ16=$AW$50,'Zdroj data'!AZ16=$AW$51,'Zdroj data'!AZ16=$AW$52))),$BZ$22," "))</f>
        <v xml:space="preserve"> </v>
      </c>
      <c r="AD16" s="264">
        <f>IF(AND(OR('Zdroj data'!BF16="VT",'Zdroj data'!BF16="T",'Zdroj data'!BF16="CH"),(OR('Zdroj data'!AZ16=$AW$43,'Zdroj data'!AZ16=$AW$44,))),$BZ$22," ")</f>
        <v>10</v>
      </c>
      <c r="AE16" s="264" t="str">
        <f>IF(AND('Zdroj data'!BF16="CH",(OR('Zdroj data'!AZ16=$AW$49,'Zdroj data'!AZ16=$AW$50,'Zdroj data'!AZ16=$AW$51,'Zdroj data'!AZ16=$AW$52))),$AY$22,IF(AND('Zdroj data'!BF16="CH",(OR('Zdroj data'!AZ16=$AW$45,'Zdroj data'!AZ16=$AW$46,'Zdroj data'!AZ16=$AW$47,'Zdroj data'!AZ16=$AW$48))),$BZ$22," "))</f>
        <v xml:space="preserve"> </v>
      </c>
      <c r="AF16" s="264" t="str">
        <f>IF(AND('Zdroj data'!BG16="L",'Zdroj data'!AM16=Body!$AX$15),IF(AND('Zdroj data'!O16&gt;=Body!$AY$15,'Zdroj data'!O16&lt;=Body!$BA$15),Body!AY$6,IF(AND('Zdroj data'!O16&gt;=Body!$BB$15,'Zdroj data'!O16&lt;=Body!$BD$15),Body!BB$6,IF(AND('Zdroj data'!O16&gt;=Body!$BE$15,'Zdroj data'!O16&lt;=Body!$BG$15),Body!BE$6,IF(AND('Zdroj data'!O16&gt;=Body!$BH$15,'Zdroj data'!O16&lt;=Body!$BJ$15),Body!BH$6,IF(AND('Zdroj data'!O16&gt;=Body!$BK$15,'Zdroj data'!O16&lt;=Body!$BM$15),Body!BK$6,IF(AND('Zdroj data'!O16&gt;=Body!$BN$15,'Zdroj data'!O16&lt;=Body!$BP$15),Body!$BN$6,IF(AND('Zdroj data'!O16&gt;=Body!$BQ$15,'Zdroj data'!O16&lt;=Body!$BS$15),Body!$BQ$6,IF(AND('Zdroj data'!O16&gt;=Body!$BT$15,'Zdroj data'!O16&lt;=Body!$BV$15),Body!BT$6,IF(AND('Zdroj data'!O16&gt;=Body!$BW$15,'Zdroj data'!O16&lt;=Body!$BY$15),Body!$BW$6,IF('Zdroj data'!O16&gt;=Body!$CB$15,Body!$BZ$6," ")))))))))),IF(AND('Zdroj data'!BG16="ST",'Zdroj data'!AM16=Body!$AX$16),IF(AND('Zdroj data'!O16&gt;=Body!$AY$16,'Zdroj data'!O16&lt;=Body!$BA$16),Body!$AY$6,IF(AND('Zdroj data'!O16&gt;=Body!$BB$16,'Zdroj data'!O16&lt;=Body!$BD$16),Body!$BB$6,IF(AND('Zdroj data'!O16&gt;=Body!$BE$16,'Zdroj data'!O16&lt;=Body!$BG$16),Body!$BE$6,IF(AND('Zdroj data'!O16&gt;=Body!$BH$16,'Zdroj data'!O16&lt;=Body!$BJ$16),Body!$BH$6,IF(AND('Zdroj data'!O16&gt;=Body!$BK$16,'Zdroj data'!O16&lt;=Body!$BM$16),Body!$BK$6,IF(AND('Zdroj data'!O16&gt;=Body!$BN$16,'Zdroj data'!O16&lt;=Body!$BP$16),Body!$BN$6,IF(AND('Zdroj data'!O16&gt;=Body!$BQ$16,'Zdroj data'!O16&lt;=Body!$BS$16),Body!$BQ$6,IF(AND('Zdroj data'!O16&gt;=Body!$BT$16,'Zdroj data'!O16&lt;=Body!$BV$16),Body!$BT$6,IF(AND('Zdroj data'!O16&gt;=Body!$BW$16,'Zdroj data'!O16&lt;=Body!$BY$16),Body!$BW$6,IF('Zdroj data'!O16&gt;=Body!$CB$16,Body!$BZ$6," ")))))))))),IF(AND('Zdroj data'!BG16="T",'Zdroj data'!AM16=Body!$AX$17),IF(AND('Zdroj data'!O16&gt;=Body!$AY$17,'Zdroj data'!O16&lt;=Body!$BA$17),Body!$AY$6,IF(AND('Zdroj data'!O16&gt;=Body!$BB$17,'Zdroj data'!O16&lt;=Body!$BD$17),Body!$BB$6,IF(AND('Zdroj data'!O16&gt;=Body!$BE$17,'Zdroj data'!O16&lt;=Body!$BG$17),Body!$BE$6,IF(AND('Zdroj data'!O16&gt;=Body!$BH$17,'Zdroj data'!O16&lt;=Body!BJ30),Body!$BH$6,IF(AND('Zdroj data'!O16&gt;=Body!$BK$17,'Zdroj data'!O16&lt;=Body!$BM$17),Body!$BK$6,IF(AND('Zdroj data'!O16&gt;=Body!$BN$17,'Zdroj data'!O16&lt;=Body!$BP$17),Body!$BN$6,IF(AND('Zdroj data'!O16&gt;=Body!$BQ$17,'Zdroj data'!O16&lt;=Body!$BS$17),Body!$BQ$6,IF(AND('Zdroj data'!O16&gt;=Body!$BT$17,'Zdroj data'!O16&lt;=Body!$BV$17),Body!$BT$6,IF(AND('Zdroj data'!O16&gt;=Body!$BW$17,'Zdroj data'!O16&lt;=Body!$BY$17),Body!$BW$6,IF('Zdroj data'!O16&gt;=Body!$CB$17,Body!$BZ$6," "))))))))))," ")))</f>
        <v xml:space="preserve"> </v>
      </c>
      <c r="AG16" s="264" t="str">
        <f>IF(AND('Zdroj data'!$BG16="L",'Zdroj data'!$AM16=Body!$AX$15),IF(AND(Tabulka1[[#This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data'!$BG16="ST",'Zdroj data'!$AM16=Body!$AX$16),IF(AND(Tabulka1[[#This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data'!$BG16="T",'Zdroj data'!$AM16=Body!$AX$17),IF(AND(Tabulka1[[#This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Row],[K2O_60]]&lt;=Body!BJ30),Body!$BH$6,IF(AND(Tabulka1[[#This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16" s="264">
        <f>IF(AND('Zdroj data'!BG16="L",'Zdroj data'!AM16=Body!$AX$18),IF(AND('Zdroj data'!O16&gt;=Body!$AY$18,'Zdroj data'!O16&lt;=Body!$BA$18),Body!AY$6,IF(AND('Zdroj data'!O16&gt;=Body!$BB$18,'Zdroj data'!O16&lt;=Body!$BD$18),Body!BB$6,IF(AND('Zdroj data'!O16&gt;=Body!$BE$18,'Zdroj data'!O16&lt;=Body!$BG$18),Body!BE$6,IF(AND('Zdroj data'!O16&gt;=Body!$BH$18,'Zdroj data'!O16&lt;=Body!$BJ$18),Body!BH$6,IF(AND('Zdroj data'!O16&gt;=Body!$BK$18,'Zdroj data'!O16&lt;=Body!$BM$18),Body!$BK$6,IF(AND('Zdroj data'!O16&gt;=Body!$BN$18,'Zdroj data'!O16&lt;=Body!$BP$18),Body!BN$6,IF(AND('Zdroj data'!O16&gt;=Body!$BQ$18,'Zdroj data'!O16&lt;=Body!$BS$18),Body!$BQ$6,IF(AND('Zdroj data'!O16&gt;=Body!$BT$18,'Zdroj data'!O16&lt;=Body!$BV$18),Body!$BT$6,IF(AND('Zdroj data'!O16&gt;=Body!$BW$18,'Zdroj data'!O16&lt;=Body!$BY$18),Body!$BW$6,IF('Zdroj data'!O16&gt;=Body!$CB$18,Body!$BZ$6," ")))))))))),IF(AND('Zdroj data'!BG16="ST",'Zdroj data'!AM16=Body!$AX$19),IF(AND('Zdroj data'!O16&gt;=Body!$AY$19,'Zdroj data'!O16&lt;=Body!$BA$19),Body!$AY$6,IF(AND('Zdroj data'!O16&gt;=Body!$BB$19,'Zdroj data'!O16&lt;=Body!$BD$19),Body!$BB$6,IF(AND('Zdroj data'!O16&gt;=Body!$BE$19,'Zdroj data'!O16&lt;=Body!$BG$19),Body!$BE$6,IF(AND('Zdroj data'!O16&gt;=Body!$BH$19,'Zdroj data'!O16&lt;=Body!$BJ$19),Body!$BH$6,IF(AND('Zdroj data'!O16&gt;=Body!$BK$19,'Zdroj data'!O16&lt;=Body!$BM$19),Body!$BK$6,IF(AND('Zdroj data'!O16&gt;=Body!$BN$19,'Zdroj data'!O16&lt;=Body!$BP$19),Body!$BN$6,IF(AND('Zdroj data'!O16&gt;=Body!$BQ$19,'Zdroj data'!O16&lt;=Body!$BS$19),Body!$BQ$6,IF(AND('Zdroj data'!O16&gt;=Body!$BT$19,'Zdroj data'!O20&lt;=Body!$BV$19),Body!$BT$6,IF(AND('Zdroj data'!O16&gt;=Body!$BW$19,'Zdroj data'!O16&lt;=Body!$BY$19),Body!$BW$6,IF('Zdroj data'!O16&gt;=Body!$CB$19,Body!$BZ$6," ")))))))))),IF(AND('Zdroj data'!BG16="T",'Zdroj data'!AM16=Body!$AX$20),IF(AND('Zdroj data'!O16&gt;=Body!$AY$20,'Zdroj data'!O16&lt;=Body!$BA$20),Body!$AY$6,IF(AND('Zdroj data'!O16&gt;=Body!$BB$20,'Zdroj data'!O16&lt;=Body!$BD$20),Body!$BB$6,IF(AND('Zdroj data'!O16&gt;=Body!$BE$20,'Zdroj data'!O16&lt;=Body!$BG$20),Body!$BE$6,IF(AND('Zdroj data'!O16&gt;=Body!$BH$20,'Zdroj data'!O16&lt;=Body!$BJ$20),Body!$BH$6,IF(AND('Zdroj data'!O16&gt;=Body!$BK$20,'Zdroj data'!O16&lt;=Body!$BM$20),Body!$BK$6,IF(AND('Zdroj data'!O16&gt;=Body!$BN$20,'Zdroj data'!O16&lt;=Body!$BP$20),Body!$BN$6,IF(AND('Zdroj data'!O16&gt;=Body!$BQ$20,'Zdroj data'!O16&lt;=Body!$BS$20),Body!$BQ$6,IF(AND('Zdroj data'!O16&gt;=Body!$BT$20,'Zdroj data'!O16&lt;=Body!BV33),Body!$BT$6,IF(AND('Zdroj data'!O16&gt;=Body!$BW$20,'Zdroj data'!O16&lt;=Body!$BY$20),Body!$BW$6,IF('Zdroj data'!O16&gt;=Body!$CB$20,Body!$BZ$6," "))))))))))," ")))</f>
        <v>3</v>
      </c>
      <c r="AI16" s="264">
        <f>IF(AND('Zdroj data'!$BG16="L",'Zdroj data'!$AM16=Body!$AX$18),IF(AND(Tabulka1[[#This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data'!$BG16="ST",'Zdroj data'!$AM16=Body!$AX$19),IF(AND(Tabulka1[[#This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data'!$BG16="T",'Zdroj data'!$AM16=Body!$AX$20),IF(AND(Tabulka1[[#This Row],[K2O_60]]&gt;=Body!$AY$20,'Zdroj data'!O16&lt;=Body!$BA$20),Body!$AY$6,IF(AND(Tabulka1[[#This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Row],[K2O_60]]&lt;=Body!BV33),Body!$BT$6,IF(AND(Tabulka1[[#This Row],[K2O_60]]&gt;=Body!$BW$20,Tabulka1[[#This Row],[K2O_60]]&lt;=Body!$BY$20),Body!$BW$6,IF(Tabulka1[[#This Row],[K2O_60]]&gt;=Body!$CB$20,Body!$BZ$6," "))))))))))," ")))</f>
        <v>2</v>
      </c>
      <c r="AJ16" s="265">
        <f>(AA16*$AV$36+AB16*$AV$35)*16*$AT$35*2</f>
        <v>16.000000000000014</v>
      </c>
      <c r="AK16" s="264">
        <f t="shared" si="3"/>
        <v>24.553188268115058</v>
      </c>
      <c r="AL16" s="264">
        <f t="shared" si="4"/>
        <v>23.973245568415859</v>
      </c>
      <c r="AM16" s="264">
        <f t="shared" si="5"/>
        <v>58.257517755360041</v>
      </c>
      <c r="AN16" s="264">
        <f t="shared" si="6"/>
        <v>64.435890584167979</v>
      </c>
      <c r="AO16" s="265">
        <f t="shared" si="0"/>
        <v>82.810706023475092</v>
      </c>
      <c r="AP16" s="265">
        <f t="shared" si="1"/>
        <v>88.409136152583841</v>
      </c>
      <c r="AQ16" s="318"/>
      <c r="AR16" s="338">
        <f t="shared" si="7"/>
        <v>187.21984217605893</v>
      </c>
      <c r="AS16" s="318"/>
      <c r="AT16" s="454"/>
      <c r="AU16" s="468"/>
      <c r="AV16" s="470"/>
      <c r="AW16" s="25" t="s">
        <v>849</v>
      </c>
      <c r="AX16" s="133" t="s">
        <v>824</v>
      </c>
      <c r="AY16" s="25">
        <v>0</v>
      </c>
      <c r="AZ16" s="43" t="s">
        <v>856</v>
      </c>
      <c r="BA16" s="44">
        <v>104.99</v>
      </c>
      <c r="BB16" s="45">
        <v>105</v>
      </c>
      <c r="BC16" s="29" t="s">
        <v>858</v>
      </c>
      <c r="BD16" s="44">
        <v>137.99</v>
      </c>
      <c r="BE16" s="45">
        <v>138</v>
      </c>
      <c r="BF16" s="46" t="s">
        <v>858</v>
      </c>
      <c r="BG16" s="44">
        <v>169.99</v>
      </c>
      <c r="BH16" s="47">
        <v>170</v>
      </c>
      <c r="BI16" s="48" t="s">
        <v>858</v>
      </c>
      <c r="BJ16" s="27">
        <v>169.99</v>
      </c>
      <c r="BK16" s="30">
        <v>170</v>
      </c>
      <c r="BL16" s="49" t="s">
        <v>858</v>
      </c>
      <c r="BM16" s="50">
        <v>264.99</v>
      </c>
      <c r="BN16" s="51">
        <v>265</v>
      </c>
      <c r="BO16" s="49" t="s">
        <v>858</v>
      </c>
      <c r="BP16" s="27">
        <v>309.99</v>
      </c>
      <c r="BQ16" s="28">
        <v>310</v>
      </c>
      <c r="BR16" s="49" t="s">
        <v>858</v>
      </c>
      <c r="BS16" s="50">
        <v>346.99</v>
      </c>
      <c r="BT16" s="28">
        <v>347</v>
      </c>
      <c r="BU16" s="49" t="s">
        <v>858</v>
      </c>
      <c r="BV16" s="27">
        <v>382.99</v>
      </c>
      <c r="BW16" s="28">
        <v>383</v>
      </c>
      <c r="BX16" s="49" t="s">
        <v>858</v>
      </c>
      <c r="BY16" s="50">
        <v>419.99</v>
      </c>
      <c r="BZ16" s="28"/>
      <c r="CA16" s="52" t="s">
        <v>857</v>
      </c>
      <c r="CB16" s="27">
        <v>420</v>
      </c>
      <c r="CC16" s="79"/>
    </row>
    <row r="17" spans="1:81" ht="15.5" x14ac:dyDescent="0.35">
      <c r="A17" s="270">
        <v>845</v>
      </c>
      <c r="B17" s="156" t="s">
        <v>111</v>
      </c>
      <c r="C17" s="250" t="str">
        <f>VLOOKUP(B17,'Zdroj hloubka okresy'!$A$2:$D$171,2,FALSE)</f>
        <v>Pribram</v>
      </c>
      <c r="D17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17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17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7" s="264">
        <f>IF(AND(Tabulka1[[#This Row],[hum_60]]&gt;AY23,Tabulka1[[#This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7" s="264">
        <f>IF(Tabulka1[[#This Row],[kv.ek.]]=Body!$AX$13,IF(AND('Zdroj data'!M17&gt;=Body!$AY$13,'Zdroj data'!M17&lt;=Body!$BA$13),Body!$AY$6,IF(AND('Zdroj data'!M17&gt;=Body!$BB$13,'Zdroj data'!M17&lt;=Body!$BD$13),Body!$BB$6,IF(AND('Zdroj data'!M17&gt;=Body!$BE$13,'Zdroj data'!M17&lt;=Body!$BG$13),Body!$BE$6,IF(AND('Zdroj data'!M17&gt;=Body!$BH$13,'Zdroj data'!M17&lt;=Body!$BJ$13),Body!$BH$6,IF(AND('Zdroj data'!M17&gt;=Body!$BK$13,'Zdroj data'!M17&lt;=Body!$BM$13),Body!$BK$6,IF(AND('Zdroj data'!M17&gt;=Body!$BN$13,'Zdroj data'!M17&lt;=Body!$BP$13),Body!$BN$6,IF(AND('Zdroj data'!M17&gt;=Body!$BQ$13,'Zdroj data'!M17&lt;=Body!$BS$13),Body!$BQ$6,IF(AND('Zdroj data'!M17&gt;=Body!$BT$13,'Zdroj data'!M17&lt;=Body!$BV$13),Body!$BT$6,IF(AND('Zdroj data'!M17&gt;=Body!$BW$13,'Zdroj data'!M17&lt;=Body!$BY$13),Body!$BW$6,IF('Zdroj data'!M17&gt;=Body!$CB$13,Body!$BZ$6,"")))))))))),IF(Tabulka1[[#This Row],[kv.ek.]]=Body!$AX$14,IF(AND('Zdroj data'!N17&gt;=Body!$AY$14,'Zdroj data'!N17&lt;=Body!$BA$14),Body!$AY$6,IF(AND('Zdroj data'!N17&gt;=Body!$BB$14,'Zdroj data'!N17&lt;=Body!$BD$14),Body!$BB$6,IF(AND('Zdroj data'!N17&gt;=Body!$BE$14,'Zdroj data'!N17&lt;=Body!$BG$14),Body!$BE$6,IF(AND('Zdroj data'!N17&gt;=Body!$BH$14,'Zdroj data'!N17&lt;=Body!$BJ$14),Body!$BH$6,IF(AND('Zdroj data'!N17&gt;=Body!$BK$14,'Zdroj data'!N17&lt;=Body!$BM$14),Body!$BK$6,IF(AND('Zdroj data'!N17&gt;=Body!$BN$14,'Zdroj data'!N17&lt;=Body!$BP$14),Body!$BN$6,IF(AND('Zdroj data'!N17&gt;=Body!$BQ$14,'Zdroj data'!N17&lt;=Body!$BS$14),Body!$BQ$6,IF(AND('Zdroj data'!N17&gt;=Body!$BT$14,'Zdroj data'!N17&lt;=Body!$BV$14),Body!$BT$6,IF(AND('Zdroj data'!N17&gt;=Body!$BW$14,'Zdroj data'!N17&lt;=Body!$BY$14),Body!$BW$6,IF('Zdroj data'!N17&gt;=Body!$CB$14,Body!$BZ$6,"")))))))))),""))</f>
        <v>1</v>
      </c>
      <c r="I17" s="264">
        <f>IF(Tabulka1[[#This Row],[kv.ek.]]=Body!$AX$13,IF(AND('Zdroj data'!N17&gt;=Body!$AY$13,'Zdroj data'!N17&lt;=Body!$BA$13),Body!$AY$6,IF(AND('Zdroj data'!N17&gt;=Body!$BB$13,'Zdroj data'!N17&lt;=Body!$BD$13),Body!$BB$6,IF(AND('Zdroj data'!N17&gt;=Body!$BE$13,'Zdroj data'!N17&lt;=Body!$BG$13),Body!$BE$6,IF(AND('Zdroj data'!N17&gt;=Body!$BH$13,'Zdroj data'!N17&lt;=Body!$BJ$13),Body!$BH$6,IF(AND('Zdroj data'!N17&gt;=Body!$BK$13,'Zdroj data'!N17&lt;=Body!$BM$13),Body!$BK$6,IF(AND('Zdroj data'!N17&gt;=Body!$BN$13,'Zdroj data'!N17&lt;=Body!$BP$13),Body!$BN$6,IF(AND('Zdroj data'!N17&gt;=Body!$BQ$13,'Zdroj data'!N17&lt;=Body!$BS$13),Body!$BQ$6,IF(AND('Zdroj data'!N17&gt;=Body!$BT$13,'Zdroj data'!N17&lt;=Body!$BV$13),Body!$BT$6,IF(AND('Zdroj data'!N17&gt;=Body!$BW$13,'Zdroj data'!N17&lt;=Body!$BY$13),Body!$BW$6,IF('Zdroj data'!N17&gt;=Body!$CB$13,Body!$BZ$6," ")))))))))),IF(Tabulka1[[#This Row],[kv.ek.]]=Body!$AX$14,IF(AND('Zdroj data'!O17&gt;=Body!$AY$14,'Zdroj data'!O17&lt;=Body!$BA$14),Body!$AY$6,IF(AND('Zdroj data'!O17&gt;=Body!$BB$14,'Zdroj data'!O17&lt;=Body!$BD$14),Body!$BB$6,IF(AND('Zdroj data'!O17&gt;=Body!$BE$14,'Zdroj data'!O17&lt;=Body!$BG$14),Body!$BE$6,IF(AND('Zdroj data'!O17&gt;=Body!$BH$14,'Zdroj data'!O17&lt;=Body!$BJ$14),Body!$BH$6,IF(AND('Zdroj data'!O17&gt;=Body!$BK$14,'Zdroj data'!O17&lt;=Body!$BM$14),Body!$BK$6,IF(AND('Zdroj data'!O17&gt;=Body!$BN$14,'Zdroj data'!O17&lt;=Body!$BP$14),Body!$BN$6,IF(AND('Zdroj data'!O17&gt;=Body!$BQ$14,'Zdroj data'!O17&lt;=Body!$BS$14),Body!$BQ$6,IF(AND('Zdroj data'!O17&gt;=Body!$BT$14,'Zdroj data'!O17&lt;=Body!$BV$14),Body!$BT$6,IF(AND('Zdroj data'!O17&gt;=Body!$BW$14,'Zdroj data'!O17&lt;=Body!$BY$14),Body!$BW$6,IF('Zdroj data'!O17&gt;=Body!$CB$14,Body!$BZ$6," "))))))))))," "))</f>
        <v>5</v>
      </c>
      <c r="J17" s="264">
        <f t="shared" si="8"/>
        <v>2</v>
      </c>
      <c r="K17" s="264">
        <f t="shared" si="9"/>
        <v>1</v>
      </c>
      <c r="L17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17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17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5</v>
      </c>
      <c r="O17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6</v>
      </c>
      <c r="P17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7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2</v>
      </c>
      <c r="R17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2</v>
      </c>
      <c r="S17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4</v>
      </c>
      <c r="T17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4</v>
      </c>
      <c r="U17" s="264">
        <f>IF('Zdroj data'!BB17=Body!$AY$25,Body!$AY$22,IF('Zdroj data'!BB17=Body!$BB$25,Body!$BB$22,IF('Zdroj data'!BB17=Body!$BE$25,Body!$BE$22,IF('Zdroj data'!BB17=Body!$BH$25,Body!$BH$22,IF('Zdroj data'!BB17=Body!BK$25,Body!$BK$22,IF('Zdroj data'!BB17=Body!$BN$25,Body!$BN$22,IF('Zdroj data'!BB17=Body!$BQ$25,Body!$BQ$22,IF('Zdroj data'!BB17=Body!$BT$25,Body!$BT$22,IF('Zdroj data'!BB17=Body!$BW$25,Body!$BW$22,IF('Zdroj data'!BB17=Body!$BZ$25,Body!$BZ$22," "))))))))))</f>
        <v>5</v>
      </c>
      <c r="V17" s="264">
        <f>IF(AND('Zdroj data'!BO17&gt;Body!$AY$27,'Zdroj data'!BO17&lt;=Body!$BA$27),Body!$AY$22,IF(AND('Zdroj data'!BO17&gt;=Body!$BB$27,'Zdroj data'!BO17&lt;=Body!$BD$27),Body!$BB$22,IF(AND('Zdroj data'!BO17&gt;=Body!$BE$27,'Zdroj data'!BO17&lt;=Body!$BG$27),Body!$BE$22,IF(AND('Zdroj data'!BO17&gt;=Body!$BH$27,'Zdroj data'!BO17&lt;=Body!$BJ$27),Body!$BH$22,IF(AND('Zdroj data'!BO17&gt;=Body!$BK$27,'Zdroj data'!BO17&lt;=Body!$BM$27),Body!$BK$22,IF(AND('Zdroj data'!BO17&gt;=Body!$BN$27,'Zdroj data'!BO17&lt;=Body!$BP$27),Body!$BN$22,IF(AND('Zdroj data'!BO17&gt;=Body!$BQ$27,'Zdroj data'!BO17&lt;=Body!$BS$27),Body!$BQ$22,IF(AND('Zdroj data'!BO17&gt;=Body!$BT$27,'Zdroj data'!BO17&lt;=Body!$BV$27),Body!$BT$22,IF(AND('Zdroj data'!BO17&gt;=Body!$BW$27,'Zdroj data'!BO17&lt;=Body!$BY$27),Body!$BW$22,IF('Zdroj data'!BO17&gt;=Body!$CB$27,$BZ$22," "))))))))))</f>
        <v>5</v>
      </c>
      <c r="W17" s="264">
        <f>IF(AND('Zdroj data'!BP17&gt;Body!$AY$27,'Zdroj data'!BP17&lt;=Body!$BA$27),Body!$AY$22,IF(AND('Zdroj data'!BP17&gt;=Body!$BB$27,'Zdroj data'!BP17&lt;=Body!$BD$27),Body!$BB$22,IF(AND('Zdroj data'!BP17&gt;=Body!$BE$27,'Zdroj data'!BP17&lt;=Body!$BG$27),Body!$BE$22,IF(AND('Zdroj data'!BP17&gt;=Body!$BH$27,'Zdroj data'!BP17&lt;=Body!$BJ$27),Body!$BH$22,IF(AND('Zdroj data'!BP17&gt;=Body!$BK$27,'Zdroj data'!BP17&lt;=Body!$BM$27),Body!$BK$22,IF(AND('Zdroj data'!BP17&gt;=Body!$BN$27,'Zdroj data'!BP17&lt;=Body!$BP$27),Body!$BN$22,IF(AND('Zdroj data'!BP17&gt;=Body!$BQ$27,'Zdroj data'!BP17&lt;=Body!$BS$27),Body!$BQ$22,IF(AND('Zdroj data'!BP17&gt;=Body!$BT$27,'Zdroj data'!BP17&lt;=Body!$BV$27),Body!$BT$22,IF(AND('Zdroj data'!BP17&gt;=Body!$BW$27,'Zdroj data'!BP17&lt;=Body!$BY$27),Body!$BW$22,IF('Zdroj data'!BP17&gt;=Body!$CB$27,$BZ$22," "))))))))))</f>
        <v>7</v>
      </c>
      <c r="X17" s="264">
        <f>IF('Zdroj data'!BA17=Body!$BB$28,$BB$22,IF('Zdroj data'!BA17=Body!$BE$28,$BE$22,IF(OR('Zdroj data'!BA17=Body!$BK$28,'Zdroj data'!BA17=Body!$BL$28,'Zdroj data'!BA17=Body!$BM$28),$BK$22,IF(OR('Zdroj data'!BA17=Body!$BT$28,'Zdroj data'!BA17=Body!$BV$28),$BT$22,IF(OR('Zdroj data'!BA17=Body!$BW$28,'Zdroj data'!BA17=Body!$BY$28),$BW$22,IF('Zdroj data'!BA17=Body!$BZ$28,$BZ$22," "))))))</f>
        <v>5</v>
      </c>
      <c r="Y17" s="264">
        <f>IF('Zdroj data'!AZ17=Body!$BZ$29,Body!$BZ$22,IF(OR('Zdroj data'!AZ17=$BT$29,'Zdroj data'!AZ17=$BU$29,'Zdroj data'!AZ17=$BV$29),$BT$22,IF(OR('Zdroj data'!AZ17=$BK$29,'Zdroj data'!AZ17=$BM$29),$BK$22,IF(OR('Zdroj data'!AZ17=$BE$29,'Zdroj data'!AZ17=$BG$29),$BE$22,IF(OR('Zdroj data'!AZ17=$AY$29,'Zdroj data'!AZ17=$BA$29),$AY$22," ")))))</f>
        <v>8</v>
      </c>
      <c r="Z17" s="264">
        <f>IF(AND('Zdroj data'!BF17="T",(OR('Zdroj data'!AZ17=Body!$AW$45,'Zdroj data'!AZ17=Body!$AW$46,'Zdroj data'!AZ17=Body!$AW$47,'Zdroj data'!AZ17=Body!$AW$48))),Body!$AY$22,IF(AND('Zdroj data'!BF17="T",(OR('Zdroj data'!AZ17=$AW$49,'Zdroj data'!AZ17=$AW$50,'Zdroj data'!AZ17=$AW$51,'Zdroj data'!AZ17=$AW$52))),$BZ$22,IF(AND(OR('Zdroj data'!BF17="VT",'Zdroj data'!BF17="T",'Zdroj data'!BF17="CH"),(OR('Zdroj data'!AZ17=$AW$43,'Zdroj data'!AZ17=$AW$44,))),$BZ$22,IF(AND('Zdroj data'!BF17="CH",(OR('Zdroj data'!AZ17=$AW$49,'Zdroj data'!AZ17=$AW$50,'Zdroj data'!AZ17=$AW$51,'Zdroj data'!AZ17=$AW$52))),$AY$22,IF(AND('Zdroj data'!BF17="CH",(OR('Zdroj data'!AZ17=$AW$45,'Zdroj data'!AZ17=$AW$46,'Zdroj data'!AZ17=$AW$47,'Zdroj data'!AZ17=$AW$48))),$BZ$22," ")))))</f>
        <v>10</v>
      </c>
      <c r="AA17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7" s="264">
        <f>IF(Tabulka1[[#This Row],[kv.ek.]]=Body!$BK$35,Body!$BK$34,IF(Tabulka1[[#This Row],[kv.ek.]]=Body!$BZ$35,Body!$BZ$34," "))</f>
        <v>10</v>
      </c>
      <c r="AC17" s="264" t="str">
        <f>IF(AND('Zdroj data'!BF17="T",(OR('Zdroj data'!AZ17=Body!$AW$45,'Zdroj data'!AZ17=Body!$AW$46,'Zdroj data'!AZ17=Body!$AW$47,'Zdroj data'!AZ17=Body!$AW$48))),Body!$AY$22,IF(AND('Zdroj data'!BF17="T",(OR('Zdroj data'!AZ17=$AW$49,'Zdroj data'!AZ17=$AW$50,'Zdroj data'!AZ17=$AW$51,'Zdroj data'!AZ17=$AW$52))),$BZ$22," "))</f>
        <v xml:space="preserve"> </v>
      </c>
      <c r="AD17" s="264">
        <f>IF(AND(OR('Zdroj data'!BF17="VT",'Zdroj data'!BF17="T",'Zdroj data'!BF17="CH"),(OR('Zdroj data'!AZ17=$AW$43,'Zdroj data'!AZ17=$AW$44,))),$BZ$22," ")</f>
        <v>10</v>
      </c>
      <c r="AE17" s="264" t="str">
        <f>IF(AND('Zdroj data'!BF17="CH",(OR('Zdroj data'!AZ17=$AW$49,'Zdroj data'!AZ17=$AW$50,'Zdroj data'!AZ17=$AW$51,'Zdroj data'!AZ17=$AW$52))),$AY$22,IF(AND('Zdroj data'!BF17="CH",(OR('Zdroj data'!AZ17=$AW$45,'Zdroj data'!AZ17=$AW$46,'Zdroj data'!AZ17=$AW$47,'Zdroj data'!AZ17=$AW$48))),$BZ$22," "))</f>
        <v xml:space="preserve"> </v>
      </c>
      <c r="AF17" s="264" t="str">
        <f>IF(AND('Zdroj data'!BG17="L",'Zdroj data'!AM17=Body!$AX$15),IF(AND('Zdroj data'!O17&gt;=Body!$AY$15,'Zdroj data'!O17&lt;=Body!$BA$15),Body!AY$6,IF(AND('Zdroj data'!O17&gt;=Body!$BB$15,'Zdroj data'!O17&lt;=Body!$BD$15),Body!BB$6,IF(AND('Zdroj data'!O17&gt;=Body!$BE$15,'Zdroj data'!O17&lt;=Body!$BG$15),Body!BE$6,IF(AND('Zdroj data'!O17&gt;=Body!$BH$15,'Zdroj data'!O17&lt;=Body!$BJ$15),Body!BH$6,IF(AND('Zdroj data'!O17&gt;=Body!$BK$15,'Zdroj data'!O17&lt;=Body!$BM$15),Body!BK$6,IF(AND('Zdroj data'!O17&gt;=Body!$BN$15,'Zdroj data'!O17&lt;=Body!$BP$15),Body!$BN$6,IF(AND('Zdroj data'!O17&gt;=Body!$BQ$15,'Zdroj data'!O17&lt;=Body!$BS$15),Body!$BQ$6,IF(AND('Zdroj data'!O17&gt;=Body!$BT$15,'Zdroj data'!O17&lt;=Body!$BV$15),Body!BT$6,IF(AND('Zdroj data'!O17&gt;=Body!$BW$15,'Zdroj data'!O17&lt;=Body!$BY$15),Body!$BW$6,IF('Zdroj data'!O17&gt;=Body!$CB$15,Body!$BZ$6," ")))))))))),IF(AND('Zdroj data'!BG17="ST",'Zdroj data'!AM17=Body!$AX$16),IF(AND('Zdroj data'!O17&gt;=Body!$AY$16,'Zdroj data'!O17&lt;=Body!$BA$16),Body!$AY$6,IF(AND('Zdroj data'!O17&gt;=Body!$BB$16,'Zdroj data'!O17&lt;=Body!$BD$16),Body!$BB$6,IF(AND('Zdroj data'!O17&gt;=Body!$BE$16,'Zdroj data'!O17&lt;=Body!$BG$16),Body!$BE$6,IF(AND('Zdroj data'!O17&gt;=Body!$BH$16,'Zdroj data'!O17&lt;=Body!$BJ$16),Body!$BH$6,IF(AND('Zdroj data'!O17&gt;=Body!$BK$16,'Zdroj data'!O17&lt;=Body!$BM$16),Body!$BK$6,IF(AND('Zdroj data'!O17&gt;=Body!$BN$16,'Zdroj data'!O17&lt;=Body!$BP$16),Body!$BN$6,IF(AND('Zdroj data'!O17&gt;=Body!$BQ$16,'Zdroj data'!O17&lt;=Body!$BS$16),Body!$BQ$6,IF(AND('Zdroj data'!O17&gt;=Body!$BT$16,'Zdroj data'!O17&lt;=Body!$BV$16),Body!$BT$6,IF(AND('Zdroj data'!O17&gt;=Body!$BW$16,'Zdroj data'!O17&lt;=Body!$BY$16),Body!$BW$6,IF('Zdroj data'!O17&gt;=Body!$CB$16,Body!$BZ$6," ")))))))))),IF(AND('Zdroj data'!BG17="T",'Zdroj data'!AM17=Body!$AX$17),IF(AND('Zdroj data'!O17&gt;=Body!$AY$17,'Zdroj data'!O17&lt;=Body!$BA$17),Body!$AY$6,IF(AND('Zdroj data'!O17&gt;=Body!$BB$17,'Zdroj data'!O17&lt;=Body!$BD$17),Body!$BB$6,IF(AND('Zdroj data'!O17&gt;=Body!$BE$17,'Zdroj data'!O17&lt;=Body!$BG$17),Body!$BE$6,IF(AND('Zdroj data'!O17&gt;=Body!$BH$17,'Zdroj data'!O17&lt;=Body!BJ31),Body!$BH$6,IF(AND('Zdroj data'!O17&gt;=Body!$BK$17,'Zdroj data'!O17&lt;=Body!$BM$17),Body!$BK$6,IF(AND('Zdroj data'!O17&gt;=Body!$BN$17,'Zdroj data'!O17&lt;=Body!$BP$17),Body!$BN$6,IF(AND('Zdroj data'!O17&gt;=Body!$BQ$17,'Zdroj data'!O17&lt;=Body!$BS$17),Body!$BQ$6,IF(AND('Zdroj data'!O17&gt;=Body!$BT$17,'Zdroj data'!O17&lt;=Body!$BV$17),Body!$BT$6,IF(AND('Zdroj data'!O17&gt;=Body!$BW$17,'Zdroj data'!O17&lt;=Body!$BY$17),Body!$BW$6,IF('Zdroj data'!O17&gt;=Body!$CB$17,Body!$BZ$6," "))))))))))," ")))</f>
        <v xml:space="preserve"> </v>
      </c>
      <c r="AG17" s="264" t="str">
        <f>IF(AND('Zdroj data'!$BG17="L",'Zdroj data'!$AM17=Body!$AX$15),IF(AND(Tabulka1[[#This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data'!$BG17="ST",'Zdroj data'!$AM17=Body!$AX$16),IF(AND(Tabulka1[[#This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data'!$BG17="T",'Zdroj data'!$AM17=Body!$AX$17),IF(AND(Tabulka1[[#This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Row],[K2O_60]]&lt;=Body!BJ31),Body!$BH$6,IF(AND(Tabulka1[[#This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17" s="264">
        <f>IF(AND('Zdroj data'!BG17="L",'Zdroj data'!AM17=Body!$AX$18),IF(AND('Zdroj data'!O17&gt;=Body!$AY$18,'Zdroj data'!O17&lt;=Body!$BA$18),Body!AY$6,IF(AND('Zdroj data'!O17&gt;=Body!$BB$18,'Zdroj data'!O17&lt;=Body!$BD$18),Body!BB$6,IF(AND('Zdroj data'!O17&gt;=Body!$BE$18,'Zdroj data'!O17&lt;=Body!$BG$18),Body!BE$6,IF(AND('Zdroj data'!O17&gt;=Body!$BH$18,'Zdroj data'!O17&lt;=Body!$BJ$18),Body!BH$6,IF(AND('Zdroj data'!O17&gt;=Body!$BK$18,'Zdroj data'!O17&lt;=Body!$BM$18),Body!$BK$6,IF(AND('Zdroj data'!O17&gt;=Body!$BN$18,'Zdroj data'!O17&lt;=Body!$BP$18),Body!BN$6,IF(AND('Zdroj data'!O17&gt;=Body!$BQ$18,'Zdroj data'!O17&lt;=Body!$BS$18),Body!$BQ$6,IF(AND('Zdroj data'!O17&gt;=Body!$BT$18,'Zdroj data'!O17&lt;=Body!$BV$18),Body!$BT$6,IF(AND('Zdroj data'!O17&gt;=Body!$BW$18,'Zdroj data'!O17&lt;=Body!$BY$18),Body!$BW$6,IF('Zdroj data'!O17&gt;=Body!$CB$18,Body!$BZ$6," ")))))))))),IF(AND('Zdroj data'!BG17="ST",'Zdroj data'!AM17=Body!$AX$19),IF(AND('Zdroj data'!O17&gt;=Body!$AY$19,'Zdroj data'!O17&lt;=Body!$BA$19),Body!$AY$6,IF(AND('Zdroj data'!O17&gt;=Body!$BB$19,'Zdroj data'!O17&lt;=Body!$BD$19),Body!$BB$6,IF(AND('Zdroj data'!O17&gt;=Body!$BE$19,'Zdroj data'!O17&lt;=Body!$BG$19),Body!$BE$6,IF(AND('Zdroj data'!O17&gt;=Body!$BH$19,'Zdroj data'!O17&lt;=Body!$BJ$19),Body!$BH$6,IF(AND('Zdroj data'!O17&gt;=Body!$BK$19,'Zdroj data'!O17&lt;=Body!$BM$19),Body!$BK$6,IF(AND('Zdroj data'!O17&gt;=Body!$BN$19,'Zdroj data'!O17&lt;=Body!$BP$19),Body!$BN$6,IF(AND('Zdroj data'!O17&gt;=Body!$BQ$19,'Zdroj data'!O17&lt;=Body!$BS$19),Body!$BQ$6,IF(AND('Zdroj data'!O17&gt;=Body!$BT$19,'Zdroj data'!O21&lt;=Body!$BV$19),Body!$BT$6,IF(AND('Zdroj data'!O17&gt;=Body!$BW$19,'Zdroj data'!O17&lt;=Body!$BY$19),Body!$BW$6,IF('Zdroj data'!O17&gt;=Body!$CB$19,Body!$BZ$6," ")))))))))),IF(AND('Zdroj data'!BG17="T",'Zdroj data'!AM17=Body!$AX$20),IF(AND('Zdroj data'!O17&gt;=Body!$AY$20,'Zdroj data'!O17&lt;=Body!$BA$20),Body!$AY$6,IF(AND('Zdroj data'!O17&gt;=Body!$BB$20,'Zdroj data'!O17&lt;=Body!$BD$20),Body!$BB$6,IF(AND('Zdroj data'!O17&gt;=Body!$BE$20,'Zdroj data'!O17&lt;=Body!$BG$20),Body!$BE$6,IF(AND('Zdroj data'!O17&gt;=Body!$BH$20,'Zdroj data'!O17&lt;=Body!$BJ$20),Body!$BH$6,IF(AND('Zdroj data'!O17&gt;=Body!$BK$20,'Zdroj data'!O17&lt;=Body!$BM$20),Body!$BK$6,IF(AND('Zdroj data'!O17&gt;=Body!$BN$20,'Zdroj data'!O17&lt;=Body!$BP$20),Body!$BN$6,IF(AND('Zdroj data'!O17&gt;=Body!$BQ$20,'Zdroj data'!O17&lt;=Body!$BS$20),Body!$BQ$6,IF(AND('Zdroj data'!O17&gt;=Body!$BT$20,'Zdroj data'!O17&lt;=Body!BV34),Body!$BT$6,IF(AND('Zdroj data'!O17&gt;=Body!$BW$20,'Zdroj data'!O17&lt;=Body!$BY$20),Body!$BW$6,IF('Zdroj data'!O17&gt;=Body!$CB$20,Body!$BZ$6," "))))))))))," ")))</f>
        <v>2</v>
      </c>
      <c r="AI17" s="264">
        <f>IF(AND('Zdroj data'!$BG17="L",'Zdroj data'!$AM17=Body!$AX$18),IF(AND(Tabulka1[[#This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data'!$BG17="ST",'Zdroj data'!$AM17=Body!$AX$19),IF(AND(Tabulka1[[#This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data'!$BG17="T",'Zdroj data'!$AM17=Body!$AX$20),IF(AND(Tabulka1[[#This Row],[K2O_60]]&gt;=Body!$AY$20,'Zdroj data'!O17&lt;=Body!$BA$20),Body!$AY$6,IF(AND(Tabulka1[[#This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Row],[K2O_60]]&lt;=Body!BV34),Body!$BT$6,IF(AND(Tabulka1[[#This Row],[K2O_60]]&gt;=Body!$BW$20,Tabulka1[[#This Row],[K2O_60]]&lt;=Body!$BY$20),Body!$BW$6,IF(Tabulka1[[#This Row],[K2O_60]]&gt;=Body!$CB$20,Body!$BZ$6," "))))))))))," ")))</f>
        <v>1</v>
      </c>
      <c r="AJ17" s="265">
        <f t="shared" si="2"/>
        <v>9.3333333333333428</v>
      </c>
      <c r="AK17" s="264">
        <f t="shared" si="3"/>
        <v>19.919788596721592</v>
      </c>
      <c r="AL17" s="264">
        <f t="shared" si="4"/>
        <v>19.565318694650443</v>
      </c>
      <c r="AM17" s="264">
        <f t="shared" si="5"/>
        <v>44.972052676930083</v>
      </c>
      <c r="AN17" s="264">
        <f t="shared" si="6"/>
        <v>48.061239091334052</v>
      </c>
      <c r="AO17" s="265">
        <f t="shared" si="0"/>
        <v>64.891841273651679</v>
      </c>
      <c r="AP17" s="265">
        <f t="shared" si="1"/>
        <v>67.626557785984488</v>
      </c>
      <c r="AQ17" s="318"/>
      <c r="AR17" s="338">
        <f t="shared" si="7"/>
        <v>141.85173239296952</v>
      </c>
      <c r="AS17" s="318"/>
      <c r="AT17" s="454"/>
      <c r="AU17" s="468"/>
      <c r="AV17" s="470"/>
      <c r="AW17" s="25" t="s">
        <v>850</v>
      </c>
      <c r="AX17" s="133" t="s">
        <v>824</v>
      </c>
      <c r="AY17" s="25">
        <v>0</v>
      </c>
      <c r="AZ17" s="43" t="s">
        <v>856</v>
      </c>
      <c r="BA17" s="44">
        <v>169.99</v>
      </c>
      <c r="BB17" s="45">
        <v>170</v>
      </c>
      <c r="BC17" s="29" t="s">
        <v>858</v>
      </c>
      <c r="BD17" s="44">
        <v>214.99</v>
      </c>
      <c r="BE17" s="45">
        <v>215</v>
      </c>
      <c r="BF17" s="46" t="s">
        <v>858</v>
      </c>
      <c r="BG17" s="44">
        <v>259.99</v>
      </c>
      <c r="BH17" s="47">
        <v>260</v>
      </c>
      <c r="BI17" s="48" t="s">
        <v>858</v>
      </c>
      <c r="BJ17" s="27">
        <v>289.99</v>
      </c>
      <c r="BK17" s="30">
        <v>290</v>
      </c>
      <c r="BL17" s="49" t="s">
        <v>858</v>
      </c>
      <c r="BM17" s="50">
        <v>319.99</v>
      </c>
      <c r="BN17" s="28">
        <v>320</v>
      </c>
      <c r="BO17" s="49" t="s">
        <v>858</v>
      </c>
      <c r="BP17" s="27">
        <v>349.99</v>
      </c>
      <c r="BQ17" s="28">
        <v>350</v>
      </c>
      <c r="BR17" s="49" t="s">
        <v>858</v>
      </c>
      <c r="BS17" s="50">
        <v>402.99</v>
      </c>
      <c r="BT17" s="28">
        <v>403</v>
      </c>
      <c r="BU17" s="49" t="s">
        <v>858</v>
      </c>
      <c r="BV17" s="27">
        <v>455.99</v>
      </c>
      <c r="BW17" s="28">
        <v>456</v>
      </c>
      <c r="BX17" s="49" t="s">
        <v>858</v>
      </c>
      <c r="BY17" s="50">
        <v>509.99</v>
      </c>
      <c r="BZ17" s="28"/>
      <c r="CA17" s="52" t="s">
        <v>857</v>
      </c>
      <c r="CB17" s="27">
        <v>510</v>
      </c>
      <c r="CC17" s="79"/>
    </row>
    <row r="18" spans="1:81" ht="15.5" x14ac:dyDescent="0.35">
      <c r="A18" s="270">
        <v>848</v>
      </c>
      <c r="B18" s="156" t="s">
        <v>124</v>
      </c>
      <c r="C18" s="250" t="str">
        <f>VLOOKUP(B18,'Zdroj hloubka okresy'!$A$2:$D$171,2,FALSE)</f>
        <v>Pribram</v>
      </c>
      <c r="D18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18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18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8" s="264">
        <f>IF(AND(Tabulka1[[#This Row],[hum_60]]&gt;AY24,Tabulka1[[#This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8" s="264">
        <f>IF(Tabulka1[[#This Row],[kv.ek.]]=Body!$AX$13,IF(AND('Zdroj data'!M18&gt;=Body!$AY$13,'Zdroj data'!M18&lt;=Body!$BA$13),Body!$AY$6,IF(AND('Zdroj data'!M18&gt;=Body!$BB$13,'Zdroj data'!M18&lt;=Body!$BD$13),Body!$BB$6,IF(AND('Zdroj data'!M18&gt;=Body!$BE$13,'Zdroj data'!M18&lt;=Body!$BG$13),Body!$BE$6,IF(AND('Zdroj data'!M18&gt;=Body!$BH$13,'Zdroj data'!M18&lt;=Body!$BJ$13),Body!$BH$6,IF(AND('Zdroj data'!M18&gt;=Body!$BK$13,'Zdroj data'!M18&lt;=Body!$BM$13),Body!$BK$6,IF(AND('Zdroj data'!M18&gt;=Body!$BN$13,'Zdroj data'!M18&lt;=Body!$BP$13),Body!$BN$6,IF(AND('Zdroj data'!M18&gt;=Body!$BQ$13,'Zdroj data'!M18&lt;=Body!$BS$13),Body!$BQ$6,IF(AND('Zdroj data'!M18&gt;=Body!$BT$13,'Zdroj data'!M18&lt;=Body!$BV$13),Body!$BT$6,IF(AND('Zdroj data'!M18&gt;=Body!$BW$13,'Zdroj data'!M18&lt;=Body!$BY$13),Body!$BW$6,IF('Zdroj data'!M18&gt;=Body!$CB$13,Body!$BZ$6,"")))))))))),IF(Tabulka1[[#This Row],[kv.ek.]]=Body!$AX$14,IF(AND('Zdroj data'!N18&gt;=Body!$AY$14,'Zdroj data'!N18&lt;=Body!$BA$14),Body!$AY$6,IF(AND('Zdroj data'!N18&gt;=Body!$BB$14,'Zdroj data'!N18&lt;=Body!$BD$14),Body!$BB$6,IF(AND('Zdroj data'!N18&gt;=Body!$BE$14,'Zdroj data'!N18&lt;=Body!$BG$14),Body!$BE$6,IF(AND('Zdroj data'!N18&gt;=Body!$BH$14,'Zdroj data'!N18&lt;=Body!$BJ$14),Body!$BH$6,IF(AND('Zdroj data'!N18&gt;=Body!$BK$14,'Zdroj data'!N18&lt;=Body!$BM$14),Body!$BK$6,IF(AND('Zdroj data'!N18&gt;=Body!$BN$14,'Zdroj data'!N18&lt;=Body!$BP$14),Body!$BN$6,IF(AND('Zdroj data'!N18&gt;=Body!$BQ$14,'Zdroj data'!N18&lt;=Body!$BS$14),Body!$BQ$6,IF(AND('Zdroj data'!N18&gt;=Body!$BT$14,'Zdroj data'!N18&lt;=Body!$BV$14),Body!$BT$6,IF(AND('Zdroj data'!N18&gt;=Body!$BW$14,'Zdroj data'!N18&lt;=Body!$BY$14),Body!$BW$6,IF('Zdroj data'!N18&gt;=Body!$CB$14,Body!$BZ$6,"")))))))))),""))</f>
        <v>2</v>
      </c>
      <c r="I18" s="264">
        <f>IF(Tabulka1[[#This Row],[kv.ek.]]=Body!$AX$13,IF(AND('Zdroj data'!N18&gt;=Body!$AY$13,'Zdroj data'!N18&lt;=Body!$BA$13),Body!$AY$6,IF(AND('Zdroj data'!N18&gt;=Body!$BB$13,'Zdroj data'!N18&lt;=Body!$BD$13),Body!$BB$6,IF(AND('Zdroj data'!N18&gt;=Body!$BE$13,'Zdroj data'!N18&lt;=Body!$BG$13),Body!$BE$6,IF(AND('Zdroj data'!N18&gt;=Body!$BH$13,'Zdroj data'!N18&lt;=Body!$BJ$13),Body!$BH$6,IF(AND('Zdroj data'!N18&gt;=Body!$BK$13,'Zdroj data'!N18&lt;=Body!$BM$13),Body!$BK$6,IF(AND('Zdroj data'!N18&gt;=Body!$BN$13,'Zdroj data'!N18&lt;=Body!$BP$13),Body!$BN$6,IF(AND('Zdroj data'!N18&gt;=Body!$BQ$13,'Zdroj data'!N18&lt;=Body!$BS$13),Body!$BQ$6,IF(AND('Zdroj data'!N18&gt;=Body!$BT$13,'Zdroj data'!N18&lt;=Body!$BV$13),Body!$BT$6,IF(AND('Zdroj data'!N18&gt;=Body!$BW$13,'Zdroj data'!N18&lt;=Body!$BY$13),Body!$BW$6,IF('Zdroj data'!N18&gt;=Body!$CB$13,Body!$BZ$6," ")))))))))),IF(Tabulka1[[#This Row],[kv.ek.]]=Body!$AX$14,IF(AND('Zdroj data'!O18&gt;=Body!$AY$14,'Zdroj data'!O18&lt;=Body!$BA$14),Body!$AY$6,IF(AND('Zdroj data'!O18&gt;=Body!$BB$14,'Zdroj data'!O18&lt;=Body!$BD$14),Body!$BB$6,IF(AND('Zdroj data'!O18&gt;=Body!$BE$14,'Zdroj data'!O18&lt;=Body!$BG$14),Body!$BE$6,IF(AND('Zdroj data'!O18&gt;=Body!$BH$14,'Zdroj data'!O18&lt;=Body!$BJ$14),Body!$BH$6,IF(AND('Zdroj data'!O18&gt;=Body!$BK$14,'Zdroj data'!O18&lt;=Body!$BM$14),Body!$BK$6,IF(AND('Zdroj data'!O18&gt;=Body!$BN$14,'Zdroj data'!O18&lt;=Body!$BP$14),Body!$BN$6,IF(AND('Zdroj data'!O18&gt;=Body!$BQ$14,'Zdroj data'!O18&lt;=Body!$BS$14),Body!$BQ$6,IF(AND('Zdroj data'!O18&gt;=Body!$BT$14,'Zdroj data'!O18&lt;=Body!$BV$14),Body!$BT$6,IF(AND('Zdroj data'!O18&gt;=Body!$BW$14,'Zdroj data'!O18&lt;=Body!$BY$14),Body!$BW$6,IF('Zdroj data'!O18&gt;=Body!$CB$14,Body!$BZ$6," "))))))))))," "))</f>
        <v>1</v>
      </c>
      <c r="J18" s="264">
        <f t="shared" si="8"/>
        <v>3</v>
      </c>
      <c r="K18" s="264">
        <f t="shared" si="9"/>
        <v>2</v>
      </c>
      <c r="L18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18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18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18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18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8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2</v>
      </c>
      <c r="R18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2</v>
      </c>
      <c r="S18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6</v>
      </c>
      <c r="T18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4</v>
      </c>
      <c r="U18" s="264">
        <f>IF('Zdroj data'!BB18=Body!$AY$25,Body!$AY$22,IF('Zdroj data'!BB18=Body!$BB$25,Body!$BB$22,IF('Zdroj data'!BB18=Body!$BE$25,Body!$BE$22,IF('Zdroj data'!BB18=Body!$BH$25,Body!$BH$22,IF('Zdroj data'!BB18=Body!BK$25,Body!$BK$22,IF('Zdroj data'!BB18=Body!$BN$25,Body!$BN$22,IF('Zdroj data'!BB18=Body!$BQ$25,Body!$BQ$22,IF('Zdroj data'!BB18=Body!$BT$25,Body!$BT$22,IF('Zdroj data'!BB18=Body!$BW$25,Body!$BW$22,IF('Zdroj data'!BB18=Body!$BZ$25,Body!$BZ$22," "))))))))))</f>
        <v>5</v>
      </c>
      <c r="V18" s="264">
        <f>IF(AND('Zdroj data'!BO18&gt;Body!$AY$27,'Zdroj data'!BO18&lt;=Body!$BA$27),Body!$AY$22,IF(AND('Zdroj data'!BO18&gt;=Body!$BB$27,'Zdroj data'!BO18&lt;=Body!$BD$27),Body!$BB$22,IF(AND('Zdroj data'!BO18&gt;=Body!$BE$27,'Zdroj data'!BO18&lt;=Body!$BG$27),Body!$BE$22,IF(AND('Zdroj data'!BO18&gt;=Body!$BH$27,'Zdroj data'!BO18&lt;=Body!$BJ$27),Body!$BH$22,IF(AND('Zdroj data'!BO18&gt;=Body!$BK$27,'Zdroj data'!BO18&lt;=Body!$BM$27),Body!$BK$22,IF(AND('Zdroj data'!BO18&gt;=Body!$BN$27,'Zdroj data'!BO18&lt;=Body!$BP$27),Body!$BN$22,IF(AND('Zdroj data'!BO18&gt;=Body!$BQ$27,'Zdroj data'!BO18&lt;=Body!$BS$27),Body!$BQ$22,IF(AND('Zdroj data'!BO18&gt;=Body!$BT$27,'Zdroj data'!BO18&lt;=Body!$BV$27),Body!$BT$22,IF(AND('Zdroj data'!BO18&gt;=Body!$BW$27,'Zdroj data'!BO18&lt;=Body!$BY$27),Body!$BW$22,IF('Zdroj data'!BO18&gt;=Body!$CB$27,$BZ$22," "))))))))))</f>
        <v>5</v>
      </c>
      <c r="W18" s="264">
        <f>IF(AND('Zdroj data'!BP18&gt;Body!$AY$27,'Zdroj data'!BP18&lt;=Body!$BA$27),Body!$AY$22,IF(AND('Zdroj data'!BP18&gt;=Body!$BB$27,'Zdroj data'!BP18&lt;=Body!$BD$27),Body!$BB$22,IF(AND('Zdroj data'!BP18&gt;=Body!$BE$27,'Zdroj data'!BP18&lt;=Body!$BG$27),Body!$BE$22,IF(AND('Zdroj data'!BP18&gt;=Body!$BH$27,'Zdroj data'!BP18&lt;=Body!$BJ$27),Body!$BH$22,IF(AND('Zdroj data'!BP18&gt;=Body!$BK$27,'Zdroj data'!BP18&lt;=Body!$BM$27),Body!$BK$22,IF(AND('Zdroj data'!BP18&gt;=Body!$BN$27,'Zdroj data'!BP18&lt;=Body!$BP$27),Body!$BN$22,IF(AND('Zdroj data'!BP18&gt;=Body!$BQ$27,'Zdroj data'!BP18&lt;=Body!$BS$27),Body!$BQ$22,IF(AND('Zdroj data'!BP18&gt;=Body!$BT$27,'Zdroj data'!BP18&lt;=Body!$BV$27),Body!$BT$22,IF(AND('Zdroj data'!BP18&gt;=Body!$BW$27,'Zdroj data'!BP18&lt;=Body!$BY$27),Body!$BW$22,IF('Zdroj data'!BP18&gt;=Body!$CB$27,$BZ$22," "))))))))))</f>
        <v>5</v>
      </c>
      <c r="X18" s="264">
        <f>IF('Zdroj data'!BA18=Body!$BB$28,$BB$22,IF('Zdroj data'!BA18=Body!$BE$28,$BE$22,IF(OR('Zdroj data'!BA18=Body!$BK$28,'Zdroj data'!BA18=Body!$BL$28,'Zdroj data'!BA18=Body!$BM$28),$BK$22,IF(OR('Zdroj data'!BA18=Body!$BT$28,'Zdroj data'!BA18=Body!$BV$28),$BT$22,IF(OR('Zdroj data'!BA18=Body!$BW$28,'Zdroj data'!BA18=Body!$BY$28),$BW$22,IF('Zdroj data'!BA18=Body!$BZ$28,$BZ$22," "))))))</f>
        <v>5</v>
      </c>
      <c r="Y18" s="264">
        <f>IF('Zdroj data'!AZ18=Body!$BZ$29,Body!$BZ$22,IF(OR('Zdroj data'!AZ18=$BT$29,'Zdroj data'!AZ18=$BU$29,'Zdroj data'!AZ18=$BV$29),$BT$22,IF(OR('Zdroj data'!AZ18=$BK$29,'Zdroj data'!AZ18=$BM$29),$BK$22,IF(OR('Zdroj data'!AZ18=$BE$29,'Zdroj data'!AZ18=$BG$29),$BE$22,IF(OR('Zdroj data'!AZ18=$AY$29,'Zdroj data'!AZ18=$BA$29),$AY$22," ")))))</f>
        <v>8</v>
      </c>
      <c r="Z18" s="264">
        <f>IF(AND('Zdroj data'!BF18="T",(OR('Zdroj data'!AZ18=Body!$AW$45,'Zdroj data'!AZ18=Body!$AW$46,'Zdroj data'!AZ18=Body!$AW$47,'Zdroj data'!AZ18=Body!$AW$48))),Body!$AY$22,IF(AND('Zdroj data'!BF18="T",(OR('Zdroj data'!AZ18=$AW$49,'Zdroj data'!AZ18=$AW$50,'Zdroj data'!AZ18=$AW$51,'Zdroj data'!AZ18=$AW$52))),$BZ$22,IF(AND(OR('Zdroj data'!BF18="VT",'Zdroj data'!BF18="T",'Zdroj data'!BF18="CH"),(OR('Zdroj data'!AZ18=$AW$43,'Zdroj data'!AZ18=$AW$44,))),$BZ$22,IF(AND('Zdroj data'!BF18="CH",(OR('Zdroj data'!AZ18=$AW$49,'Zdroj data'!AZ18=$AW$50,'Zdroj data'!AZ18=$AW$51,'Zdroj data'!AZ18=$AW$52))),$AY$22,IF(AND('Zdroj data'!BF18="CH",(OR('Zdroj data'!AZ18=$AW$45,'Zdroj data'!AZ18=$AW$46,'Zdroj data'!AZ18=$AW$47,'Zdroj data'!AZ18=$AW$48))),$BZ$22," ")))))</f>
        <v>10</v>
      </c>
      <c r="AA18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8" s="264">
        <f>IF(Tabulka1[[#This Row],[kv.ek.]]=Body!$BK$35,Body!$BK$34,IF(Tabulka1[[#This Row],[kv.ek.]]=Body!$BZ$35,Body!$BZ$34," "))</f>
        <v>5</v>
      </c>
      <c r="AC18" s="264" t="str">
        <f>IF(AND('Zdroj data'!BF18="T",(OR('Zdroj data'!AZ18=Body!$AW$45,'Zdroj data'!AZ18=Body!$AW$46,'Zdroj data'!AZ18=Body!$AW$47,'Zdroj data'!AZ18=Body!$AW$48))),Body!$AY$22,IF(AND('Zdroj data'!BF18="T",(OR('Zdroj data'!AZ18=$AW$49,'Zdroj data'!AZ18=$AW$50,'Zdroj data'!AZ18=$AW$51,'Zdroj data'!AZ18=$AW$52))),$BZ$22," "))</f>
        <v xml:space="preserve"> </v>
      </c>
      <c r="AD18" s="264">
        <f>IF(AND(OR('Zdroj data'!BF18="VT",'Zdroj data'!BF18="T",'Zdroj data'!BF18="CH"),(OR('Zdroj data'!AZ18=$AW$43,'Zdroj data'!AZ18=$AW$44,))),$BZ$22," ")</f>
        <v>10</v>
      </c>
      <c r="AE18" s="264" t="str">
        <f>IF(AND('Zdroj data'!BF18="CH",(OR('Zdroj data'!AZ18=$AW$49,'Zdroj data'!AZ18=$AW$50,'Zdroj data'!AZ18=$AW$51,'Zdroj data'!AZ18=$AW$52))),$AY$22,IF(AND('Zdroj data'!BF18="CH",(OR('Zdroj data'!AZ18=$AW$45,'Zdroj data'!AZ18=$AW$46,'Zdroj data'!AZ18=$AW$47,'Zdroj data'!AZ18=$AW$48))),$BZ$22," "))</f>
        <v xml:space="preserve"> </v>
      </c>
      <c r="AF18" s="264">
        <f>IF(AND('Zdroj data'!BG18="L",'Zdroj data'!AM18=Body!$AX$15),IF(AND('Zdroj data'!O18&gt;=Body!$AY$15,'Zdroj data'!O18&lt;=Body!$BA$15),Body!AY$6,IF(AND('Zdroj data'!O18&gt;=Body!$BB$15,'Zdroj data'!O18&lt;=Body!$BD$15),Body!BB$6,IF(AND('Zdroj data'!O18&gt;=Body!$BE$15,'Zdroj data'!O18&lt;=Body!$BG$15),Body!BE$6,IF(AND('Zdroj data'!O18&gt;=Body!$BH$15,'Zdroj data'!O18&lt;=Body!$BJ$15),Body!BH$6,IF(AND('Zdroj data'!O18&gt;=Body!$BK$15,'Zdroj data'!O18&lt;=Body!$BM$15),Body!BK$6,IF(AND('Zdroj data'!O18&gt;=Body!$BN$15,'Zdroj data'!O18&lt;=Body!$BP$15),Body!$BN$6,IF(AND('Zdroj data'!O18&gt;=Body!$BQ$15,'Zdroj data'!O18&lt;=Body!$BS$15),Body!$BQ$6,IF(AND('Zdroj data'!O18&gt;=Body!$BT$15,'Zdroj data'!O18&lt;=Body!$BV$15),Body!BT$6,IF(AND('Zdroj data'!O18&gt;=Body!$BW$15,'Zdroj data'!O18&lt;=Body!$BY$15),Body!$BW$6,IF('Zdroj data'!O18&gt;=Body!$CB$15,Body!$BZ$6," ")))))))))),IF(AND('Zdroj data'!BG18="ST",'Zdroj data'!AM18=Body!$AX$16),IF(AND('Zdroj data'!O18&gt;=Body!$AY$16,'Zdroj data'!O18&lt;=Body!$BA$16),Body!$AY$6,IF(AND('Zdroj data'!O18&gt;=Body!$BB$16,'Zdroj data'!O18&lt;=Body!$BD$16),Body!$BB$6,IF(AND('Zdroj data'!O18&gt;=Body!$BE$16,'Zdroj data'!O18&lt;=Body!$BG$16),Body!$BE$6,IF(AND('Zdroj data'!O18&gt;=Body!$BH$16,'Zdroj data'!O18&lt;=Body!$BJ$16),Body!$BH$6,IF(AND('Zdroj data'!O18&gt;=Body!$BK$16,'Zdroj data'!O18&lt;=Body!$BM$16),Body!$BK$6,IF(AND('Zdroj data'!O18&gt;=Body!$BN$16,'Zdroj data'!O18&lt;=Body!$BP$16),Body!$BN$6,IF(AND('Zdroj data'!O18&gt;=Body!$BQ$16,'Zdroj data'!O18&lt;=Body!$BS$16),Body!$BQ$6,IF(AND('Zdroj data'!O18&gt;=Body!$BT$16,'Zdroj data'!O18&lt;=Body!$BV$16),Body!$BT$6,IF(AND('Zdroj data'!O18&gt;=Body!$BW$16,'Zdroj data'!O18&lt;=Body!$BY$16),Body!$BW$6,IF('Zdroj data'!O18&gt;=Body!$CB$16,Body!$BZ$6," ")))))))))),IF(AND('Zdroj data'!BG18="T",'Zdroj data'!AM18=Body!$AX$17),IF(AND('Zdroj data'!O18&gt;=Body!$AY$17,'Zdroj data'!O18&lt;=Body!$BA$17),Body!$AY$6,IF(AND('Zdroj data'!O18&gt;=Body!$BB$17,'Zdroj data'!O18&lt;=Body!$BD$17),Body!$BB$6,IF(AND('Zdroj data'!O18&gt;=Body!$BE$17,'Zdroj data'!O18&lt;=Body!$BG$17),Body!$BE$6,IF(AND('Zdroj data'!O18&gt;=Body!$BH$17,'Zdroj data'!O18&lt;=Body!BJ32),Body!$BH$6,IF(AND('Zdroj data'!O18&gt;=Body!$BK$17,'Zdroj data'!O18&lt;=Body!$BM$17),Body!$BK$6,IF(AND('Zdroj data'!O18&gt;=Body!$BN$17,'Zdroj data'!O18&lt;=Body!$BP$17),Body!$BN$6,IF(AND('Zdroj data'!O18&gt;=Body!$BQ$17,'Zdroj data'!O18&lt;=Body!$BS$17),Body!$BQ$6,IF(AND('Zdroj data'!O18&gt;=Body!$BT$17,'Zdroj data'!O18&lt;=Body!$BV$17),Body!$BT$6,IF(AND('Zdroj data'!O18&gt;=Body!$BW$17,'Zdroj data'!O18&lt;=Body!$BY$17),Body!$BW$6,IF('Zdroj data'!O18&gt;=Body!$CB$17,Body!$BZ$6," "))))))))))," ")))</f>
        <v>3</v>
      </c>
      <c r="AG18" s="264">
        <f>IF(AND('Zdroj data'!$BG18="L",'Zdroj data'!$AM18=Body!$AX$15),IF(AND(Tabulka1[[#This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data'!$BG18="ST",'Zdroj data'!$AM18=Body!$AX$16),IF(AND(Tabulka1[[#This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data'!$BG18="T",'Zdroj data'!$AM18=Body!$AX$17),IF(AND(Tabulka1[[#This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Row],[K2O_60]]&lt;=Body!BJ32),Body!$BH$6,IF(AND(Tabulka1[[#This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2</v>
      </c>
      <c r="AH18" s="264" t="str">
        <f>IF(AND('Zdroj data'!BG18="L",'Zdroj data'!AM18=Body!$AX$18),IF(AND('Zdroj data'!O18&gt;=Body!$AY$18,'Zdroj data'!O18&lt;=Body!$BA$18),Body!AY$6,IF(AND('Zdroj data'!O18&gt;=Body!$BB$18,'Zdroj data'!O18&lt;=Body!$BD$18),Body!BB$6,IF(AND('Zdroj data'!O18&gt;=Body!$BE$18,'Zdroj data'!O18&lt;=Body!$BG$18),Body!BE$6,IF(AND('Zdroj data'!O18&gt;=Body!$BH$18,'Zdroj data'!O18&lt;=Body!$BJ$18),Body!BH$6,IF(AND('Zdroj data'!O18&gt;=Body!$BK$18,'Zdroj data'!O18&lt;=Body!$BM$18),Body!$BK$6,IF(AND('Zdroj data'!O18&gt;=Body!$BN$18,'Zdroj data'!O18&lt;=Body!$BP$18),Body!BN$6,IF(AND('Zdroj data'!O18&gt;=Body!$BQ$18,'Zdroj data'!O18&lt;=Body!$BS$18),Body!$BQ$6,IF(AND('Zdroj data'!O18&gt;=Body!$BT$18,'Zdroj data'!O18&lt;=Body!$BV$18),Body!$BT$6,IF(AND('Zdroj data'!O18&gt;=Body!$BW$18,'Zdroj data'!O18&lt;=Body!$BY$18),Body!$BW$6,IF('Zdroj data'!O18&gt;=Body!$CB$18,Body!$BZ$6," ")))))))))),IF(AND('Zdroj data'!BG18="ST",'Zdroj data'!AM18=Body!$AX$19),IF(AND('Zdroj data'!O18&gt;=Body!$AY$19,'Zdroj data'!O18&lt;=Body!$BA$19),Body!$AY$6,IF(AND('Zdroj data'!O18&gt;=Body!$BB$19,'Zdroj data'!O18&lt;=Body!$BD$19),Body!$BB$6,IF(AND('Zdroj data'!O18&gt;=Body!$BE$19,'Zdroj data'!O18&lt;=Body!$BG$19),Body!$BE$6,IF(AND('Zdroj data'!O18&gt;=Body!$BH$19,'Zdroj data'!O18&lt;=Body!$BJ$19),Body!$BH$6,IF(AND('Zdroj data'!O18&gt;=Body!$BK$19,'Zdroj data'!O18&lt;=Body!$BM$19),Body!$BK$6,IF(AND('Zdroj data'!O18&gt;=Body!$BN$19,'Zdroj data'!O18&lt;=Body!$BP$19),Body!$BN$6,IF(AND('Zdroj data'!O18&gt;=Body!$BQ$19,'Zdroj data'!O18&lt;=Body!$BS$19),Body!$BQ$6,IF(AND('Zdroj data'!O18&gt;=Body!$BT$19,'Zdroj data'!O22&lt;=Body!$BV$19),Body!$BT$6,IF(AND('Zdroj data'!O18&gt;=Body!$BW$19,'Zdroj data'!O18&lt;=Body!$BY$19),Body!$BW$6,IF('Zdroj data'!O18&gt;=Body!$CB$19,Body!$BZ$6," ")))))))))),IF(AND('Zdroj data'!BG18="T",'Zdroj data'!AM18=Body!$AX$20),IF(AND('Zdroj data'!O18&gt;=Body!$AY$20,'Zdroj data'!O18&lt;=Body!$BA$20),Body!$AY$6,IF(AND('Zdroj data'!O18&gt;=Body!$BB$20,'Zdroj data'!O18&lt;=Body!$BD$20),Body!$BB$6,IF(AND('Zdroj data'!O18&gt;=Body!$BE$20,'Zdroj data'!O18&lt;=Body!$BG$20),Body!$BE$6,IF(AND('Zdroj data'!O18&gt;=Body!$BH$20,'Zdroj data'!O18&lt;=Body!$BJ$20),Body!$BH$6,IF(AND('Zdroj data'!O18&gt;=Body!$BK$20,'Zdroj data'!O18&lt;=Body!$BM$20),Body!$BK$6,IF(AND('Zdroj data'!O18&gt;=Body!$BN$20,'Zdroj data'!O18&lt;=Body!$BP$20),Body!$BN$6,IF(AND('Zdroj data'!O18&gt;=Body!$BQ$20,'Zdroj data'!O18&lt;=Body!$BS$20),Body!$BQ$6,IF(AND('Zdroj data'!O18&gt;=Body!$BT$20,'Zdroj data'!O18&lt;=Body!BV35),Body!$BT$6,IF(AND('Zdroj data'!O18&gt;=Body!$BW$20,'Zdroj data'!O18&lt;=Body!$BY$20),Body!$BW$6,IF('Zdroj data'!O18&gt;=Body!$CB$20,Body!$BZ$6," "))))))))))," ")))</f>
        <v xml:space="preserve"> </v>
      </c>
      <c r="AI18" s="264" t="str">
        <f>IF(AND('Zdroj data'!$BG18="L",'Zdroj data'!$AM18=Body!$AX$18),IF(AND(Tabulka1[[#This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data'!$BG18="ST",'Zdroj data'!$AM18=Body!$AX$19),IF(AND(Tabulka1[[#This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data'!$BG18="T",'Zdroj data'!$AM18=Body!$AX$20),IF(AND(Tabulka1[[#This Row],[K2O_60]]&gt;=Body!$AY$20,'Zdroj data'!O18&lt;=Body!$BA$20),Body!$AY$6,IF(AND(Tabulka1[[#This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Row],[K2O_60]]&lt;=Body!BV35),Body!$BT$6,IF(AND(Tabulka1[[#This Row],[K2O_60]]&gt;=Body!$BW$20,Tabulka1[[#This Row],[K2O_60]]&lt;=Body!$BY$20),Body!$BW$6,IF(Tabulka1[[#This Row],[K2O_60]]&gt;=Body!$CB$20,Body!$BZ$6," "))))))))))," ")))</f>
        <v xml:space="preserve"> </v>
      </c>
      <c r="AJ18" s="265">
        <f t="shared" si="2"/>
        <v>8.0000000000000071</v>
      </c>
      <c r="AK18" s="264">
        <f t="shared" si="3"/>
        <v>24.484640556522034</v>
      </c>
      <c r="AL18" s="264">
        <f t="shared" si="4"/>
        <v>22.192384385302429</v>
      </c>
      <c r="AM18" s="264">
        <f t="shared" si="5"/>
        <v>52.799300591082066</v>
      </c>
      <c r="AN18" s="264">
        <f t="shared" si="6"/>
        <v>44.972052676930083</v>
      </c>
      <c r="AO18" s="265">
        <f t="shared" si="0"/>
        <v>77.283941147604096</v>
      </c>
      <c r="AP18" s="265">
        <f t="shared" si="1"/>
        <v>67.164437062232508</v>
      </c>
      <c r="AQ18" s="318"/>
      <c r="AR18" s="338">
        <f t="shared" si="7"/>
        <v>152.44837820983662</v>
      </c>
      <c r="AS18" s="318"/>
      <c r="AT18" s="454"/>
      <c r="AU18" s="468"/>
      <c r="AV18" s="470"/>
      <c r="AW18" s="25" t="s">
        <v>851</v>
      </c>
      <c r="AX18" s="133" t="s">
        <v>796</v>
      </c>
      <c r="AY18" s="25">
        <v>0</v>
      </c>
      <c r="AZ18" s="43" t="s">
        <v>856</v>
      </c>
      <c r="BA18" s="44">
        <v>69.989999999999995</v>
      </c>
      <c r="BB18" s="45">
        <v>70</v>
      </c>
      <c r="BC18" s="29" t="s">
        <v>858</v>
      </c>
      <c r="BD18" s="44">
        <v>109.99</v>
      </c>
      <c r="BE18" s="45">
        <v>110</v>
      </c>
      <c r="BF18" s="46" t="s">
        <v>858</v>
      </c>
      <c r="BG18" s="44">
        <v>149.99</v>
      </c>
      <c r="BH18" s="47">
        <v>150</v>
      </c>
      <c r="BI18" s="48" t="s">
        <v>858</v>
      </c>
      <c r="BJ18" s="27">
        <v>179.99</v>
      </c>
      <c r="BK18" s="30">
        <v>180</v>
      </c>
      <c r="BL18" s="49" t="s">
        <v>858</v>
      </c>
      <c r="BM18" s="50">
        <v>209.99</v>
      </c>
      <c r="BN18" s="28">
        <v>210</v>
      </c>
      <c r="BO18" s="49" t="s">
        <v>858</v>
      </c>
      <c r="BP18" s="27">
        <v>239.99</v>
      </c>
      <c r="BQ18" s="28">
        <v>240</v>
      </c>
      <c r="BR18" s="49" t="s">
        <v>858</v>
      </c>
      <c r="BS18" s="50">
        <v>276.99</v>
      </c>
      <c r="BT18" s="28">
        <v>277</v>
      </c>
      <c r="BU18" s="49" t="s">
        <v>858</v>
      </c>
      <c r="BV18" s="27">
        <v>312.99</v>
      </c>
      <c r="BW18" s="28">
        <v>313</v>
      </c>
      <c r="BX18" s="49" t="s">
        <v>858</v>
      </c>
      <c r="BY18" s="50">
        <v>349.99</v>
      </c>
      <c r="BZ18" s="28"/>
      <c r="CA18" s="52" t="s">
        <v>857</v>
      </c>
      <c r="CB18" s="27">
        <v>350</v>
      </c>
      <c r="CC18" s="79"/>
    </row>
    <row r="19" spans="1:81" ht="15.5" x14ac:dyDescent="0.35">
      <c r="A19" s="270">
        <v>851</v>
      </c>
      <c r="B19" s="156" t="s">
        <v>526</v>
      </c>
      <c r="C19" s="250" t="str">
        <f>VLOOKUP(B19,'Zdroj hloubka okresy'!$A$2:$D$171,2,FALSE)</f>
        <v>Pribram</v>
      </c>
      <c r="D19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19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19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9" s="264">
        <f>IF(AND(Tabulka1[[#This Row],[hum_60]]&gt;AY25,Tabulka1[[#This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9" s="264">
        <f>IF(Tabulka1[[#This Row],[kv.ek.]]=Body!$AX$13,IF(AND('Zdroj data'!M19&gt;=Body!$AY$13,'Zdroj data'!M19&lt;=Body!$BA$13),Body!$AY$6,IF(AND('Zdroj data'!M19&gt;=Body!$BB$13,'Zdroj data'!M19&lt;=Body!$BD$13),Body!$BB$6,IF(AND('Zdroj data'!M19&gt;=Body!$BE$13,'Zdroj data'!M19&lt;=Body!$BG$13),Body!$BE$6,IF(AND('Zdroj data'!M19&gt;=Body!$BH$13,'Zdroj data'!M19&lt;=Body!$BJ$13),Body!$BH$6,IF(AND('Zdroj data'!M19&gt;=Body!$BK$13,'Zdroj data'!M19&lt;=Body!$BM$13),Body!$BK$6,IF(AND('Zdroj data'!M19&gt;=Body!$BN$13,'Zdroj data'!M19&lt;=Body!$BP$13),Body!$BN$6,IF(AND('Zdroj data'!M19&gt;=Body!$BQ$13,'Zdroj data'!M19&lt;=Body!$BS$13),Body!$BQ$6,IF(AND('Zdroj data'!M19&gt;=Body!$BT$13,'Zdroj data'!M19&lt;=Body!$BV$13),Body!$BT$6,IF(AND('Zdroj data'!M19&gt;=Body!$BW$13,'Zdroj data'!M19&lt;=Body!$BY$13),Body!$BW$6,IF('Zdroj data'!M19&gt;=Body!$CB$13,Body!$BZ$6,"")))))))))),IF(Tabulka1[[#This Row],[kv.ek.]]=Body!$AX$14,IF(AND('Zdroj data'!N19&gt;=Body!$AY$14,'Zdroj data'!N19&lt;=Body!$BA$14),Body!$AY$6,IF(AND('Zdroj data'!N19&gt;=Body!$BB$14,'Zdroj data'!N19&lt;=Body!$BD$14),Body!$BB$6,IF(AND('Zdroj data'!N19&gt;=Body!$BE$14,'Zdroj data'!N19&lt;=Body!$BG$14),Body!$BE$6,IF(AND('Zdroj data'!N19&gt;=Body!$BH$14,'Zdroj data'!N19&lt;=Body!$BJ$14),Body!$BH$6,IF(AND('Zdroj data'!N19&gt;=Body!$BK$14,'Zdroj data'!N19&lt;=Body!$BM$14),Body!$BK$6,IF(AND('Zdroj data'!N19&gt;=Body!$BN$14,'Zdroj data'!N19&lt;=Body!$BP$14),Body!$BN$6,IF(AND('Zdroj data'!N19&gt;=Body!$BQ$14,'Zdroj data'!N19&lt;=Body!$BS$14),Body!$BQ$6,IF(AND('Zdroj data'!N19&gt;=Body!$BT$14,'Zdroj data'!N19&lt;=Body!$BV$14),Body!$BT$6,IF(AND('Zdroj data'!N19&gt;=Body!$BW$14,'Zdroj data'!N19&lt;=Body!$BY$14),Body!$BW$6,IF('Zdroj data'!N19&gt;=Body!$CB$14,Body!$BZ$6,"")))))))))),""))</f>
        <v>1</v>
      </c>
      <c r="I19" s="264">
        <f>IF(Tabulka1[[#This Row],[kv.ek.]]=Body!$AX$13,IF(AND('Zdroj data'!N19&gt;=Body!$AY$13,'Zdroj data'!N19&lt;=Body!$BA$13),Body!$AY$6,IF(AND('Zdroj data'!N19&gt;=Body!$BB$13,'Zdroj data'!N19&lt;=Body!$BD$13),Body!$BB$6,IF(AND('Zdroj data'!N19&gt;=Body!$BE$13,'Zdroj data'!N19&lt;=Body!$BG$13),Body!$BE$6,IF(AND('Zdroj data'!N19&gt;=Body!$BH$13,'Zdroj data'!N19&lt;=Body!$BJ$13),Body!$BH$6,IF(AND('Zdroj data'!N19&gt;=Body!$BK$13,'Zdroj data'!N19&lt;=Body!$BM$13),Body!$BK$6,IF(AND('Zdroj data'!N19&gt;=Body!$BN$13,'Zdroj data'!N19&lt;=Body!$BP$13),Body!$BN$6,IF(AND('Zdroj data'!N19&gt;=Body!$BQ$13,'Zdroj data'!N19&lt;=Body!$BS$13),Body!$BQ$6,IF(AND('Zdroj data'!N19&gt;=Body!$BT$13,'Zdroj data'!N19&lt;=Body!$BV$13),Body!$BT$6,IF(AND('Zdroj data'!N19&gt;=Body!$BW$13,'Zdroj data'!N19&lt;=Body!$BY$13),Body!$BW$6,IF('Zdroj data'!N19&gt;=Body!$CB$13,Body!$BZ$6," ")))))))))),IF(Tabulka1[[#This Row],[kv.ek.]]=Body!$AX$14,IF(AND('Zdroj data'!O19&gt;=Body!$AY$14,'Zdroj data'!O19&lt;=Body!$BA$14),Body!$AY$6,IF(AND('Zdroj data'!O19&gt;=Body!$BB$14,'Zdroj data'!O19&lt;=Body!$BD$14),Body!$BB$6,IF(AND('Zdroj data'!O19&gt;=Body!$BE$14,'Zdroj data'!O19&lt;=Body!$BG$14),Body!$BE$6,IF(AND('Zdroj data'!O19&gt;=Body!$BH$14,'Zdroj data'!O19&lt;=Body!$BJ$14),Body!$BH$6,IF(AND('Zdroj data'!O19&gt;=Body!$BK$14,'Zdroj data'!O19&lt;=Body!$BM$14),Body!$BK$6,IF(AND('Zdroj data'!O19&gt;=Body!$BN$14,'Zdroj data'!O19&lt;=Body!$BP$14),Body!$BN$6,IF(AND('Zdroj data'!O19&gt;=Body!$BQ$14,'Zdroj data'!O19&lt;=Body!$BS$14),Body!$BQ$6,IF(AND('Zdroj data'!O19&gt;=Body!$BT$14,'Zdroj data'!O19&lt;=Body!$BV$14),Body!$BT$6,IF(AND('Zdroj data'!O19&gt;=Body!$BW$14,'Zdroj data'!O19&lt;=Body!$BY$14),Body!$BW$6,IF('Zdroj data'!O19&gt;=Body!$CB$14,Body!$BZ$6," "))))))))))," "))</f>
        <v>1</v>
      </c>
      <c r="J19" s="264">
        <f t="shared" si="8"/>
        <v>5</v>
      </c>
      <c r="K19" s="264">
        <f t="shared" si="9"/>
        <v>5</v>
      </c>
      <c r="L19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6</v>
      </c>
      <c r="M19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6</v>
      </c>
      <c r="N19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19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19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9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19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19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19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4</v>
      </c>
      <c r="U19" s="264">
        <f>IF('Zdroj data'!BB19=Body!$AY$25,Body!$AY$22,IF('Zdroj data'!BB19=Body!$BB$25,Body!$BB$22,IF('Zdroj data'!BB19=Body!$BE$25,Body!$BE$22,IF('Zdroj data'!BB19=Body!$BH$25,Body!$BH$22,IF('Zdroj data'!BB19=Body!BK$25,Body!$BK$22,IF('Zdroj data'!BB19=Body!$BN$25,Body!$BN$22,IF('Zdroj data'!BB19=Body!$BQ$25,Body!$BQ$22,IF('Zdroj data'!BB19=Body!$BT$25,Body!$BT$22,IF('Zdroj data'!BB19=Body!$BW$25,Body!$BW$22,IF('Zdroj data'!BB19=Body!$BZ$25,Body!$BZ$22," "))))))))))</f>
        <v>6</v>
      </c>
      <c r="V19" s="264">
        <f>IF(AND('Zdroj data'!BO19&gt;Body!$AY$27,'Zdroj data'!BO19&lt;=Body!$BA$27),Body!$AY$22,IF(AND('Zdroj data'!BO19&gt;=Body!$BB$27,'Zdroj data'!BO19&lt;=Body!$BD$27),Body!$BB$22,IF(AND('Zdroj data'!BO19&gt;=Body!$BE$27,'Zdroj data'!BO19&lt;=Body!$BG$27),Body!$BE$22,IF(AND('Zdroj data'!BO19&gt;=Body!$BH$27,'Zdroj data'!BO19&lt;=Body!$BJ$27),Body!$BH$22,IF(AND('Zdroj data'!BO19&gt;=Body!$BK$27,'Zdroj data'!BO19&lt;=Body!$BM$27),Body!$BK$22,IF(AND('Zdroj data'!BO19&gt;=Body!$BN$27,'Zdroj data'!BO19&lt;=Body!$BP$27),Body!$BN$22,IF(AND('Zdroj data'!BO19&gt;=Body!$BQ$27,'Zdroj data'!BO19&lt;=Body!$BS$27),Body!$BQ$22,IF(AND('Zdroj data'!BO19&gt;=Body!$BT$27,'Zdroj data'!BO19&lt;=Body!$BV$27),Body!$BT$22,IF(AND('Zdroj data'!BO19&gt;=Body!$BW$27,'Zdroj data'!BO19&lt;=Body!$BY$27),Body!$BW$22,IF('Zdroj data'!BO19&gt;=Body!$CB$27,$BZ$22," "))))))))))</f>
        <v>5</v>
      </c>
      <c r="W19" s="264">
        <f>IF(AND('Zdroj data'!BP19&gt;Body!$AY$27,'Zdroj data'!BP19&lt;=Body!$BA$27),Body!$AY$22,IF(AND('Zdroj data'!BP19&gt;=Body!$BB$27,'Zdroj data'!BP19&lt;=Body!$BD$27),Body!$BB$22,IF(AND('Zdroj data'!BP19&gt;=Body!$BE$27,'Zdroj data'!BP19&lt;=Body!$BG$27),Body!$BE$22,IF(AND('Zdroj data'!BP19&gt;=Body!$BH$27,'Zdroj data'!BP19&lt;=Body!$BJ$27),Body!$BH$22,IF(AND('Zdroj data'!BP19&gt;=Body!$BK$27,'Zdroj data'!BP19&lt;=Body!$BM$27),Body!$BK$22,IF(AND('Zdroj data'!BP19&gt;=Body!$BN$27,'Zdroj data'!BP19&lt;=Body!$BP$27),Body!$BN$22,IF(AND('Zdroj data'!BP19&gt;=Body!$BQ$27,'Zdroj data'!BP19&lt;=Body!$BS$27),Body!$BQ$22,IF(AND('Zdroj data'!BP19&gt;=Body!$BT$27,'Zdroj data'!BP19&lt;=Body!$BV$27),Body!$BT$22,IF(AND('Zdroj data'!BP19&gt;=Body!$BW$27,'Zdroj data'!BP19&lt;=Body!$BY$27),Body!$BW$22,IF('Zdroj data'!BP19&gt;=Body!$CB$27,$BZ$22," "))))))))))</f>
        <v>6</v>
      </c>
      <c r="X19" s="264">
        <f>IF('Zdroj data'!BA19=Body!$BB$28,$BB$22,IF('Zdroj data'!BA19=Body!$BE$28,$BE$22,IF(OR('Zdroj data'!BA19=Body!$BK$28,'Zdroj data'!BA19=Body!$BL$28,'Zdroj data'!BA19=Body!$BM$28),$BK$22,IF(OR('Zdroj data'!BA19=Body!$BT$28,'Zdroj data'!BA19=Body!$BV$28),$BT$22,IF(OR('Zdroj data'!BA19=Body!$BW$28,'Zdroj data'!BA19=Body!$BY$28),$BW$22,IF('Zdroj data'!BA19=Body!$BZ$28,$BZ$22," "))))))</f>
        <v>9</v>
      </c>
      <c r="Y19" s="264">
        <f>IF('Zdroj data'!AZ19=Body!$BZ$29,Body!$BZ$22,IF(OR('Zdroj data'!AZ19=$BT$29,'Zdroj data'!AZ19=$BU$29,'Zdroj data'!AZ19=$BV$29),$BT$22,IF(OR('Zdroj data'!AZ19=$BK$29,'Zdroj data'!AZ19=$BM$29),$BK$22,IF(OR('Zdroj data'!AZ19=$BE$29,'Zdroj data'!AZ19=$BG$29),$BE$22,IF(OR('Zdroj data'!AZ19=$AY$29,'Zdroj data'!AZ19=$BA$29),$AY$22," ")))))</f>
        <v>10</v>
      </c>
      <c r="Z19" s="264">
        <f>IF(AND('Zdroj data'!BF19="T",(OR('Zdroj data'!AZ19=Body!$AW$45,'Zdroj data'!AZ19=Body!$AW$46,'Zdroj data'!AZ19=Body!$AW$47,'Zdroj data'!AZ19=Body!$AW$48))),Body!$AY$22,IF(AND('Zdroj data'!BF19="T",(OR('Zdroj data'!AZ19=$AW$49,'Zdroj data'!AZ19=$AW$50,'Zdroj data'!AZ19=$AW$51,'Zdroj data'!AZ19=$AW$52))),$BZ$22,IF(AND(OR('Zdroj data'!BF19="VT",'Zdroj data'!BF19="T",'Zdroj data'!BF19="CH"),(OR('Zdroj data'!AZ19=$AW$43,'Zdroj data'!AZ19=$AW$44,))),$BZ$22,IF(AND('Zdroj data'!BF19="CH",(OR('Zdroj data'!AZ19=$AW$49,'Zdroj data'!AZ19=$AW$50,'Zdroj data'!AZ19=$AW$51,'Zdroj data'!AZ19=$AW$52))),$AY$22,IF(AND('Zdroj data'!BF19="CH",(OR('Zdroj data'!AZ19=$AW$45,'Zdroj data'!AZ19=$AW$46,'Zdroj data'!AZ19=$AW$47,'Zdroj data'!AZ19=$AW$48))),$BZ$22," ")))))</f>
        <v>10</v>
      </c>
      <c r="AA19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9" s="264">
        <f>IF(Tabulka1[[#This Row],[kv.ek.]]=Body!$BK$35,Body!$BK$34,IF(Tabulka1[[#This Row],[kv.ek.]]=Body!$BZ$35,Body!$BZ$34," "))</f>
        <v>5</v>
      </c>
      <c r="AC19" s="264" t="str">
        <f>IF(AND('Zdroj data'!BF19="T",(OR('Zdroj data'!AZ19=Body!$AW$45,'Zdroj data'!AZ19=Body!$AW$46,'Zdroj data'!AZ19=Body!$AW$47,'Zdroj data'!AZ19=Body!$AW$48))),Body!$AY$22,IF(AND('Zdroj data'!BF19="T",(OR('Zdroj data'!AZ19=$AW$49,'Zdroj data'!AZ19=$AW$50,'Zdroj data'!AZ19=$AW$51,'Zdroj data'!AZ19=$AW$52))),$BZ$22," "))</f>
        <v xml:space="preserve"> </v>
      </c>
      <c r="AD19" s="264">
        <f>IF(AND(OR('Zdroj data'!BF19="VT",'Zdroj data'!BF19="T",'Zdroj data'!BF19="CH"),(OR('Zdroj data'!AZ19=$AW$43,'Zdroj data'!AZ19=$AW$44,))),$BZ$22," ")</f>
        <v>10</v>
      </c>
      <c r="AE19" s="264" t="str">
        <f>IF(AND('Zdroj data'!BF19="CH",(OR('Zdroj data'!AZ19=$AW$49,'Zdroj data'!AZ19=$AW$50,'Zdroj data'!AZ19=$AW$51,'Zdroj data'!AZ19=$AW$52))),$AY$22,IF(AND('Zdroj data'!BF19="CH",(OR('Zdroj data'!AZ19=$AW$45,'Zdroj data'!AZ19=$AW$46,'Zdroj data'!AZ19=$AW$47,'Zdroj data'!AZ19=$AW$48))),$BZ$22," "))</f>
        <v xml:space="preserve"> </v>
      </c>
      <c r="AF19" s="264">
        <f>IF(AND('Zdroj data'!BG19="L",'Zdroj data'!AM19=Body!$AX$15),IF(AND('Zdroj data'!O19&gt;=Body!$AY$15,'Zdroj data'!O19&lt;=Body!$BA$15),Body!AY$6,IF(AND('Zdroj data'!O19&gt;=Body!$BB$15,'Zdroj data'!O19&lt;=Body!$BD$15),Body!BB$6,IF(AND('Zdroj data'!O19&gt;=Body!$BE$15,'Zdroj data'!O19&lt;=Body!$BG$15),Body!BE$6,IF(AND('Zdroj data'!O19&gt;=Body!$BH$15,'Zdroj data'!O19&lt;=Body!$BJ$15),Body!BH$6,IF(AND('Zdroj data'!O19&gt;=Body!$BK$15,'Zdroj data'!O19&lt;=Body!$BM$15),Body!BK$6,IF(AND('Zdroj data'!O19&gt;=Body!$BN$15,'Zdroj data'!O19&lt;=Body!$BP$15),Body!$BN$6,IF(AND('Zdroj data'!O19&gt;=Body!$BQ$15,'Zdroj data'!O19&lt;=Body!$BS$15),Body!$BQ$6,IF(AND('Zdroj data'!O19&gt;=Body!$BT$15,'Zdroj data'!O19&lt;=Body!$BV$15),Body!BT$6,IF(AND('Zdroj data'!O19&gt;=Body!$BW$15,'Zdroj data'!O19&lt;=Body!$BY$15),Body!$BW$6,IF('Zdroj data'!O19&gt;=Body!$CB$15,Body!$BZ$6," ")))))))))),IF(AND('Zdroj data'!BG19="ST",'Zdroj data'!AM19=Body!$AX$16),IF(AND('Zdroj data'!O19&gt;=Body!$AY$16,'Zdroj data'!O19&lt;=Body!$BA$16),Body!$AY$6,IF(AND('Zdroj data'!O19&gt;=Body!$BB$16,'Zdroj data'!O19&lt;=Body!$BD$16),Body!$BB$6,IF(AND('Zdroj data'!O19&gt;=Body!$BE$16,'Zdroj data'!O19&lt;=Body!$BG$16),Body!$BE$6,IF(AND('Zdroj data'!O19&gt;=Body!$BH$16,'Zdroj data'!O19&lt;=Body!$BJ$16),Body!$BH$6,IF(AND('Zdroj data'!O19&gt;=Body!$BK$16,'Zdroj data'!O19&lt;=Body!$BM$16),Body!$BK$6,IF(AND('Zdroj data'!O19&gt;=Body!$BN$16,'Zdroj data'!O19&lt;=Body!$BP$16),Body!$BN$6,IF(AND('Zdroj data'!O19&gt;=Body!$BQ$16,'Zdroj data'!O19&lt;=Body!$BS$16),Body!$BQ$6,IF(AND('Zdroj data'!O19&gt;=Body!$BT$16,'Zdroj data'!O19&lt;=Body!$BV$16),Body!$BT$6,IF(AND('Zdroj data'!O19&gt;=Body!$BW$16,'Zdroj data'!O19&lt;=Body!$BY$16),Body!$BW$6,IF('Zdroj data'!O19&gt;=Body!$CB$16,Body!$BZ$6," ")))))))))),IF(AND('Zdroj data'!BG19="T",'Zdroj data'!AM19=Body!$AX$17),IF(AND('Zdroj data'!O19&gt;=Body!$AY$17,'Zdroj data'!O19&lt;=Body!$BA$17),Body!$AY$6,IF(AND('Zdroj data'!O19&gt;=Body!$BB$17,'Zdroj data'!O19&lt;=Body!$BD$17),Body!$BB$6,IF(AND('Zdroj data'!O19&gt;=Body!$BE$17,'Zdroj data'!O19&lt;=Body!$BG$17),Body!$BE$6,IF(AND('Zdroj data'!O19&gt;=Body!$BH$17,'Zdroj data'!O19&lt;=Body!BJ33),Body!$BH$6,IF(AND('Zdroj data'!O19&gt;=Body!$BK$17,'Zdroj data'!O19&lt;=Body!$BM$17),Body!$BK$6,IF(AND('Zdroj data'!O19&gt;=Body!$BN$17,'Zdroj data'!O19&lt;=Body!$BP$17),Body!$BN$6,IF(AND('Zdroj data'!O19&gt;=Body!$BQ$17,'Zdroj data'!O19&lt;=Body!$BS$17),Body!$BQ$6,IF(AND('Zdroj data'!O19&gt;=Body!$BT$17,'Zdroj data'!O19&lt;=Body!$BV$17),Body!$BT$6,IF(AND('Zdroj data'!O19&gt;=Body!$BW$17,'Zdroj data'!O19&lt;=Body!$BY$17),Body!$BW$6,IF('Zdroj data'!O19&gt;=Body!$CB$17,Body!$BZ$6," "))))))))))," ")))</f>
        <v>5</v>
      </c>
      <c r="AG19" s="264">
        <f>IF(AND('Zdroj data'!$BG19="L",'Zdroj data'!$AM19=Body!$AX$15),IF(AND(Tabulka1[[#This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data'!$BG19="ST",'Zdroj data'!$AM19=Body!$AX$16),IF(AND(Tabulka1[[#This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data'!$BG19="T",'Zdroj data'!$AM19=Body!$AX$17),IF(AND(Tabulka1[[#This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Row],[K2O_60]]&lt;=Body!BJ33),Body!$BH$6,IF(AND(Tabulka1[[#This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5</v>
      </c>
      <c r="AH19" s="264" t="str">
        <f>IF(AND('Zdroj data'!BG19="L",'Zdroj data'!AM19=Body!$AX$18),IF(AND('Zdroj data'!O19&gt;=Body!$AY$18,'Zdroj data'!O19&lt;=Body!$BA$18),Body!AY$6,IF(AND('Zdroj data'!O19&gt;=Body!$BB$18,'Zdroj data'!O19&lt;=Body!$BD$18),Body!BB$6,IF(AND('Zdroj data'!O19&gt;=Body!$BE$18,'Zdroj data'!O19&lt;=Body!$BG$18),Body!BE$6,IF(AND('Zdroj data'!O19&gt;=Body!$BH$18,'Zdroj data'!O19&lt;=Body!$BJ$18),Body!BH$6,IF(AND('Zdroj data'!O19&gt;=Body!$BK$18,'Zdroj data'!O19&lt;=Body!$BM$18),Body!$BK$6,IF(AND('Zdroj data'!O19&gt;=Body!$BN$18,'Zdroj data'!O19&lt;=Body!$BP$18),Body!BN$6,IF(AND('Zdroj data'!O19&gt;=Body!$BQ$18,'Zdroj data'!O19&lt;=Body!$BS$18),Body!$BQ$6,IF(AND('Zdroj data'!O19&gt;=Body!$BT$18,'Zdroj data'!O19&lt;=Body!$BV$18),Body!$BT$6,IF(AND('Zdroj data'!O19&gt;=Body!$BW$18,'Zdroj data'!O19&lt;=Body!$BY$18),Body!$BW$6,IF('Zdroj data'!O19&gt;=Body!$CB$18,Body!$BZ$6," ")))))))))),IF(AND('Zdroj data'!BG19="ST",'Zdroj data'!AM19=Body!$AX$19),IF(AND('Zdroj data'!O19&gt;=Body!$AY$19,'Zdroj data'!O19&lt;=Body!$BA$19),Body!$AY$6,IF(AND('Zdroj data'!O19&gt;=Body!$BB$19,'Zdroj data'!O19&lt;=Body!$BD$19),Body!$BB$6,IF(AND('Zdroj data'!O19&gt;=Body!$BE$19,'Zdroj data'!O19&lt;=Body!$BG$19),Body!$BE$6,IF(AND('Zdroj data'!O19&gt;=Body!$BH$19,'Zdroj data'!O19&lt;=Body!$BJ$19),Body!$BH$6,IF(AND('Zdroj data'!O19&gt;=Body!$BK$19,'Zdroj data'!O19&lt;=Body!$BM$19),Body!$BK$6,IF(AND('Zdroj data'!O19&gt;=Body!$BN$19,'Zdroj data'!O19&lt;=Body!$BP$19),Body!$BN$6,IF(AND('Zdroj data'!O19&gt;=Body!$BQ$19,'Zdroj data'!O19&lt;=Body!$BS$19),Body!$BQ$6,IF(AND('Zdroj data'!O19&gt;=Body!$BT$19,'Zdroj data'!O23&lt;=Body!$BV$19),Body!$BT$6,IF(AND('Zdroj data'!O19&gt;=Body!$BW$19,'Zdroj data'!O19&lt;=Body!$BY$19),Body!$BW$6,IF('Zdroj data'!O19&gt;=Body!$CB$19,Body!$BZ$6," ")))))))))),IF(AND('Zdroj data'!BG19="T",'Zdroj data'!AM19=Body!$AX$20),IF(AND('Zdroj data'!O19&gt;=Body!$AY$20,'Zdroj data'!O19&lt;=Body!$BA$20),Body!$AY$6,IF(AND('Zdroj data'!O19&gt;=Body!$BB$20,'Zdroj data'!O19&lt;=Body!$BD$20),Body!$BB$6,IF(AND('Zdroj data'!O19&gt;=Body!$BE$20,'Zdroj data'!O19&lt;=Body!$BG$20),Body!$BE$6,IF(AND('Zdroj data'!O19&gt;=Body!$BH$20,'Zdroj data'!O19&lt;=Body!$BJ$20),Body!$BH$6,IF(AND('Zdroj data'!O19&gt;=Body!$BK$20,'Zdroj data'!O19&lt;=Body!$BM$20),Body!$BK$6,IF(AND('Zdroj data'!O19&gt;=Body!$BN$20,'Zdroj data'!O19&lt;=Body!$BP$20),Body!$BN$6,IF(AND('Zdroj data'!O19&gt;=Body!$BQ$20,'Zdroj data'!O19&lt;=Body!$BS$20),Body!$BQ$6,IF(AND('Zdroj data'!O19&gt;=Body!$BT$20,'Zdroj data'!O19&lt;=Body!BV36),Body!$BT$6,IF(AND('Zdroj data'!O19&gt;=Body!$BW$20,'Zdroj data'!O19&lt;=Body!$BY$20),Body!$BW$6,IF('Zdroj data'!O19&gt;=Body!$CB$20,Body!$BZ$6," "))))))))))," ")))</f>
        <v xml:space="preserve"> </v>
      </c>
      <c r="AI19" s="264" t="str">
        <f>IF(AND('Zdroj data'!$BG19="L",'Zdroj data'!$AM19=Body!$AX$18),IF(AND(Tabulka1[[#This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data'!$BG19="ST",'Zdroj data'!$AM19=Body!$AX$19),IF(AND(Tabulka1[[#This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data'!$BG19="T",'Zdroj data'!$AM19=Body!$AX$20),IF(AND(Tabulka1[[#This Row],[K2O_60]]&gt;=Body!$AY$20,'Zdroj data'!O19&lt;=Body!$BA$20),Body!$AY$6,IF(AND(Tabulka1[[#This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Row],[K2O_60]]&lt;=Body!BV36),Body!$BT$6,IF(AND(Tabulka1[[#This Row],[K2O_60]]&gt;=Body!$BW$20,Tabulka1[[#This Row],[K2O_60]]&lt;=Body!$BY$20),Body!$BW$6,IF(Tabulka1[[#This Row],[K2O_60]]&gt;=Body!$CB$20,Body!$BZ$6," "))))))))))," ")))</f>
        <v xml:space="preserve"> </v>
      </c>
      <c r="AJ19" s="265">
        <f t="shared" si="2"/>
        <v>8.0000000000000071</v>
      </c>
      <c r="AK19" s="264">
        <f t="shared" si="3"/>
        <v>26.720568695311535</v>
      </c>
      <c r="AL19" s="264">
        <f t="shared" si="4"/>
        <v>26.720568695311535</v>
      </c>
      <c r="AM19" s="264">
        <f t="shared" si="5"/>
        <v>62.668620959056241</v>
      </c>
      <c r="AN19" s="264">
        <f t="shared" si="6"/>
        <v>52.472342295030252</v>
      </c>
      <c r="AO19" s="265">
        <f t="shared" si="0"/>
        <v>89.389189654367783</v>
      </c>
      <c r="AP19" s="265">
        <f t="shared" si="1"/>
        <v>79.192910990341787</v>
      </c>
      <c r="AQ19" s="318"/>
      <c r="AR19" s="338">
        <f t="shared" si="7"/>
        <v>176.58210064470956</v>
      </c>
      <c r="AS19" s="318"/>
      <c r="AT19" s="454"/>
      <c r="AU19" s="468"/>
      <c r="AV19" s="470"/>
      <c r="AW19" s="25" t="s">
        <v>852</v>
      </c>
      <c r="AX19" s="133" t="s">
        <v>796</v>
      </c>
      <c r="AY19" s="25">
        <v>0</v>
      </c>
      <c r="AZ19" s="43" t="s">
        <v>856</v>
      </c>
      <c r="BA19" s="44">
        <v>79.989999999999995</v>
      </c>
      <c r="BB19" s="45">
        <v>80</v>
      </c>
      <c r="BC19" s="29" t="s">
        <v>858</v>
      </c>
      <c r="BD19" s="44">
        <v>119.99</v>
      </c>
      <c r="BE19" s="45">
        <v>120</v>
      </c>
      <c r="BF19" s="46" t="s">
        <v>858</v>
      </c>
      <c r="BG19" s="44">
        <v>159.99</v>
      </c>
      <c r="BH19" s="47">
        <v>160</v>
      </c>
      <c r="BI19" s="48" t="s">
        <v>858</v>
      </c>
      <c r="BJ19" s="27">
        <v>189.99</v>
      </c>
      <c r="BK19" s="30">
        <v>190</v>
      </c>
      <c r="BL19" s="49" t="s">
        <v>858</v>
      </c>
      <c r="BM19" s="50">
        <v>219.99</v>
      </c>
      <c r="BN19" s="28">
        <v>220</v>
      </c>
      <c r="BO19" s="49" t="s">
        <v>858</v>
      </c>
      <c r="BP19" s="27">
        <v>249.99</v>
      </c>
      <c r="BQ19" s="28">
        <v>250</v>
      </c>
      <c r="BR19" s="49" t="s">
        <v>858</v>
      </c>
      <c r="BS19" s="50">
        <v>299.99</v>
      </c>
      <c r="BT19" s="28">
        <v>300</v>
      </c>
      <c r="BU19" s="49" t="s">
        <v>858</v>
      </c>
      <c r="BV19" s="27">
        <v>349.99</v>
      </c>
      <c r="BW19" s="28">
        <v>350</v>
      </c>
      <c r="BX19" s="49" t="s">
        <v>858</v>
      </c>
      <c r="BY19" s="50">
        <v>399.99</v>
      </c>
      <c r="BZ19" s="28"/>
      <c r="CA19" s="52" t="s">
        <v>857</v>
      </c>
      <c r="CB19" s="27">
        <v>400</v>
      </c>
      <c r="CC19" s="79"/>
    </row>
    <row r="20" spans="1:81" ht="15.5" x14ac:dyDescent="0.35">
      <c r="A20" s="270">
        <v>854</v>
      </c>
      <c r="B20" s="156" t="s">
        <v>562</v>
      </c>
      <c r="C20" s="250" t="str">
        <f>VLOOKUP(B20,'Zdroj hloubka okresy'!$A$2:$D$171,2,FALSE)</f>
        <v>Pribram</v>
      </c>
      <c r="D20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20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20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20" s="264">
        <f>IF(AND(Tabulka1[[#This Row],[hum_60]]&gt;AY26,Tabulka1[[#This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20" s="264">
        <f>IF(Tabulka1[[#This Row],[kv.ek.]]=Body!$AX$13,IF(AND('Zdroj data'!M20&gt;=Body!$AY$13,'Zdroj data'!M20&lt;=Body!$BA$13),Body!$AY$6,IF(AND('Zdroj data'!M20&gt;=Body!$BB$13,'Zdroj data'!M20&lt;=Body!$BD$13),Body!$BB$6,IF(AND('Zdroj data'!M20&gt;=Body!$BE$13,'Zdroj data'!M20&lt;=Body!$BG$13),Body!$BE$6,IF(AND('Zdroj data'!M20&gt;=Body!$BH$13,'Zdroj data'!M20&lt;=Body!$BJ$13),Body!$BH$6,IF(AND('Zdroj data'!M20&gt;=Body!$BK$13,'Zdroj data'!M20&lt;=Body!$BM$13),Body!$BK$6,IF(AND('Zdroj data'!M20&gt;=Body!$BN$13,'Zdroj data'!M20&lt;=Body!$BP$13),Body!$BN$6,IF(AND('Zdroj data'!M20&gt;=Body!$BQ$13,'Zdroj data'!M20&lt;=Body!$BS$13),Body!$BQ$6,IF(AND('Zdroj data'!M20&gt;=Body!$BT$13,'Zdroj data'!M20&lt;=Body!$BV$13),Body!$BT$6,IF(AND('Zdroj data'!M20&gt;=Body!$BW$13,'Zdroj data'!M20&lt;=Body!$BY$13),Body!$BW$6,IF('Zdroj data'!M20&gt;=Body!$CB$13,Body!$BZ$6,"")))))))))),IF(Tabulka1[[#This Row],[kv.ek.]]=Body!$AX$14,IF(AND('Zdroj data'!N20&gt;=Body!$AY$14,'Zdroj data'!N20&lt;=Body!$BA$14),Body!$AY$6,IF(AND('Zdroj data'!N20&gt;=Body!$BB$14,'Zdroj data'!N20&lt;=Body!$BD$14),Body!$BB$6,IF(AND('Zdroj data'!N20&gt;=Body!$BE$14,'Zdroj data'!N20&lt;=Body!$BG$14),Body!$BE$6,IF(AND('Zdroj data'!N20&gt;=Body!$BH$14,'Zdroj data'!N20&lt;=Body!$BJ$14),Body!$BH$6,IF(AND('Zdroj data'!N20&gt;=Body!$BK$14,'Zdroj data'!N20&lt;=Body!$BM$14),Body!$BK$6,IF(AND('Zdroj data'!N20&gt;=Body!$BN$14,'Zdroj data'!N20&lt;=Body!$BP$14),Body!$BN$6,IF(AND('Zdroj data'!N20&gt;=Body!$BQ$14,'Zdroj data'!N20&lt;=Body!$BS$14),Body!$BQ$6,IF(AND('Zdroj data'!N20&gt;=Body!$BT$14,'Zdroj data'!N20&lt;=Body!$BV$14),Body!$BT$6,IF(AND('Zdroj data'!N20&gt;=Body!$BW$14,'Zdroj data'!N20&lt;=Body!$BY$14),Body!$BW$6,IF('Zdroj data'!N20&gt;=Body!$CB$14,Body!$BZ$6,"")))))))))),""))</f>
        <v>10</v>
      </c>
      <c r="I20" s="264">
        <f>IF(Tabulka1[[#This Row],[kv.ek.]]=Body!$AX$13,IF(AND('Zdroj data'!N20&gt;=Body!$AY$13,'Zdroj data'!N20&lt;=Body!$BA$13),Body!$AY$6,IF(AND('Zdroj data'!N20&gt;=Body!$BB$13,'Zdroj data'!N20&lt;=Body!$BD$13),Body!$BB$6,IF(AND('Zdroj data'!N20&gt;=Body!$BE$13,'Zdroj data'!N20&lt;=Body!$BG$13),Body!$BE$6,IF(AND('Zdroj data'!N20&gt;=Body!$BH$13,'Zdroj data'!N20&lt;=Body!$BJ$13),Body!$BH$6,IF(AND('Zdroj data'!N20&gt;=Body!$BK$13,'Zdroj data'!N20&lt;=Body!$BM$13),Body!$BK$6,IF(AND('Zdroj data'!N20&gt;=Body!$BN$13,'Zdroj data'!N20&lt;=Body!$BP$13),Body!$BN$6,IF(AND('Zdroj data'!N20&gt;=Body!$BQ$13,'Zdroj data'!N20&lt;=Body!$BS$13),Body!$BQ$6,IF(AND('Zdroj data'!N20&gt;=Body!$BT$13,'Zdroj data'!N20&lt;=Body!$BV$13),Body!$BT$6,IF(AND('Zdroj data'!N20&gt;=Body!$BW$13,'Zdroj data'!N20&lt;=Body!$BY$13),Body!$BW$6,IF('Zdroj data'!N20&gt;=Body!$CB$13,Body!$BZ$6," ")))))))))),IF(Tabulka1[[#This Row],[kv.ek.]]=Body!$AX$14,IF(AND('Zdroj data'!O20&gt;=Body!$AY$14,'Zdroj data'!O20&lt;=Body!$BA$14),Body!$AY$6,IF(AND('Zdroj data'!O20&gt;=Body!$BB$14,'Zdroj data'!O20&lt;=Body!$BD$14),Body!$BB$6,IF(AND('Zdroj data'!O20&gt;=Body!$BE$14,'Zdroj data'!O20&lt;=Body!$BG$14),Body!$BE$6,IF(AND('Zdroj data'!O20&gt;=Body!$BH$14,'Zdroj data'!O20&lt;=Body!$BJ$14),Body!$BH$6,IF(AND('Zdroj data'!O20&gt;=Body!$BK$14,'Zdroj data'!O20&lt;=Body!$BM$14),Body!$BK$6,IF(AND('Zdroj data'!O20&gt;=Body!$BN$14,'Zdroj data'!O20&lt;=Body!$BP$14),Body!$BN$6,IF(AND('Zdroj data'!O20&gt;=Body!$BQ$14,'Zdroj data'!O20&lt;=Body!$BS$14),Body!$BQ$6,IF(AND('Zdroj data'!O20&gt;=Body!$BT$14,'Zdroj data'!O20&lt;=Body!$BV$14),Body!$BT$6,IF(AND('Zdroj data'!O20&gt;=Body!$BW$14,'Zdroj data'!O20&lt;=Body!$BY$14),Body!$BW$6,IF('Zdroj data'!O20&gt;=Body!$CB$14,Body!$BZ$6," "))))))))))," "))</f>
        <v>8</v>
      </c>
      <c r="J20" s="264">
        <f>IF(AF20=" ",AH20,AF20)</f>
        <v>3</v>
      </c>
      <c r="K20" s="264">
        <f t="shared" si="9"/>
        <v>2</v>
      </c>
      <c r="L20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20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20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20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20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20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20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20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20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20" s="264">
        <f>IF('Zdroj data'!BB20=Body!$AY$25,Body!$AY$22,IF('Zdroj data'!BB20=Body!$BB$25,Body!$BB$22,IF('Zdroj data'!BB20=Body!$BE$25,Body!$BE$22,IF('Zdroj data'!BB20=Body!$BH$25,Body!$BH$22,IF('Zdroj data'!BB20=Body!BK$25,Body!$BK$22,IF('Zdroj data'!BB20=Body!$BN$25,Body!$BN$22,IF('Zdroj data'!BB20=Body!$BQ$25,Body!$BQ$22,IF('Zdroj data'!BB20=Body!$BT$25,Body!$BT$22,IF('Zdroj data'!BB20=Body!$BW$25,Body!$BW$22,IF('Zdroj data'!BB20=Body!$BZ$25,Body!$BZ$22," "))))))))))</f>
        <v>5</v>
      </c>
      <c r="V20" s="264">
        <f>IF(AND('Zdroj data'!BO20&gt;Body!$AY$27,'Zdroj data'!BO20&lt;=Body!$BA$27),Body!$AY$22,IF(AND('Zdroj data'!BO20&gt;=Body!$BB$27,'Zdroj data'!BO20&lt;=Body!$BD$27),Body!$BB$22,IF(AND('Zdroj data'!BO20&gt;=Body!$BE$27,'Zdroj data'!BO20&lt;=Body!$BG$27),Body!$BE$22,IF(AND('Zdroj data'!BO20&gt;=Body!$BH$27,'Zdroj data'!BO20&lt;=Body!$BJ$27),Body!$BH$22,IF(AND('Zdroj data'!BO20&gt;=Body!$BK$27,'Zdroj data'!BO20&lt;=Body!$BM$27),Body!$BK$22,IF(AND('Zdroj data'!BO20&gt;=Body!$BN$27,'Zdroj data'!BO20&lt;=Body!$BP$27),Body!$BN$22,IF(AND('Zdroj data'!BO20&gt;=Body!$BQ$27,'Zdroj data'!BO20&lt;=Body!$BS$27),Body!$BQ$22,IF(AND('Zdroj data'!BO20&gt;=Body!$BT$27,'Zdroj data'!BO20&lt;=Body!$BV$27),Body!$BT$22,IF(AND('Zdroj data'!BO20&gt;=Body!$BW$27,'Zdroj data'!BO20&lt;=Body!$BY$27),Body!$BW$22,IF('Zdroj data'!BO20&gt;=Body!$CB$27,$BZ$22," "))))))))))</f>
        <v>5</v>
      </c>
      <c r="W20" s="264">
        <f>IF(AND('Zdroj data'!BP20&gt;Body!$AY$27,'Zdroj data'!BP20&lt;=Body!$BA$27),Body!$AY$22,IF(AND('Zdroj data'!BP20&gt;=Body!$BB$27,'Zdroj data'!BP20&lt;=Body!$BD$27),Body!$BB$22,IF(AND('Zdroj data'!BP20&gt;=Body!$BE$27,'Zdroj data'!BP20&lt;=Body!$BG$27),Body!$BE$22,IF(AND('Zdroj data'!BP20&gt;=Body!$BH$27,'Zdroj data'!BP20&lt;=Body!$BJ$27),Body!$BH$22,IF(AND('Zdroj data'!BP20&gt;=Body!$BK$27,'Zdroj data'!BP20&lt;=Body!$BM$27),Body!$BK$22,IF(AND('Zdroj data'!BP20&gt;=Body!$BN$27,'Zdroj data'!BP20&lt;=Body!$BP$27),Body!$BN$22,IF(AND('Zdroj data'!BP20&gt;=Body!$BQ$27,'Zdroj data'!BP20&lt;=Body!$BS$27),Body!$BQ$22,IF(AND('Zdroj data'!BP20&gt;=Body!$BT$27,'Zdroj data'!BP20&lt;=Body!$BV$27),Body!$BT$22,IF(AND('Zdroj data'!BP20&gt;=Body!$BW$27,'Zdroj data'!BP20&lt;=Body!$BY$27),Body!$BW$22,IF('Zdroj data'!BP20&gt;=Body!$CB$27,$BZ$22," "))))))))))</f>
        <v>5</v>
      </c>
      <c r="X20" s="264">
        <f>IF('Zdroj data'!BA20=Body!$BB$28,$BB$22,IF('Zdroj data'!BA20=Body!$BE$28,$BE$22,IF(OR('Zdroj data'!BA20=Body!$BK$28,'Zdroj data'!BA20=Body!$BL$28,'Zdroj data'!BA20=Body!$BM$28),$BK$22,IF(OR('Zdroj data'!BA20=Body!$BT$28,'Zdroj data'!BA20=Body!$BV$28),$BT$22,IF(OR('Zdroj data'!BA20=Body!$BW$28,'Zdroj data'!BA20=Body!$BY$28),$BW$22,IF('Zdroj data'!BA20=Body!$BZ$28,$BZ$22," "))))))</f>
        <v>9</v>
      </c>
      <c r="Y20" s="264">
        <f>IF('Zdroj data'!AZ20=Body!$BZ$29,Body!$BZ$22,IF(OR('Zdroj data'!AZ20=$BT$29,'Zdroj data'!AZ20=$BU$29,'Zdroj data'!AZ20=$BV$29),$BT$22,IF(OR('Zdroj data'!AZ20=$BK$29,'Zdroj data'!AZ20=$BM$29),$BK$22,IF(OR('Zdroj data'!AZ20=$BE$29,'Zdroj data'!AZ20=$BG$29),$BE$22,IF(OR('Zdroj data'!AZ20=$AY$29,'Zdroj data'!AZ20=$BA$29),$AY$22," ")))))</f>
        <v>5</v>
      </c>
      <c r="Z20" s="264">
        <f>IF(AND('Zdroj data'!BF20="T",(OR('Zdroj data'!AZ20=Body!$AW$45,'Zdroj data'!AZ20=Body!$AW$46,'Zdroj data'!AZ20=Body!$AW$47,'Zdroj data'!AZ20=Body!$AW$48))),Body!$AY$22,IF(AND('Zdroj data'!BF20="T",(OR('Zdroj data'!AZ20=$AW$49,'Zdroj data'!AZ20=$AW$50,'Zdroj data'!AZ20=$AW$51,'Zdroj data'!AZ20=$AW$52))),$BZ$22,IF(AND(OR('Zdroj data'!BF20="VT",'Zdroj data'!BF20="T",'Zdroj data'!BF20="CH"),(OR('Zdroj data'!AZ20=$AW$43,'Zdroj data'!AZ20=$AW$44,))),$BZ$22,IF(AND('Zdroj data'!BF20="CH",(OR('Zdroj data'!AZ20=$AW$49,'Zdroj data'!AZ20=$AW$50,'Zdroj data'!AZ20=$AW$51,'Zdroj data'!AZ20=$AW$52))),$AY$22,IF(AND('Zdroj data'!BF20="CH",(OR('Zdroj data'!AZ20=$AW$45,'Zdroj data'!AZ20=$AW$46,'Zdroj data'!AZ20=$AW$47,'Zdroj data'!AZ20=$AW$48))),$BZ$22," ")))))</f>
        <v>10</v>
      </c>
      <c r="AA20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20" s="264">
        <f>IF(Tabulka1[[#This Row],[kv.ek.]]=Body!$BK$35,Body!$BK$34,IF(Tabulka1[[#This Row],[kv.ek.]]=Body!$BZ$35,Body!$BZ$34," "))</f>
        <v>10</v>
      </c>
      <c r="AC20" s="264">
        <f>IF(AND('Zdroj data'!BF20="T",(OR('Zdroj data'!AZ20=Body!$AW$45,'Zdroj data'!AZ20=Body!$AW$46,'Zdroj data'!AZ20=Body!$AW$47,'Zdroj data'!AZ20=Body!$AW$48))),Body!$AY$22,IF(AND('Zdroj data'!BF20="T",(OR('Zdroj data'!AZ20=$AW$49,'Zdroj data'!AZ20=$AW$50,'Zdroj data'!AZ20=$AW$51,'Zdroj data'!AZ20=$AW$52))),$BZ$22," "))</f>
        <v>10</v>
      </c>
      <c r="AD20" s="264" t="str">
        <f>IF(AND(OR('Zdroj data'!BF20="VT",'Zdroj data'!BF20="T",'Zdroj data'!BF20="CH"),(OR('Zdroj data'!AZ20=$AW$43,'Zdroj data'!AZ20=$AW$44,))),$BZ$22," ")</f>
        <v xml:space="preserve"> </v>
      </c>
      <c r="AE20" s="264" t="str">
        <f>IF(AND('Zdroj data'!BF20="CH",(OR('Zdroj data'!AZ20=$AW$49,'Zdroj data'!AZ20=$AW$50,'Zdroj data'!AZ20=$AW$51,'Zdroj data'!AZ20=$AW$52))),$AY$22,IF(AND('Zdroj data'!BF20="CH",(OR('Zdroj data'!AZ20=$AW$45,'Zdroj data'!AZ20=$AW$46,'Zdroj data'!AZ20=$AW$47,'Zdroj data'!AZ20=$AW$48))),$BZ$22," "))</f>
        <v xml:space="preserve"> </v>
      </c>
      <c r="AF20" s="264" t="str">
        <f>IF(AND('Zdroj data'!BG20="L",'Zdroj data'!AM20=Body!$AX$15),IF(AND('Zdroj data'!O20&gt;=Body!$AY$15,'Zdroj data'!O20&lt;=Body!$BA$15),Body!AY$6,IF(AND('Zdroj data'!O20&gt;=Body!$BB$15,'Zdroj data'!O20&lt;=Body!$BD$15),Body!BB$6,IF(AND('Zdroj data'!O20&gt;=Body!$BE$15,'Zdroj data'!O20&lt;=Body!$BG$15),Body!BE$6,IF(AND('Zdroj data'!O20&gt;=Body!$BH$15,'Zdroj data'!O20&lt;=Body!$BJ$15),Body!BH$6,IF(AND('Zdroj data'!O20&gt;=Body!$BK$15,'Zdroj data'!O20&lt;=Body!$BM$15),Body!BK$6,IF(AND('Zdroj data'!O20&gt;=Body!$BN$15,'Zdroj data'!O20&lt;=Body!$BP$15),Body!$BN$6,IF(AND('Zdroj data'!O20&gt;=Body!$BQ$15,'Zdroj data'!O20&lt;=Body!$BS$15),Body!$BQ$6,IF(AND('Zdroj data'!O20&gt;=Body!$BT$15,'Zdroj data'!O20&lt;=Body!$BV$15),Body!BT$6,IF(AND('Zdroj data'!O20&gt;=Body!$BW$15,'Zdroj data'!O20&lt;=Body!$BY$15),Body!$BW$6,IF('Zdroj data'!O20&gt;=Body!$CB$15,Body!$BZ$6," ")))))))))),IF(AND('Zdroj data'!BG20="ST",'Zdroj data'!AM20=Body!$AX$16),IF(AND('Zdroj data'!O20&gt;=Body!$AY$16,'Zdroj data'!O20&lt;=Body!$BA$16),Body!$AY$6,IF(AND('Zdroj data'!O20&gt;=Body!$BB$16,'Zdroj data'!O20&lt;=Body!$BD$16),Body!$BB$6,IF(AND('Zdroj data'!O20&gt;=Body!$BE$16,'Zdroj data'!O20&lt;=Body!$BG$16),Body!$BE$6,IF(AND('Zdroj data'!O20&gt;=Body!$BH$16,'Zdroj data'!O20&lt;=Body!$BJ$16),Body!$BH$6,IF(AND('Zdroj data'!O20&gt;=Body!$BK$16,'Zdroj data'!O20&lt;=Body!$BM$16),Body!$BK$6,IF(AND('Zdroj data'!O20&gt;=Body!$BN$16,'Zdroj data'!O20&lt;=Body!$BP$16),Body!$BN$6,IF(AND('Zdroj data'!O20&gt;=Body!$BQ$16,'Zdroj data'!O20&lt;=Body!$BS$16),Body!$BQ$6,IF(AND('Zdroj data'!O20&gt;=Body!$BT$16,'Zdroj data'!O20&lt;=Body!$BV$16),Body!$BT$6,IF(AND('Zdroj data'!O20&gt;=Body!$BW$16,'Zdroj data'!O20&lt;=Body!$BY$16),Body!$BW$6,IF('Zdroj data'!O20&gt;=Body!$CB$16,Body!$BZ$6," ")))))))))),IF(AND('Zdroj data'!BG20="T",'Zdroj data'!AM20=Body!$AX$17),IF(AND('Zdroj data'!O20&gt;=Body!$AY$17,'Zdroj data'!O20&lt;=Body!$BA$17),Body!$AY$6,IF(AND('Zdroj data'!O20&gt;=Body!$BB$17,'Zdroj data'!O20&lt;=Body!$BD$17),Body!$BB$6,IF(AND('Zdroj data'!O20&gt;=Body!$BE$17,'Zdroj data'!O20&lt;=Body!$BG$17),Body!$BE$6,IF(AND('Zdroj data'!O20&gt;=Body!$BH$17,'Zdroj data'!O20&lt;=Body!BJ34),Body!$BH$6,IF(AND('Zdroj data'!O20&gt;=Body!$BK$17,'Zdroj data'!O20&lt;=Body!$BM$17),Body!$BK$6,IF(AND('Zdroj data'!O20&gt;=Body!$BN$17,'Zdroj data'!O20&lt;=Body!$BP$17),Body!$BN$6,IF(AND('Zdroj data'!O20&gt;=Body!$BQ$17,'Zdroj data'!O20&lt;=Body!$BS$17),Body!$BQ$6,IF(AND('Zdroj data'!O20&gt;=Body!$BT$17,'Zdroj data'!O20&lt;=Body!$BV$17),Body!$BT$6,IF(AND('Zdroj data'!O20&gt;=Body!$BW$17,'Zdroj data'!O20&lt;=Body!$BY$17),Body!$BW$6,IF('Zdroj data'!O20&gt;=Body!$CB$17,Body!$BZ$6," "))))))))))," ")))</f>
        <v xml:space="preserve"> </v>
      </c>
      <c r="AG20" s="264" t="str">
        <f>IF(AND('Zdroj data'!$BG20="L",'Zdroj data'!$AM20=Body!$AX$15),IF(AND(Tabulka1[[#This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data'!$BG20="ST",'Zdroj data'!$AM20=Body!$AX$16),IF(AND(Tabulka1[[#This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data'!$BG20="T",'Zdroj data'!$AM20=Body!$AX$17),IF(AND(Tabulka1[[#This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Row],[K2O_60]]&lt;=Body!BJ34),Body!$BH$6,IF(AND(Tabulka1[[#This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20" s="264">
        <f>IF(AND('Zdroj data'!BG20="L",'Zdroj data'!AM20=Body!$AX$18),IF(AND('Zdroj data'!O20&gt;=Body!$AY$18,'Zdroj data'!O20&lt;=Body!$BA$18),Body!AY$6,IF(AND('Zdroj data'!O20&gt;=Body!$BB$18,'Zdroj data'!O20&lt;=Body!$BD$18),Body!BB$6,IF(AND('Zdroj data'!O20&gt;=Body!$BE$18,'Zdroj data'!O20&lt;=Body!$BG$18),Body!BE$6,IF(AND('Zdroj data'!O20&gt;=Body!$BH$18,'Zdroj data'!O20&lt;=Body!$BJ$18),Body!BH$6,IF(AND('Zdroj data'!O20&gt;=Body!$BK$18,'Zdroj data'!O20&lt;=Body!$BM$18),Body!$BK$6,IF(AND('Zdroj data'!O20&gt;=Body!$BN$18,'Zdroj data'!O20&lt;=Body!$BP$18),Body!BN$6,IF(AND('Zdroj data'!O20&gt;=Body!$BQ$18,'Zdroj data'!O20&lt;=Body!$BS$18),Body!$BQ$6,IF(AND('Zdroj data'!O20&gt;=Body!$BT$18,'Zdroj data'!O20&lt;=Body!$BV$18),Body!$BT$6,IF(AND('Zdroj data'!O20&gt;=Body!$BW$18,'Zdroj data'!O20&lt;=Body!$BY$18),Body!$BW$6,IF('Zdroj data'!O20&gt;=Body!$CB$18,Body!$BZ$6," ")))))))))),IF(AND('Zdroj data'!BG20="ST",'Zdroj data'!AM20=Body!$AX$19),IF(AND('Zdroj data'!O20&gt;=Body!$AY$19,'Zdroj data'!O20&lt;=Body!$BA$19),Body!$AY$6,IF(AND('Zdroj data'!O20&gt;=Body!$BB$19,'Zdroj data'!O20&lt;=Body!$BD$19),Body!$BB$6,IF(AND('Zdroj data'!O20&gt;=Body!$BE$19,'Zdroj data'!O20&lt;=Body!$BG$19),Body!$BE$6,IF(AND('Zdroj data'!O20&gt;=Body!$BH$19,'Zdroj data'!O20&lt;=Body!$BJ$19),Body!$BH$6,IF(AND('Zdroj data'!O20&gt;=Body!$BK$19,'Zdroj data'!O20&lt;=Body!$BM$19),Body!$BK$6,IF(AND('Zdroj data'!O20&gt;=Body!$BN$19,'Zdroj data'!O20&lt;=Body!$BP$19),Body!$BN$6,IF(AND('Zdroj data'!O20&gt;=Body!$BQ$19,'Zdroj data'!O20&lt;=Body!$BS$19),Body!$BQ$6,IF(AND('Zdroj data'!O20&gt;=Body!$BT$19,'Zdroj data'!O24&lt;=Body!$BV$19),Body!$BT$6,IF(AND('Zdroj data'!O20&gt;=Body!$BW$19,'Zdroj data'!O20&lt;=Body!$BY$19),Body!$BW$6,IF('Zdroj data'!O20&gt;=Body!$CB$19,Body!$BZ$6," ")))))))))),IF(AND('Zdroj data'!BG20="T",'Zdroj data'!AM20=Body!$AX$20),IF(AND('Zdroj data'!O20&gt;=Body!$AY$20,'Zdroj data'!O20&lt;=Body!$BA$20),Body!$AY$6,IF(AND('Zdroj data'!O20&gt;=Body!$BB$20,'Zdroj data'!O20&lt;=Body!$BD$20),Body!$BB$6,IF(AND('Zdroj data'!O20&gt;=Body!$BE$20,'Zdroj data'!O20&lt;=Body!$BG$20),Body!$BE$6,IF(AND('Zdroj data'!O20&gt;=Body!$BH$20,'Zdroj data'!O20&lt;=Body!$BJ$20),Body!$BH$6,IF(AND('Zdroj data'!O20&gt;=Body!$BK$20,'Zdroj data'!O20&lt;=Body!$BM$20),Body!$BK$6,IF(AND('Zdroj data'!O20&gt;=Body!$BN$20,'Zdroj data'!O20&lt;=Body!$BP$20),Body!$BN$6,IF(AND('Zdroj data'!O20&gt;=Body!$BQ$20,'Zdroj data'!O20&lt;=Body!$BS$20),Body!$BQ$6,IF(AND('Zdroj data'!O20&gt;=Body!$BT$20,'Zdroj data'!O20&lt;=Body!BV37),Body!$BT$6,IF(AND('Zdroj data'!O20&gt;=Body!$BW$20,'Zdroj data'!O20&lt;=Body!$BY$20),Body!$BW$6,IF('Zdroj data'!O20&gt;=Body!$CB$20,Body!$BZ$6," "))))))))))," ")))</f>
        <v>3</v>
      </c>
      <c r="AI20" s="264">
        <f>IF(AND('Zdroj data'!$BG20="L",'Zdroj data'!$AM20=Body!$AX$18),IF(AND(Tabulka1[[#This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data'!$BG20="ST",'Zdroj data'!$AM20=Body!$AX$19),IF(AND(Tabulka1[[#This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data'!$BG20="T",'Zdroj data'!$AM20=Body!$AX$20),IF(AND(Tabulka1[[#This Row],[K2O_60]]&gt;=Body!$AY$20,'Zdroj data'!O20&lt;=Body!$BA$20),Body!$AY$6,IF(AND(Tabulka1[[#This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Row],[K2O_60]]&lt;=Body!BV37),Body!$BT$6,IF(AND(Tabulka1[[#This Row],[K2O_60]]&gt;=Body!$BW$20,Tabulka1[[#This Row],[K2O_60]]&lt;=Body!$BY$20),Body!$BW$6,IF(Tabulka1[[#This Row],[K2O_60]]&gt;=Body!$CB$20,Body!$BZ$6," "))))))))))," ")))</f>
        <v>2</v>
      </c>
      <c r="AJ20" s="265">
        <f t="shared" si="2"/>
        <v>16.000000000000014</v>
      </c>
      <c r="AK20" s="264">
        <f t="shared" si="3"/>
        <v>27.155750337191439</v>
      </c>
      <c r="AL20" s="264">
        <f t="shared" si="4"/>
        <v>27.085119669237578</v>
      </c>
      <c r="AM20" s="264">
        <f t="shared" si="5"/>
        <v>58.293127007058345</v>
      </c>
      <c r="AN20" s="264">
        <f t="shared" si="6"/>
        <v>58.293127007058345</v>
      </c>
      <c r="AO20" s="265">
        <f t="shared" si="0"/>
        <v>85.44887734424978</v>
      </c>
      <c r="AP20" s="265">
        <f t="shared" si="1"/>
        <v>85.37824667629593</v>
      </c>
      <c r="AQ20" s="318"/>
      <c r="AR20" s="338">
        <f t="shared" si="7"/>
        <v>186.82712402054574</v>
      </c>
      <c r="AS20" s="318"/>
      <c r="AT20" s="454"/>
      <c r="AU20" s="468"/>
      <c r="AV20" s="470"/>
      <c r="AW20" s="25" t="s">
        <v>853</v>
      </c>
      <c r="AX20" s="133" t="s">
        <v>796</v>
      </c>
      <c r="AY20" s="25">
        <v>0</v>
      </c>
      <c r="AZ20" s="43" t="s">
        <v>856</v>
      </c>
      <c r="BA20" s="44">
        <v>109.99</v>
      </c>
      <c r="BB20" s="45">
        <v>110</v>
      </c>
      <c r="BC20" s="29" t="s">
        <v>858</v>
      </c>
      <c r="BD20" s="44">
        <v>159.99</v>
      </c>
      <c r="BE20" s="45">
        <v>160</v>
      </c>
      <c r="BF20" s="46" t="s">
        <v>858</v>
      </c>
      <c r="BG20" s="44">
        <v>209.99</v>
      </c>
      <c r="BH20" s="47">
        <v>210</v>
      </c>
      <c r="BI20" s="48" t="s">
        <v>858</v>
      </c>
      <c r="BJ20" s="27">
        <v>239.99</v>
      </c>
      <c r="BK20" s="30">
        <v>240</v>
      </c>
      <c r="BL20" s="49" t="s">
        <v>858</v>
      </c>
      <c r="BM20" s="50">
        <v>269.99</v>
      </c>
      <c r="BN20" s="28">
        <v>270</v>
      </c>
      <c r="BO20" s="49" t="s">
        <v>858</v>
      </c>
      <c r="BP20" s="27">
        <v>299.99</v>
      </c>
      <c r="BQ20" s="28">
        <v>300</v>
      </c>
      <c r="BR20" s="49" t="s">
        <v>858</v>
      </c>
      <c r="BS20" s="50">
        <v>356.99</v>
      </c>
      <c r="BT20" s="28">
        <v>357</v>
      </c>
      <c r="BU20" s="49" t="s">
        <v>858</v>
      </c>
      <c r="BV20" s="27">
        <v>413.99</v>
      </c>
      <c r="BW20" s="28">
        <v>414</v>
      </c>
      <c r="BX20" s="49" t="s">
        <v>858</v>
      </c>
      <c r="BY20" s="50">
        <v>469.99</v>
      </c>
      <c r="BZ20" s="28"/>
      <c r="CA20" s="49" t="s">
        <v>857</v>
      </c>
      <c r="CB20" s="27">
        <v>470</v>
      </c>
      <c r="CC20" s="79"/>
    </row>
    <row r="21" spans="1:81" ht="16" thickBot="1" x14ac:dyDescent="0.4">
      <c r="A21" s="270">
        <v>857</v>
      </c>
      <c r="B21" s="156" t="s">
        <v>560</v>
      </c>
      <c r="C21" s="250" t="str">
        <f>VLOOKUP(B21,'Zdroj hloubka okresy'!$A$2:$D$171,2,FALSE)</f>
        <v>Pribram</v>
      </c>
      <c r="D21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21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21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21" s="264">
        <f>IF(AND(Tabulka1[[#This Row],[hum_60]]&gt;AY27,Tabulka1[[#This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21" s="264">
        <f>IF(Tabulka1[[#This Row],[kv.ek.]]=Body!$AX$13,IF(AND('Zdroj data'!M21&gt;=Body!$AY$13,'Zdroj data'!M21&lt;=Body!$BA$13),Body!$AY$6,IF(AND('Zdroj data'!M21&gt;=Body!$BB$13,'Zdroj data'!M21&lt;=Body!$BD$13),Body!$BB$6,IF(AND('Zdroj data'!M21&gt;=Body!$BE$13,'Zdroj data'!M21&lt;=Body!$BG$13),Body!$BE$6,IF(AND('Zdroj data'!M21&gt;=Body!$BH$13,'Zdroj data'!M21&lt;=Body!$BJ$13),Body!$BH$6,IF(AND('Zdroj data'!M21&gt;=Body!$BK$13,'Zdroj data'!M21&lt;=Body!$BM$13),Body!$BK$6,IF(AND('Zdroj data'!M21&gt;=Body!$BN$13,'Zdroj data'!M21&lt;=Body!$BP$13),Body!$BN$6,IF(AND('Zdroj data'!M21&gt;=Body!$BQ$13,'Zdroj data'!M21&lt;=Body!$BS$13),Body!$BQ$6,IF(AND('Zdroj data'!M21&gt;=Body!$BT$13,'Zdroj data'!M21&lt;=Body!$BV$13),Body!$BT$6,IF(AND('Zdroj data'!M21&gt;=Body!$BW$13,'Zdroj data'!M21&lt;=Body!$BY$13),Body!$BW$6,IF('Zdroj data'!M21&gt;=Body!$CB$13,Body!$BZ$6,"")))))))))),IF(Tabulka1[[#This Row],[kv.ek.]]=Body!$AX$14,IF(AND('Zdroj data'!N21&gt;=Body!$AY$14,'Zdroj data'!N21&lt;=Body!$BA$14),Body!$AY$6,IF(AND('Zdroj data'!N21&gt;=Body!$BB$14,'Zdroj data'!N21&lt;=Body!$BD$14),Body!$BB$6,IF(AND('Zdroj data'!N21&gt;=Body!$BE$14,'Zdroj data'!N21&lt;=Body!$BG$14),Body!$BE$6,IF(AND('Zdroj data'!N21&gt;=Body!$BH$14,'Zdroj data'!N21&lt;=Body!$BJ$14),Body!$BH$6,IF(AND('Zdroj data'!N21&gt;=Body!$BK$14,'Zdroj data'!N21&lt;=Body!$BM$14),Body!$BK$6,IF(AND('Zdroj data'!N21&gt;=Body!$BN$14,'Zdroj data'!N21&lt;=Body!$BP$14),Body!$BN$6,IF(AND('Zdroj data'!N21&gt;=Body!$BQ$14,'Zdroj data'!N21&lt;=Body!$BS$14),Body!$BQ$6,IF(AND('Zdroj data'!N21&gt;=Body!$BT$14,'Zdroj data'!N21&lt;=Body!$BV$14),Body!$BT$6,IF(AND('Zdroj data'!N21&gt;=Body!$BW$14,'Zdroj data'!N21&lt;=Body!$BY$14),Body!$BW$6,IF('Zdroj data'!N21&gt;=Body!$CB$14,Body!$BZ$6,"")))))))))),""))</f>
        <v>1</v>
      </c>
      <c r="I21" s="264">
        <f>IF(Tabulka1[[#This Row],[kv.ek.]]=Body!$AX$13,IF(AND('Zdroj data'!N21&gt;=Body!$AY$13,'Zdroj data'!N21&lt;=Body!$BA$13),Body!$AY$6,IF(AND('Zdroj data'!N21&gt;=Body!$BB$13,'Zdroj data'!N21&lt;=Body!$BD$13),Body!$BB$6,IF(AND('Zdroj data'!N21&gt;=Body!$BE$13,'Zdroj data'!N21&lt;=Body!$BG$13),Body!$BE$6,IF(AND('Zdroj data'!N21&gt;=Body!$BH$13,'Zdroj data'!N21&lt;=Body!$BJ$13),Body!$BH$6,IF(AND('Zdroj data'!N21&gt;=Body!$BK$13,'Zdroj data'!N21&lt;=Body!$BM$13),Body!$BK$6,IF(AND('Zdroj data'!N21&gt;=Body!$BN$13,'Zdroj data'!N21&lt;=Body!$BP$13),Body!$BN$6,IF(AND('Zdroj data'!N21&gt;=Body!$BQ$13,'Zdroj data'!N21&lt;=Body!$BS$13),Body!$BQ$6,IF(AND('Zdroj data'!N21&gt;=Body!$BT$13,'Zdroj data'!N21&lt;=Body!$BV$13),Body!$BT$6,IF(AND('Zdroj data'!N21&gt;=Body!$BW$13,'Zdroj data'!N21&lt;=Body!$BY$13),Body!$BW$6,IF('Zdroj data'!N21&gt;=Body!$CB$13,Body!$BZ$6," ")))))))))),IF(Tabulka1[[#This Row],[kv.ek.]]=Body!$AX$14,IF(AND('Zdroj data'!O21&gt;=Body!$AY$14,'Zdroj data'!O21&lt;=Body!$BA$14),Body!$AY$6,IF(AND('Zdroj data'!O21&gt;=Body!$BB$14,'Zdroj data'!O21&lt;=Body!$BD$14),Body!$BB$6,IF(AND('Zdroj data'!O21&gt;=Body!$BE$14,'Zdroj data'!O21&lt;=Body!$BG$14),Body!$BE$6,IF(AND('Zdroj data'!O21&gt;=Body!$BH$14,'Zdroj data'!O21&lt;=Body!$BJ$14),Body!$BH$6,IF(AND('Zdroj data'!O21&gt;=Body!$BK$14,'Zdroj data'!O21&lt;=Body!$BM$14),Body!$BK$6,IF(AND('Zdroj data'!O21&gt;=Body!$BN$14,'Zdroj data'!O21&lt;=Body!$BP$14),Body!$BN$6,IF(AND('Zdroj data'!O21&gt;=Body!$BQ$14,'Zdroj data'!O21&lt;=Body!$BS$14),Body!$BQ$6,IF(AND('Zdroj data'!O21&gt;=Body!$BT$14,'Zdroj data'!O21&lt;=Body!$BV$14),Body!$BT$6,IF(AND('Zdroj data'!O21&gt;=Body!$BW$14,'Zdroj data'!O21&lt;=Body!$BY$14),Body!$BW$6,IF('Zdroj data'!O21&gt;=Body!$CB$14,Body!$BZ$6," "))))))))))," "))</f>
        <v>1</v>
      </c>
      <c r="J21" s="264">
        <f t="shared" si="8"/>
        <v>2</v>
      </c>
      <c r="K21" s="264">
        <f t="shared" si="9"/>
        <v>1</v>
      </c>
      <c r="L21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21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21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5</v>
      </c>
      <c r="O21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6</v>
      </c>
      <c r="P21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21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21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21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21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21" s="264">
        <f>IF('Zdroj data'!BB21=Body!$AY$25,Body!$AY$22,IF('Zdroj data'!BB21=Body!$BB$25,Body!$BB$22,IF('Zdroj data'!BB21=Body!$BE$25,Body!$BE$22,IF('Zdroj data'!BB21=Body!$BH$25,Body!$BH$22,IF('Zdroj data'!BB21=Body!BK$25,Body!$BK$22,IF('Zdroj data'!BB21=Body!$BN$25,Body!$BN$22,IF('Zdroj data'!BB21=Body!$BQ$25,Body!$BQ$22,IF('Zdroj data'!BB21=Body!$BT$25,Body!$BT$22,IF('Zdroj data'!BB21=Body!$BW$25,Body!$BW$22,IF('Zdroj data'!BB21=Body!$BZ$25,Body!$BZ$22," "))))))))))</f>
        <v>5</v>
      </c>
      <c r="V21" s="264">
        <f>IF(AND('Zdroj data'!BO21&gt;Body!$AY$27,'Zdroj data'!BO21&lt;=Body!$BA$27),Body!$AY$22,IF(AND('Zdroj data'!BO21&gt;=Body!$BB$27,'Zdroj data'!BO21&lt;=Body!$BD$27),Body!$BB$22,IF(AND('Zdroj data'!BO21&gt;=Body!$BE$27,'Zdroj data'!BO21&lt;=Body!$BG$27),Body!$BE$22,IF(AND('Zdroj data'!BO21&gt;=Body!$BH$27,'Zdroj data'!BO21&lt;=Body!$BJ$27),Body!$BH$22,IF(AND('Zdroj data'!BO21&gt;=Body!$BK$27,'Zdroj data'!BO21&lt;=Body!$BM$27),Body!$BK$22,IF(AND('Zdroj data'!BO21&gt;=Body!$BN$27,'Zdroj data'!BO21&lt;=Body!$BP$27),Body!$BN$22,IF(AND('Zdroj data'!BO21&gt;=Body!$BQ$27,'Zdroj data'!BO21&lt;=Body!$BS$27),Body!$BQ$22,IF(AND('Zdroj data'!BO21&gt;=Body!$BT$27,'Zdroj data'!BO21&lt;=Body!$BV$27),Body!$BT$22,IF(AND('Zdroj data'!BO21&gt;=Body!$BW$27,'Zdroj data'!BO21&lt;=Body!$BY$27),Body!$BW$22,IF('Zdroj data'!BO21&gt;=Body!$CB$27,$BZ$22," "))))))))))</f>
        <v>6</v>
      </c>
      <c r="W21" s="264">
        <f>IF(AND('Zdroj data'!BP21&gt;Body!$AY$27,'Zdroj data'!BP21&lt;=Body!$BA$27),Body!$AY$22,IF(AND('Zdroj data'!BP21&gt;=Body!$BB$27,'Zdroj data'!BP21&lt;=Body!$BD$27),Body!$BB$22,IF(AND('Zdroj data'!BP21&gt;=Body!$BE$27,'Zdroj data'!BP21&lt;=Body!$BG$27),Body!$BE$22,IF(AND('Zdroj data'!BP21&gt;=Body!$BH$27,'Zdroj data'!BP21&lt;=Body!$BJ$27),Body!$BH$22,IF(AND('Zdroj data'!BP21&gt;=Body!$BK$27,'Zdroj data'!BP21&lt;=Body!$BM$27),Body!$BK$22,IF(AND('Zdroj data'!BP21&gt;=Body!$BN$27,'Zdroj data'!BP21&lt;=Body!$BP$27),Body!$BN$22,IF(AND('Zdroj data'!BP21&gt;=Body!$BQ$27,'Zdroj data'!BP21&lt;=Body!$BS$27),Body!$BQ$22,IF(AND('Zdroj data'!BP21&gt;=Body!$BT$27,'Zdroj data'!BP21&lt;=Body!$BV$27),Body!$BT$22,IF(AND('Zdroj data'!BP21&gt;=Body!$BW$27,'Zdroj data'!BP21&lt;=Body!$BY$27),Body!$BW$22,IF('Zdroj data'!BP21&gt;=Body!$CB$27,$BZ$22," "))))))))))</f>
        <v>10</v>
      </c>
      <c r="X21" s="264">
        <f>IF('Zdroj data'!BA21=Body!$BB$28,$BB$22,IF('Zdroj data'!BA21=Body!$BE$28,$BE$22,IF(OR('Zdroj data'!BA21=Body!$BK$28,'Zdroj data'!BA21=Body!$BL$28,'Zdroj data'!BA21=Body!$BM$28),$BK$22,IF(OR('Zdroj data'!BA21=Body!$BT$28,'Zdroj data'!BA21=Body!$BV$28),$BT$22,IF(OR('Zdroj data'!BA21=Body!$BW$28,'Zdroj data'!BA21=Body!$BY$28),$BW$22,IF('Zdroj data'!BA21=Body!$BZ$28,$BZ$22," "))))))</f>
        <v>5</v>
      </c>
      <c r="Y21" s="264">
        <f>IF('Zdroj data'!AZ21=Body!$BZ$29,Body!$BZ$22,IF(OR('Zdroj data'!AZ21=$BT$29,'Zdroj data'!AZ21=$BU$29,'Zdroj data'!AZ21=$BV$29),$BT$22,IF(OR('Zdroj data'!AZ21=$BK$29,'Zdroj data'!AZ21=$BM$29),$BK$22,IF(OR('Zdroj data'!AZ21=$BE$29,'Zdroj data'!AZ21=$BG$29),$BE$22,IF(OR('Zdroj data'!AZ21=$AY$29,'Zdroj data'!AZ21=$BA$29),$AY$22," ")))))</f>
        <v>8</v>
      </c>
      <c r="Z21" s="264">
        <f>IF(AND('Zdroj data'!BF21="T",(OR('Zdroj data'!AZ21=Body!$AW$45,'Zdroj data'!AZ21=Body!$AW$46,'Zdroj data'!AZ21=Body!$AW$47,'Zdroj data'!AZ21=Body!$AW$48))),Body!$AY$22,IF(AND('Zdroj data'!BF21="T",(OR('Zdroj data'!AZ21=$AW$49,'Zdroj data'!AZ21=$AW$50,'Zdroj data'!AZ21=$AW$51,'Zdroj data'!AZ21=$AW$52))),$BZ$22,IF(AND(OR('Zdroj data'!BF21="VT",'Zdroj data'!BF21="T",'Zdroj data'!BF21="CH"),(OR('Zdroj data'!AZ21=$AW$43,'Zdroj data'!AZ21=$AW$44,))),$BZ$22,IF(AND('Zdroj data'!BF21="CH",(OR('Zdroj data'!AZ21=$AW$49,'Zdroj data'!AZ21=$AW$50,'Zdroj data'!AZ21=$AW$51,'Zdroj data'!AZ21=$AW$52))),$AY$22,IF(AND('Zdroj data'!BF21="CH",(OR('Zdroj data'!AZ21=$AW$45,'Zdroj data'!AZ21=$AW$46,'Zdroj data'!AZ21=$AW$47,'Zdroj data'!AZ21=$AW$48))),$BZ$22," ")))))</f>
        <v>10</v>
      </c>
      <c r="AA21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21" s="264">
        <f>IF(Tabulka1[[#This Row],[kv.ek.]]=Body!$BK$35,Body!$BK$34,IF(Tabulka1[[#This Row],[kv.ek.]]=Body!$BZ$35,Body!$BZ$34," "))</f>
        <v>5</v>
      </c>
      <c r="AC21" s="264" t="str">
        <f>IF(AND('Zdroj data'!BF21="T",(OR('Zdroj data'!AZ21=Body!$AW$45,'Zdroj data'!AZ21=Body!$AW$46,'Zdroj data'!AZ21=Body!$AW$47,'Zdroj data'!AZ21=Body!$AW$48))),Body!$AY$22,IF(AND('Zdroj data'!BF21="T",(OR('Zdroj data'!AZ21=$AW$49,'Zdroj data'!AZ21=$AW$50,'Zdroj data'!AZ21=$AW$51,'Zdroj data'!AZ21=$AW$52))),$BZ$22," "))</f>
        <v xml:space="preserve"> </v>
      </c>
      <c r="AD21" s="264">
        <f>IF(AND(OR('Zdroj data'!BF21="VT",'Zdroj data'!BF21="T",'Zdroj data'!BF21="CH"),(OR('Zdroj data'!AZ21=$AW$43,'Zdroj data'!AZ21=$AW$44,))),$BZ$22," ")</f>
        <v>10</v>
      </c>
      <c r="AE21" s="264" t="str">
        <f>IF(AND('Zdroj data'!BF21="CH",(OR('Zdroj data'!AZ21=$AW$49,'Zdroj data'!AZ21=$AW$50,'Zdroj data'!AZ21=$AW$51,'Zdroj data'!AZ21=$AW$52))),$AY$22,IF(AND('Zdroj data'!BF21="CH",(OR('Zdroj data'!AZ21=$AW$45,'Zdroj data'!AZ21=$AW$46,'Zdroj data'!AZ21=$AW$47,'Zdroj data'!AZ21=$AW$48))),$BZ$22," "))</f>
        <v xml:space="preserve"> </v>
      </c>
      <c r="AF21" s="264">
        <f>IF(AND('Zdroj data'!BG21="L",'Zdroj data'!AM21=Body!$AX$15),IF(AND('Zdroj data'!O21&gt;=Body!$AY$15,'Zdroj data'!O21&lt;=Body!$BA$15),Body!AY$6,IF(AND('Zdroj data'!O21&gt;=Body!$BB$15,'Zdroj data'!O21&lt;=Body!$BD$15),Body!BB$6,IF(AND('Zdroj data'!O21&gt;=Body!$BE$15,'Zdroj data'!O21&lt;=Body!$BG$15),Body!BE$6,IF(AND('Zdroj data'!O21&gt;=Body!$BH$15,'Zdroj data'!O21&lt;=Body!$BJ$15),Body!BH$6,IF(AND('Zdroj data'!O21&gt;=Body!$BK$15,'Zdroj data'!O21&lt;=Body!$BM$15),Body!BK$6,IF(AND('Zdroj data'!O21&gt;=Body!$BN$15,'Zdroj data'!O21&lt;=Body!$BP$15),Body!$BN$6,IF(AND('Zdroj data'!O21&gt;=Body!$BQ$15,'Zdroj data'!O21&lt;=Body!$BS$15),Body!$BQ$6,IF(AND('Zdroj data'!O21&gt;=Body!$BT$15,'Zdroj data'!O21&lt;=Body!$BV$15),Body!BT$6,IF(AND('Zdroj data'!O21&gt;=Body!$BW$15,'Zdroj data'!O21&lt;=Body!$BY$15),Body!$BW$6,IF('Zdroj data'!O21&gt;=Body!$CB$15,Body!$BZ$6," ")))))))))),IF(AND('Zdroj data'!BG21="ST",'Zdroj data'!AM21=Body!$AX$16),IF(AND('Zdroj data'!O21&gt;=Body!$AY$16,'Zdroj data'!O21&lt;=Body!$BA$16),Body!$AY$6,IF(AND('Zdroj data'!O21&gt;=Body!$BB$16,'Zdroj data'!O21&lt;=Body!$BD$16),Body!$BB$6,IF(AND('Zdroj data'!O21&gt;=Body!$BE$16,'Zdroj data'!O21&lt;=Body!$BG$16),Body!$BE$6,IF(AND('Zdroj data'!O21&gt;=Body!$BH$16,'Zdroj data'!O21&lt;=Body!$BJ$16),Body!$BH$6,IF(AND('Zdroj data'!O21&gt;=Body!$BK$16,'Zdroj data'!O21&lt;=Body!$BM$16),Body!$BK$6,IF(AND('Zdroj data'!O21&gt;=Body!$BN$16,'Zdroj data'!O21&lt;=Body!$BP$16),Body!$BN$6,IF(AND('Zdroj data'!O21&gt;=Body!$BQ$16,'Zdroj data'!O21&lt;=Body!$BS$16),Body!$BQ$6,IF(AND('Zdroj data'!O21&gt;=Body!$BT$16,'Zdroj data'!O21&lt;=Body!$BV$16),Body!$BT$6,IF(AND('Zdroj data'!O21&gt;=Body!$BW$16,'Zdroj data'!O21&lt;=Body!$BY$16),Body!$BW$6,IF('Zdroj data'!O21&gt;=Body!$CB$16,Body!$BZ$6," ")))))))))),IF(AND('Zdroj data'!BG21="T",'Zdroj data'!AM21=Body!$AX$17),IF(AND('Zdroj data'!O21&gt;=Body!$AY$17,'Zdroj data'!O21&lt;=Body!$BA$17),Body!$AY$6,IF(AND('Zdroj data'!O21&gt;=Body!$BB$17,'Zdroj data'!O21&lt;=Body!$BD$17),Body!$BB$6,IF(AND('Zdroj data'!O21&gt;=Body!$BE$17,'Zdroj data'!O21&lt;=Body!$BG$17),Body!$BE$6,IF(AND('Zdroj data'!O21&gt;=Body!$BH$17,'Zdroj data'!O21&lt;=Body!BJ35),Body!$BH$6,IF(AND('Zdroj data'!O21&gt;=Body!$BK$17,'Zdroj data'!O21&lt;=Body!$BM$17),Body!$BK$6,IF(AND('Zdroj data'!O21&gt;=Body!$BN$17,'Zdroj data'!O21&lt;=Body!$BP$17),Body!$BN$6,IF(AND('Zdroj data'!O21&gt;=Body!$BQ$17,'Zdroj data'!O21&lt;=Body!$BS$17),Body!$BQ$6,IF(AND('Zdroj data'!O21&gt;=Body!$BT$17,'Zdroj data'!O21&lt;=Body!$BV$17),Body!$BT$6,IF(AND('Zdroj data'!O21&gt;=Body!$BW$17,'Zdroj data'!O21&lt;=Body!$BY$17),Body!$BW$6,IF('Zdroj data'!O21&gt;=Body!$CB$17,Body!$BZ$6," "))))))))))," ")))</f>
        <v>2</v>
      </c>
      <c r="AG21" s="264">
        <f>IF(AND('Zdroj data'!$BG21="L",'Zdroj data'!$AM21=Body!$AX$15),IF(AND(Tabulka1[[#This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data'!$BG21="ST",'Zdroj data'!$AM21=Body!$AX$16),IF(AND(Tabulka1[[#This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data'!$BG21="T",'Zdroj data'!$AM21=Body!$AX$17),IF(AND(Tabulka1[[#This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Row],[K2O_60]]&lt;=Body!BJ35),Body!$BH$6,IF(AND(Tabulka1[[#This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21" s="264" t="str">
        <f>IF(AND('Zdroj data'!BG21="L",'Zdroj data'!AM21=Body!$AX$18),IF(AND('Zdroj data'!O21&gt;=Body!$AY$18,'Zdroj data'!O21&lt;=Body!$BA$18),Body!AY$6,IF(AND('Zdroj data'!O21&gt;=Body!$BB$18,'Zdroj data'!O21&lt;=Body!$BD$18),Body!BB$6,IF(AND('Zdroj data'!O21&gt;=Body!$BE$18,'Zdroj data'!O21&lt;=Body!$BG$18),Body!BE$6,IF(AND('Zdroj data'!O21&gt;=Body!$BH$18,'Zdroj data'!O21&lt;=Body!$BJ$18),Body!BH$6,IF(AND('Zdroj data'!O21&gt;=Body!$BK$18,'Zdroj data'!O21&lt;=Body!$BM$18),Body!$BK$6,IF(AND('Zdroj data'!O21&gt;=Body!$BN$18,'Zdroj data'!O21&lt;=Body!$BP$18),Body!BN$6,IF(AND('Zdroj data'!O21&gt;=Body!$BQ$18,'Zdroj data'!O21&lt;=Body!$BS$18),Body!$BQ$6,IF(AND('Zdroj data'!O21&gt;=Body!$BT$18,'Zdroj data'!O21&lt;=Body!$BV$18),Body!$BT$6,IF(AND('Zdroj data'!O21&gt;=Body!$BW$18,'Zdroj data'!O21&lt;=Body!$BY$18),Body!$BW$6,IF('Zdroj data'!O21&gt;=Body!$CB$18,Body!$BZ$6," ")))))))))),IF(AND('Zdroj data'!BG21="ST",'Zdroj data'!AM21=Body!$AX$19),IF(AND('Zdroj data'!O21&gt;=Body!$AY$19,'Zdroj data'!O21&lt;=Body!$BA$19),Body!$AY$6,IF(AND('Zdroj data'!O21&gt;=Body!$BB$19,'Zdroj data'!O21&lt;=Body!$BD$19),Body!$BB$6,IF(AND('Zdroj data'!O21&gt;=Body!$BE$19,'Zdroj data'!O21&lt;=Body!$BG$19),Body!$BE$6,IF(AND('Zdroj data'!O21&gt;=Body!$BH$19,'Zdroj data'!O21&lt;=Body!$BJ$19),Body!$BH$6,IF(AND('Zdroj data'!O21&gt;=Body!$BK$19,'Zdroj data'!O21&lt;=Body!$BM$19),Body!$BK$6,IF(AND('Zdroj data'!O21&gt;=Body!$BN$19,'Zdroj data'!O21&lt;=Body!$BP$19),Body!$BN$6,IF(AND('Zdroj data'!O21&gt;=Body!$BQ$19,'Zdroj data'!O21&lt;=Body!$BS$19),Body!$BQ$6,IF(AND('Zdroj data'!O21&gt;=Body!$BT$19,'Zdroj data'!O25&lt;=Body!$BV$19),Body!$BT$6,IF(AND('Zdroj data'!O21&gt;=Body!$BW$19,'Zdroj data'!O21&lt;=Body!$BY$19),Body!$BW$6,IF('Zdroj data'!O21&gt;=Body!$CB$19,Body!$BZ$6," ")))))))))),IF(AND('Zdroj data'!BG21="T",'Zdroj data'!AM21=Body!$AX$20),IF(AND('Zdroj data'!O21&gt;=Body!$AY$20,'Zdroj data'!O21&lt;=Body!$BA$20),Body!$AY$6,IF(AND('Zdroj data'!O21&gt;=Body!$BB$20,'Zdroj data'!O21&lt;=Body!$BD$20),Body!$BB$6,IF(AND('Zdroj data'!O21&gt;=Body!$BE$20,'Zdroj data'!O21&lt;=Body!$BG$20),Body!$BE$6,IF(AND('Zdroj data'!O21&gt;=Body!$BH$20,'Zdroj data'!O21&lt;=Body!$BJ$20),Body!$BH$6,IF(AND('Zdroj data'!O21&gt;=Body!$BK$20,'Zdroj data'!O21&lt;=Body!$BM$20),Body!$BK$6,IF(AND('Zdroj data'!O21&gt;=Body!$BN$20,'Zdroj data'!O21&lt;=Body!$BP$20),Body!$BN$6,IF(AND('Zdroj data'!O21&gt;=Body!$BQ$20,'Zdroj data'!O21&lt;=Body!$BS$20),Body!$BQ$6,IF(AND('Zdroj data'!O21&gt;=Body!$BT$20,'Zdroj data'!O21&lt;=Body!BV38),Body!$BT$6,IF(AND('Zdroj data'!O21&gt;=Body!$BW$20,'Zdroj data'!O21&lt;=Body!$BY$20),Body!$BW$6,IF('Zdroj data'!O21&gt;=Body!$CB$20,Body!$BZ$6," "))))))))))," ")))</f>
        <v xml:space="preserve"> </v>
      </c>
      <c r="AI21" s="264" t="str">
        <f>IF(AND('Zdroj data'!$BG21="L",'Zdroj data'!$AM21=Body!$AX$18),IF(AND(Tabulka1[[#This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data'!$BG21="ST",'Zdroj data'!$AM21=Body!$AX$19),IF(AND(Tabulka1[[#This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data'!$BG21="T",'Zdroj data'!$AM21=Body!$AX$20),IF(AND(Tabulka1[[#This Row],[K2O_60]]&gt;=Body!$AY$20,'Zdroj data'!O21&lt;=Body!$BA$20),Body!$AY$6,IF(AND(Tabulka1[[#This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Row],[K2O_60]]&lt;=Body!BV38),Body!$BT$6,IF(AND(Tabulka1[[#This Row],[K2O_60]]&gt;=Body!$BW$20,Tabulka1[[#This Row],[K2O_60]]&lt;=Body!$BY$20),Body!$BW$6,IF(Tabulka1[[#This Row],[K2O_60]]&gt;=Body!$CB$20,Body!$BZ$6," "))))))))))," ")))</f>
        <v xml:space="preserve"> </v>
      </c>
      <c r="AJ21" s="265">
        <f t="shared" si="2"/>
        <v>8.0000000000000071</v>
      </c>
      <c r="AK21" s="264">
        <f t="shared" si="3"/>
        <v>23.642513691629397</v>
      </c>
      <c r="AL21" s="264">
        <f t="shared" si="4"/>
        <v>20.506684634157551</v>
      </c>
      <c r="AM21" s="264">
        <f t="shared" si="5"/>
        <v>62.171141712436025</v>
      </c>
      <c r="AN21" s="264">
        <f t="shared" si="6"/>
        <v>64.435890584167979</v>
      </c>
      <c r="AO21" s="265">
        <f t="shared" si="0"/>
        <v>85.813655404065429</v>
      </c>
      <c r="AP21" s="265">
        <f t="shared" si="1"/>
        <v>84.94257521832553</v>
      </c>
      <c r="AQ21" s="318"/>
      <c r="AR21" s="338">
        <f t="shared" si="7"/>
        <v>178.75623062239094</v>
      </c>
      <c r="AS21" s="318"/>
      <c r="AT21" s="454"/>
      <c r="AU21" s="468"/>
      <c r="AV21" s="152">
        <v>0.19816539570451405</v>
      </c>
      <c r="AW21" s="53" t="s">
        <v>854</v>
      </c>
      <c r="AX21" s="54"/>
      <c r="AY21" s="53"/>
      <c r="AZ21" s="55" t="s">
        <v>857</v>
      </c>
      <c r="BA21" s="56">
        <v>1.8</v>
      </c>
      <c r="BB21" s="57">
        <v>1.8</v>
      </c>
      <c r="BC21" s="58" t="s">
        <v>858</v>
      </c>
      <c r="BD21" s="59">
        <v>1.6</v>
      </c>
      <c r="BE21" s="57">
        <v>1.6</v>
      </c>
      <c r="BF21" s="58" t="s">
        <v>858</v>
      </c>
      <c r="BG21" s="56">
        <v>1.5</v>
      </c>
      <c r="BH21" s="60">
        <v>1.5</v>
      </c>
      <c r="BI21" s="61" t="s">
        <v>858</v>
      </c>
      <c r="BJ21" s="59">
        <v>1.45</v>
      </c>
      <c r="BK21" s="62">
        <v>1.45</v>
      </c>
      <c r="BL21" s="58" t="s">
        <v>858</v>
      </c>
      <c r="BM21" s="59">
        <v>1.4</v>
      </c>
      <c r="BN21" s="62">
        <v>1.4</v>
      </c>
      <c r="BO21" s="58" t="s">
        <v>858</v>
      </c>
      <c r="BP21" s="59">
        <v>1.35</v>
      </c>
      <c r="BQ21" s="62">
        <v>1.35</v>
      </c>
      <c r="BR21" s="58" t="s">
        <v>858</v>
      </c>
      <c r="BS21" s="59">
        <v>1.3</v>
      </c>
      <c r="BT21" s="62">
        <v>1.3</v>
      </c>
      <c r="BU21" s="58" t="s">
        <v>858</v>
      </c>
      <c r="BV21" s="59">
        <v>1.25</v>
      </c>
      <c r="BW21" s="62">
        <v>1.25</v>
      </c>
      <c r="BX21" s="58" t="s">
        <v>858</v>
      </c>
      <c r="BY21" s="59">
        <v>1.2</v>
      </c>
      <c r="BZ21" s="62">
        <v>0</v>
      </c>
      <c r="CA21" s="58" t="s">
        <v>856</v>
      </c>
      <c r="CB21" s="59">
        <v>1.2</v>
      </c>
    </row>
    <row r="22" spans="1:81" ht="16" thickTop="1" x14ac:dyDescent="0.35">
      <c r="A22" s="270">
        <v>860</v>
      </c>
      <c r="B22" s="156" t="s">
        <v>557</v>
      </c>
      <c r="C22" s="250" t="str">
        <f>VLOOKUP(B22,'Zdroj hloubka okresy'!$A$2:$D$171,2,FALSE)</f>
        <v>Pribram</v>
      </c>
      <c r="D22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22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22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6</v>
      </c>
      <c r="G22" s="264">
        <f>IF(AND(Tabulka1[[#This Row],[hum_60]]&gt;AY28,Tabulka1[[#This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4</v>
      </c>
      <c r="H22" s="264">
        <f>IF(Tabulka1[[#This Row],[kv.ek.]]=Body!$AX$13,IF(AND('Zdroj data'!M22&gt;=Body!$AY$13,'Zdroj data'!M22&lt;=Body!$BA$13),Body!$AY$6,IF(AND('Zdroj data'!M22&gt;=Body!$BB$13,'Zdroj data'!M22&lt;=Body!$BD$13),Body!$BB$6,IF(AND('Zdroj data'!M22&gt;=Body!$BE$13,'Zdroj data'!M22&lt;=Body!$BG$13),Body!$BE$6,IF(AND('Zdroj data'!M22&gt;=Body!$BH$13,'Zdroj data'!M22&lt;=Body!$BJ$13),Body!$BH$6,IF(AND('Zdroj data'!M22&gt;=Body!$BK$13,'Zdroj data'!M22&lt;=Body!$BM$13),Body!$BK$6,IF(AND('Zdroj data'!M22&gt;=Body!$BN$13,'Zdroj data'!M22&lt;=Body!$BP$13),Body!$BN$6,IF(AND('Zdroj data'!M22&gt;=Body!$BQ$13,'Zdroj data'!M22&lt;=Body!$BS$13),Body!$BQ$6,IF(AND('Zdroj data'!M22&gt;=Body!$BT$13,'Zdroj data'!M22&lt;=Body!$BV$13),Body!$BT$6,IF(AND('Zdroj data'!M22&gt;=Body!$BW$13,'Zdroj data'!M22&lt;=Body!$BY$13),Body!$BW$6,IF('Zdroj data'!M22&gt;=Body!$CB$13,Body!$BZ$6,"")))))))))),IF(Tabulka1[[#This Row],[kv.ek.]]=Body!$AX$14,IF(AND('Zdroj data'!N22&gt;=Body!$AY$14,'Zdroj data'!N22&lt;=Body!$BA$14),Body!$AY$6,IF(AND('Zdroj data'!N22&gt;=Body!$BB$14,'Zdroj data'!N22&lt;=Body!$BD$14),Body!$BB$6,IF(AND('Zdroj data'!N22&gt;=Body!$BE$14,'Zdroj data'!N22&lt;=Body!$BG$14),Body!$BE$6,IF(AND('Zdroj data'!N22&gt;=Body!$BH$14,'Zdroj data'!N22&lt;=Body!$BJ$14),Body!$BH$6,IF(AND('Zdroj data'!N22&gt;=Body!$BK$14,'Zdroj data'!N22&lt;=Body!$BM$14),Body!$BK$6,IF(AND('Zdroj data'!N22&gt;=Body!$BN$14,'Zdroj data'!N22&lt;=Body!$BP$14),Body!$BN$6,IF(AND('Zdroj data'!N22&gt;=Body!$BQ$14,'Zdroj data'!N22&lt;=Body!$BS$14),Body!$BQ$6,IF(AND('Zdroj data'!N22&gt;=Body!$BT$14,'Zdroj data'!N22&lt;=Body!$BV$14),Body!$BT$6,IF(AND('Zdroj data'!N22&gt;=Body!$BW$14,'Zdroj data'!N22&lt;=Body!$BY$14),Body!$BW$6,IF('Zdroj data'!N22&gt;=Body!$CB$14,Body!$BZ$6,"")))))))))),""))</f>
        <v>1</v>
      </c>
      <c r="I22" s="264">
        <f>IF(Tabulka1[[#This Row],[kv.ek.]]=Body!$AX$13,IF(AND('Zdroj data'!N22&gt;=Body!$AY$13,'Zdroj data'!N22&lt;=Body!$BA$13),Body!$AY$6,IF(AND('Zdroj data'!N22&gt;=Body!$BB$13,'Zdroj data'!N22&lt;=Body!$BD$13),Body!$BB$6,IF(AND('Zdroj data'!N22&gt;=Body!$BE$13,'Zdroj data'!N22&lt;=Body!$BG$13),Body!$BE$6,IF(AND('Zdroj data'!N22&gt;=Body!$BH$13,'Zdroj data'!N22&lt;=Body!$BJ$13),Body!$BH$6,IF(AND('Zdroj data'!N22&gt;=Body!$BK$13,'Zdroj data'!N22&lt;=Body!$BM$13),Body!$BK$6,IF(AND('Zdroj data'!N22&gt;=Body!$BN$13,'Zdroj data'!N22&lt;=Body!$BP$13),Body!$BN$6,IF(AND('Zdroj data'!N22&gt;=Body!$BQ$13,'Zdroj data'!N22&lt;=Body!$BS$13),Body!$BQ$6,IF(AND('Zdroj data'!N22&gt;=Body!$BT$13,'Zdroj data'!N22&lt;=Body!$BV$13),Body!$BT$6,IF(AND('Zdroj data'!N22&gt;=Body!$BW$13,'Zdroj data'!N22&lt;=Body!$BY$13),Body!$BW$6,IF('Zdroj data'!N22&gt;=Body!$CB$13,Body!$BZ$6," ")))))))))),IF(Tabulka1[[#This Row],[kv.ek.]]=Body!$AX$14,IF(AND('Zdroj data'!O22&gt;=Body!$AY$14,'Zdroj data'!O22&lt;=Body!$BA$14),Body!$AY$6,IF(AND('Zdroj data'!O22&gt;=Body!$BB$14,'Zdroj data'!O22&lt;=Body!$BD$14),Body!$BB$6,IF(AND('Zdroj data'!O22&gt;=Body!$BE$14,'Zdroj data'!O22&lt;=Body!$BG$14),Body!$BE$6,IF(AND('Zdroj data'!O22&gt;=Body!$BH$14,'Zdroj data'!O22&lt;=Body!$BJ$14),Body!$BH$6,IF(AND('Zdroj data'!O22&gt;=Body!$BK$14,'Zdroj data'!O22&lt;=Body!$BM$14),Body!$BK$6,IF(AND('Zdroj data'!O22&gt;=Body!$BN$14,'Zdroj data'!O22&lt;=Body!$BP$14),Body!$BN$6,IF(AND('Zdroj data'!O22&gt;=Body!$BQ$14,'Zdroj data'!O22&lt;=Body!$BS$14),Body!$BQ$6,IF(AND('Zdroj data'!O22&gt;=Body!$BT$14,'Zdroj data'!O22&lt;=Body!$BV$14),Body!$BT$6,IF(AND('Zdroj data'!O22&gt;=Body!$BW$14,'Zdroj data'!O22&lt;=Body!$BY$14),Body!$BW$6,IF('Zdroj data'!O22&gt;=Body!$CB$14,Body!$BZ$6," "))))))))))," "))</f>
        <v>1</v>
      </c>
      <c r="J22" s="264">
        <f t="shared" si="8"/>
        <v>5</v>
      </c>
      <c r="K22" s="264">
        <f t="shared" si="9"/>
        <v>3</v>
      </c>
      <c r="L22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6</v>
      </c>
      <c r="M22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22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5</v>
      </c>
      <c r="O22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5</v>
      </c>
      <c r="P22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22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22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22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22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22" s="264">
        <f>IF('Zdroj data'!BB22=Body!$AY$25,Body!$AY$22,IF('Zdroj data'!BB22=Body!$BB$25,Body!$BB$22,IF('Zdroj data'!BB22=Body!$BE$25,Body!$BE$22,IF('Zdroj data'!BB22=Body!$BH$25,Body!$BH$22,IF('Zdroj data'!BB22=Body!BK$25,Body!$BK$22,IF('Zdroj data'!BB22=Body!$BN$25,Body!$BN$22,IF('Zdroj data'!BB22=Body!$BQ$25,Body!$BQ$22,IF('Zdroj data'!BB22=Body!$BT$25,Body!$BT$22,IF('Zdroj data'!BB22=Body!$BW$25,Body!$BW$22,IF('Zdroj data'!BB22=Body!$BZ$25,Body!$BZ$22," "))))))))))</f>
        <v>5</v>
      </c>
      <c r="V22" s="264">
        <f>IF(AND('Zdroj data'!BO22&gt;Body!$AY$27,'Zdroj data'!BO22&lt;=Body!$BA$27),Body!$AY$22,IF(AND('Zdroj data'!BO22&gt;=Body!$BB$27,'Zdroj data'!BO22&lt;=Body!$BD$27),Body!$BB$22,IF(AND('Zdroj data'!BO22&gt;=Body!$BE$27,'Zdroj data'!BO22&lt;=Body!$BG$27),Body!$BE$22,IF(AND('Zdroj data'!BO22&gt;=Body!$BH$27,'Zdroj data'!BO22&lt;=Body!$BJ$27),Body!$BH$22,IF(AND('Zdroj data'!BO22&gt;=Body!$BK$27,'Zdroj data'!BO22&lt;=Body!$BM$27),Body!$BK$22,IF(AND('Zdroj data'!BO22&gt;=Body!$BN$27,'Zdroj data'!BO22&lt;=Body!$BP$27),Body!$BN$22,IF(AND('Zdroj data'!BO22&gt;=Body!$BQ$27,'Zdroj data'!BO22&lt;=Body!$BS$27),Body!$BQ$22,IF(AND('Zdroj data'!BO22&gt;=Body!$BT$27,'Zdroj data'!BO22&lt;=Body!$BV$27),Body!$BT$22,IF(AND('Zdroj data'!BO22&gt;=Body!$BW$27,'Zdroj data'!BO22&lt;=Body!$BY$27),Body!$BW$22,IF('Zdroj data'!BO22&gt;=Body!$CB$27,$BZ$22," "))))))))))</f>
        <v>8</v>
      </c>
      <c r="W22" s="264">
        <f>IF(AND('Zdroj data'!BP22&gt;Body!$AY$27,'Zdroj data'!BP22&lt;=Body!$BA$27),Body!$AY$22,IF(AND('Zdroj data'!BP22&gt;=Body!$BB$27,'Zdroj data'!BP22&lt;=Body!$BD$27),Body!$BB$22,IF(AND('Zdroj data'!BP22&gt;=Body!$BE$27,'Zdroj data'!BP22&lt;=Body!$BG$27),Body!$BE$22,IF(AND('Zdroj data'!BP22&gt;=Body!$BH$27,'Zdroj data'!BP22&lt;=Body!$BJ$27),Body!$BH$22,IF(AND('Zdroj data'!BP22&gt;=Body!$BK$27,'Zdroj data'!BP22&lt;=Body!$BM$27),Body!$BK$22,IF(AND('Zdroj data'!BP22&gt;=Body!$BN$27,'Zdroj data'!BP22&lt;=Body!$BP$27),Body!$BN$22,IF(AND('Zdroj data'!BP22&gt;=Body!$BQ$27,'Zdroj data'!BP22&lt;=Body!$BS$27),Body!$BQ$22,IF(AND('Zdroj data'!BP22&gt;=Body!$BT$27,'Zdroj data'!BP22&lt;=Body!$BV$27),Body!$BT$22,IF(AND('Zdroj data'!BP22&gt;=Body!$BW$27,'Zdroj data'!BP22&lt;=Body!$BY$27),Body!$BW$22,IF('Zdroj data'!BP22&gt;=Body!$CB$27,$BZ$22," "))))))))))</f>
        <v>6</v>
      </c>
      <c r="X22" s="264">
        <f>IF('Zdroj data'!BA22=Body!$BB$28,$BB$22,IF('Zdroj data'!BA22=Body!$BE$28,$BE$22,IF(OR('Zdroj data'!BA22=Body!$BK$28,'Zdroj data'!BA22=Body!$BL$28,'Zdroj data'!BA22=Body!$BM$28),$BK$22,IF(OR('Zdroj data'!BA22=Body!$BT$28,'Zdroj data'!BA22=Body!$BV$28),$BT$22,IF(OR('Zdroj data'!BA22=Body!$BW$28,'Zdroj data'!BA22=Body!$BY$28),$BW$22,IF('Zdroj data'!BA22=Body!$BZ$28,$BZ$22," "))))))</f>
        <v>5</v>
      </c>
      <c r="Y22" s="264">
        <f>IF('Zdroj data'!AZ22=Body!$BZ$29,Body!$BZ$22,IF(OR('Zdroj data'!AZ22=$BT$29,'Zdroj data'!AZ22=$BU$29,'Zdroj data'!AZ22=$BV$29),$BT$22,IF(OR('Zdroj data'!AZ22=$BK$29,'Zdroj data'!AZ22=$BM$29),$BK$22,IF(OR('Zdroj data'!AZ22=$BE$29,'Zdroj data'!AZ22=$BG$29),$BE$22,IF(OR('Zdroj data'!AZ22=$AY$29,'Zdroj data'!AZ22=$BA$29),$AY$22," ")))))</f>
        <v>8</v>
      </c>
      <c r="Z22" s="264">
        <f>IF(AND('Zdroj data'!BF22="T",(OR('Zdroj data'!AZ22=Body!$AW$45,'Zdroj data'!AZ22=Body!$AW$46,'Zdroj data'!AZ22=Body!$AW$47,'Zdroj data'!AZ22=Body!$AW$48))),Body!$AY$22,IF(AND('Zdroj data'!BF22="T",(OR('Zdroj data'!AZ22=$AW$49,'Zdroj data'!AZ22=$AW$50,'Zdroj data'!AZ22=$AW$51,'Zdroj data'!AZ22=$AW$52))),$BZ$22,IF(AND(OR('Zdroj data'!BF22="VT",'Zdroj data'!BF22="T",'Zdroj data'!BF22="CH"),(OR('Zdroj data'!AZ22=$AW$43,'Zdroj data'!AZ22=$AW$44,))),$BZ$22,IF(AND('Zdroj data'!BF22="CH",(OR('Zdroj data'!AZ22=$AW$49,'Zdroj data'!AZ22=$AW$50,'Zdroj data'!AZ22=$AW$51,'Zdroj data'!AZ22=$AW$52))),$AY$22,IF(AND('Zdroj data'!BF22="CH",(OR('Zdroj data'!AZ22=$AW$45,'Zdroj data'!AZ22=$AW$46,'Zdroj data'!AZ22=$AW$47,'Zdroj data'!AZ22=$AW$48))),$BZ$22," ")))))</f>
        <v>10</v>
      </c>
      <c r="AA22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22" s="264">
        <f>IF(Tabulka1[[#This Row],[kv.ek.]]=Body!$BK$35,Body!$BK$34,IF(Tabulka1[[#This Row],[kv.ek.]]=Body!$BZ$35,Body!$BZ$34," "))</f>
        <v>5</v>
      </c>
      <c r="AC22" s="264" t="str">
        <f>IF(AND('Zdroj data'!BF22="T",(OR('Zdroj data'!AZ22=Body!$AW$45,'Zdroj data'!AZ22=Body!$AW$46,'Zdroj data'!AZ22=Body!$AW$47,'Zdroj data'!AZ22=Body!$AW$48))),Body!$AY$22,IF(AND('Zdroj data'!BF22="T",(OR('Zdroj data'!AZ22=$AW$49,'Zdroj data'!AZ22=$AW$50,'Zdroj data'!AZ22=$AW$51,'Zdroj data'!AZ22=$AW$52))),$BZ$22," "))</f>
        <v xml:space="preserve"> </v>
      </c>
      <c r="AD22" s="264">
        <f>IF(AND(OR('Zdroj data'!BF22="VT",'Zdroj data'!BF22="T",'Zdroj data'!BF22="CH"),(OR('Zdroj data'!AZ22=$AW$43,'Zdroj data'!AZ22=$AW$44,))),$BZ$22," ")</f>
        <v>10</v>
      </c>
      <c r="AE22" s="264" t="str">
        <f>IF(AND('Zdroj data'!BF22="CH",(OR('Zdroj data'!AZ22=$AW$49,'Zdroj data'!AZ22=$AW$50,'Zdroj data'!AZ22=$AW$51,'Zdroj data'!AZ22=$AW$52))),$AY$22,IF(AND('Zdroj data'!BF22="CH",(OR('Zdroj data'!AZ22=$AW$45,'Zdroj data'!AZ22=$AW$46,'Zdroj data'!AZ22=$AW$47,'Zdroj data'!AZ22=$AW$48))),$BZ$22," "))</f>
        <v xml:space="preserve"> </v>
      </c>
      <c r="AF22" s="264">
        <f>IF(AND('Zdroj data'!BG22="L",'Zdroj data'!AM22=Body!$AX$15),IF(AND('Zdroj data'!O22&gt;=Body!$AY$15,'Zdroj data'!O22&lt;=Body!$BA$15),Body!AY$6,IF(AND('Zdroj data'!O22&gt;=Body!$BB$15,'Zdroj data'!O22&lt;=Body!$BD$15),Body!BB$6,IF(AND('Zdroj data'!O22&gt;=Body!$BE$15,'Zdroj data'!O22&lt;=Body!$BG$15),Body!BE$6,IF(AND('Zdroj data'!O22&gt;=Body!$BH$15,'Zdroj data'!O22&lt;=Body!$BJ$15),Body!BH$6,IF(AND('Zdroj data'!O22&gt;=Body!$BK$15,'Zdroj data'!O22&lt;=Body!$BM$15),Body!BK$6,IF(AND('Zdroj data'!O22&gt;=Body!$BN$15,'Zdroj data'!O22&lt;=Body!$BP$15),Body!$BN$6,IF(AND('Zdroj data'!O22&gt;=Body!$BQ$15,'Zdroj data'!O22&lt;=Body!$BS$15),Body!$BQ$6,IF(AND('Zdroj data'!O22&gt;=Body!$BT$15,'Zdroj data'!O22&lt;=Body!$BV$15),Body!BT$6,IF(AND('Zdroj data'!O22&gt;=Body!$BW$15,'Zdroj data'!O22&lt;=Body!$BY$15),Body!$BW$6,IF('Zdroj data'!O22&gt;=Body!$CB$15,Body!$BZ$6," ")))))))))),IF(AND('Zdroj data'!BG22="ST",'Zdroj data'!AM22=Body!$AX$16),IF(AND('Zdroj data'!O22&gt;=Body!$AY$16,'Zdroj data'!O22&lt;=Body!$BA$16),Body!$AY$6,IF(AND('Zdroj data'!O22&gt;=Body!$BB$16,'Zdroj data'!O22&lt;=Body!$BD$16),Body!$BB$6,IF(AND('Zdroj data'!O22&gt;=Body!$BE$16,'Zdroj data'!O22&lt;=Body!$BG$16),Body!$BE$6,IF(AND('Zdroj data'!O22&gt;=Body!$BH$16,'Zdroj data'!O22&lt;=Body!$BJ$16),Body!$BH$6,IF(AND('Zdroj data'!O22&gt;=Body!$BK$16,'Zdroj data'!O22&lt;=Body!$BM$16),Body!$BK$6,IF(AND('Zdroj data'!O22&gt;=Body!$BN$16,'Zdroj data'!O22&lt;=Body!$BP$16),Body!$BN$6,IF(AND('Zdroj data'!O22&gt;=Body!$BQ$16,'Zdroj data'!O22&lt;=Body!$BS$16),Body!$BQ$6,IF(AND('Zdroj data'!O22&gt;=Body!$BT$16,'Zdroj data'!O22&lt;=Body!$BV$16),Body!$BT$6,IF(AND('Zdroj data'!O22&gt;=Body!$BW$16,'Zdroj data'!O22&lt;=Body!$BY$16),Body!$BW$6,IF('Zdroj data'!O22&gt;=Body!$CB$16,Body!$BZ$6," ")))))))))),IF(AND('Zdroj data'!BG22="T",'Zdroj data'!AM22=Body!$AX$17),IF(AND('Zdroj data'!O22&gt;=Body!$AY$17,'Zdroj data'!O22&lt;=Body!$BA$17),Body!$AY$6,IF(AND('Zdroj data'!O22&gt;=Body!$BB$17,'Zdroj data'!O22&lt;=Body!$BD$17),Body!$BB$6,IF(AND('Zdroj data'!O22&gt;=Body!$BE$17,'Zdroj data'!O22&lt;=Body!$BG$17),Body!$BE$6,IF(AND('Zdroj data'!O22&gt;=Body!$BH$17,'Zdroj data'!O22&lt;=Body!BJ36),Body!$BH$6,IF(AND('Zdroj data'!O22&gt;=Body!$BK$17,'Zdroj data'!O22&lt;=Body!$BM$17),Body!$BK$6,IF(AND('Zdroj data'!O22&gt;=Body!$BN$17,'Zdroj data'!O22&lt;=Body!$BP$17),Body!$BN$6,IF(AND('Zdroj data'!O22&gt;=Body!$BQ$17,'Zdroj data'!O22&lt;=Body!$BS$17),Body!$BQ$6,IF(AND('Zdroj data'!O22&gt;=Body!$BT$17,'Zdroj data'!O22&lt;=Body!$BV$17),Body!$BT$6,IF(AND('Zdroj data'!O22&gt;=Body!$BW$17,'Zdroj data'!O22&lt;=Body!$BY$17),Body!$BW$6,IF('Zdroj data'!O22&gt;=Body!$CB$17,Body!$BZ$6," "))))))))))," ")))</f>
        <v>5</v>
      </c>
      <c r="AG22" s="264">
        <f>IF(AND('Zdroj data'!$BG22="L",'Zdroj data'!$AM22=Body!$AX$15),IF(AND(Tabulka1[[#This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data'!$BG22="ST",'Zdroj data'!$AM22=Body!$AX$16),IF(AND(Tabulka1[[#This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data'!$BG22="T",'Zdroj data'!$AM22=Body!$AX$17),IF(AND(Tabulka1[[#This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Row],[K2O_60]]&lt;=Body!BJ36),Body!$BH$6,IF(AND(Tabulka1[[#This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3</v>
      </c>
      <c r="AH22" s="264" t="str">
        <f>IF(AND('Zdroj data'!BG22="L",'Zdroj data'!AM22=Body!$AX$18),IF(AND('Zdroj data'!O22&gt;=Body!$AY$18,'Zdroj data'!O22&lt;=Body!$BA$18),Body!AY$6,IF(AND('Zdroj data'!O22&gt;=Body!$BB$18,'Zdroj data'!O22&lt;=Body!$BD$18),Body!BB$6,IF(AND('Zdroj data'!O22&gt;=Body!$BE$18,'Zdroj data'!O22&lt;=Body!$BG$18),Body!BE$6,IF(AND('Zdroj data'!O22&gt;=Body!$BH$18,'Zdroj data'!O22&lt;=Body!$BJ$18),Body!BH$6,IF(AND('Zdroj data'!O22&gt;=Body!$BK$18,'Zdroj data'!O22&lt;=Body!$BM$18),Body!$BK$6,IF(AND('Zdroj data'!O22&gt;=Body!$BN$18,'Zdroj data'!O22&lt;=Body!$BP$18),Body!BN$6,IF(AND('Zdroj data'!O22&gt;=Body!$BQ$18,'Zdroj data'!O22&lt;=Body!$BS$18),Body!$BQ$6,IF(AND('Zdroj data'!O22&gt;=Body!$BT$18,'Zdroj data'!O22&lt;=Body!$BV$18),Body!$BT$6,IF(AND('Zdroj data'!O22&gt;=Body!$BW$18,'Zdroj data'!O22&lt;=Body!$BY$18),Body!$BW$6,IF('Zdroj data'!O22&gt;=Body!$CB$18,Body!$BZ$6," ")))))))))),IF(AND('Zdroj data'!BG22="ST",'Zdroj data'!AM22=Body!$AX$19),IF(AND('Zdroj data'!O22&gt;=Body!$AY$19,'Zdroj data'!O22&lt;=Body!$BA$19),Body!$AY$6,IF(AND('Zdroj data'!O22&gt;=Body!$BB$19,'Zdroj data'!O22&lt;=Body!$BD$19),Body!$BB$6,IF(AND('Zdroj data'!O22&gt;=Body!$BE$19,'Zdroj data'!O22&lt;=Body!$BG$19),Body!$BE$6,IF(AND('Zdroj data'!O22&gt;=Body!$BH$19,'Zdroj data'!O22&lt;=Body!$BJ$19),Body!$BH$6,IF(AND('Zdroj data'!O22&gt;=Body!$BK$19,'Zdroj data'!O22&lt;=Body!$BM$19),Body!$BK$6,IF(AND('Zdroj data'!O22&gt;=Body!$BN$19,'Zdroj data'!O22&lt;=Body!$BP$19),Body!$BN$6,IF(AND('Zdroj data'!O22&gt;=Body!$BQ$19,'Zdroj data'!O22&lt;=Body!$BS$19),Body!$BQ$6,IF(AND('Zdroj data'!O22&gt;=Body!$BT$19,'Zdroj data'!O26&lt;=Body!$BV$19),Body!$BT$6,IF(AND('Zdroj data'!O22&gt;=Body!$BW$19,'Zdroj data'!O22&lt;=Body!$BY$19),Body!$BW$6,IF('Zdroj data'!O22&gt;=Body!$CB$19,Body!$BZ$6," ")))))))))),IF(AND('Zdroj data'!BG22="T",'Zdroj data'!AM22=Body!$AX$20),IF(AND('Zdroj data'!O22&gt;=Body!$AY$20,'Zdroj data'!O22&lt;=Body!$BA$20),Body!$AY$6,IF(AND('Zdroj data'!O22&gt;=Body!$BB$20,'Zdroj data'!O22&lt;=Body!$BD$20),Body!$BB$6,IF(AND('Zdroj data'!O22&gt;=Body!$BE$20,'Zdroj data'!O22&lt;=Body!$BG$20),Body!$BE$6,IF(AND('Zdroj data'!O22&gt;=Body!$BH$20,'Zdroj data'!O22&lt;=Body!$BJ$20),Body!$BH$6,IF(AND('Zdroj data'!O22&gt;=Body!$BK$20,'Zdroj data'!O22&lt;=Body!$BM$20),Body!$BK$6,IF(AND('Zdroj data'!O22&gt;=Body!$BN$20,'Zdroj data'!O22&lt;=Body!$BP$20),Body!$BN$6,IF(AND('Zdroj data'!O22&gt;=Body!$BQ$20,'Zdroj data'!O22&lt;=Body!$BS$20),Body!$BQ$6,IF(AND('Zdroj data'!O22&gt;=Body!$BT$20,'Zdroj data'!O22&lt;=Body!BV39),Body!$BT$6,IF(AND('Zdroj data'!O22&gt;=Body!$BW$20,'Zdroj data'!O22&lt;=Body!$BY$20),Body!$BW$6,IF('Zdroj data'!O22&gt;=Body!$CB$20,Body!$BZ$6," "))))))))))," ")))</f>
        <v xml:space="preserve"> </v>
      </c>
      <c r="AI22" s="264" t="str">
        <f>IF(AND('Zdroj data'!$BG22="L",'Zdroj data'!$AM22=Body!$AX$18),IF(AND(Tabulka1[[#This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data'!$BG22="ST",'Zdroj data'!$AM22=Body!$AX$19),IF(AND(Tabulka1[[#This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data'!$BG22="T",'Zdroj data'!$AM22=Body!$AX$20),IF(AND(Tabulka1[[#This Row],[K2O_60]]&gt;=Body!$AY$20,'Zdroj data'!O22&lt;=Body!$BA$20),Body!$AY$6,IF(AND(Tabulka1[[#This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Row],[K2O_60]]&lt;=Body!BV39),Body!$BT$6,IF(AND(Tabulka1[[#This Row],[K2O_60]]&gt;=Body!$BW$20,Tabulka1[[#This Row],[K2O_60]]&lt;=Body!$BY$20),Body!$BW$6,IF(Tabulka1[[#This Row],[K2O_60]]&gt;=Body!$CB$20,Body!$BZ$6," "))))))))))," ")))</f>
        <v xml:space="preserve"> </v>
      </c>
      <c r="AJ22" s="265">
        <f t="shared" ref="AJ22:AJ67" si="10">(AA22*$AV$36+AB22*$AV$35)*16*$AT$35*2</f>
        <v>14.666666666666682</v>
      </c>
      <c r="AK22" s="264">
        <f t="shared" si="3"/>
        <v>29.260320184625179</v>
      </c>
      <c r="AL22" s="264">
        <f t="shared" si="4"/>
        <v>24.82091795620104</v>
      </c>
      <c r="AM22" s="264">
        <f t="shared" si="5"/>
        <v>73.087576040991991</v>
      </c>
      <c r="AN22" s="264">
        <f t="shared" si="6"/>
        <v>66.084765669512024</v>
      </c>
      <c r="AO22" s="265">
        <f t="shared" si="0"/>
        <v>102.34789622561718</v>
      </c>
      <c r="AP22" s="265">
        <f t="shared" si="1"/>
        <v>90.905683625713067</v>
      </c>
      <c r="AQ22" s="318"/>
      <c r="AR22" s="338">
        <f t="shared" si="7"/>
        <v>207.92024651799693</v>
      </c>
      <c r="AS22" s="318"/>
      <c r="AT22" s="454"/>
      <c r="AU22" s="155" t="s">
        <v>917</v>
      </c>
      <c r="AV22" s="153" t="s">
        <v>914</v>
      </c>
      <c r="AW22" s="63" t="s">
        <v>842</v>
      </c>
      <c r="AX22" s="26"/>
      <c r="AY22" s="461">
        <v>1</v>
      </c>
      <c r="AZ22" s="462"/>
      <c r="BA22" s="463"/>
      <c r="BB22" s="461">
        <v>2</v>
      </c>
      <c r="BC22" s="462"/>
      <c r="BD22" s="463"/>
      <c r="BE22" s="461">
        <v>3</v>
      </c>
      <c r="BF22" s="462"/>
      <c r="BG22" s="463"/>
      <c r="BH22" s="461">
        <v>4</v>
      </c>
      <c r="BI22" s="462"/>
      <c r="BJ22" s="463"/>
      <c r="BK22" s="461">
        <v>5</v>
      </c>
      <c r="BL22" s="462"/>
      <c r="BM22" s="463"/>
      <c r="BN22" s="461">
        <v>6</v>
      </c>
      <c r="BO22" s="462"/>
      <c r="BP22" s="463"/>
      <c r="BQ22" s="461">
        <v>7</v>
      </c>
      <c r="BR22" s="462"/>
      <c r="BS22" s="463"/>
      <c r="BT22" s="461">
        <v>8</v>
      </c>
      <c r="BU22" s="462"/>
      <c r="BV22" s="463"/>
      <c r="BW22" s="461">
        <v>9</v>
      </c>
      <c r="BX22" s="462"/>
      <c r="BY22" s="463"/>
      <c r="BZ22" s="461">
        <v>10</v>
      </c>
      <c r="CA22" s="462"/>
      <c r="CB22" s="463"/>
    </row>
    <row r="23" spans="1:81" ht="15.5" x14ac:dyDescent="0.35">
      <c r="A23" s="270">
        <v>863</v>
      </c>
      <c r="B23" s="156" t="s">
        <v>120</v>
      </c>
      <c r="C23" s="250" t="str">
        <f>VLOOKUP(B23,'Zdroj hloubka okresy'!$A$2:$D$171,2,FALSE)</f>
        <v>Pribram</v>
      </c>
      <c r="D23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23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23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23" s="264">
        <f>IF(AND(Tabulka1[[#This Row],[hum_60]]&gt;AY29,Tabulka1[[#This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23" s="264">
        <f>IF(Tabulka1[[#This Row],[kv.ek.]]=Body!$AX$13,IF(AND('Zdroj data'!M23&gt;=Body!$AY$13,'Zdroj data'!M23&lt;=Body!$BA$13),Body!$AY$6,IF(AND('Zdroj data'!M23&gt;=Body!$BB$13,'Zdroj data'!M23&lt;=Body!$BD$13),Body!$BB$6,IF(AND('Zdroj data'!M23&gt;=Body!$BE$13,'Zdroj data'!M23&lt;=Body!$BG$13),Body!$BE$6,IF(AND('Zdroj data'!M23&gt;=Body!$BH$13,'Zdroj data'!M23&lt;=Body!$BJ$13),Body!$BH$6,IF(AND('Zdroj data'!M23&gt;=Body!$BK$13,'Zdroj data'!M23&lt;=Body!$BM$13),Body!$BK$6,IF(AND('Zdroj data'!M23&gt;=Body!$BN$13,'Zdroj data'!M23&lt;=Body!$BP$13),Body!$BN$6,IF(AND('Zdroj data'!M23&gt;=Body!$BQ$13,'Zdroj data'!M23&lt;=Body!$BS$13),Body!$BQ$6,IF(AND('Zdroj data'!M23&gt;=Body!$BT$13,'Zdroj data'!M23&lt;=Body!$BV$13),Body!$BT$6,IF(AND('Zdroj data'!M23&gt;=Body!$BW$13,'Zdroj data'!M23&lt;=Body!$BY$13),Body!$BW$6,IF('Zdroj data'!M23&gt;=Body!$CB$13,Body!$BZ$6,"")))))))))),IF(Tabulka1[[#This Row],[kv.ek.]]=Body!$AX$14,IF(AND('Zdroj data'!N23&gt;=Body!$AY$14,'Zdroj data'!N23&lt;=Body!$BA$14),Body!$AY$6,IF(AND('Zdroj data'!N23&gt;=Body!$BB$14,'Zdroj data'!N23&lt;=Body!$BD$14),Body!$BB$6,IF(AND('Zdroj data'!N23&gt;=Body!$BE$14,'Zdroj data'!N23&lt;=Body!$BG$14),Body!$BE$6,IF(AND('Zdroj data'!N23&gt;=Body!$BH$14,'Zdroj data'!N23&lt;=Body!$BJ$14),Body!$BH$6,IF(AND('Zdroj data'!N23&gt;=Body!$BK$14,'Zdroj data'!N23&lt;=Body!$BM$14),Body!$BK$6,IF(AND('Zdroj data'!N23&gt;=Body!$BN$14,'Zdroj data'!N23&lt;=Body!$BP$14),Body!$BN$6,IF(AND('Zdroj data'!N23&gt;=Body!$BQ$14,'Zdroj data'!N23&lt;=Body!$BS$14),Body!$BQ$6,IF(AND('Zdroj data'!N23&gt;=Body!$BT$14,'Zdroj data'!N23&lt;=Body!$BV$14),Body!$BT$6,IF(AND('Zdroj data'!N23&gt;=Body!$BW$14,'Zdroj data'!N23&lt;=Body!$BY$14),Body!$BW$6,IF('Zdroj data'!N23&gt;=Body!$CB$14,Body!$BZ$6,"")))))))))),""))</f>
        <v>1</v>
      </c>
      <c r="I23" s="264">
        <f>IF(Tabulka1[[#This Row],[kv.ek.]]=Body!$AX$13,IF(AND('Zdroj data'!N23&gt;=Body!$AY$13,'Zdroj data'!N23&lt;=Body!$BA$13),Body!$AY$6,IF(AND('Zdroj data'!N23&gt;=Body!$BB$13,'Zdroj data'!N23&lt;=Body!$BD$13),Body!$BB$6,IF(AND('Zdroj data'!N23&gt;=Body!$BE$13,'Zdroj data'!N23&lt;=Body!$BG$13),Body!$BE$6,IF(AND('Zdroj data'!N23&gt;=Body!$BH$13,'Zdroj data'!N23&lt;=Body!$BJ$13),Body!$BH$6,IF(AND('Zdroj data'!N23&gt;=Body!$BK$13,'Zdroj data'!N23&lt;=Body!$BM$13),Body!$BK$6,IF(AND('Zdroj data'!N23&gt;=Body!$BN$13,'Zdroj data'!N23&lt;=Body!$BP$13),Body!$BN$6,IF(AND('Zdroj data'!N23&gt;=Body!$BQ$13,'Zdroj data'!N23&lt;=Body!$BS$13),Body!$BQ$6,IF(AND('Zdroj data'!N23&gt;=Body!$BT$13,'Zdroj data'!N23&lt;=Body!$BV$13),Body!$BT$6,IF(AND('Zdroj data'!N23&gt;=Body!$BW$13,'Zdroj data'!N23&lt;=Body!$BY$13),Body!$BW$6,IF('Zdroj data'!N23&gt;=Body!$CB$13,Body!$BZ$6," ")))))))))),IF(Tabulka1[[#This Row],[kv.ek.]]=Body!$AX$14,IF(AND('Zdroj data'!O23&gt;=Body!$AY$14,'Zdroj data'!O23&lt;=Body!$BA$14),Body!$AY$6,IF(AND('Zdroj data'!O23&gt;=Body!$BB$14,'Zdroj data'!O23&lt;=Body!$BD$14),Body!$BB$6,IF(AND('Zdroj data'!O23&gt;=Body!$BE$14,'Zdroj data'!O23&lt;=Body!$BG$14),Body!$BE$6,IF(AND('Zdroj data'!O23&gt;=Body!$BH$14,'Zdroj data'!O23&lt;=Body!$BJ$14),Body!$BH$6,IF(AND('Zdroj data'!O23&gt;=Body!$BK$14,'Zdroj data'!O23&lt;=Body!$BM$14),Body!$BK$6,IF(AND('Zdroj data'!O23&gt;=Body!$BN$14,'Zdroj data'!O23&lt;=Body!$BP$14),Body!$BN$6,IF(AND('Zdroj data'!O23&gt;=Body!$BQ$14,'Zdroj data'!O23&lt;=Body!$BS$14),Body!$BQ$6,IF(AND('Zdroj data'!O23&gt;=Body!$BT$14,'Zdroj data'!O23&lt;=Body!$BV$14),Body!$BT$6,IF(AND('Zdroj data'!O23&gt;=Body!$BW$14,'Zdroj data'!O23&lt;=Body!$BY$14),Body!$BW$6,IF('Zdroj data'!O23&gt;=Body!$CB$14,Body!$BZ$6," "))))))))))," "))</f>
        <v>7</v>
      </c>
      <c r="J23" s="264">
        <f t="shared" si="8"/>
        <v>2</v>
      </c>
      <c r="K23" s="264">
        <f t="shared" si="9"/>
        <v>2</v>
      </c>
      <c r="L23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23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23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5</v>
      </c>
      <c r="O23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6</v>
      </c>
      <c r="P23" s="264">
        <f>IF(Tabulka1[[#This Row],[RVK]]=Body!$BE$10,Body!$BE$6,IF(Tabulka1[[#This Row],[RVK]]=Body!$BK$10,Body!$BK$6,IF(Tabulka1[[#This Row],[RVK]]=Body!$BN$10,Body!$BN$6,IF(Tabulka1[[#This Row],[RVK]]=Body!$BZ$10,Body!$BZ$6," "))))</f>
        <v>10</v>
      </c>
      <c r="Q23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23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23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9</v>
      </c>
      <c r="T23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23" s="264">
        <f>IF('Zdroj data'!BB23=Body!$AY$25,Body!$AY$22,IF('Zdroj data'!BB23=Body!$BB$25,Body!$BB$22,IF('Zdroj data'!BB23=Body!$BE$25,Body!$BE$22,IF('Zdroj data'!BB23=Body!$BH$25,Body!$BH$22,IF('Zdroj data'!BB23=Body!BK$25,Body!$BK$22,IF('Zdroj data'!BB23=Body!$BN$25,Body!$BN$22,IF('Zdroj data'!BB23=Body!$BQ$25,Body!$BQ$22,IF('Zdroj data'!BB23=Body!$BT$25,Body!$BT$22,IF('Zdroj data'!BB23=Body!$BW$25,Body!$BW$22,IF('Zdroj data'!BB23=Body!$BZ$25,Body!$BZ$22," "))))))))))</f>
        <v>5</v>
      </c>
      <c r="V23" s="264">
        <f>IF(AND('Zdroj data'!BO23&gt;Body!$AY$27,'Zdroj data'!BO23&lt;=Body!$BA$27),Body!$AY$22,IF(AND('Zdroj data'!BO23&gt;=Body!$BB$27,'Zdroj data'!BO23&lt;=Body!$BD$27),Body!$BB$22,IF(AND('Zdroj data'!BO23&gt;=Body!$BE$27,'Zdroj data'!BO23&lt;=Body!$BG$27),Body!$BE$22,IF(AND('Zdroj data'!BO23&gt;=Body!$BH$27,'Zdroj data'!BO23&lt;=Body!$BJ$27),Body!$BH$22,IF(AND('Zdroj data'!BO23&gt;=Body!$BK$27,'Zdroj data'!BO23&lt;=Body!$BM$27),Body!$BK$22,IF(AND('Zdroj data'!BO23&gt;=Body!$BN$27,'Zdroj data'!BO23&lt;=Body!$BP$27),Body!$BN$22,IF(AND('Zdroj data'!BO23&gt;=Body!$BQ$27,'Zdroj data'!BO23&lt;=Body!$BS$27),Body!$BQ$22,IF(AND('Zdroj data'!BO23&gt;=Body!$BT$27,'Zdroj data'!BO23&lt;=Body!$BV$27),Body!$BT$22,IF(AND('Zdroj data'!BO23&gt;=Body!$BW$27,'Zdroj data'!BO23&lt;=Body!$BY$27),Body!$BW$22,IF('Zdroj data'!BO23&gt;=Body!$CB$27,$BZ$22," "))))))))))</f>
        <v>5</v>
      </c>
      <c r="W23" s="264">
        <f>IF(AND('Zdroj data'!BP23&gt;Body!$AY$27,'Zdroj data'!BP23&lt;=Body!$BA$27),Body!$AY$22,IF(AND('Zdroj data'!BP23&gt;=Body!$BB$27,'Zdroj data'!BP23&lt;=Body!$BD$27),Body!$BB$22,IF(AND('Zdroj data'!BP23&gt;=Body!$BE$27,'Zdroj data'!BP23&lt;=Body!$BG$27),Body!$BE$22,IF(AND('Zdroj data'!BP23&gt;=Body!$BH$27,'Zdroj data'!BP23&lt;=Body!$BJ$27),Body!$BH$22,IF(AND('Zdroj data'!BP23&gt;=Body!$BK$27,'Zdroj data'!BP23&lt;=Body!$BM$27),Body!$BK$22,IF(AND('Zdroj data'!BP23&gt;=Body!$BN$27,'Zdroj data'!BP23&lt;=Body!$BP$27),Body!$BN$22,IF(AND('Zdroj data'!BP23&gt;=Body!$BQ$27,'Zdroj data'!BP23&lt;=Body!$BS$27),Body!$BQ$22,IF(AND('Zdroj data'!BP23&gt;=Body!$BT$27,'Zdroj data'!BP23&lt;=Body!$BV$27),Body!$BT$22,IF(AND('Zdroj data'!BP23&gt;=Body!$BW$27,'Zdroj data'!BP23&lt;=Body!$BY$27),Body!$BW$22,IF('Zdroj data'!BP23&gt;=Body!$CB$27,$BZ$22," "))))))))))</f>
        <v>6</v>
      </c>
      <c r="X23" s="264">
        <f>IF('Zdroj data'!BA23=Body!$BB$28,$BB$22,IF('Zdroj data'!BA23=Body!$BE$28,$BE$22,IF(OR('Zdroj data'!BA23=Body!$BK$28,'Zdroj data'!BA23=Body!$BL$28,'Zdroj data'!BA23=Body!$BM$28),$BK$22,IF(OR('Zdroj data'!BA23=Body!$BT$28,'Zdroj data'!BA23=Body!$BV$28),$BT$22,IF(OR('Zdroj data'!BA23=Body!$BW$28,'Zdroj data'!BA23=Body!$BY$28),$BW$22,IF('Zdroj data'!BA23=Body!$BZ$28,$BZ$22," "))))))</f>
        <v>8</v>
      </c>
      <c r="Y23" s="264">
        <f>IF('Zdroj data'!AZ23=Body!$BZ$29,Body!$BZ$22,IF(OR('Zdroj data'!AZ23=$BT$29,'Zdroj data'!AZ23=$BU$29,'Zdroj data'!AZ23=$BV$29),$BT$22,IF(OR('Zdroj data'!AZ23=$BK$29,'Zdroj data'!AZ23=$BM$29),$BK$22,IF(OR('Zdroj data'!AZ23=$BE$29,'Zdroj data'!AZ23=$BG$29),$BE$22,IF(OR('Zdroj data'!AZ23=$AY$29,'Zdroj data'!AZ23=$BA$29),$AY$22," ")))))</f>
        <v>5</v>
      </c>
      <c r="Z23" s="264">
        <f>IF(AND('Zdroj data'!BF23="T",(OR('Zdroj data'!AZ23=Body!$AW$45,'Zdroj data'!AZ23=Body!$AW$46,'Zdroj data'!AZ23=Body!$AW$47,'Zdroj data'!AZ23=Body!$AW$48))),Body!$AY$22,IF(AND('Zdroj data'!BF23="T",(OR('Zdroj data'!AZ23=$AW$49,'Zdroj data'!AZ23=$AW$50,'Zdroj data'!AZ23=$AW$51,'Zdroj data'!AZ23=$AW$52))),$BZ$22,IF(AND(OR('Zdroj data'!BF23="VT",'Zdroj data'!BF23="T",'Zdroj data'!BF23="CH"),(OR('Zdroj data'!AZ23=$AW$43,'Zdroj data'!AZ23=$AW$44,))),$BZ$22,IF(AND('Zdroj data'!BF23="CH",(OR('Zdroj data'!AZ23=$AW$49,'Zdroj data'!AZ23=$AW$50,'Zdroj data'!AZ23=$AW$51,'Zdroj data'!AZ23=$AW$52))),$AY$22,IF(AND('Zdroj data'!BF23="CH",(OR('Zdroj data'!AZ23=$AW$45,'Zdroj data'!AZ23=$AW$46,'Zdroj data'!AZ23=$AW$47,'Zdroj data'!AZ23=$AW$48))),$BZ$22," ")))))</f>
        <v>1</v>
      </c>
      <c r="AA23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23" s="264">
        <f>IF(Tabulka1[[#This Row],[kv.ek.]]=Body!$BK$35,Body!$BK$34,IF(Tabulka1[[#This Row],[kv.ek.]]=Body!$BZ$35,Body!$BZ$34," "))</f>
        <v>10</v>
      </c>
      <c r="AC23" s="264">
        <f>IF(AND('Zdroj data'!BF23="T",(OR('Zdroj data'!AZ23=Body!$AW$45,'Zdroj data'!AZ23=Body!$AW$46,'Zdroj data'!AZ23=Body!$AW$47,'Zdroj data'!AZ23=Body!$AW$48))),Body!$AY$22,IF(AND('Zdroj data'!BF23="T",(OR('Zdroj data'!AZ23=$AW$49,'Zdroj data'!AZ23=$AW$50,'Zdroj data'!AZ23=$AW$51,'Zdroj data'!AZ23=$AW$52))),$BZ$22," "))</f>
        <v>1</v>
      </c>
      <c r="AD23" s="264" t="str">
        <f>IF(AND(OR('Zdroj data'!BF23="VT",'Zdroj data'!BF23="T",'Zdroj data'!BF23="CH"),(OR('Zdroj data'!AZ23=$AW$43,'Zdroj data'!AZ23=$AW$44,))),$BZ$22," ")</f>
        <v xml:space="preserve"> </v>
      </c>
      <c r="AE23" s="264" t="str">
        <f>IF(AND('Zdroj data'!BF23="CH",(OR('Zdroj data'!AZ23=$AW$49,'Zdroj data'!AZ23=$AW$50,'Zdroj data'!AZ23=$AW$51,'Zdroj data'!AZ23=$AW$52))),$AY$22,IF(AND('Zdroj data'!BF23="CH",(OR('Zdroj data'!AZ23=$AW$45,'Zdroj data'!AZ23=$AW$46,'Zdroj data'!AZ23=$AW$47,'Zdroj data'!AZ23=$AW$48))),$BZ$22," "))</f>
        <v xml:space="preserve"> </v>
      </c>
      <c r="AF23" s="264" t="str">
        <f>IF(AND('Zdroj data'!BG23="L",'Zdroj data'!AM23=Body!$AX$15),IF(AND('Zdroj data'!O23&gt;=Body!$AY$15,'Zdroj data'!O23&lt;=Body!$BA$15),Body!AY$6,IF(AND('Zdroj data'!O23&gt;=Body!$BB$15,'Zdroj data'!O23&lt;=Body!$BD$15),Body!BB$6,IF(AND('Zdroj data'!O23&gt;=Body!$BE$15,'Zdroj data'!O23&lt;=Body!$BG$15),Body!BE$6,IF(AND('Zdroj data'!O23&gt;=Body!$BH$15,'Zdroj data'!O23&lt;=Body!$BJ$15),Body!BH$6,IF(AND('Zdroj data'!O23&gt;=Body!$BK$15,'Zdroj data'!O23&lt;=Body!$BM$15),Body!BK$6,IF(AND('Zdroj data'!O23&gt;=Body!$BN$15,'Zdroj data'!O23&lt;=Body!$BP$15),Body!$BN$6,IF(AND('Zdroj data'!O23&gt;=Body!$BQ$15,'Zdroj data'!O23&lt;=Body!$BS$15),Body!$BQ$6,IF(AND('Zdroj data'!O23&gt;=Body!$BT$15,'Zdroj data'!O23&lt;=Body!$BV$15),Body!BT$6,IF(AND('Zdroj data'!O23&gt;=Body!$BW$15,'Zdroj data'!O23&lt;=Body!$BY$15),Body!$BW$6,IF('Zdroj data'!O23&gt;=Body!$CB$15,Body!$BZ$6," ")))))))))),IF(AND('Zdroj data'!BG23="ST",'Zdroj data'!AM23=Body!$AX$16),IF(AND('Zdroj data'!O23&gt;=Body!$AY$16,'Zdroj data'!O23&lt;=Body!$BA$16),Body!$AY$6,IF(AND('Zdroj data'!O23&gt;=Body!$BB$16,'Zdroj data'!O23&lt;=Body!$BD$16),Body!$BB$6,IF(AND('Zdroj data'!O23&gt;=Body!$BE$16,'Zdroj data'!O23&lt;=Body!$BG$16),Body!$BE$6,IF(AND('Zdroj data'!O23&gt;=Body!$BH$16,'Zdroj data'!O23&lt;=Body!$BJ$16),Body!$BH$6,IF(AND('Zdroj data'!O23&gt;=Body!$BK$16,'Zdroj data'!O23&lt;=Body!$BM$16),Body!$BK$6,IF(AND('Zdroj data'!O23&gt;=Body!$BN$16,'Zdroj data'!O23&lt;=Body!$BP$16),Body!$BN$6,IF(AND('Zdroj data'!O23&gt;=Body!$BQ$16,'Zdroj data'!O23&lt;=Body!$BS$16),Body!$BQ$6,IF(AND('Zdroj data'!O23&gt;=Body!$BT$16,'Zdroj data'!O23&lt;=Body!$BV$16),Body!$BT$6,IF(AND('Zdroj data'!O23&gt;=Body!$BW$16,'Zdroj data'!O23&lt;=Body!$BY$16),Body!$BW$6,IF('Zdroj data'!O23&gt;=Body!$CB$16,Body!$BZ$6," ")))))))))),IF(AND('Zdroj data'!BG23="T",'Zdroj data'!AM23=Body!$AX$17),IF(AND('Zdroj data'!O23&gt;=Body!$AY$17,'Zdroj data'!O23&lt;=Body!$BA$17),Body!$AY$6,IF(AND('Zdroj data'!O23&gt;=Body!$BB$17,'Zdroj data'!O23&lt;=Body!$BD$17),Body!$BB$6,IF(AND('Zdroj data'!O23&gt;=Body!$BE$17,'Zdroj data'!O23&lt;=Body!$BG$17),Body!$BE$6,IF(AND('Zdroj data'!O23&gt;=Body!$BH$17,'Zdroj data'!O23&lt;=Body!BJ37),Body!$BH$6,IF(AND('Zdroj data'!O23&gt;=Body!$BK$17,'Zdroj data'!O23&lt;=Body!$BM$17),Body!$BK$6,IF(AND('Zdroj data'!O23&gt;=Body!$BN$17,'Zdroj data'!O23&lt;=Body!$BP$17),Body!$BN$6,IF(AND('Zdroj data'!O23&gt;=Body!$BQ$17,'Zdroj data'!O23&lt;=Body!$BS$17),Body!$BQ$6,IF(AND('Zdroj data'!O23&gt;=Body!$BT$17,'Zdroj data'!O23&lt;=Body!$BV$17),Body!$BT$6,IF(AND('Zdroj data'!O23&gt;=Body!$BW$17,'Zdroj data'!O23&lt;=Body!$BY$17),Body!$BW$6,IF('Zdroj data'!O23&gt;=Body!$CB$17,Body!$BZ$6," "))))))))))," ")))</f>
        <v xml:space="preserve"> </v>
      </c>
      <c r="AG23" s="264" t="str">
        <f>IF(AND('Zdroj data'!$BG23="L",'Zdroj data'!$AM23=Body!$AX$15),IF(AND(Tabulka1[[#This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data'!$BG23="ST",'Zdroj data'!$AM23=Body!$AX$16),IF(AND(Tabulka1[[#This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data'!$BG23="T",'Zdroj data'!$AM23=Body!$AX$17),IF(AND(Tabulka1[[#This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Row],[K2O_60]]&lt;=Body!BJ37),Body!$BH$6,IF(AND(Tabulka1[[#This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23" s="264">
        <f>IF(AND('Zdroj data'!BG23="L",'Zdroj data'!AM23=Body!$AX$18),IF(AND('Zdroj data'!O23&gt;=Body!$AY$18,'Zdroj data'!O23&lt;=Body!$BA$18),Body!AY$6,IF(AND('Zdroj data'!O23&gt;=Body!$BB$18,'Zdroj data'!O23&lt;=Body!$BD$18),Body!BB$6,IF(AND('Zdroj data'!O23&gt;=Body!$BE$18,'Zdroj data'!O23&lt;=Body!$BG$18),Body!BE$6,IF(AND('Zdroj data'!O23&gt;=Body!$BH$18,'Zdroj data'!O23&lt;=Body!$BJ$18),Body!BH$6,IF(AND('Zdroj data'!O23&gt;=Body!$BK$18,'Zdroj data'!O23&lt;=Body!$BM$18),Body!$BK$6,IF(AND('Zdroj data'!O23&gt;=Body!$BN$18,'Zdroj data'!O23&lt;=Body!$BP$18),Body!BN$6,IF(AND('Zdroj data'!O23&gt;=Body!$BQ$18,'Zdroj data'!O23&lt;=Body!$BS$18),Body!$BQ$6,IF(AND('Zdroj data'!O23&gt;=Body!$BT$18,'Zdroj data'!O23&lt;=Body!$BV$18),Body!$BT$6,IF(AND('Zdroj data'!O23&gt;=Body!$BW$18,'Zdroj data'!O23&lt;=Body!$BY$18),Body!$BW$6,IF('Zdroj data'!O23&gt;=Body!$CB$18,Body!$BZ$6," ")))))))))),IF(AND('Zdroj data'!BG23="ST",'Zdroj data'!AM23=Body!$AX$19),IF(AND('Zdroj data'!O23&gt;=Body!$AY$19,'Zdroj data'!O23&lt;=Body!$BA$19),Body!$AY$6,IF(AND('Zdroj data'!O23&gt;=Body!$BB$19,'Zdroj data'!O23&lt;=Body!$BD$19),Body!$BB$6,IF(AND('Zdroj data'!O23&gt;=Body!$BE$19,'Zdroj data'!O23&lt;=Body!$BG$19),Body!$BE$6,IF(AND('Zdroj data'!O23&gt;=Body!$BH$19,'Zdroj data'!O23&lt;=Body!$BJ$19),Body!$BH$6,IF(AND('Zdroj data'!O23&gt;=Body!$BK$19,'Zdroj data'!O23&lt;=Body!$BM$19),Body!$BK$6,IF(AND('Zdroj data'!O23&gt;=Body!$BN$19,'Zdroj data'!O23&lt;=Body!$BP$19),Body!$BN$6,IF(AND('Zdroj data'!O23&gt;=Body!$BQ$19,'Zdroj data'!O23&lt;=Body!$BS$19),Body!$BQ$6,IF(AND('Zdroj data'!O23&gt;=Body!$BT$19,'Zdroj data'!O27&lt;=Body!$BV$19),Body!$BT$6,IF(AND('Zdroj data'!O23&gt;=Body!$BW$19,'Zdroj data'!O23&lt;=Body!$BY$19),Body!$BW$6,IF('Zdroj data'!O23&gt;=Body!$CB$19,Body!$BZ$6," ")))))))))),IF(AND('Zdroj data'!BG23="T",'Zdroj data'!AM23=Body!$AX$20),IF(AND('Zdroj data'!O23&gt;=Body!$AY$20,'Zdroj data'!O23&lt;=Body!$BA$20),Body!$AY$6,IF(AND('Zdroj data'!O23&gt;=Body!$BB$20,'Zdroj data'!O23&lt;=Body!$BD$20),Body!$BB$6,IF(AND('Zdroj data'!O23&gt;=Body!$BE$20,'Zdroj data'!O23&lt;=Body!$BG$20),Body!$BE$6,IF(AND('Zdroj data'!O23&gt;=Body!$BH$20,'Zdroj data'!O23&lt;=Body!$BJ$20),Body!$BH$6,IF(AND('Zdroj data'!O23&gt;=Body!$BK$20,'Zdroj data'!O23&lt;=Body!$BM$20),Body!$BK$6,IF(AND('Zdroj data'!O23&gt;=Body!$BN$20,'Zdroj data'!O23&lt;=Body!$BP$20),Body!$BN$6,IF(AND('Zdroj data'!O23&gt;=Body!$BQ$20,'Zdroj data'!O23&lt;=Body!$BS$20),Body!$BQ$6,IF(AND('Zdroj data'!O23&gt;=Body!$BT$20,'Zdroj data'!O23&lt;=Body!BV40),Body!$BT$6,IF(AND('Zdroj data'!O23&gt;=Body!$BW$20,'Zdroj data'!O23&lt;=Body!$BY$20),Body!$BW$6,IF('Zdroj data'!O23&gt;=Body!$CB$20,Body!$BZ$6," "))))))))))," ")))</f>
        <v>2</v>
      </c>
      <c r="AI23" s="264">
        <f>IF(AND('Zdroj data'!$BG23="L",'Zdroj data'!$AM23=Body!$AX$18),IF(AND(Tabulka1[[#This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data'!$BG23="ST",'Zdroj data'!$AM23=Body!$AX$19),IF(AND(Tabulka1[[#This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data'!$BG23="T",'Zdroj data'!$AM23=Body!$AX$20),IF(AND(Tabulka1[[#This Row],[K2O_60]]&gt;=Body!$AY$20,'Zdroj data'!O23&lt;=Body!$BA$20),Body!$AY$6,IF(AND(Tabulka1[[#This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Row],[K2O_60]]&lt;=Body!BV40),Body!$BT$6,IF(AND(Tabulka1[[#This Row],[K2O_60]]&gt;=Body!$BW$20,Tabulka1[[#This Row],[K2O_60]]&lt;=Body!$BY$20),Body!$BW$6,IF(Tabulka1[[#This Row],[K2O_60]]&gt;=Body!$CB$20,Body!$BZ$6," "))))))))))," ")))</f>
        <v>2</v>
      </c>
      <c r="AJ23" s="265">
        <f t="shared" si="10"/>
        <v>16.000000000000014</v>
      </c>
      <c r="AK23" s="264">
        <f t="shared" si="3"/>
        <v>26.41559955477959</v>
      </c>
      <c r="AL23" s="264">
        <f t="shared" si="4"/>
        <v>27.915403645238754</v>
      </c>
      <c r="AM23" s="264">
        <f t="shared" si="5"/>
        <v>61.94394307145096</v>
      </c>
      <c r="AN23" s="264">
        <f t="shared" si="6"/>
        <v>63.488536278652951</v>
      </c>
      <c r="AO23" s="265">
        <f t="shared" si="0"/>
        <v>88.359542626230549</v>
      </c>
      <c r="AP23" s="265">
        <f t="shared" si="1"/>
        <v>91.403939923891699</v>
      </c>
      <c r="AQ23" s="318"/>
      <c r="AR23" s="338">
        <f t="shared" si="7"/>
        <v>195.76348255012226</v>
      </c>
      <c r="AS23" s="318"/>
      <c r="AT23" s="454"/>
      <c r="AU23" s="468">
        <f>1-AU7</f>
        <v>0.6</v>
      </c>
      <c r="AV23" s="163">
        <v>0.42912543388991137</v>
      </c>
      <c r="AW23" s="25" t="s">
        <v>973</v>
      </c>
      <c r="AX23" s="24"/>
      <c r="AY23" s="25"/>
      <c r="AZ23" s="23"/>
      <c r="BA23" s="27"/>
      <c r="BB23" s="92">
        <v>0</v>
      </c>
      <c r="BC23" s="93" t="s">
        <v>859</v>
      </c>
      <c r="BD23" s="94">
        <v>4.99</v>
      </c>
      <c r="BE23" s="92">
        <v>5</v>
      </c>
      <c r="BF23" s="93" t="s">
        <v>859</v>
      </c>
      <c r="BG23" s="94">
        <v>9.99</v>
      </c>
      <c r="BH23" s="92">
        <v>10</v>
      </c>
      <c r="BI23" s="95" t="s">
        <v>859</v>
      </c>
      <c r="BJ23" s="94">
        <v>14.99</v>
      </c>
      <c r="BK23" s="92"/>
      <c r="BL23" s="93"/>
      <c r="BM23" s="94"/>
      <c r="BN23" s="92">
        <v>15</v>
      </c>
      <c r="BO23" s="93" t="s">
        <v>859</v>
      </c>
      <c r="BP23" s="94">
        <v>19.989999999999998</v>
      </c>
      <c r="BQ23" s="96">
        <v>20</v>
      </c>
      <c r="BR23" s="97" t="s">
        <v>859</v>
      </c>
      <c r="BS23" s="98">
        <v>25</v>
      </c>
      <c r="BT23" s="96">
        <v>25</v>
      </c>
      <c r="BU23" s="97" t="s">
        <v>859</v>
      </c>
      <c r="BV23" s="98">
        <v>29.99</v>
      </c>
      <c r="BW23" s="96"/>
      <c r="BX23" s="99"/>
      <c r="BY23" s="98"/>
      <c r="BZ23" s="96">
        <v>30</v>
      </c>
      <c r="CA23" s="97" t="s">
        <v>859</v>
      </c>
      <c r="CB23" s="98">
        <v>34.99</v>
      </c>
    </row>
    <row r="24" spans="1:81" ht="15.5" x14ac:dyDescent="0.35">
      <c r="A24" s="270">
        <v>1018</v>
      </c>
      <c r="B24" s="156" t="s">
        <v>554</v>
      </c>
      <c r="C24" s="250" t="str">
        <f>VLOOKUP(B24,'Zdroj hloubka okresy'!$A$2:$D$171,2,FALSE)</f>
        <v>Pribram</v>
      </c>
      <c r="D24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24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24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24" s="264">
        <f>IF(AND(Tabulka1[[#This Row],[hum_60]]&gt;AY30,Tabulka1[[#This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24" s="264">
        <f>IF(Tabulka1[[#This Row],[kv.ek.]]=Body!$AX$13,IF(AND('Zdroj data'!M24&gt;=Body!$AY$13,'Zdroj data'!M24&lt;=Body!$BA$13),Body!$AY$6,IF(AND('Zdroj data'!M24&gt;=Body!$BB$13,'Zdroj data'!M24&lt;=Body!$BD$13),Body!$BB$6,IF(AND('Zdroj data'!M24&gt;=Body!$BE$13,'Zdroj data'!M24&lt;=Body!$BG$13),Body!$BE$6,IF(AND('Zdroj data'!M24&gt;=Body!$BH$13,'Zdroj data'!M24&lt;=Body!$BJ$13),Body!$BH$6,IF(AND('Zdroj data'!M24&gt;=Body!$BK$13,'Zdroj data'!M24&lt;=Body!$BM$13),Body!$BK$6,IF(AND('Zdroj data'!M24&gt;=Body!$BN$13,'Zdroj data'!M24&lt;=Body!$BP$13),Body!$BN$6,IF(AND('Zdroj data'!M24&gt;=Body!$BQ$13,'Zdroj data'!M24&lt;=Body!$BS$13),Body!$BQ$6,IF(AND('Zdroj data'!M24&gt;=Body!$BT$13,'Zdroj data'!M24&lt;=Body!$BV$13),Body!$BT$6,IF(AND('Zdroj data'!M24&gt;=Body!$BW$13,'Zdroj data'!M24&lt;=Body!$BY$13),Body!$BW$6,IF('Zdroj data'!M24&gt;=Body!$CB$13,Body!$BZ$6,"")))))))))),IF(Tabulka1[[#This Row],[kv.ek.]]=Body!$AX$14,IF(AND('Zdroj data'!N24&gt;=Body!$AY$14,'Zdroj data'!N24&lt;=Body!$BA$14),Body!$AY$6,IF(AND('Zdroj data'!N24&gt;=Body!$BB$14,'Zdroj data'!N24&lt;=Body!$BD$14),Body!$BB$6,IF(AND('Zdroj data'!N24&gt;=Body!$BE$14,'Zdroj data'!N24&lt;=Body!$BG$14),Body!$BE$6,IF(AND('Zdroj data'!N24&gt;=Body!$BH$14,'Zdroj data'!N24&lt;=Body!$BJ$14),Body!$BH$6,IF(AND('Zdroj data'!N24&gt;=Body!$BK$14,'Zdroj data'!N24&lt;=Body!$BM$14),Body!$BK$6,IF(AND('Zdroj data'!N24&gt;=Body!$BN$14,'Zdroj data'!N24&lt;=Body!$BP$14),Body!$BN$6,IF(AND('Zdroj data'!N24&gt;=Body!$BQ$14,'Zdroj data'!N24&lt;=Body!$BS$14),Body!$BQ$6,IF(AND('Zdroj data'!N24&gt;=Body!$BT$14,'Zdroj data'!N24&lt;=Body!$BV$14),Body!$BT$6,IF(AND('Zdroj data'!N24&gt;=Body!$BW$14,'Zdroj data'!N24&lt;=Body!$BY$14),Body!$BW$6,IF('Zdroj data'!N24&gt;=Body!$CB$14,Body!$BZ$6,"")))))))))),""))</f>
        <v>1</v>
      </c>
      <c r="I24" s="264">
        <f>IF(Tabulka1[[#This Row],[kv.ek.]]=Body!$AX$13,IF(AND('Zdroj data'!N24&gt;=Body!$AY$13,'Zdroj data'!N24&lt;=Body!$BA$13),Body!$AY$6,IF(AND('Zdroj data'!N24&gt;=Body!$BB$13,'Zdroj data'!N24&lt;=Body!$BD$13),Body!$BB$6,IF(AND('Zdroj data'!N24&gt;=Body!$BE$13,'Zdroj data'!N24&lt;=Body!$BG$13),Body!$BE$6,IF(AND('Zdroj data'!N24&gt;=Body!$BH$13,'Zdroj data'!N24&lt;=Body!$BJ$13),Body!$BH$6,IF(AND('Zdroj data'!N24&gt;=Body!$BK$13,'Zdroj data'!N24&lt;=Body!$BM$13),Body!$BK$6,IF(AND('Zdroj data'!N24&gt;=Body!$BN$13,'Zdroj data'!N24&lt;=Body!$BP$13),Body!$BN$6,IF(AND('Zdroj data'!N24&gt;=Body!$BQ$13,'Zdroj data'!N24&lt;=Body!$BS$13),Body!$BQ$6,IF(AND('Zdroj data'!N24&gt;=Body!$BT$13,'Zdroj data'!N24&lt;=Body!$BV$13),Body!$BT$6,IF(AND('Zdroj data'!N24&gt;=Body!$BW$13,'Zdroj data'!N24&lt;=Body!$BY$13),Body!$BW$6,IF('Zdroj data'!N24&gt;=Body!$CB$13,Body!$BZ$6," ")))))))))),IF(Tabulka1[[#This Row],[kv.ek.]]=Body!$AX$14,IF(AND('Zdroj data'!O24&gt;=Body!$AY$14,'Zdroj data'!O24&lt;=Body!$BA$14),Body!$AY$6,IF(AND('Zdroj data'!O24&gt;=Body!$BB$14,'Zdroj data'!O24&lt;=Body!$BD$14),Body!$BB$6,IF(AND('Zdroj data'!O24&gt;=Body!$BE$14,'Zdroj data'!O24&lt;=Body!$BG$14),Body!$BE$6,IF(AND('Zdroj data'!O24&gt;=Body!$BH$14,'Zdroj data'!O24&lt;=Body!$BJ$14),Body!$BH$6,IF(AND('Zdroj data'!O24&gt;=Body!$BK$14,'Zdroj data'!O24&lt;=Body!$BM$14),Body!$BK$6,IF(AND('Zdroj data'!O24&gt;=Body!$BN$14,'Zdroj data'!O24&lt;=Body!$BP$14),Body!$BN$6,IF(AND('Zdroj data'!O24&gt;=Body!$BQ$14,'Zdroj data'!O24&lt;=Body!$BS$14),Body!$BQ$6,IF(AND('Zdroj data'!O24&gt;=Body!$BT$14,'Zdroj data'!O24&lt;=Body!$BV$14),Body!$BT$6,IF(AND('Zdroj data'!O24&gt;=Body!$BW$14,'Zdroj data'!O24&lt;=Body!$BY$14),Body!$BW$6,IF('Zdroj data'!O24&gt;=Body!$CB$14,Body!$BZ$6," "))))))))))," "))</f>
        <v>1</v>
      </c>
      <c r="J24" s="264">
        <f t="shared" si="8"/>
        <v>5</v>
      </c>
      <c r="K24" s="264">
        <f t="shared" si="9"/>
        <v>2</v>
      </c>
      <c r="L24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6</v>
      </c>
      <c r="M24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7</v>
      </c>
      <c r="N24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24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24" s="264">
        <f>IF(Tabulka1[[#This Row],[RVK]]=Body!$BE$10,Body!$BE$6,IF(Tabulka1[[#This Row],[RVK]]=Body!$BK$10,Body!$BK$6,IF(Tabulka1[[#This Row],[RVK]]=Body!$BN$10,Body!$BN$6,IF(Tabulka1[[#This Row],[RVK]]=Body!$BZ$10,Body!$BZ$6," "))))</f>
        <v>10</v>
      </c>
      <c r="Q24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24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24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24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24" s="264">
        <f>IF('Zdroj data'!BB24=Body!$AY$25,Body!$AY$22,IF('Zdroj data'!BB24=Body!$BB$25,Body!$BB$22,IF('Zdroj data'!BB24=Body!$BE$25,Body!$BE$22,IF('Zdroj data'!BB24=Body!$BH$25,Body!$BH$22,IF('Zdroj data'!BB24=Body!BK$25,Body!$BK$22,IF('Zdroj data'!BB24=Body!$BN$25,Body!$BN$22,IF('Zdroj data'!BB24=Body!$BQ$25,Body!$BQ$22,IF('Zdroj data'!BB24=Body!$BT$25,Body!$BT$22,IF('Zdroj data'!BB24=Body!$BW$25,Body!$BW$22,IF('Zdroj data'!BB24=Body!$BZ$25,Body!$BZ$22," "))))))))))</f>
        <v>5</v>
      </c>
      <c r="V24" s="264">
        <f>IF(AND('Zdroj data'!BO24&gt;Body!$AY$27,'Zdroj data'!BO24&lt;=Body!$BA$27),Body!$AY$22,IF(AND('Zdroj data'!BO24&gt;=Body!$BB$27,'Zdroj data'!BO24&lt;=Body!$BD$27),Body!$BB$22,IF(AND('Zdroj data'!BO24&gt;=Body!$BE$27,'Zdroj data'!BO24&lt;=Body!$BG$27),Body!$BE$22,IF(AND('Zdroj data'!BO24&gt;=Body!$BH$27,'Zdroj data'!BO24&lt;=Body!$BJ$27),Body!$BH$22,IF(AND('Zdroj data'!BO24&gt;=Body!$BK$27,'Zdroj data'!BO24&lt;=Body!$BM$27),Body!$BK$22,IF(AND('Zdroj data'!BO24&gt;=Body!$BN$27,'Zdroj data'!BO24&lt;=Body!$BP$27),Body!$BN$22,IF(AND('Zdroj data'!BO24&gt;=Body!$BQ$27,'Zdroj data'!BO24&lt;=Body!$BS$27),Body!$BQ$22,IF(AND('Zdroj data'!BO24&gt;=Body!$BT$27,'Zdroj data'!BO24&lt;=Body!$BV$27),Body!$BT$22,IF(AND('Zdroj data'!BO24&gt;=Body!$BW$27,'Zdroj data'!BO24&lt;=Body!$BY$27),Body!$BW$22,IF('Zdroj data'!BO24&gt;=Body!$CB$27,$BZ$22," "))))))))))</f>
        <v>6</v>
      </c>
      <c r="W24" s="264">
        <f>IF(AND('Zdroj data'!BP24&gt;Body!$AY$27,'Zdroj data'!BP24&lt;=Body!$BA$27),Body!$AY$22,IF(AND('Zdroj data'!BP24&gt;=Body!$BB$27,'Zdroj data'!BP24&lt;=Body!$BD$27),Body!$BB$22,IF(AND('Zdroj data'!BP24&gt;=Body!$BE$27,'Zdroj data'!BP24&lt;=Body!$BG$27),Body!$BE$22,IF(AND('Zdroj data'!BP24&gt;=Body!$BH$27,'Zdroj data'!BP24&lt;=Body!$BJ$27),Body!$BH$22,IF(AND('Zdroj data'!BP24&gt;=Body!$BK$27,'Zdroj data'!BP24&lt;=Body!$BM$27),Body!$BK$22,IF(AND('Zdroj data'!BP24&gt;=Body!$BN$27,'Zdroj data'!BP24&lt;=Body!$BP$27),Body!$BN$22,IF(AND('Zdroj data'!BP24&gt;=Body!$BQ$27,'Zdroj data'!BP24&lt;=Body!$BS$27),Body!$BQ$22,IF(AND('Zdroj data'!BP24&gt;=Body!$BT$27,'Zdroj data'!BP24&lt;=Body!$BV$27),Body!$BT$22,IF(AND('Zdroj data'!BP24&gt;=Body!$BW$27,'Zdroj data'!BP24&lt;=Body!$BY$27),Body!$BW$22,IF('Zdroj data'!BP24&gt;=Body!$CB$27,$BZ$22," "))))))))))</f>
        <v>8</v>
      </c>
      <c r="X24" s="264">
        <f>IF('Zdroj data'!BA24=Body!$BB$28,$BB$22,IF('Zdroj data'!BA24=Body!$BE$28,$BE$22,IF(OR('Zdroj data'!BA24=Body!$BK$28,'Zdroj data'!BA24=Body!$BL$28,'Zdroj data'!BA24=Body!$BM$28),$BK$22,IF(OR('Zdroj data'!BA24=Body!$BT$28,'Zdroj data'!BA24=Body!$BV$28),$BT$22,IF(OR('Zdroj data'!BA24=Body!$BW$28,'Zdroj data'!BA24=Body!$BY$28),$BW$22,IF('Zdroj data'!BA24=Body!$BZ$28,$BZ$22," "))))))</f>
        <v>9</v>
      </c>
      <c r="Y24" s="264">
        <f>IF('Zdroj data'!AZ24=Body!$BZ$29,Body!$BZ$22,IF(OR('Zdroj data'!AZ24=$BT$29,'Zdroj data'!AZ24=$BU$29,'Zdroj data'!AZ24=$BV$29),$BT$22,IF(OR('Zdroj data'!AZ24=$BK$29,'Zdroj data'!AZ24=$BM$29),$BK$22,IF(OR('Zdroj data'!AZ24=$BE$29,'Zdroj data'!AZ24=$BG$29),$BE$22,IF(OR('Zdroj data'!AZ24=$AY$29,'Zdroj data'!AZ24=$BA$29),$AY$22," ")))))</f>
        <v>10</v>
      </c>
      <c r="Z24" s="264">
        <f>IF(AND('Zdroj data'!BF24="T",(OR('Zdroj data'!AZ24=Body!$AW$45,'Zdroj data'!AZ24=Body!$AW$46,'Zdroj data'!AZ24=Body!$AW$47,'Zdroj data'!AZ24=Body!$AW$48))),Body!$AY$22,IF(AND('Zdroj data'!BF24="T",(OR('Zdroj data'!AZ24=$AW$49,'Zdroj data'!AZ24=$AW$50,'Zdroj data'!AZ24=$AW$51,'Zdroj data'!AZ24=$AW$52))),$BZ$22,IF(AND(OR('Zdroj data'!BF24="VT",'Zdroj data'!BF24="T",'Zdroj data'!BF24="CH"),(OR('Zdroj data'!AZ24=$AW$43,'Zdroj data'!AZ24=$AW$44,))),$BZ$22,IF(AND('Zdroj data'!BF24="CH",(OR('Zdroj data'!AZ24=$AW$49,'Zdroj data'!AZ24=$AW$50,'Zdroj data'!AZ24=$AW$51,'Zdroj data'!AZ24=$AW$52))),$AY$22,IF(AND('Zdroj data'!BF24="CH",(OR('Zdroj data'!AZ24=$AW$45,'Zdroj data'!AZ24=$AW$46,'Zdroj data'!AZ24=$AW$47,'Zdroj data'!AZ24=$AW$48))),$BZ$22," ")))))</f>
        <v>10</v>
      </c>
      <c r="AA24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</v>
      </c>
      <c r="AB24" s="264">
        <f>IF(Tabulka1[[#This Row],[kv.ek.]]=Body!$BK$35,Body!$BK$34,IF(Tabulka1[[#This Row],[kv.ek.]]=Body!$BZ$35,Body!$BZ$34," "))</f>
        <v>5</v>
      </c>
      <c r="AC24" s="264" t="str">
        <f>IF(AND('Zdroj data'!BF24="T",(OR('Zdroj data'!AZ24=Body!$AW$45,'Zdroj data'!AZ24=Body!$AW$46,'Zdroj data'!AZ24=Body!$AW$47,'Zdroj data'!AZ24=Body!$AW$48))),Body!$AY$22,IF(AND('Zdroj data'!BF24="T",(OR('Zdroj data'!AZ24=$AW$49,'Zdroj data'!AZ24=$AW$50,'Zdroj data'!AZ24=$AW$51,'Zdroj data'!AZ24=$AW$52))),$BZ$22," "))</f>
        <v xml:space="preserve"> </v>
      </c>
      <c r="AD24" s="264">
        <f>IF(AND(OR('Zdroj data'!BF24="VT",'Zdroj data'!BF24="T",'Zdroj data'!BF24="CH"),(OR('Zdroj data'!AZ24=$AW$43,'Zdroj data'!AZ24=$AW$44,))),$BZ$22," ")</f>
        <v>10</v>
      </c>
      <c r="AE24" s="264" t="str">
        <f>IF(AND('Zdroj data'!BF24="CH",(OR('Zdroj data'!AZ24=$AW$49,'Zdroj data'!AZ24=$AW$50,'Zdroj data'!AZ24=$AW$51,'Zdroj data'!AZ24=$AW$52))),$AY$22,IF(AND('Zdroj data'!BF24="CH",(OR('Zdroj data'!AZ24=$AW$45,'Zdroj data'!AZ24=$AW$46,'Zdroj data'!AZ24=$AW$47,'Zdroj data'!AZ24=$AW$48))),$BZ$22," "))</f>
        <v xml:space="preserve"> </v>
      </c>
      <c r="AF24" s="264">
        <f>IF(AND('Zdroj data'!BG24="L",'Zdroj data'!AM24=Body!$AX$15),IF(AND('Zdroj data'!O24&gt;=Body!$AY$15,'Zdroj data'!O24&lt;=Body!$BA$15),Body!AY$6,IF(AND('Zdroj data'!O24&gt;=Body!$BB$15,'Zdroj data'!O24&lt;=Body!$BD$15),Body!BB$6,IF(AND('Zdroj data'!O24&gt;=Body!$BE$15,'Zdroj data'!O24&lt;=Body!$BG$15),Body!BE$6,IF(AND('Zdroj data'!O24&gt;=Body!$BH$15,'Zdroj data'!O24&lt;=Body!$BJ$15),Body!BH$6,IF(AND('Zdroj data'!O24&gt;=Body!$BK$15,'Zdroj data'!O24&lt;=Body!$BM$15),Body!BK$6,IF(AND('Zdroj data'!O24&gt;=Body!$BN$15,'Zdroj data'!O24&lt;=Body!$BP$15),Body!$BN$6,IF(AND('Zdroj data'!O24&gt;=Body!$BQ$15,'Zdroj data'!O24&lt;=Body!$BS$15),Body!$BQ$6,IF(AND('Zdroj data'!O24&gt;=Body!$BT$15,'Zdroj data'!O24&lt;=Body!$BV$15),Body!BT$6,IF(AND('Zdroj data'!O24&gt;=Body!$BW$15,'Zdroj data'!O24&lt;=Body!$BY$15),Body!$BW$6,IF('Zdroj data'!O24&gt;=Body!$CB$15,Body!$BZ$6," ")))))))))),IF(AND('Zdroj data'!BG24="ST",'Zdroj data'!AM24=Body!$AX$16),IF(AND('Zdroj data'!O24&gt;=Body!$AY$16,'Zdroj data'!O24&lt;=Body!$BA$16),Body!$AY$6,IF(AND('Zdroj data'!O24&gt;=Body!$BB$16,'Zdroj data'!O24&lt;=Body!$BD$16),Body!$BB$6,IF(AND('Zdroj data'!O24&gt;=Body!$BE$16,'Zdroj data'!O24&lt;=Body!$BG$16),Body!$BE$6,IF(AND('Zdroj data'!O24&gt;=Body!$BH$16,'Zdroj data'!O24&lt;=Body!$BJ$16),Body!$BH$6,IF(AND('Zdroj data'!O24&gt;=Body!$BK$16,'Zdroj data'!O24&lt;=Body!$BM$16),Body!$BK$6,IF(AND('Zdroj data'!O24&gt;=Body!$BN$16,'Zdroj data'!O24&lt;=Body!$BP$16),Body!$BN$6,IF(AND('Zdroj data'!O24&gt;=Body!$BQ$16,'Zdroj data'!O24&lt;=Body!$BS$16),Body!$BQ$6,IF(AND('Zdroj data'!O24&gt;=Body!$BT$16,'Zdroj data'!O24&lt;=Body!$BV$16),Body!$BT$6,IF(AND('Zdroj data'!O24&gt;=Body!$BW$16,'Zdroj data'!O24&lt;=Body!$BY$16),Body!$BW$6,IF('Zdroj data'!O24&gt;=Body!$CB$16,Body!$BZ$6," ")))))))))),IF(AND('Zdroj data'!BG24="T",'Zdroj data'!AM24=Body!$AX$17),IF(AND('Zdroj data'!O24&gt;=Body!$AY$17,'Zdroj data'!O24&lt;=Body!$BA$17),Body!$AY$6,IF(AND('Zdroj data'!O24&gt;=Body!$BB$17,'Zdroj data'!O24&lt;=Body!$BD$17),Body!$BB$6,IF(AND('Zdroj data'!O24&gt;=Body!$BE$17,'Zdroj data'!O24&lt;=Body!$BG$17),Body!$BE$6,IF(AND('Zdroj data'!O24&gt;=Body!$BH$17,'Zdroj data'!O24&lt;=Body!BJ38),Body!$BH$6,IF(AND('Zdroj data'!O24&gt;=Body!$BK$17,'Zdroj data'!O24&lt;=Body!$BM$17),Body!$BK$6,IF(AND('Zdroj data'!O24&gt;=Body!$BN$17,'Zdroj data'!O24&lt;=Body!$BP$17),Body!$BN$6,IF(AND('Zdroj data'!O24&gt;=Body!$BQ$17,'Zdroj data'!O24&lt;=Body!$BS$17),Body!$BQ$6,IF(AND('Zdroj data'!O24&gt;=Body!$BT$17,'Zdroj data'!O24&lt;=Body!$BV$17),Body!$BT$6,IF(AND('Zdroj data'!O24&gt;=Body!$BW$17,'Zdroj data'!O24&lt;=Body!$BY$17),Body!$BW$6,IF('Zdroj data'!O24&gt;=Body!$CB$17,Body!$BZ$6," "))))))))))," ")))</f>
        <v>5</v>
      </c>
      <c r="AG24" s="264">
        <f>IF(AND('Zdroj data'!$BG24="L",'Zdroj data'!$AM24=Body!$AX$15),IF(AND(Tabulka1[[#This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data'!$BG24="ST",'Zdroj data'!$AM24=Body!$AX$16),IF(AND(Tabulka1[[#This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data'!$BG24="T",'Zdroj data'!$AM24=Body!$AX$17),IF(AND(Tabulka1[[#This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Row],[K2O_60]]&lt;=Body!BJ38),Body!$BH$6,IF(AND(Tabulka1[[#This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2</v>
      </c>
      <c r="AH24" s="264" t="str">
        <f>IF(AND('Zdroj data'!BG24="L",'Zdroj data'!AM24=Body!$AX$18),IF(AND('Zdroj data'!O24&gt;=Body!$AY$18,'Zdroj data'!O24&lt;=Body!$BA$18),Body!AY$6,IF(AND('Zdroj data'!O24&gt;=Body!$BB$18,'Zdroj data'!O24&lt;=Body!$BD$18),Body!BB$6,IF(AND('Zdroj data'!O24&gt;=Body!$BE$18,'Zdroj data'!O24&lt;=Body!$BG$18),Body!BE$6,IF(AND('Zdroj data'!O24&gt;=Body!$BH$18,'Zdroj data'!O24&lt;=Body!$BJ$18),Body!BH$6,IF(AND('Zdroj data'!O24&gt;=Body!$BK$18,'Zdroj data'!O24&lt;=Body!$BM$18),Body!$BK$6,IF(AND('Zdroj data'!O24&gt;=Body!$BN$18,'Zdroj data'!O24&lt;=Body!$BP$18),Body!BN$6,IF(AND('Zdroj data'!O24&gt;=Body!$BQ$18,'Zdroj data'!O24&lt;=Body!$BS$18),Body!$BQ$6,IF(AND('Zdroj data'!O24&gt;=Body!$BT$18,'Zdroj data'!O24&lt;=Body!$BV$18),Body!$BT$6,IF(AND('Zdroj data'!O24&gt;=Body!$BW$18,'Zdroj data'!O24&lt;=Body!$BY$18),Body!$BW$6,IF('Zdroj data'!O24&gt;=Body!$CB$18,Body!$BZ$6," ")))))))))),IF(AND('Zdroj data'!BG24="ST",'Zdroj data'!AM24=Body!$AX$19),IF(AND('Zdroj data'!O24&gt;=Body!$AY$19,'Zdroj data'!O24&lt;=Body!$BA$19),Body!$AY$6,IF(AND('Zdroj data'!O24&gt;=Body!$BB$19,'Zdroj data'!O24&lt;=Body!$BD$19),Body!$BB$6,IF(AND('Zdroj data'!O24&gt;=Body!$BE$19,'Zdroj data'!O24&lt;=Body!$BG$19),Body!$BE$6,IF(AND('Zdroj data'!O24&gt;=Body!$BH$19,'Zdroj data'!O24&lt;=Body!$BJ$19),Body!$BH$6,IF(AND('Zdroj data'!O24&gt;=Body!$BK$19,'Zdroj data'!O24&lt;=Body!$BM$19),Body!$BK$6,IF(AND('Zdroj data'!O24&gt;=Body!$BN$19,'Zdroj data'!O24&lt;=Body!$BP$19),Body!$BN$6,IF(AND('Zdroj data'!O24&gt;=Body!$BQ$19,'Zdroj data'!O24&lt;=Body!$BS$19),Body!$BQ$6,IF(AND('Zdroj data'!O24&gt;=Body!$BT$19,'Zdroj data'!O28&lt;=Body!$BV$19),Body!$BT$6,IF(AND('Zdroj data'!O24&gt;=Body!$BW$19,'Zdroj data'!O24&lt;=Body!$BY$19),Body!$BW$6,IF('Zdroj data'!O24&gt;=Body!$CB$19,Body!$BZ$6," ")))))))))),IF(AND('Zdroj data'!BG24="T",'Zdroj data'!AM24=Body!$AX$20),IF(AND('Zdroj data'!O24&gt;=Body!$AY$20,'Zdroj data'!O24&lt;=Body!$BA$20),Body!$AY$6,IF(AND('Zdroj data'!O24&gt;=Body!$BB$20,'Zdroj data'!O24&lt;=Body!$BD$20),Body!$BB$6,IF(AND('Zdroj data'!O24&gt;=Body!$BE$20,'Zdroj data'!O24&lt;=Body!$BG$20),Body!$BE$6,IF(AND('Zdroj data'!O24&gt;=Body!$BH$20,'Zdroj data'!O24&lt;=Body!$BJ$20),Body!$BH$6,IF(AND('Zdroj data'!O24&gt;=Body!$BK$20,'Zdroj data'!O24&lt;=Body!$BM$20),Body!$BK$6,IF(AND('Zdroj data'!O24&gt;=Body!$BN$20,'Zdroj data'!O24&lt;=Body!$BP$20),Body!$BN$6,IF(AND('Zdroj data'!O24&gt;=Body!$BQ$20,'Zdroj data'!O24&lt;=Body!$BS$20),Body!$BQ$6,IF(AND('Zdroj data'!O24&gt;=Body!$BT$20,'Zdroj data'!O24&lt;=Body!BV41),Body!$BT$6,IF(AND('Zdroj data'!O24&gt;=Body!$BW$20,'Zdroj data'!O24&lt;=Body!$BY$20),Body!$BW$6,IF('Zdroj data'!O24&gt;=Body!$CB$20,Body!$BZ$6," "))))))))))," ")))</f>
        <v xml:space="preserve"> </v>
      </c>
      <c r="AI24" s="264" t="str">
        <f>IF(AND('Zdroj data'!$BG24="L",'Zdroj data'!$AM24=Body!$AX$18),IF(AND(Tabulka1[[#This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data'!$BG24="ST",'Zdroj data'!$AM24=Body!$AX$19),IF(AND(Tabulka1[[#This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data'!$BG24="T",'Zdroj data'!$AM24=Body!$AX$20),IF(AND(Tabulka1[[#This Row],[K2O_60]]&gt;=Body!$AY$20,'Zdroj data'!O24&lt;=Body!$BA$20),Body!$AY$6,IF(AND(Tabulka1[[#This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Row],[K2O_60]]&lt;=Body!BV41),Body!$BT$6,IF(AND(Tabulka1[[#This Row],[K2O_60]]&gt;=Body!$BW$20,Tabulka1[[#This Row],[K2O_60]]&lt;=Body!$BY$20),Body!$BW$6,IF(Tabulka1[[#This Row],[K2O_60]]&gt;=Body!$CB$20,Body!$BZ$6," "))))))))))," ")))</f>
        <v xml:space="preserve"> </v>
      </c>
      <c r="AJ24" s="265">
        <f t="shared" si="10"/>
        <v>2.6666666666666687</v>
      </c>
      <c r="AK24" s="264">
        <f t="shared" si="3"/>
        <v>33.727204117663199</v>
      </c>
      <c r="AL24" s="264">
        <f t="shared" si="4"/>
        <v>30.513645817876096</v>
      </c>
      <c r="AM24" s="264">
        <f t="shared" si="5"/>
        <v>73.871964887828781</v>
      </c>
      <c r="AN24" s="264">
        <f t="shared" si="6"/>
        <v>76.96115130223275</v>
      </c>
      <c r="AO24" s="265">
        <f t="shared" si="0"/>
        <v>107.59916900549197</v>
      </c>
      <c r="AP24" s="265">
        <f t="shared" si="1"/>
        <v>107.47479712010885</v>
      </c>
      <c r="AQ24" s="318"/>
      <c r="AR24" s="338">
        <f t="shared" si="7"/>
        <v>217.74063279226746</v>
      </c>
      <c r="AS24" s="318"/>
      <c r="AT24" s="454"/>
      <c r="AU24" s="468"/>
      <c r="AV24" s="152"/>
      <c r="AW24" s="25"/>
      <c r="AX24" s="24"/>
      <c r="AY24" s="100">
        <v>100</v>
      </c>
      <c r="AZ24" s="101" t="s">
        <v>857</v>
      </c>
      <c r="BA24" s="102">
        <v>75</v>
      </c>
      <c r="BB24" s="103">
        <v>65</v>
      </c>
      <c r="BC24" s="104" t="s">
        <v>859</v>
      </c>
      <c r="BD24" s="102">
        <v>74.989999999999995</v>
      </c>
      <c r="BE24" s="103">
        <v>60</v>
      </c>
      <c r="BF24" s="104" t="s">
        <v>859</v>
      </c>
      <c r="BG24" s="102">
        <v>64.989999999999995</v>
      </c>
      <c r="BH24" s="103">
        <v>55</v>
      </c>
      <c r="BI24" s="105" t="s">
        <v>859</v>
      </c>
      <c r="BJ24" s="102">
        <v>59.99</v>
      </c>
      <c r="BK24" s="103">
        <v>50</v>
      </c>
      <c r="BL24" s="104" t="s">
        <v>859</v>
      </c>
      <c r="BM24" s="102">
        <v>54.99</v>
      </c>
      <c r="BN24" s="103">
        <v>45</v>
      </c>
      <c r="BO24" s="104" t="s">
        <v>859</v>
      </c>
      <c r="BP24" s="102">
        <v>49.99</v>
      </c>
      <c r="BQ24" s="96">
        <v>40</v>
      </c>
      <c r="BR24" s="97" t="s">
        <v>859</v>
      </c>
      <c r="BS24" s="98">
        <v>44.99</v>
      </c>
      <c r="BT24" s="96"/>
      <c r="BU24" s="99"/>
      <c r="BV24" s="98"/>
      <c r="BW24" s="96">
        <v>35</v>
      </c>
      <c r="BX24" s="99" t="s">
        <v>859</v>
      </c>
      <c r="BY24" s="98">
        <v>39.99</v>
      </c>
      <c r="BZ24" s="28"/>
      <c r="CA24" s="29"/>
      <c r="CB24" s="27"/>
    </row>
    <row r="25" spans="1:81" ht="15.5" x14ac:dyDescent="0.35">
      <c r="A25" s="270">
        <v>1021</v>
      </c>
      <c r="B25" s="156" t="s">
        <v>549</v>
      </c>
      <c r="C25" s="250" t="str">
        <f>VLOOKUP(B25,'Zdroj hloubka okresy'!$A$2:$D$171,2,FALSE)</f>
        <v>Pribram</v>
      </c>
      <c r="D25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9</v>
      </c>
      <c r="E25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25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25" s="264">
        <f>IF(AND(Tabulka1[[#This Row],[hum_60]]&gt;AY31,Tabulka1[[#This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25" s="264">
        <f>IF(Tabulka1[[#This Row],[kv.ek.]]=Body!$AX$13,IF(AND('Zdroj data'!M25&gt;=Body!$AY$13,'Zdroj data'!M25&lt;=Body!$BA$13),Body!$AY$6,IF(AND('Zdroj data'!M25&gt;=Body!$BB$13,'Zdroj data'!M25&lt;=Body!$BD$13),Body!$BB$6,IF(AND('Zdroj data'!M25&gt;=Body!$BE$13,'Zdroj data'!M25&lt;=Body!$BG$13),Body!$BE$6,IF(AND('Zdroj data'!M25&gt;=Body!$BH$13,'Zdroj data'!M25&lt;=Body!$BJ$13),Body!$BH$6,IF(AND('Zdroj data'!M25&gt;=Body!$BK$13,'Zdroj data'!M25&lt;=Body!$BM$13),Body!$BK$6,IF(AND('Zdroj data'!M25&gt;=Body!$BN$13,'Zdroj data'!M25&lt;=Body!$BP$13),Body!$BN$6,IF(AND('Zdroj data'!M25&gt;=Body!$BQ$13,'Zdroj data'!M25&lt;=Body!$BS$13),Body!$BQ$6,IF(AND('Zdroj data'!M25&gt;=Body!$BT$13,'Zdroj data'!M25&lt;=Body!$BV$13),Body!$BT$6,IF(AND('Zdroj data'!M25&gt;=Body!$BW$13,'Zdroj data'!M25&lt;=Body!$BY$13),Body!$BW$6,IF('Zdroj data'!M25&gt;=Body!$CB$13,Body!$BZ$6,"")))))))))),IF(Tabulka1[[#This Row],[kv.ek.]]=Body!$AX$14,IF(AND('Zdroj data'!N25&gt;=Body!$AY$14,'Zdroj data'!N25&lt;=Body!$BA$14),Body!$AY$6,IF(AND('Zdroj data'!N25&gt;=Body!$BB$14,'Zdroj data'!N25&lt;=Body!$BD$14),Body!$BB$6,IF(AND('Zdroj data'!N25&gt;=Body!$BE$14,'Zdroj data'!N25&lt;=Body!$BG$14),Body!$BE$6,IF(AND('Zdroj data'!N25&gt;=Body!$BH$14,'Zdroj data'!N25&lt;=Body!$BJ$14),Body!$BH$6,IF(AND('Zdroj data'!N25&gt;=Body!$BK$14,'Zdroj data'!N25&lt;=Body!$BM$14),Body!$BK$6,IF(AND('Zdroj data'!N25&gt;=Body!$BN$14,'Zdroj data'!N25&lt;=Body!$BP$14),Body!$BN$6,IF(AND('Zdroj data'!N25&gt;=Body!$BQ$14,'Zdroj data'!N25&lt;=Body!$BS$14),Body!$BQ$6,IF(AND('Zdroj data'!N25&gt;=Body!$BT$14,'Zdroj data'!N25&lt;=Body!$BV$14),Body!$BT$6,IF(AND('Zdroj data'!N25&gt;=Body!$BW$14,'Zdroj data'!N25&lt;=Body!$BY$14),Body!$BW$6,IF('Zdroj data'!N25&gt;=Body!$CB$14,Body!$BZ$6,"")))))))))),""))</f>
        <v>1</v>
      </c>
      <c r="I25" s="264">
        <f>IF(Tabulka1[[#This Row],[kv.ek.]]=Body!$AX$13,IF(AND('Zdroj data'!N25&gt;=Body!$AY$13,'Zdroj data'!N25&lt;=Body!$BA$13),Body!$AY$6,IF(AND('Zdroj data'!N25&gt;=Body!$BB$13,'Zdroj data'!N25&lt;=Body!$BD$13),Body!$BB$6,IF(AND('Zdroj data'!N25&gt;=Body!$BE$13,'Zdroj data'!N25&lt;=Body!$BG$13),Body!$BE$6,IF(AND('Zdroj data'!N25&gt;=Body!$BH$13,'Zdroj data'!N25&lt;=Body!$BJ$13),Body!$BH$6,IF(AND('Zdroj data'!N25&gt;=Body!$BK$13,'Zdroj data'!N25&lt;=Body!$BM$13),Body!$BK$6,IF(AND('Zdroj data'!N25&gt;=Body!$BN$13,'Zdroj data'!N25&lt;=Body!$BP$13),Body!$BN$6,IF(AND('Zdroj data'!N25&gt;=Body!$BQ$13,'Zdroj data'!N25&lt;=Body!$BS$13),Body!$BQ$6,IF(AND('Zdroj data'!N25&gt;=Body!$BT$13,'Zdroj data'!N25&lt;=Body!$BV$13),Body!$BT$6,IF(AND('Zdroj data'!N25&gt;=Body!$BW$13,'Zdroj data'!N25&lt;=Body!$BY$13),Body!$BW$6,IF('Zdroj data'!N25&gt;=Body!$CB$13,Body!$BZ$6," ")))))))))),IF(Tabulka1[[#This Row],[kv.ek.]]=Body!$AX$14,IF(AND('Zdroj data'!O25&gt;=Body!$AY$14,'Zdroj data'!O25&lt;=Body!$BA$14),Body!$AY$6,IF(AND('Zdroj data'!O25&gt;=Body!$BB$14,'Zdroj data'!O25&lt;=Body!$BD$14),Body!$BB$6,IF(AND('Zdroj data'!O25&gt;=Body!$BE$14,'Zdroj data'!O25&lt;=Body!$BG$14),Body!$BE$6,IF(AND('Zdroj data'!O25&gt;=Body!$BH$14,'Zdroj data'!O25&lt;=Body!$BJ$14),Body!$BH$6,IF(AND('Zdroj data'!O25&gt;=Body!$BK$14,'Zdroj data'!O25&lt;=Body!$BM$14),Body!$BK$6,IF(AND('Zdroj data'!O25&gt;=Body!$BN$14,'Zdroj data'!O25&lt;=Body!$BP$14),Body!$BN$6,IF(AND('Zdroj data'!O25&gt;=Body!$BQ$14,'Zdroj data'!O25&lt;=Body!$BS$14),Body!$BQ$6,IF(AND('Zdroj data'!O25&gt;=Body!$BT$14,'Zdroj data'!O25&lt;=Body!$BV$14),Body!$BT$6,IF(AND('Zdroj data'!O25&gt;=Body!$BW$14,'Zdroj data'!O25&lt;=Body!$BY$14),Body!$BW$6,IF('Zdroj data'!O25&gt;=Body!$CB$14,Body!$BZ$6," "))))))))))," "))</f>
        <v>1</v>
      </c>
      <c r="J25" s="264">
        <f t="shared" si="8"/>
        <v>2</v>
      </c>
      <c r="K25" s="264">
        <f t="shared" si="9"/>
        <v>1</v>
      </c>
      <c r="L25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25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25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25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25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25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25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25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25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25" s="264">
        <f>IF('Zdroj data'!BB25=Body!$AY$25,Body!$AY$22,IF('Zdroj data'!BB25=Body!$BB$25,Body!$BB$22,IF('Zdroj data'!BB25=Body!$BE$25,Body!$BE$22,IF('Zdroj data'!BB25=Body!$BH$25,Body!$BH$22,IF('Zdroj data'!BB25=Body!BK$25,Body!$BK$22,IF('Zdroj data'!BB25=Body!$BN$25,Body!$BN$22,IF('Zdroj data'!BB25=Body!$BQ$25,Body!$BQ$22,IF('Zdroj data'!BB25=Body!$BT$25,Body!$BT$22,IF('Zdroj data'!BB25=Body!$BW$25,Body!$BW$22,IF('Zdroj data'!BB25=Body!$BZ$25,Body!$BZ$22," "))))))))))</f>
        <v>3</v>
      </c>
      <c r="V25" s="264">
        <f>IF(AND('Zdroj data'!BO25&gt;Body!$AY$27,'Zdroj data'!BO25&lt;=Body!$BA$27),Body!$AY$22,IF(AND('Zdroj data'!BO25&gt;=Body!$BB$27,'Zdroj data'!BO25&lt;=Body!$BD$27),Body!$BB$22,IF(AND('Zdroj data'!BO25&gt;=Body!$BE$27,'Zdroj data'!BO25&lt;=Body!$BG$27),Body!$BE$22,IF(AND('Zdroj data'!BO25&gt;=Body!$BH$27,'Zdroj data'!BO25&lt;=Body!$BJ$27),Body!$BH$22,IF(AND('Zdroj data'!BO25&gt;=Body!$BK$27,'Zdroj data'!BO25&lt;=Body!$BM$27),Body!$BK$22,IF(AND('Zdroj data'!BO25&gt;=Body!$BN$27,'Zdroj data'!BO25&lt;=Body!$BP$27),Body!$BN$22,IF(AND('Zdroj data'!BO25&gt;=Body!$BQ$27,'Zdroj data'!BO25&lt;=Body!$BS$27),Body!$BQ$22,IF(AND('Zdroj data'!BO25&gt;=Body!$BT$27,'Zdroj data'!BO25&lt;=Body!$BV$27),Body!$BT$22,IF(AND('Zdroj data'!BO25&gt;=Body!$BW$27,'Zdroj data'!BO25&lt;=Body!$BY$27),Body!$BW$22,IF('Zdroj data'!BO25&gt;=Body!$CB$27,$BZ$22," "))))))))))</f>
        <v>5</v>
      </c>
      <c r="W25" s="264">
        <f>IF(AND('Zdroj data'!BP25&gt;Body!$AY$27,'Zdroj data'!BP25&lt;=Body!$BA$27),Body!$AY$22,IF(AND('Zdroj data'!BP25&gt;=Body!$BB$27,'Zdroj data'!BP25&lt;=Body!$BD$27),Body!$BB$22,IF(AND('Zdroj data'!BP25&gt;=Body!$BE$27,'Zdroj data'!BP25&lt;=Body!$BG$27),Body!$BE$22,IF(AND('Zdroj data'!BP25&gt;=Body!$BH$27,'Zdroj data'!BP25&lt;=Body!$BJ$27),Body!$BH$22,IF(AND('Zdroj data'!BP25&gt;=Body!$BK$27,'Zdroj data'!BP25&lt;=Body!$BM$27),Body!$BK$22,IF(AND('Zdroj data'!BP25&gt;=Body!$BN$27,'Zdroj data'!BP25&lt;=Body!$BP$27),Body!$BN$22,IF(AND('Zdroj data'!BP25&gt;=Body!$BQ$27,'Zdroj data'!BP25&lt;=Body!$BS$27),Body!$BQ$22,IF(AND('Zdroj data'!BP25&gt;=Body!$BT$27,'Zdroj data'!BP25&lt;=Body!$BV$27),Body!$BT$22,IF(AND('Zdroj data'!BP25&gt;=Body!$BW$27,'Zdroj data'!BP25&lt;=Body!$BY$27),Body!$BW$22,IF('Zdroj data'!BP25&gt;=Body!$CB$27,$BZ$22," "))))))))))</f>
        <v>6</v>
      </c>
      <c r="X25" s="264">
        <f>IF('Zdroj data'!BA25=Body!$BB$28,$BB$22,IF('Zdroj data'!BA25=Body!$BE$28,$BE$22,IF(OR('Zdroj data'!BA25=Body!$BK$28,'Zdroj data'!BA25=Body!$BL$28,'Zdroj data'!BA25=Body!$BM$28),$BK$22,IF(OR('Zdroj data'!BA25=Body!$BT$28,'Zdroj data'!BA25=Body!$BV$28),$BT$22,IF(OR('Zdroj data'!BA25=Body!$BW$28,'Zdroj data'!BA25=Body!$BY$28),$BW$22,IF('Zdroj data'!BA25=Body!$BZ$28,$BZ$22," "))))))</f>
        <v>5</v>
      </c>
      <c r="Y25" s="264">
        <f>IF('Zdroj data'!AZ25=Body!$BZ$29,Body!$BZ$22,IF(OR('Zdroj data'!AZ25=$BT$29,'Zdroj data'!AZ25=$BU$29,'Zdroj data'!AZ25=$BV$29),$BT$22,IF(OR('Zdroj data'!AZ25=$BK$29,'Zdroj data'!AZ25=$BM$29),$BK$22,IF(OR('Zdroj data'!AZ25=$BE$29,'Zdroj data'!AZ25=$BG$29),$BE$22,IF(OR('Zdroj data'!AZ25=$AY$29,'Zdroj data'!AZ25=$BA$29),$AY$22," ")))))</f>
        <v>8</v>
      </c>
      <c r="Z25" s="264">
        <f>IF(AND('Zdroj data'!BF25="T",(OR('Zdroj data'!AZ25=Body!$AW$45,'Zdroj data'!AZ25=Body!$AW$46,'Zdroj data'!AZ25=Body!$AW$47,'Zdroj data'!AZ25=Body!$AW$48))),Body!$AY$22,IF(AND('Zdroj data'!BF25="T",(OR('Zdroj data'!AZ25=$AW$49,'Zdroj data'!AZ25=$AW$50,'Zdroj data'!AZ25=$AW$51,'Zdroj data'!AZ25=$AW$52))),$BZ$22,IF(AND(OR('Zdroj data'!BF25="VT",'Zdroj data'!BF25="T",'Zdroj data'!BF25="CH"),(OR('Zdroj data'!AZ25=$AW$43,'Zdroj data'!AZ25=$AW$44,))),$BZ$22,IF(AND('Zdroj data'!BF25="CH",(OR('Zdroj data'!AZ25=$AW$49,'Zdroj data'!AZ25=$AW$50,'Zdroj data'!AZ25=$AW$51,'Zdroj data'!AZ25=$AW$52))),$AY$22,IF(AND('Zdroj data'!BF25="CH",(OR('Zdroj data'!AZ25=$AW$45,'Zdroj data'!AZ25=$AW$46,'Zdroj data'!AZ25=$AW$47,'Zdroj data'!AZ25=$AW$48))),$BZ$22," ")))))</f>
        <v>10</v>
      </c>
      <c r="AA25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25" s="264">
        <f>IF(Tabulka1[[#This Row],[kv.ek.]]=Body!$BK$35,Body!$BK$34,IF(Tabulka1[[#This Row],[kv.ek.]]=Body!$BZ$35,Body!$BZ$34," "))</f>
        <v>5</v>
      </c>
      <c r="AC25" s="264" t="str">
        <f>IF(AND('Zdroj data'!BF25="T",(OR('Zdroj data'!AZ25=Body!$AW$45,'Zdroj data'!AZ25=Body!$AW$46,'Zdroj data'!AZ25=Body!$AW$47,'Zdroj data'!AZ25=Body!$AW$48))),Body!$AY$22,IF(AND('Zdroj data'!BF25="T",(OR('Zdroj data'!AZ25=$AW$49,'Zdroj data'!AZ25=$AW$50,'Zdroj data'!AZ25=$AW$51,'Zdroj data'!AZ25=$AW$52))),$BZ$22," "))</f>
        <v xml:space="preserve"> </v>
      </c>
      <c r="AD25" s="264">
        <f>IF(AND(OR('Zdroj data'!BF25="VT",'Zdroj data'!BF25="T",'Zdroj data'!BF25="CH"),(OR('Zdroj data'!AZ25=$AW$43,'Zdroj data'!AZ25=$AW$44,))),$BZ$22," ")</f>
        <v>10</v>
      </c>
      <c r="AE25" s="264" t="str">
        <f>IF(AND('Zdroj data'!BF25="CH",(OR('Zdroj data'!AZ25=$AW$49,'Zdroj data'!AZ25=$AW$50,'Zdroj data'!AZ25=$AW$51,'Zdroj data'!AZ25=$AW$52))),$AY$22,IF(AND('Zdroj data'!BF25="CH",(OR('Zdroj data'!AZ25=$AW$45,'Zdroj data'!AZ25=$AW$46,'Zdroj data'!AZ25=$AW$47,'Zdroj data'!AZ25=$AW$48))),$BZ$22," "))</f>
        <v xml:space="preserve"> </v>
      </c>
      <c r="AF25" s="264">
        <f>IF(AND('Zdroj data'!BG25="L",'Zdroj data'!AM25=Body!$AX$15),IF(AND('Zdroj data'!O25&gt;=Body!$AY$15,'Zdroj data'!O25&lt;=Body!$BA$15),Body!AY$6,IF(AND('Zdroj data'!O25&gt;=Body!$BB$15,'Zdroj data'!O25&lt;=Body!$BD$15),Body!BB$6,IF(AND('Zdroj data'!O25&gt;=Body!$BE$15,'Zdroj data'!O25&lt;=Body!$BG$15),Body!BE$6,IF(AND('Zdroj data'!O25&gt;=Body!$BH$15,'Zdroj data'!O25&lt;=Body!$BJ$15),Body!BH$6,IF(AND('Zdroj data'!O25&gt;=Body!$BK$15,'Zdroj data'!O25&lt;=Body!$BM$15),Body!BK$6,IF(AND('Zdroj data'!O25&gt;=Body!$BN$15,'Zdroj data'!O25&lt;=Body!$BP$15),Body!$BN$6,IF(AND('Zdroj data'!O25&gt;=Body!$BQ$15,'Zdroj data'!O25&lt;=Body!$BS$15),Body!$BQ$6,IF(AND('Zdroj data'!O25&gt;=Body!$BT$15,'Zdroj data'!O25&lt;=Body!$BV$15),Body!BT$6,IF(AND('Zdroj data'!O25&gt;=Body!$BW$15,'Zdroj data'!O25&lt;=Body!$BY$15),Body!$BW$6,IF('Zdroj data'!O25&gt;=Body!$CB$15,Body!$BZ$6," ")))))))))),IF(AND('Zdroj data'!BG25="ST",'Zdroj data'!AM25=Body!$AX$16),IF(AND('Zdroj data'!O25&gt;=Body!$AY$16,'Zdroj data'!O25&lt;=Body!$BA$16),Body!$AY$6,IF(AND('Zdroj data'!O25&gt;=Body!$BB$16,'Zdroj data'!O25&lt;=Body!$BD$16),Body!$BB$6,IF(AND('Zdroj data'!O25&gt;=Body!$BE$16,'Zdroj data'!O25&lt;=Body!$BG$16),Body!$BE$6,IF(AND('Zdroj data'!O25&gt;=Body!$BH$16,'Zdroj data'!O25&lt;=Body!$BJ$16),Body!$BH$6,IF(AND('Zdroj data'!O25&gt;=Body!$BK$16,'Zdroj data'!O25&lt;=Body!$BM$16),Body!$BK$6,IF(AND('Zdroj data'!O25&gt;=Body!$BN$16,'Zdroj data'!O25&lt;=Body!$BP$16),Body!$BN$6,IF(AND('Zdroj data'!O25&gt;=Body!$BQ$16,'Zdroj data'!O25&lt;=Body!$BS$16),Body!$BQ$6,IF(AND('Zdroj data'!O25&gt;=Body!$BT$16,'Zdroj data'!O25&lt;=Body!$BV$16),Body!$BT$6,IF(AND('Zdroj data'!O25&gt;=Body!$BW$16,'Zdroj data'!O25&lt;=Body!$BY$16),Body!$BW$6,IF('Zdroj data'!O25&gt;=Body!$CB$16,Body!$BZ$6," ")))))))))),IF(AND('Zdroj data'!BG25="T",'Zdroj data'!AM25=Body!$AX$17),IF(AND('Zdroj data'!O25&gt;=Body!$AY$17,'Zdroj data'!O25&lt;=Body!$BA$17),Body!$AY$6,IF(AND('Zdroj data'!O25&gt;=Body!$BB$17,'Zdroj data'!O25&lt;=Body!$BD$17),Body!$BB$6,IF(AND('Zdroj data'!O25&gt;=Body!$BE$17,'Zdroj data'!O25&lt;=Body!$BG$17),Body!$BE$6,IF(AND('Zdroj data'!O25&gt;=Body!$BH$17,'Zdroj data'!O25&lt;=Body!BJ39),Body!$BH$6,IF(AND('Zdroj data'!O25&gt;=Body!$BK$17,'Zdroj data'!O25&lt;=Body!$BM$17),Body!$BK$6,IF(AND('Zdroj data'!O25&gt;=Body!$BN$17,'Zdroj data'!O25&lt;=Body!$BP$17),Body!$BN$6,IF(AND('Zdroj data'!O25&gt;=Body!$BQ$17,'Zdroj data'!O25&lt;=Body!$BS$17),Body!$BQ$6,IF(AND('Zdroj data'!O25&gt;=Body!$BT$17,'Zdroj data'!O25&lt;=Body!$BV$17),Body!$BT$6,IF(AND('Zdroj data'!O25&gt;=Body!$BW$17,'Zdroj data'!O25&lt;=Body!$BY$17),Body!$BW$6,IF('Zdroj data'!O25&gt;=Body!$CB$17,Body!$BZ$6," "))))))))))," ")))</f>
        <v>2</v>
      </c>
      <c r="AG25" s="264">
        <f>IF(AND('Zdroj data'!$BG25="L",'Zdroj data'!$AM25=Body!$AX$15),IF(AND(Tabulka1[[#This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data'!$BG25="ST",'Zdroj data'!$AM25=Body!$AX$16),IF(AND(Tabulka1[[#This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data'!$BG25="T",'Zdroj data'!$AM25=Body!$AX$17),IF(AND(Tabulka1[[#This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Row],[K2O_60]]&lt;=Body!BJ39),Body!$BH$6,IF(AND(Tabulka1[[#This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25" s="264" t="str">
        <f>IF(AND('Zdroj data'!BG25="L",'Zdroj data'!AM25=Body!$AX$18),IF(AND('Zdroj data'!O25&gt;=Body!$AY$18,'Zdroj data'!O25&lt;=Body!$BA$18),Body!AY$6,IF(AND('Zdroj data'!O25&gt;=Body!$BB$18,'Zdroj data'!O25&lt;=Body!$BD$18),Body!BB$6,IF(AND('Zdroj data'!O25&gt;=Body!$BE$18,'Zdroj data'!O25&lt;=Body!$BG$18),Body!BE$6,IF(AND('Zdroj data'!O25&gt;=Body!$BH$18,'Zdroj data'!O25&lt;=Body!$BJ$18),Body!BH$6,IF(AND('Zdroj data'!O25&gt;=Body!$BK$18,'Zdroj data'!O25&lt;=Body!$BM$18),Body!$BK$6,IF(AND('Zdroj data'!O25&gt;=Body!$BN$18,'Zdroj data'!O25&lt;=Body!$BP$18),Body!BN$6,IF(AND('Zdroj data'!O25&gt;=Body!$BQ$18,'Zdroj data'!O25&lt;=Body!$BS$18),Body!$BQ$6,IF(AND('Zdroj data'!O25&gt;=Body!$BT$18,'Zdroj data'!O25&lt;=Body!$BV$18),Body!$BT$6,IF(AND('Zdroj data'!O25&gt;=Body!$BW$18,'Zdroj data'!O25&lt;=Body!$BY$18),Body!$BW$6,IF('Zdroj data'!O25&gt;=Body!$CB$18,Body!$BZ$6," ")))))))))),IF(AND('Zdroj data'!BG25="ST",'Zdroj data'!AM25=Body!$AX$19),IF(AND('Zdroj data'!O25&gt;=Body!$AY$19,'Zdroj data'!O25&lt;=Body!$BA$19),Body!$AY$6,IF(AND('Zdroj data'!O25&gt;=Body!$BB$19,'Zdroj data'!O25&lt;=Body!$BD$19),Body!$BB$6,IF(AND('Zdroj data'!O25&gt;=Body!$BE$19,'Zdroj data'!O25&lt;=Body!$BG$19),Body!$BE$6,IF(AND('Zdroj data'!O25&gt;=Body!$BH$19,'Zdroj data'!O25&lt;=Body!$BJ$19),Body!$BH$6,IF(AND('Zdroj data'!O25&gt;=Body!$BK$19,'Zdroj data'!O25&lt;=Body!$BM$19),Body!$BK$6,IF(AND('Zdroj data'!O25&gt;=Body!$BN$19,'Zdroj data'!O25&lt;=Body!$BP$19),Body!$BN$6,IF(AND('Zdroj data'!O25&gt;=Body!$BQ$19,'Zdroj data'!O25&lt;=Body!$BS$19),Body!$BQ$6,IF(AND('Zdroj data'!O25&gt;=Body!$BT$19,'Zdroj data'!O29&lt;=Body!$BV$19),Body!$BT$6,IF(AND('Zdroj data'!O25&gt;=Body!$BW$19,'Zdroj data'!O25&lt;=Body!$BY$19),Body!$BW$6,IF('Zdroj data'!O25&gt;=Body!$CB$19,Body!$BZ$6," ")))))))))),IF(AND('Zdroj data'!BG25="T",'Zdroj data'!AM25=Body!$AX$20),IF(AND('Zdroj data'!O25&gt;=Body!$AY$20,'Zdroj data'!O25&lt;=Body!$BA$20),Body!$AY$6,IF(AND('Zdroj data'!O25&gt;=Body!$BB$20,'Zdroj data'!O25&lt;=Body!$BD$20),Body!$BB$6,IF(AND('Zdroj data'!O25&gt;=Body!$BE$20,'Zdroj data'!O25&lt;=Body!$BG$20),Body!$BE$6,IF(AND('Zdroj data'!O25&gt;=Body!$BH$20,'Zdroj data'!O25&lt;=Body!$BJ$20),Body!$BH$6,IF(AND('Zdroj data'!O25&gt;=Body!$BK$20,'Zdroj data'!O25&lt;=Body!$BM$20),Body!$BK$6,IF(AND('Zdroj data'!O25&gt;=Body!$BN$20,'Zdroj data'!O25&lt;=Body!$BP$20),Body!$BN$6,IF(AND('Zdroj data'!O25&gt;=Body!$BQ$20,'Zdroj data'!O25&lt;=Body!$BS$20),Body!$BQ$6,IF(AND('Zdroj data'!O25&gt;=Body!$BT$20,'Zdroj data'!O25&lt;=Body!BV42),Body!$BT$6,IF(AND('Zdroj data'!O25&gt;=Body!$BW$20,'Zdroj data'!O25&lt;=Body!$BY$20),Body!$BW$6,IF('Zdroj data'!O25&gt;=Body!$CB$20,Body!$BZ$6," "))))))))))," ")))</f>
        <v xml:space="preserve"> </v>
      </c>
      <c r="AI25" s="264" t="str">
        <f>IF(AND('Zdroj data'!$BG25="L",'Zdroj data'!$AM25=Body!$AX$18),IF(AND(Tabulka1[[#This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data'!$BG25="ST",'Zdroj data'!$AM25=Body!$AX$19),IF(AND(Tabulka1[[#This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data'!$BG25="T",'Zdroj data'!$AM25=Body!$AX$20),IF(AND(Tabulka1[[#This Row],[K2O_60]]&gt;=Body!$AY$20,'Zdroj data'!O25&lt;=Body!$BA$20),Body!$AY$6,IF(AND(Tabulka1[[#This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Row],[K2O_60]]&lt;=Body!BV42),Body!$BT$6,IF(AND(Tabulka1[[#This Row],[K2O_60]]&gt;=Body!$BW$20,Tabulka1[[#This Row],[K2O_60]]&lt;=Body!$BY$20),Body!$BW$6,IF(Tabulka1[[#This Row],[K2O_60]]&gt;=Body!$CB$20,Body!$BZ$6," "))))))))))," ")))</f>
        <v xml:space="preserve"> </v>
      </c>
      <c r="AJ25" s="265">
        <f t="shared" si="10"/>
        <v>8.0000000000000071</v>
      </c>
      <c r="AK25" s="264">
        <f t="shared" si="3"/>
        <v>24.408358979095631</v>
      </c>
      <c r="AL25" s="264">
        <f t="shared" si="4"/>
        <v>23.742371305898754</v>
      </c>
      <c r="AM25" s="264">
        <f t="shared" si="5"/>
        <v>56.462306205919198</v>
      </c>
      <c r="AN25" s="264">
        <f t="shared" si="6"/>
        <v>65.834147327273158</v>
      </c>
      <c r="AO25" s="265">
        <f t="shared" ref="AO25:AO69" si="11">AK25+AM25</f>
        <v>80.870665185014829</v>
      </c>
      <c r="AP25" s="265">
        <f t="shared" ref="AP25:AP67" si="12">AL25+AN25</f>
        <v>89.576518633171915</v>
      </c>
      <c r="AQ25" s="318"/>
      <c r="AR25" s="338">
        <f t="shared" si="7"/>
        <v>178.44718381818674</v>
      </c>
      <c r="AS25" s="318"/>
      <c r="AT25" s="454"/>
      <c r="AU25" s="468"/>
      <c r="AV25" s="163">
        <v>0.22830275763787564</v>
      </c>
      <c r="AW25" s="33" t="s">
        <v>865</v>
      </c>
      <c r="AX25" s="34"/>
      <c r="AY25" s="476">
        <v>9</v>
      </c>
      <c r="AZ25" s="477"/>
      <c r="BA25" s="478"/>
      <c r="BB25" s="476">
        <v>8</v>
      </c>
      <c r="BC25" s="477"/>
      <c r="BD25" s="478"/>
      <c r="BE25" s="476">
        <v>7</v>
      </c>
      <c r="BF25" s="477"/>
      <c r="BG25" s="478"/>
      <c r="BH25" s="476">
        <v>6</v>
      </c>
      <c r="BI25" s="477"/>
      <c r="BJ25" s="478"/>
      <c r="BK25" s="476">
        <v>5</v>
      </c>
      <c r="BL25" s="477"/>
      <c r="BM25" s="478"/>
      <c r="BN25" s="476">
        <v>4</v>
      </c>
      <c r="BO25" s="477"/>
      <c r="BP25" s="478"/>
      <c r="BQ25" s="476">
        <v>3</v>
      </c>
      <c r="BR25" s="477"/>
      <c r="BS25" s="478"/>
      <c r="BT25" s="476">
        <v>2</v>
      </c>
      <c r="BU25" s="477"/>
      <c r="BV25" s="478"/>
      <c r="BW25" s="476">
        <v>1</v>
      </c>
      <c r="BX25" s="477"/>
      <c r="BY25" s="478"/>
      <c r="BZ25" s="476">
        <v>0</v>
      </c>
      <c r="CA25" s="477"/>
      <c r="CB25" s="478"/>
    </row>
    <row r="26" spans="1:81" ht="15" customHeight="1" x14ac:dyDescent="0.35">
      <c r="A26" s="270">
        <v>1024</v>
      </c>
      <c r="B26" s="156" t="s">
        <v>119</v>
      </c>
      <c r="C26" s="250" t="str">
        <f>VLOOKUP(B26,'Zdroj hloubka okresy'!$A$2:$D$171,2,FALSE)</f>
        <v>Pribram</v>
      </c>
      <c r="D26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7</v>
      </c>
      <c r="E26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26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26" s="264">
        <f>IF(AND(Tabulka1[[#This Row],[hum_60]]&gt;AY32,Tabulka1[[#This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26" s="264">
        <f>IF(Tabulka1[[#This Row],[kv.ek.]]=Body!$AX$13,IF(AND('Zdroj data'!M26&gt;=Body!$AY$13,'Zdroj data'!M26&lt;=Body!$BA$13),Body!$AY$6,IF(AND('Zdroj data'!M26&gt;=Body!$BB$13,'Zdroj data'!M26&lt;=Body!$BD$13),Body!$BB$6,IF(AND('Zdroj data'!M26&gt;=Body!$BE$13,'Zdroj data'!M26&lt;=Body!$BG$13),Body!$BE$6,IF(AND('Zdroj data'!M26&gt;=Body!$BH$13,'Zdroj data'!M26&lt;=Body!$BJ$13),Body!$BH$6,IF(AND('Zdroj data'!M26&gt;=Body!$BK$13,'Zdroj data'!M26&lt;=Body!$BM$13),Body!$BK$6,IF(AND('Zdroj data'!M26&gt;=Body!$BN$13,'Zdroj data'!M26&lt;=Body!$BP$13),Body!$BN$6,IF(AND('Zdroj data'!M26&gt;=Body!$BQ$13,'Zdroj data'!M26&lt;=Body!$BS$13),Body!$BQ$6,IF(AND('Zdroj data'!M26&gt;=Body!$BT$13,'Zdroj data'!M26&lt;=Body!$BV$13),Body!$BT$6,IF(AND('Zdroj data'!M26&gt;=Body!$BW$13,'Zdroj data'!M26&lt;=Body!$BY$13),Body!$BW$6,IF('Zdroj data'!M26&gt;=Body!$CB$13,Body!$BZ$6,"")))))))))),IF(Tabulka1[[#This Row],[kv.ek.]]=Body!$AX$14,IF(AND('Zdroj data'!N26&gt;=Body!$AY$14,'Zdroj data'!N26&lt;=Body!$BA$14),Body!$AY$6,IF(AND('Zdroj data'!N26&gt;=Body!$BB$14,'Zdroj data'!N26&lt;=Body!$BD$14),Body!$BB$6,IF(AND('Zdroj data'!N26&gt;=Body!$BE$14,'Zdroj data'!N26&lt;=Body!$BG$14),Body!$BE$6,IF(AND('Zdroj data'!N26&gt;=Body!$BH$14,'Zdroj data'!N26&lt;=Body!$BJ$14),Body!$BH$6,IF(AND('Zdroj data'!N26&gt;=Body!$BK$14,'Zdroj data'!N26&lt;=Body!$BM$14),Body!$BK$6,IF(AND('Zdroj data'!N26&gt;=Body!$BN$14,'Zdroj data'!N26&lt;=Body!$BP$14),Body!$BN$6,IF(AND('Zdroj data'!N26&gt;=Body!$BQ$14,'Zdroj data'!N26&lt;=Body!$BS$14),Body!$BQ$6,IF(AND('Zdroj data'!N26&gt;=Body!$BT$14,'Zdroj data'!N26&lt;=Body!$BV$14),Body!$BT$6,IF(AND('Zdroj data'!N26&gt;=Body!$BW$14,'Zdroj data'!N26&lt;=Body!$BY$14),Body!$BW$6,IF('Zdroj data'!N26&gt;=Body!$CB$14,Body!$BZ$6,"")))))))))),""))</f>
        <v>1</v>
      </c>
      <c r="I26" s="264">
        <f>IF(Tabulka1[[#This Row],[kv.ek.]]=Body!$AX$13,IF(AND('Zdroj data'!N26&gt;=Body!$AY$13,'Zdroj data'!N26&lt;=Body!$BA$13),Body!$AY$6,IF(AND('Zdroj data'!N26&gt;=Body!$BB$13,'Zdroj data'!N26&lt;=Body!$BD$13),Body!$BB$6,IF(AND('Zdroj data'!N26&gt;=Body!$BE$13,'Zdroj data'!N26&lt;=Body!$BG$13),Body!$BE$6,IF(AND('Zdroj data'!N26&gt;=Body!$BH$13,'Zdroj data'!N26&lt;=Body!$BJ$13),Body!$BH$6,IF(AND('Zdroj data'!N26&gt;=Body!$BK$13,'Zdroj data'!N26&lt;=Body!$BM$13),Body!$BK$6,IF(AND('Zdroj data'!N26&gt;=Body!$BN$13,'Zdroj data'!N26&lt;=Body!$BP$13),Body!$BN$6,IF(AND('Zdroj data'!N26&gt;=Body!$BQ$13,'Zdroj data'!N26&lt;=Body!$BS$13),Body!$BQ$6,IF(AND('Zdroj data'!N26&gt;=Body!$BT$13,'Zdroj data'!N26&lt;=Body!$BV$13),Body!$BT$6,IF(AND('Zdroj data'!N26&gt;=Body!$BW$13,'Zdroj data'!N26&lt;=Body!$BY$13),Body!$BW$6,IF('Zdroj data'!N26&gt;=Body!$CB$13,Body!$BZ$6," ")))))))))),IF(Tabulka1[[#This Row],[kv.ek.]]=Body!$AX$14,IF(AND('Zdroj data'!O26&gt;=Body!$AY$14,'Zdroj data'!O26&lt;=Body!$BA$14),Body!$AY$6,IF(AND('Zdroj data'!O26&gt;=Body!$BB$14,'Zdroj data'!O26&lt;=Body!$BD$14),Body!$BB$6,IF(AND('Zdroj data'!O26&gt;=Body!$BE$14,'Zdroj data'!O26&lt;=Body!$BG$14),Body!$BE$6,IF(AND('Zdroj data'!O26&gt;=Body!$BH$14,'Zdroj data'!O26&lt;=Body!$BJ$14),Body!$BH$6,IF(AND('Zdroj data'!O26&gt;=Body!$BK$14,'Zdroj data'!O26&lt;=Body!$BM$14),Body!$BK$6,IF(AND('Zdroj data'!O26&gt;=Body!$BN$14,'Zdroj data'!O26&lt;=Body!$BP$14),Body!$BN$6,IF(AND('Zdroj data'!O26&gt;=Body!$BQ$14,'Zdroj data'!O26&lt;=Body!$BS$14),Body!$BQ$6,IF(AND('Zdroj data'!O26&gt;=Body!$BT$14,'Zdroj data'!O26&lt;=Body!$BV$14),Body!$BT$6,IF(AND('Zdroj data'!O26&gt;=Body!$BW$14,'Zdroj data'!O26&lt;=Body!$BY$14),Body!$BW$6,IF('Zdroj data'!O26&gt;=Body!$CB$14,Body!$BZ$6," "))))))))))," "))</f>
        <v>6</v>
      </c>
      <c r="J26" s="264">
        <f t="shared" si="8"/>
        <v>2</v>
      </c>
      <c r="K26" s="264">
        <f t="shared" si="9"/>
        <v>2</v>
      </c>
      <c r="L26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26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26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26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26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26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26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26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26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26" s="264">
        <f>IF('Zdroj data'!BB26=Body!$AY$25,Body!$AY$22,IF('Zdroj data'!BB26=Body!$BB$25,Body!$BB$22,IF('Zdroj data'!BB26=Body!$BE$25,Body!$BE$22,IF('Zdroj data'!BB26=Body!$BH$25,Body!$BH$22,IF('Zdroj data'!BB26=Body!BK$25,Body!$BK$22,IF('Zdroj data'!BB26=Body!$BN$25,Body!$BN$22,IF('Zdroj data'!BB26=Body!$BQ$25,Body!$BQ$22,IF('Zdroj data'!BB26=Body!$BT$25,Body!$BT$22,IF('Zdroj data'!BB26=Body!$BW$25,Body!$BW$22,IF('Zdroj data'!BB26=Body!$BZ$25,Body!$BZ$22," "))))))))))</f>
        <v>5</v>
      </c>
      <c r="V26" s="264">
        <f>IF(AND('Zdroj data'!BO26&gt;Body!$AY$27,'Zdroj data'!BO26&lt;=Body!$BA$27),Body!$AY$22,IF(AND('Zdroj data'!BO26&gt;=Body!$BB$27,'Zdroj data'!BO26&lt;=Body!$BD$27),Body!$BB$22,IF(AND('Zdroj data'!BO26&gt;=Body!$BE$27,'Zdroj data'!BO26&lt;=Body!$BG$27),Body!$BE$22,IF(AND('Zdroj data'!BO26&gt;=Body!$BH$27,'Zdroj data'!BO26&lt;=Body!$BJ$27),Body!$BH$22,IF(AND('Zdroj data'!BO26&gt;=Body!$BK$27,'Zdroj data'!BO26&lt;=Body!$BM$27),Body!$BK$22,IF(AND('Zdroj data'!BO26&gt;=Body!$BN$27,'Zdroj data'!BO26&lt;=Body!$BP$27),Body!$BN$22,IF(AND('Zdroj data'!BO26&gt;=Body!$BQ$27,'Zdroj data'!BO26&lt;=Body!$BS$27),Body!$BQ$22,IF(AND('Zdroj data'!BO26&gt;=Body!$BT$27,'Zdroj data'!BO26&lt;=Body!$BV$27),Body!$BT$22,IF(AND('Zdroj data'!BO26&gt;=Body!$BW$27,'Zdroj data'!BO26&lt;=Body!$BY$27),Body!$BW$22,IF('Zdroj data'!BO26&gt;=Body!$CB$27,$BZ$22," "))))))))))</f>
        <v>5</v>
      </c>
      <c r="W26" s="264">
        <f>IF(AND('Zdroj data'!BP26&gt;Body!$AY$27,'Zdroj data'!BP26&lt;=Body!$BA$27),Body!$AY$22,IF(AND('Zdroj data'!BP26&gt;=Body!$BB$27,'Zdroj data'!BP26&lt;=Body!$BD$27),Body!$BB$22,IF(AND('Zdroj data'!BP26&gt;=Body!$BE$27,'Zdroj data'!BP26&lt;=Body!$BG$27),Body!$BE$22,IF(AND('Zdroj data'!BP26&gt;=Body!$BH$27,'Zdroj data'!BP26&lt;=Body!$BJ$27),Body!$BH$22,IF(AND('Zdroj data'!BP26&gt;=Body!$BK$27,'Zdroj data'!BP26&lt;=Body!$BM$27),Body!$BK$22,IF(AND('Zdroj data'!BP26&gt;=Body!$BN$27,'Zdroj data'!BP26&lt;=Body!$BP$27),Body!$BN$22,IF(AND('Zdroj data'!BP26&gt;=Body!$BQ$27,'Zdroj data'!BP26&lt;=Body!$BS$27),Body!$BQ$22,IF(AND('Zdroj data'!BP26&gt;=Body!$BT$27,'Zdroj data'!BP26&lt;=Body!$BV$27),Body!$BT$22,IF(AND('Zdroj data'!BP26&gt;=Body!$BW$27,'Zdroj data'!BP26&lt;=Body!$BY$27),Body!$BW$22,IF('Zdroj data'!BP26&gt;=Body!$CB$27,$BZ$22," "))))))))))</f>
        <v>6</v>
      </c>
      <c r="X26" s="264">
        <f>IF('Zdroj data'!BA26=Body!$BB$28,$BB$22,IF('Zdroj data'!BA26=Body!$BE$28,$BE$22,IF(OR('Zdroj data'!BA26=Body!$BK$28,'Zdroj data'!BA26=Body!$BL$28,'Zdroj data'!BA26=Body!$BM$28),$BK$22,IF(OR('Zdroj data'!BA26=Body!$BT$28,'Zdroj data'!BA26=Body!$BV$28),$BT$22,IF(OR('Zdroj data'!BA26=Body!$BW$28,'Zdroj data'!BA26=Body!$BY$28),$BW$22,IF('Zdroj data'!BA26=Body!$BZ$28,$BZ$22," "))))))</f>
        <v>5</v>
      </c>
      <c r="Y26" s="264">
        <f>IF('Zdroj data'!AZ26=Body!$BZ$29,Body!$BZ$22,IF(OR('Zdroj data'!AZ26=$BT$29,'Zdroj data'!AZ26=$BU$29,'Zdroj data'!AZ26=$BV$29),$BT$22,IF(OR('Zdroj data'!AZ26=$BK$29,'Zdroj data'!AZ26=$BM$29),$BK$22,IF(OR('Zdroj data'!AZ26=$BE$29,'Zdroj data'!AZ26=$BG$29),$BE$22,IF(OR('Zdroj data'!AZ26=$AY$29,'Zdroj data'!AZ26=$BA$29),$AY$22," ")))))</f>
        <v>5</v>
      </c>
      <c r="Z26" s="264">
        <f>IF(AND('Zdroj data'!BF26="T",(OR('Zdroj data'!AZ26=Body!$AW$45,'Zdroj data'!AZ26=Body!$AW$46,'Zdroj data'!AZ26=Body!$AW$47,'Zdroj data'!AZ26=Body!$AW$48))),Body!$AY$22,IF(AND('Zdroj data'!BF26="T",(OR('Zdroj data'!AZ26=$AW$49,'Zdroj data'!AZ26=$AW$50,'Zdroj data'!AZ26=$AW$51,'Zdroj data'!AZ26=$AW$52))),$BZ$22,IF(AND(OR('Zdroj data'!BF26="VT",'Zdroj data'!BF26="T",'Zdroj data'!BF26="CH"),(OR('Zdroj data'!AZ26=$AW$43,'Zdroj data'!AZ26=$AW$44,))),$BZ$22,IF(AND('Zdroj data'!BF26="CH",(OR('Zdroj data'!AZ26=$AW$49,'Zdroj data'!AZ26=$AW$50,'Zdroj data'!AZ26=$AW$51,'Zdroj data'!AZ26=$AW$52))),$AY$22,IF(AND('Zdroj data'!BF26="CH",(OR('Zdroj data'!AZ26=$AW$45,'Zdroj data'!AZ26=$AW$46,'Zdroj data'!AZ26=$AW$47,'Zdroj data'!AZ26=$AW$48))),$BZ$22," ")))))</f>
        <v>1</v>
      </c>
      <c r="AA26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26" s="264">
        <f>IF(Tabulka1[[#This Row],[kv.ek.]]=Body!$BK$35,Body!$BK$34,IF(Tabulka1[[#This Row],[kv.ek.]]=Body!$BZ$35,Body!$BZ$34," "))</f>
        <v>10</v>
      </c>
      <c r="AC26" s="264">
        <f>IF(AND('Zdroj data'!BF26="T",(OR('Zdroj data'!AZ26=Body!$AW$45,'Zdroj data'!AZ26=Body!$AW$46,'Zdroj data'!AZ26=Body!$AW$47,'Zdroj data'!AZ26=Body!$AW$48))),Body!$AY$22,IF(AND('Zdroj data'!BF26="T",(OR('Zdroj data'!AZ26=$AW$49,'Zdroj data'!AZ26=$AW$50,'Zdroj data'!AZ26=$AW$51,'Zdroj data'!AZ26=$AW$52))),$BZ$22," "))</f>
        <v>1</v>
      </c>
      <c r="AD26" s="264" t="str">
        <f>IF(AND(OR('Zdroj data'!BF26="VT",'Zdroj data'!BF26="T",'Zdroj data'!BF26="CH"),(OR('Zdroj data'!AZ26=$AW$43,'Zdroj data'!AZ26=$AW$44,))),$BZ$22," ")</f>
        <v xml:space="preserve"> </v>
      </c>
      <c r="AE26" s="264" t="str">
        <f>IF(AND('Zdroj data'!BF26="CH",(OR('Zdroj data'!AZ26=$AW$49,'Zdroj data'!AZ26=$AW$50,'Zdroj data'!AZ26=$AW$51,'Zdroj data'!AZ26=$AW$52))),$AY$22,IF(AND('Zdroj data'!BF26="CH",(OR('Zdroj data'!AZ26=$AW$45,'Zdroj data'!AZ26=$AW$46,'Zdroj data'!AZ26=$AW$47,'Zdroj data'!AZ26=$AW$48))),$BZ$22," "))</f>
        <v xml:space="preserve"> </v>
      </c>
      <c r="AF26" s="264" t="str">
        <f>IF(AND('Zdroj data'!BG26="L",'Zdroj data'!AM26=Body!$AX$15),IF(AND('Zdroj data'!O26&gt;=Body!$AY$15,'Zdroj data'!O26&lt;=Body!$BA$15),Body!AY$6,IF(AND('Zdroj data'!O26&gt;=Body!$BB$15,'Zdroj data'!O26&lt;=Body!$BD$15),Body!BB$6,IF(AND('Zdroj data'!O26&gt;=Body!$BE$15,'Zdroj data'!O26&lt;=Body!$BG$15),Body!BE$6,IF(AND('Zdroj data'!O26&gt;=Body!$BH$15,'Zdroj data'!O26&lt;=Body!$BJ$15),Body!BH$6,IF(AND('Zdroj data'!O26&gt;=Body!$BK$15,'Zdroj data'!O26&lt;=Body!$BM$15),Body!BK$6,IF(AND('Zdroj data'!O26&gt;=Body!$BN$15,'Zdroj data'!O26&lt;=Body!$BP$15),Body!$BN$6,IF(AND('Zdroj data'!O26&gt;=Body!$BQ$15,'Zdroj data'!O26&lt;=Body!$BS$15),Body!$BQ$6,IF(AND('Zdroj data'!O26&gt;=Body!$BT$15,'Zdroj data'!O26&lt;=Body!$BV$15),Body!BT$6,IF(AND('Zdroj data'!O26&gt;=Body!$BW$15,'Zdroj data'!O26&lt;=Body!$BY$15),Body!$BW$6,IF('Zdroj data'!O26&gt;=Body!$CB$15,Body!$BZ$6," ")))))))))),IF(AND('Zdroj data'!BG26="ST",'Zdroj data'!AM26=Body!$AX$16),IF(AND('Zdroj data'!O26&gt;=Body!$AY$16,'Zdroj data'!O26&lt;=Body!$BA$16),Body!$AY$6,IF(AND('Zdroj data'!O26&gt;=Body!$BB$16,'Zdroj data'!O26&lt;=Body!$BD$16),Body!$BB$6,IF(AND('Zdroj data'!O26&gt;=Body!$BE$16,'Zdroj data'!O26&lt;=Body!$BG$16),Body!$BE$6,IF(AND('Zdroj data'!O26&gt;=Body!$BH$16,'Zdroj data'!O26&lt;=Body!$BJ$16),Body!$BH$6,IF(AND('Zdroj data'!O26&gt;=Body!$BK$16,'Zdroj data'!O26&lt;=Body!$BM$16),Body!$BK$6,IF(AND('Zdroj data'!O26&gt;=Body!$BN$16,'Zdroj data'!O26&lt;=Body!$BP$16),Body!$BN$6,IF(AND('Zdroj data'!O26&gt;=Body!$BQ$16,'Zdroj data'!O26&lt;=Body!$BS$16),Body!$BQ$6,IF(AND('Zdroj data'!O26&gt;=Body!$BT$16,'Zdroj data'!O26&lt;=Body!$BV$16),Body!$BT$6,IF(AND('Zdroj data'!O26&gt;=Body!$BW$16,'Zdroj data'!O26&lt;=Body!$BY$16),Body!$BW$6,IF('Zdroj data'!O26&gt;=Body!$CB$16,Body!$BZ$6," ")))))))))),IF(AND('Zdroj data'!BG26="T",'Zdroj data'!AM26=Body!$AX$17),IF(AND('Zdroj data'!O26&gt;=Body!$AY$17,'Zdroj data'!O26&lt;=Body!$BA$17),Body!$AY$6,IF(AND('Zdroj data'!O26&gt;=Body!$BB$17,'Zdroj data'!O26&lt;=Body!$BD$17),Body!$BB$6,IF(AND('Zdroj data'!O26&gt;=Body!$BE$17,'Zdroj data'!O26&lt;=Body!$BG$17),Body!$BE$6,IF(AND('Zdroj data'!O26&gt;=Body!$BH$17,'Zdroj data'!O26&lt;=Body!BJ40),Body!$BH$6,IF(AND('Zdroj data'!O26&gt;=Body!$BK$17,'Zdroj data'!O26&lt;=Body!$BM$17),Body!$BK$6,IF(AND('Zdroj data'!O26&gt;=Body!$BN$17,'Zdroj data'!O26&lt;=Body!$BP$17),Body!$BN$6,IF(AND('Zdroj data'!O26&gt;=Body!$BQ$17,'Zdroj data'!O26&lt;=Body!$BS$17),Body!$BQ$6,IF(AND('Zdroj data'!O26&gt;=Body!$BT$17,'Zdroj data'!O26&lt;=Body!$BV$17),Body!$BT$6,IF(AND('Zdroj data'!O26&gt;=Body!$BW$17,'Zdroj data'!O26&lt;=Body!$BY$17),Body!$BW$6,IF('Zdroj data'!O26&gt;=Body!$CB$17,Body!$BZ$6," "))))))))))," ")))</f>
        <v xml:space="preserve"> </v>
      </c>
      <c r="AG26" s="264" t="str">
        <f>IF(AND('Zdroj data'!$BG26="L",'Zdroj data'!$AM26=Body!$AX$15),IF(AND(Tabulka1[[#This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data'!$BG26="ST",'Zdroj data'!$AM26=Body!$AX$16),IF(AND(Tabulka1[[#This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data'!$BG26="T",'Zdroj data'!$AM26=Body!$AX$17),IF(AND(Tabulka1[[#This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Row],[K2O_60]]&lt;=Body!BJ40),Body!$BH$6,IF(AND(Tabulka1[[#This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26" s="264">
        <f>IF(AND('Zdroj data'!BG26="L",'Zdroj data'!AM26=Body!$AX$18),IF(AND('Zdroj data'!O26&gt;=Body!$AY$18,'Zdroj data'!O26&lt;=Body!$BA$18),Body!AY$6,IF(AND('Zdroj data'!O26&gt;=Body!$BB$18,'Zdroj data'!O26&lt;=Body!$BD$18),Body!BB$6,IF(AND('Zdroj data'!O26&gt;=Body!$BE$18,'Zdroj data'!O26&lt;=Body!$BG$18),Body!BE$6,IF(AND('Zdroj data'!O26&gt;=Body!$BH$18,'Zdroj data'!O26&lt;=Body!$BJ$18),Body!BH$6,IF(AND('Zdroj data'!O26&gt;=Body!$BK$18,'Zdroj data'!O26&lt;=Body!$BM$18),Body!$BK$6,IF(AND('Zdroj data'!O26&gt;=Body!$BN$18,'Zdroj data'!O26&lt;=Body!$BP$18),Body!BN$6,IF(AND('Zdroj data'!O26&gt;=Body!$BQ$18,'Zdroj data'!O26&lt;=Body!$BS$18),Body!$BQ$6,IF(AND('Zdroj data'!O26&gt;=Body!$BT$18,'Zdroj data'!O26&lt;=Body!$BV$18),Body!$BT$6,IF(AND('Zdroj data'!O26&gt;=Body!$BW$18,'Zdroj data'!O26&lt;=Body!$BY$18),Body!$BW$6,IF('Zdroj data'!O26&gt;=Body!$CB$18,Body!$BZ$6," ")))))))))),IF(AND('Zdroj data'!BG26="ST",'Zdroj data'!AM26=Body!$AX$19),IF(AND('Zdroj data'!O26&gt;=Body!$AY$19,'Zdroj data'!O26&lt;=Body!$BA$19),Body!$AY$6,IF(AND('Zdroj data'!O26&gt;=Body!$BB$19,'Zdroj data'!O26&lt;=Body!$BD$19),Body!$BB$6,IF(AND('Zdroj data'!O26&gt;=Body!$BE$19,'Zdroj data'!O26&lt;=Body!$BG$19),Body!$BE$6,IF(AND('Zdroj data'!O26&gt;=Body!$BH$19,'Zdroj data'!O26&lt;=Body!$BJ$19),Body!$BH$6,IF(AND('Zdroj data'!O26&gt;=Body!$BK$19,'Zdroj data'!O26&lt;=Body!$BM$19),Body!$BK$6,IF(AND('Zdroj data'!O26&gt;=Body!$BN$19,'Zdroj data'!O26&lt;=Body!$BP$19),Body!$BN$6,IF(AND('Zdroj data'!O26&gt;=Body!$BQ$19,'Zdroj data'!O26&lt;=Body!$BS$19),Body!$BQ$6,IF(AND('Zdroj data'!O26&gt;=Body!$BT$19,'Zdroj data'!O30&lt;=Body!$BV$19),Body!$BT$6,IF(AND('Zdroj data'!O26&gt;=Body!$BW$19,'Zdroj data'!O26&lt;=Body!$BY$19),Body!$BW$6,IF('Zdroj data'!O26&gt;=Body!$CB$19,Body!$BZ$6," ")))))))))),IF(AND('Zdroj data'!BG26="T",'Zdroj data'!AM26=Body!$AX$20),IF(AND('Zdroj data'!O26&gt;=Body!$AY$20,'Zdroj data'!O26&lt;=Body!$BA$20),Body!$AY$6,IF(AND('Zdroj data'!O26&gt;=Body!$BB$20,'Zdroj data'!O26&lt;=Body!$BD$20),Body!$BB$6,IF(AND('Zdroj data'!O26&gt;=Body!$BE$20,'Zdroj data'!O26&lt;=Body!$BG$20),Body!$BE$6,IF(AND('Zdroj data'!O26&gt;=Body!$BH$20,'Zdroj data'!O26&lt;=Body!$BJ$20),Body!$BH$6,IF(AND('Zdroj data'!O26&gt;=Body!$BK$20,'Zdroj data'!O26&lt;=Body!$BM$20),Body!$BK$6,IF(AND('Zdroj data'!O26&gt;=Body!$BN$20,'Zdroj data'!O26&lt;=Body!$BP$20),Body!$BN$6,IF(AND('Zdroj data'!O26&gt;=Body!$BQ$20,'Zdroj data'!O26&lt;=Body!$BS$20),Body!$BQ$6,IF(AND('Zdroj data'!O26&gt;=Body!$BT$20,'Zdroj data'!O26&lt;=Body!BV43),Body!$BT$6,IF(AND('Zdroj data'!O26&gt;=Body!$BW$20,'Zdroj data'!O26&lt;=Body!$BY$20),Body!$BW$6,IF('Zdroj data'!O26&gt;=Body!$CB$20,Body!$BZ$6," "))))))))))," ")))</f>
        <v>2</v>
      </c>
      <c r="AI26" s="264">
        <f>IF(AND('Zdroj data'!$BG26="L",'Zdroj data'!$AM26=Body!$AX$18),IF(AND(Tabulka1[[#This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data'!$BG26="ST",'Zdroj data'!$AM26=Body!$AX$19),IF(AND(Tabulka1[[#This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data'!$BG26="T",'Zdroj data'!$AM26=Body!$AX$20),IF(AND(Tabulka1[[#This Row],[K2O_60]]&gt;=Body!$AY$20,'Zdroj data'!O26&lt;=Body!$BA$20),Body!$AY$6,IF(AND(Tabulka1[[#This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Row],[K2O_60]]&lt;=Body!BV43),Body!$BT$6,IF(AND(Tabulka1[[#This Row],[K2O_60]]&gt;=Body!$BW$20,Tabulka1[[#This Row],[K2O_60]]&lt;=Body!$BY$20),Body!$BW$6,IF(Tabulka1[[#This Row],[K2O_60]]&gt;=Body!$CB$20,Body!$BZ$6," "))))))))))," ")))</f>
        <v>2</v>
      </c>
      <c r="AJ26" s="265">
        <f t="shared" si="10"/>
        <v>9.3333333333333428</v>
      </c>
      <c r="AK26" s="264">
        <f t="shared" si="3"/>
        <v>25.738373491359738</v>
      </c>
      <c r="AL26" s="264">
        <f t="shared" si="4"/>
        <v>24.669327807479448</v>
      </c>
      <c r="AM26" s="264">
        <f t="shared" si="5"/>
        <v>55.813149509146527</v>
      </c>
      <c r="AN26" s="264">
        <f t="shared" si="6"/>
        <v>57.357742716348518</v>
      </c>
      <c r="AO26" s="265">
        <f t="shared" si="11"/>
        <v>81.551523000506265</v>
      </c>
      <c r="AP26" s="265">
        <f t="shared" si="12"/>
        <v>82.027070523827973</v>
      </c>
      <c r="AQ26" s="318"/>
      <c r="AR26" s="338">
        <f t="shared" si="7"/>
        <v>172.91192685766757</v>
      </c>
      <c r="AS26" s="318"/>
      <c r="AT26" s="454"/>
      <c r="AU26" s="468"/>
      <c r="AV26" s="471">
        <v>0.16936329026337571</v>
      </c>
      <c r="AW26" s="25" t="s">
        <v>972</v>
      </c>
      <c r="AX26" s="275" t="s">
        <v>915</v>
      </c>
      <c r="AY26" s="65">
        <v>5</v>
      </c>
      <c r="AZ26" s="64" t="s">
        <v>899</v>
      </c>
      <c r="BA26" s="27">
        <v>6</v>
      </c>
      <c r="BB26" s="28"/>
      <c r="BC26" s="52"/>
      <c r="BD26" s="27"/>
      <c r="BE26" s="28">
        <v>8</v>
      </c>
      <c r="BF26" s="29"/>
      <c r="BG26" s="27">
        <v>9</v>
      </c>
      <c r="BH26" s="28"/>
      <c r="BI26" s="48"/>
      <c r="BJ26" s="27"/>
      <c r="BK26" s="28"/>
      <c r="BL26" s="29"/>
      <c r="BM26" s="27"/>
      <c r="BN26" s="28"/>
      <c r="BO26" s="29"/>
      <c r="BP26" s="27"/>
      <c r="BQ26" s="28">
        <v>1</v>
      </c>
      <c r="BR26" s="49">
        <v>4</v>
      </c>
      <c r="BS26" s="27">
        <v>7</v>
      </c>
      <c r="BT26" s="28"/>
      <c r="BU26" s="49"/>
      <c r="BV26" s="27"/>
      <c r="BW26" s="28"/>
      <c r="BX26" s="49"/>
      <c r="BY26" s="27"/>
      <c r="BZ26" s="28">
        <v>0</v>
      </c>
      <c r="CA26" s="29">
        <v>2</v>
      </c>
      <c r="CB26" s="27">
        <v>3</v>
      </c>
      <c r="CC26" s="126"/>
    </row>
    <row r="27" spans="1:81" ht="15" customHeight="1" x14ac:dyDescent="0.35">
      <c r="A27" s="270">
        <v>1027</v>
      </c>
      <c r="B27" s="156" t="s">
        <v>536</v>
      </c>
      <c r="C27" s="250" t="str">
        <f>VLOOKUP(B27,'Zdroj hloubka okresy'!$A$2:$D$171,2,FALSE)</f>
        <v>Pribram</v>
      </c>
      <c r="D27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8</v>
      </c>
      <c r="E27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7</v>
      </c>
      <c r="F27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27" s="264">
        <f>IF(AND(Tabulka1[[#This Row],[hum_60]]&gt;AY33,Tabulka1[[#This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27" s="264">
        <f>IF(Tabulka1[[#This Row],[kv.ek.]]=Body!$AX$13,IF(AND('Zdroj data'!M27&gt;=Body!$AY$13,'Zdroj data'!M27&lt;=Body!$BA$13),Body!$AY$6,IF(AND('Zdroj data'!M27&gt;=Body!$BB$13,'Zdroj data'!M27&lt;=Body!$BD$13),Body!$BB$6,IF(AND('Zdroj data'!M27&gt;=Body!$BE$13,'Zdroj data'!M27&lt;=Body!$BG$13),Body!$BE$6,IF(AND('Zdroj data'!M27&gt;=Body!$BH$13,'Zdroj data'!M27&lt;=Body!$BJ$13),Body!$BH$6,IF(AND('Zdroj data'!M27&gt;=Body!$BK$13,'Zdroj data'!M27&lt;=Body!$BM$13),Body!$BK$6,IF(AND('Zdroj data'!M27&gt;=Body!$BN$13,'Zdroj data'!M27&lt;=Body!$BP$13),Body!$BN$6,IF(AND('Zdroj data'!M27&gt;=Body!$BQ$13,'Zdroj data'!M27&lt;=Body!$BS$13),Body!$BQ$6,IF(AND('Zdroj data'!M27&gt;=Body!$BT$13,'Zdroj data'!M27&lt;=Body!$BV$13),Body!$BT$6,IF(AND('Zdroj data'!M27&gt;=Body!$BW$13,'Zdroj data'!M27&lt;=Body!$BY$13),Body!$BW$6,IF('Zdroj data'!M27&gt;=Body!$CB$13,Body!$BZ$6,"")))))))))),IF(Tabulka1[[#This Row],[kv.ek.]]=Body!$AX$14,IF(AND('Zdroj data'!N27&gt;=Body!$AY$14,'Zdroj data'!N27&lt;=Body!$BA$14),Body!$AY$6,IF(AND('Zdroj data'!N27&gt;=Body!$BB$14,'Zdroj data'!N27&lt;=Body!$BD$14),Body!$BB$6,IF(AND('Zdroj data'!N27&gt;=Body!$BE$14,'Zdroj data'!N27&lt;=Body!$BG$14),Body!$BE$6,IF(AND('Zdroj data'!N27&gt;=Body!$BH$14,'Zdroj data'!N27&lt;=Body!$BJ$14),Body!$BH$6,IF(AND('Zdroj data'!N27&gt;=Body!$BK$14,'Zdroj data'!N27&lt;=Body!$BM$14),Body!$BK$6,IF(AND('Zdroj data'!N27&gt;=Body!$BN$14,'Zdroj data'!N27&lt;=Body!$BP$14),Body!$BN$6,IF(AND('Zdroj data'!N27&gt;=Body!$BQ$14,'Zdroj data'!N27&lt;=Body!$BS$14),Body!$BQ$6,IF(AND('Zdroj data'!N27&gt;=Body!$BT$14,'Zdroj data'!N27&lt;=Body!$BV$14),Body!$BT$6,IF(AND('Zdroj data'!N27&gt;=Body!$BW$14,'Zdroj data'!N27&lt;=Body!$BY$14),Body!$BW$6,IF('Zdroj data'!N27&gt;=Body!$CB$14,Body!$BZ$6,"")))))))))),""))</f>
        <v>10</v>
      </c>
      <c r="I27" s="264">
        <f>IF(Tabulka1[[#This Row],[kv.ek.]]=Body!$AX$13,IF(AND('Zdroj data'!N27&gt;=Body!$AY$13,'Zdroj data'!N27&lt;=Body!$BA$13),Body!$AY$6,IF(AND('Zdroj data'!N27&gt;=Body!$BB$13,'Zdroj data'!N27&lt;=Body!$BD$13),Body!$BB$6,IF(AND('Zdroj data'!N27&gt;=Body!$BE$13,'Zdroj data'!N27&lt;=Body!$BG$13),Body!$BE$6,IF(AND('Zdroj data'!N27&gt;=Body!$BH$13,'Zdroj data'!N27&lt;=Body!$BJ$13),Body!$BH$6,IF(AND('Zdroj data'!N27&gt;=Body!$BK$13,'Zdroj data'!N27&lt;=Body!$BM$13),Body!$BK$6,IF(AND('Zdroj data'!N27&gt;=Body!$BN$13,'Zdroj data'!N27&lt;=Body!$BP$13),Body!$BN$6,IF(AND('Zdroj data'!N27&gt;=Body!$BQ$13,'Zdroj data'!N27&lt;=Body!$BS$13),Body!$BQ$6,IF(AND('Zdroj data'!N27&gt;=Body!$BT$13,'Zdroj data'!N27&lt;=Body!$BV$13),Body!$BT$6,IF(AND('Zdroj data'!N27&gt;=Body!$BW$13,'Zdroj data'!N27&lt;=Body!$BY$13),Body!$BW$6,IF('Zdroj data'!N27&gt;=Body!$CB$13,Body!$BZ$6," ")))))))))),IF(Tabulka1[[#This Row],[kv.ek.]]=Body!$AX$14,IF(AND('Zdroj data'!O27&gt;=Body!$AY$14,'Zdroj data'!O27&lt;=Body!$BA$14),Body!$AY$6,IF(AND('Zdroj data'!O27&gt;=Body!$BB$14,'Zdroj data'!O27&lt;=Body!$BD$14),Body!$BB$6,IF(AND('Zdroj data'!O27&gt;=Body!$BE$14,'Zdroj data'!O27&lt;=Body!$BG$14),Body!$BE$6,IF(AND('Zdroj data'!O27&gt;=Body!$BH$14,'Zdroj data'!O27&lt;=Body!$BJ$14),Body!$BH$6,IF(AND('Zdroj data'!O27&gt;=Body!$BK$14,'Zdroj data'!O27&lt;=Body!$BM$14),Body!$BK$6,IF(AND('Zdroj data'!O27&gt;=Body!$BN$14,'Zdroj data'!O27&lt;=Body!$BP$14),Body!$BN$6,IF(AND('Zdroj data'!O27&gt;=Body!$BQ$14,'Zdroj data'!O27&lt;=Body!$BS$14),Body!$BQ$6,IF(AND('Zdroj data'!O27&gt;=Body!$BT$14,'Zdroj data'!O27&lt;=Body!$BV$14),Body!$BT$6,IF(AND('Zdroj data'!O27&gt;=Body!$BW$14,'Zdroj data'!O27&lt;=Body!$BY$14),Body!$BW$6,IF('Zdroj data'!O27&gt;=Body!$CB$14,Body!$BZ$6," "))))))))))," "))</f>
        <v>8</v>
      </c>
      <c r="J27" s="264">
        <f t="shared" si="8"/>
        <v>3</v>
      </c>
      <c r="K27" s="264">
        <f t="shared" si="9"/>
        <v>2</v>
      </c>
      <c r="L27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2</v>
      </c>
      <c r="M27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1</v>
      </c>
      <c r="N27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27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27" s="264">
        <f>IF(Tabulka1[[#This Row],[RVK]]=Body!$BE$10,Body!$BE$6,IF(Tabulka1[[#This Row],[RVK]]=Body!$BK$10,Body!$BK$6,IF(Tabulka1[[#This Row],[RVK]]=Body!$BN$10,Body!$BN$6,IF(Tabulka1[[#This Row],[RVK]]=Body!$BZ$10,Body!$BZ$6," "))))</f>
        <v>10</v>
      </c>
      <c r="Q27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2</v>
      </c>
      <c r="R27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2</v>
      </c>
      <c r="S27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4</v>
      </c>
      <c r="T27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4</v>
      </c>
      <c r="U27" s="264">
        <f>IF('Zdroj data'!BB27=Body!$AY$25,Body!$AY$22,IF('Zdroj data'!BB27=Body!$BB$25,Body!$BB$22,IF('Zdroj data'!BB27=Body!$BE$25,Body!$BE$22,IF('Zdroj data'!BB27=Body!$BH$25,Body!$BH$22,IF('Zdroj data'!BB27=Body!BK$25,Body!$BK$22,IF('Zdroj data'!BB27=Body!$BN$25,Body!$BN$22,IF('Zdroj data'!BB27=Body!$BQ$25,Body!$BQ$22,IF('Zdroj data'!BB27=Body!$BT$25,Body!$BT$22,IF('Zdroj data'!BB27=Body!$BW$25,Body!$BW$22,IF('Zdroj data'!BB27=Body!$BZ$25,Body!$BZ$22," "))))))))))</f>
        <v>6</v>
      </c>
      <c r="V27" s="264">
        <f>IF(AND('Zdroj data'!BO27&gt;Body!$AY$27,'Zdroj data'!BO27&lt;=Body!$BA$27),Body!$AY$22,IF(AND('Zdroj data'!BO27&gt;=Body!$BB$27,'Zdroj data'!BO27&lt;=Body!$BD$27),Body!$BB$22,IF(AND('Zdroj data'!BO27&gt;=Body!$BE$27,'Zdroj data'!BO27&lt;=Body!$BG$27),Body!$BE$22,IF(AND('Zdroj data'!BO27&gt;=Body!$BH$27,'Zdroj data'!BO27&lt;=Body!$BJ$27),Body!$BH$22,IF(AND('Zdroj data'!BO27&gt;=Body!$BK$27,'Zdroj data'!BO27&lt;=Body!$BM$27),Body!$BK$22,IF(AND('Zdroj data'!BO27&gt;=Body!$BN$27,'Zdroj data'!BO27&lt;=Body!$BP$27),Body!$BN$22,IF(AND('Zdroj data'!BO27&gt;=Body!$BQ$27,'Zdroj data'!BO27&lt;=Body!$BS$27),Body!$BQ$22,IF(AND('Zdroj data'!BO27&gt;=Body!$BT$27,'Zdroj data'!BO27&lt;=Body!$BV$27),Body!$BT$22,IF(AND('Zdroj data'!BO27&gt;=Body!$BW$27,'Zdroj data'!BO27&lt;=Body!$BY$27),Body!$BW$22,IF('Zdroj data'!BO27&gt;=Body!$CB$27,$BZ$22," "))))))))))</f>
        <v>6</v>
      </c>
      <c r="W27" s="264">
        <f>IF(AND('Zdroj data'!BP27&gt;Body!$AY$27,'Zdroj data'!BP27&lt;=Body!$BA$27),Body!$AY$22,IF(AND('Zdroj data'!BP27&gt;=Body!$BB$27,'Zdroj data'!BP27&lt;=Body!$BD$27),Body!$BB$22,IF(AND('Zdroj data'!BP27&gt;=Body!$BE$27,'Zdroj data'!BP27&lt;=Body!$BG$27),Body!$BE$22,IF(AND('Zdroj data'!BP27&gt;=Body!$BH$27,'Zdroj data'!BP27&lt;=Body!$BJ$27),Body!$BH$22,IF(AND('Zdroj data'!BP27&gt;=Body!$BK$27,'Zdroj data'!BP27&lt;=Body!$BM$27),Body!$BK$22,IF(AND('Zdroj data'!BP27&gt;=Body!$BN$27,'Zdroj data'!BP27&lt;=Body!$BP$27),Body!$BN$22,IF(AND('Zdroj data'!BP27&gt;=Body!$BQ$27,'Zdroj data'!BP27&lt;=Body!$BS$27),Body!$BQ$22,IF(AND('Zdroj data'!BP27&gt;=Body!$BT$27,'Zdroj data'!BP27&lt;=Body!$BV$27),Body!$BT$22,IF(AND('Zdroj data'!BP27&gt;=Body!$BW$27,'Zdroj data'!BP27&lt;=Body!$BY$27),Body!$BW$22,IF('Zdroj data'!BP27&gt;=Body!$CB$27,$BZ$22," "))))))))))</f>
        <v>7</v>
      </c>
      <c r="X27" s="264">
        <f>IF('Zdroj data'!BA27=Body!$BB$28,$BB$22,IF('Zdroj data'!BA27=Body!$BE$28,$BE$22,IF(OR('Zdroj data'!BA27=Body!$BK$28,'Zdroj data'!BA27=Body!$BL$28,'Zdroj data'!BA27=Body!$BM$28),$BK$22,IF(OR('Zdroj data'!BA27=Body!$BT$28,'Zdroj data'!BA27=Body!$BV$28),$BT$22,IF(OR('Zdroj data'!BA27=Body!$BW$28,'Zdroj data'!BA27=Body!$BY$28),$BW$22,IF('Zdroj data'!BA27=Body!$BZ$28,$BZ$22," "))))))</f>
        <v>9</v>
      </c>
      <c r="Y27" s="264">
        <f>IF('Zdroj data'!AZ27=Body!$BZ$29,Body!$BZ$22,IF(OR('Zdroj data'!AZ27=$BT$29,'Zdroj data'!AZ27=$BU$29,'Zdroj data'!AZ27=$BV$29),$BT$22,IF(OR('Zdroj data'!AZ27=$BK$29,'Zdroj data'!AZ27=$BM$29),$BK$22,IF(OR('Zdroj data'!AZ27=$BE$29,'Zdroj data'!AZ27=$BG$29),$BE$22,IF(OR('Zdroj data'!AZ27=$AY$29,'Zdroj data'!AZ27=$BA$29),$AY$22," ")))))</f>
        <v>10</v>
      </c>
      <c r="Z27" s="264">
        <f>IF(AND('Zdroj data'!BF27="T",(OR('Zdroj data'!AZ27=Body!$AW$45,'Zdroj data'!AZ27=Body!$AW$46,'Zdroj data'!AZ27=Body!$AW$47,'Zdroj data'!AZ27=Body!$AW$48))),Body!$AY$22,IF(AND('Zdroj data'!BF27="T",(OR('Zdroj data'!AZ27=$AW$49,'Zdroj data'!AZ27=$AW$50,'Zdroj data'!AZ27=$AW$51,'Zdroj data'!AZ27=$AW$52))),$BZ$22,IF(AND(OR('Zdroj data'!BF27="VT",'Zdroj data'!BF27="T",'Zdroj data'!BF27="CH"),(OR('Zdroj data'!AZ27=$AW$43,'Zdroj data'!AZ27=$AW$44,))),$BZ$22,IF(AND('Zdroj data'!BF27="CH",(OR('Zdroj data'!AZ27=$AW$49,'Zdroj data'!AZ27=$AW$50,'Zdroj data'!AZ27=$AW$51,'Zdroj data'!AZ27=$AW$52))),$AY$22,IF(AND('Zdroj data'!BF27="CH",(OR('Zdroj data'!AZ27=$AW$45,'Zdroj data'!AZ27=$AW$46,'Zdroj data'!AZ27=$AW$47,'Zdroj data'!AZ27=$AW$48))),$BZ$22," ")))))</f>
        <v>10</v>
      </c>
      <c r="AA27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</v>
      </c>
      <c r="AB27" s="264">
        <f>IF(Tabulka1[[#This Row],[kv.ek.]]=Body!$BK$35,Body!$BK$34,IF(Tabulka1[[#This Row],[kv.ek.]]=Body!$BZ$35,Body!$BZ$34," "))</f>
        <v>10</v>
      </c>
      <c r="AC27" s="264" t="str">
        <f>IF(AND('Zdroj data'!BF27="T",(OR('Zdroj data'!AZ27=Body!$AW$45,'Zdroj data'!AZ27=Body!$AW$46,'Zdroj data'!AZ27=Body!$AW$47,'Zdroj data'!AZ27=Body!$AW$48))),Body!$AY$22,IF(AND('Zdroj data'!BF27="T",(OR('Zdroj data'!AZ27=$AW$49,'Zdroj data'!AZ27=$AW$50,'Zdroj data'!AZ27=$AW$51,'Zdroj data'!AZ27=$AW$52))),$BZ$22," "))</f>
        <v xml:space="preserve"> </v>
      </c>
      <c r="AD27" s="264">
        <f>IF(AND(OR('Zdroj data'!BF27="VT",'Zdroj data'!BF27="T",'Zdroj data'!BF27="CH"),(OR('Zdroj data'!AZ27=$AW$43,'Zdroj data'!AZ27=$AW$44,))),$BZ$22," ")</f>
        <v>10</v>
      </c>
      <c r="AE27" s="264" t="str">
        <f>IF(AND('Zdroj data'!BF27="CH",(OR('Zdroj data'!AZ27=$AW$49,'Zdroj data'!AZ27=$AW$50,'Zdroj data'!AZ27=$AW$51,'Zdroj data'!AZ27=$AW$52))),$AY$22,IF(AND('Zdroj data'!BF27="CH",(OR('Zdroj data'!AZ27=$AW$45,'Zdroj data'!AZ27=$AW$46,'Zdroj data'!AZ27=$AW$47,'Zdroj data'!AZ27=$AW$48))),$BZ$22," "))</f>
        <v xml:space="preserve"> </v>
      </c>
      <c r="AF27" s="264" t="str">
        <f>IF(AND('Zdroj data'!BG27="L",'Zdroj data'!AM27=Body!$AX$15),IF(AND('Zdroj data'!O27&gt;=Body!$AY$15,'Zdroj data'!O27&lt;=Body!$BA$15),Body!AY$6,IF(AND('Zdroj data'!O27&gt;=Body!$BB$15,'Zdroj data'!O27&lt;=Body!$BD$15),Body!BB$6,IF(AND('Zdroj data'!O27&gt;=Body!$BE$15,'Zdroj data'!O27&lt;=Body!$BG$15),Body!BE$6,IF(AND('Zdroj data'!O27&gt;=Body!$BH$15,'Zdroj data'!O27&lt;=Body!$BJ$15),Body!BH$6,IF(AND('Zdroj data'!O27&gt;=Body!$BK$15,'Zdroj data'!O27&lt;=Body!$BM$15),Body!BK$6,IF(AND('Zdroj data'!O27&gt;=Body!$BN$15,'Zdroj data'!O27&lt;=Body!$BP$15),Body!$BN$6,IF(AND('Zdroj data'!O27&gt;=Body!$BQ$15,'Zdroj data'!O27&lt;=Body!$BS$15),Body!$BQ$6,IF(AND('Zdroj data'!O27&gt;=Body!$BT$15,'Zdroj data'!O27&lt;=Body!$BV$15),Body!BT$6,IF(AND('Zdroj data'!O27&gt;=Body!$BW$15,'Zdroj data'!O27&lt;=Body!$BY$15),Body!$BW$6,IF('Zdroj data'!O27&gt;=Body!$CB$15,Body!$BZ$6," ")))))))))),IF(AND('Zdroj data'!BG27="ST",'Zdroj data'!AM27=Body!$AX$16),IF(AND('Zdroj data'!O27&gt;=Body!$AY$16,'Zdroj data'!O27&lt;=Body!$BA$16),Body!$AY$6,IF(AND('Zdroj data'!O27&gt;=Body!$BB$16,'Zdroj data'!O27&lt;=Body!$BD$16),Body!$BB$6,IF(AND('Zdroj data'!O27&gt;=Body!$BE$16,'Zdroj data'!O27&lt;=Body!$BG$16),Body!$BE$6,IF(AND('Zdroj data'!O27&gt;=Body!$BH$16,'Zdroj data'!O27&lt;=Body!$BJ$16),Body!$BH$6,IF(AND('Zdroj data'!O27&gt;=Body!$BK$16,'Zdroj data'!O27&lt;=Body!$BM$16),Body!$BK$6,IF(AND('Zdroj data'!O27&gt;=Body!$BN$16,'Zdroj data'!O27&lt;=Body!$BP$16),Body!$BN$6,IF(AND('Zdroj data'!O27&gt;=Body!$BQ$16,'Zdroj data'!O27&lt;=Body!$BS$16),Body!$BQ$6,IF(AND('Zdroj data'!O27&gt;=Body!$BT$16,'Zdroj data'!O27&lt;=Body!$BV$16),Body!$BT$6,IF(AND('Zdroj data'!O27&gt;=Body!$BW$16,'Zdroj data'!O27&lt;=Body!$BY$16),Body!$BW$6,IF('Zdroj data'!O27&gt;=Body!$CB$16,Body!$BZ$6," ")))))))))),IF(AND('Zdroj data'!BG27="T",'Zdroj data'!AM27=Body!$AX$17),IF(AND('Zdroj data'!O27&gt;=Body!$AY$17,'Zdroj data'!O27&lt;=Body!$BA$17),Body!$AY$6,IF(AND('Zdroj data'!O27&gt;=Body!$BB$17,'Zdroj data'!O27&lt;=Body!$BD$17),Body!$BB$6,IF(AND('Zdroj data'!O27&gt;=Body!$BE$17,'Zdroj data'!O27&lt;=Body!$BG$17),Body!$BE$6,IF(AND('Zdroj data'!O27&gt;=Body!$BH$17,'Zdroj data'!O27&lt;=Body!BJ41),Body!$BH$6,IF(AND('Zdroj data'!O27&gt;=Body!$BK$17,'Zdroj data'!O27&lt;=Body!$BM$17),Body!$BK$6,IF(AND('Zdroj data'!O27&gt;=Body!$BN$17,'Zdroj data'!O27&lt;=Body!$BP$17),Body!$BN$6,IF(AND('Zdroj data'!O27&gt;=Body!$BQ$17,'Zdroj data'!O27&lt;=Body!$BS$17),Body!$BQ$6,IF(AND('Zdroj data'!O27&gt;=Body!$BT$17,'Zdroj data'!O27&lt;=Body!$BV$17),Body!$BT$6,IF(AND('Zdroj data'!O27&gt;=Body!$BW$17,'Zdroj data'!O27&lt;=Body!$BY$17),Body!$BW$6,IF('Zdroj data'!O27&gt;=Body!$CB$17,Body!$BZ$6," "))))))))))," ")))</f>
        <v xml:space="preserve"> </v>
      </c>
      <c r="AG27" s="264" t="str">
        <f>IF(AND('Zdroj data'!$BG27="L",'Zdroj data'!$AM27=Body!$AX$15),IF(AND(Tabulka1[[#This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data'!$BG27="ST",'Zdroj data'!$AM27=Body!$AX$16),IF(AND(Tabulka1[[#This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data'!$BG27="T",'Zdroj data'!$AM27=Body!$AX$17),IF(AND(Tabulka1[[#This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Row],[K2O_60]]&lt;=Body!BJ41),Body!$BH$6,IF(AND(Tabulka1[[#This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27" s="264">
        <f>IF(AND('Zdroj data'!BG27="L",'Zdroj data'!AM27=Body!$AX$18),IF(AND('Zdroj data'!O27&gt;=Body!$AY$18,'Zdroj data'!O27&lt;=Body!$BA$18),Body!AY$6,IF(AND('Zdroj data'!O27&gt;=Body!$BB$18,'Zdroj data'!O27&lt;=Body!$BD$18),Body!BB$6,IF(AND('Zdroj data'!O27&gt;=Body!$BE$18,'Zdroj data'!O27&lt;=Body!$BG$18),Body!BE$6,IF(AND('Zdroj data'!O27&gt;=Body!$BH$18,'Zdroj data'!O27&lt;=Body!$BJ$18),Body!BH$6,IF(AND('Zdroj data'!O27&gt;=Body!$BK$18,'Zdroj data'!O27&lt;=Body!$BM$18),Body!$BK$6,IF(AND('Zdroj data'!O27&gt;=Body!$BN$18,'Zdroj data'!O27&lt;=Body!$BP$18),Body!BN$6,IF(AND('Zdroj data'!O27&gt;=Body!$BQ$18,'Zdroj data'!O27&lt;=Body!$BS$18),Body!$BQ$6,IF(AND('Zdroj data'!O27&gt;=Body!$BT$18,'Zdroj data'!O27&lt;=Body!$BV$18),Body!$BT$6,IF(AND('Zdroj data'!O27&gt;=Body!$BW$18,'Zdroj data'!O27&lt;=Body!$BY$18),Body!$BW$6,IF('Zdroj data'!O27&gt;=Body!$CB$18,Body!$BZ$6," ")))))))))),IF(AND('Zdroj data'!BG27="ST",'Zdroj data'!AM27=Body!$AX$19),IF(AND('Zdroj data'!O27&gt;=Body!$AY$19,'Zdroj data'!O27&lt;=Body!$BA$19),Body!$AY$6,IF(AND('Zdroj data'!O27&gt;=Body!$BB$19,'Zdroj data'!O27&lt;=Body!$BD$19),Body!$BB$6,IF(AND('Zdroj data'!O27&gt;=Body!$BE$19,'Zdroj data'!O27&lt;=Body!$BG$19),Body!$BE$6,IF(AND('Zdroj data'!O27&gt;=Body!$BH$19,'Zdroj data'!O27&lt;=Body!$BJ$19),Body!$BH$6,IF(AND('Zdroj data'!O27&gt;=Body!$BK$19,'Zdroj data'!O27&lt;=Body!$BM$19),Body!$BK$6,IF(AND('Zdroj data'!O27&gt;=Body!$BN$19,'Zdroj data'!O27&lt;=Body!$BP$19),Body!$BN$6,IF(AND('Zdroj data'!O27&gt;=Body!$BQ$19,'Zdroj data'!O27&lt;=Body!$BS$19),Body!$BQ$6,IF(AND('Zdroj data'!O27&gt;=Body!$BT$19,'Zdroj data'!O31&lt;=Body!$BV$19),Body!$BT$6,IF(AND('Zdroj data'!O27&gt;=Body!$BW$19,'Zdroj data'!O27&lt;=Body!$BY$19),Body!$BW$6,IF('Zdroj data'!O27&gt;=Body!$CB$19,Body!$BZ$6," ")))))))))),IF(AND('Zdroj data'!BG27="T",'Zdroj data'!AM27=Body!$AX$20),IF(AND('Zdroj data'!O27&gt;=Body!$AY$20,'Zdroj data'!O27&lt;=Body!$BA$20),Body!$AY$6,IF(AND('Zdroj data'!O27&gt;=Body!$BB$20,'Zdroj data'!O27&lt;=Body!$BD$20),Body!$BB$6,IF(AND('Zdroj data'!O27&gt;=Body!$BE$20,'Zdroj data'!O27&lt;=Body!$BG$20),Body!$BE$6,IF(AND('Zdroj data'!O27&gt;=Body!$BH$20,'Zdroj data'!O27&lt;=Body!$BJ$20),Body!$BH$6,IF(AND('Zdroj data'!O27&gt;=Body!$BK$20,'Zdroj data'!O27&lt;=Body!$BM$20),Body!$BK$6,IF(AND('Zdroj data'!O27&gt;=Body!$BN$20,'Zdroj data'!O27&lt;=Body!$BP$20),Body!$BN$6,IF(AND('Zdroj data'!O27&gt;=Body!$BQ$20,'Zdroj data'!O27&lt;=Body!$BS$20),Body!$BQ$6,IF(AND('Zdroj data'!O27&gt;=Body!$BT$20,'Zdroj data'!O27&lt;=Body!BV44),Body!$BT$6,IF(AND('Zdroj data'!O27&gt;=Body!$BW$20,'Zdroj data'!O27&lt;=Body!$BY$20),Body!$BW$6,IF('Zdroj data'!O27&gt;=Body!$CB$20,Body!$BZ$6," "))))))))))," ")))</f>
        <v>3</v>
      </c>
      <c r="AI27" s="264">
        <f>IF(AND('Zdroj data'!$BG27="L",'Zdroj data'!$AM27=Body!$AX$18),IF(AND(Tabulka1[[#This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data'!$BG27="ST",'Zdroj data'!$AM27=Body!$AX$19),IF(AND(Tabulka1[[#This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data'!$BG27="T",'Zdroj data'!$AM27=Body!$AX$20),IF(AND(Tabulka1[[#This Row],[K2O_60]]&gt;=Body!$AY$20,'Zdroj data'!O27&lt;=Body!$BA$20),Body!$AY$6,IF(AND(Tabulka1[[#This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Row],[K2O_60]]&lt;=Body!BV44),Body!$BT$6,IF(AND(Tabulka1[[#This Row],[K2O_60]]&gt;=Body!$BW$20,Tabulka1[[#This Row],[K2O_60]]&lt;=Body!$BY$20),Body!$BW$6,IF(Tabulka1[[#This Row],[K2O_60]]&gt;=Body!$CB$20,Body!$BZ$6," "))))))))))," ")))</f>
        <v>2</v>
      </c>
      <c r="AJ27" s="265">
        <f t="shared" si="10"/>
        <v>4.0000000000000036</v>
      </c>
      <c r="AK27" s="264">
        <f t="shared" si="3"/>
        <v>29.258026642685227</v>
      </c>
      <c r="AL27" s="264">
        <f t="shared" si="4"/>
        <v>25.753675771044072</v>
      </c>
      <c r="AM27" s="264">
        <f t="shared" si="5"/>
        <v>52.472342295030252</v>
      </c>
      <c r="AN27" s="264">
        <f t="shared" si="6"/>
        <v>54.016935502232236</v>
      </c>
      <c r="AO27" s="265">
        <f t="shared" si="11"/>
        <v>81.730368937715483</v>
      </c>
      <c r="AP27" s="265">
        <f t="shared" si="12"/>
        <v>79.770611273276302</v>
      </c>
      <c r="AQ27" s="318"/>
      <c r="AR27" s="338">
        <f t="shared" si="7"/>
        <v>165.50098021099177</v>
      </c>
      <c r="AS27" s="318"/>
      <c r="AT27" s="454"/>
      <c r="AU27" s="468"/>
      <c r="AV27" s="472"/>
      <c r="AW27" s="25" t="s">
        <v>971</v>
      </c>
      <c r="AX27" s="154" t="s">
        <v>970</v>
      </c>
      <c r="AY27" s="65">
        <v>0</v>
      </c>
      <c r="AZ27" s="64" t="s">
        <v>856</v>
      </c>
      <c r="BA27" s="27">
        <v>1.99</v>
      </c>
      <c r="BB27" s="28">
        <v>2</v>
      </c>
      <c r="BC27" s="52" t="s">
        <v>859</v>
      </c>
      <c r="BD27" s="27">
        <v>4.99</v>
      </c>
      <c r="BE27" s="28">
        <v>5</v>
      </c>
      <c r="BF27" s="29" t="s">
        <v>859</v>
      </c>
      <c r="BG27" s="27">
        <v>9.99</v>
      </c>
      <c r="BH27" s="28">
        <v>10</v>
      </c>
      <c r="BI27" s="48" t="s">
        <v>859</v>
      </c>
      <c r="BJ27" s="27">
        <v>14.99</v>
      </c>
      <c r="BK27" s="28">
        <v>15</v>
      </c>
      <c r="BL27" s="29" t="s">
        <v>859</v>
      </c>
      <c r="BM27" s="27">
        <v>19.989999999999998</v>
      </c>
      <c r="BN27" s="28">
        <v>20</v>
      </c>
      <c r="BO27" s="29" t="s">
        <v>859</v>
      </c>
      <c r="BP27" s="27">
        <v>24.99</v>
      </c>
      <c r="BQ27" s="28">
        <v>25</v>
      </c>
      <c r="BR27" s="49" t="s">
        <v>859</v>
      </c>
      <c r="BS27" s="27">
        <v>29.99</v>
      </c>
      <c r="BT27" s="28">
        <v>30</v>
      </c>
      <c r="BU27" s="49" t="s">
        <v>859</v>
      </c>
      <c r="BV27" s="27">
        <v>34.99</v>
      </c>
      <c r="BW27" s="28">
        <v>35</v>
      </c>
      <c r="BX27" s="49" t="s">
        <v>859</v>
      </c>
      <c r="BY27" s="27">
        <v>39.99</v>
      </c>
      <c r="BZ27" s="28"/>
      <c r="CA27" s="29" t="s">
        <v>857</v>
      </c>
      <c r="CB27" s="27">
        <v>40</v>
      </c>
      <c r="CC27" s="128"/>
    </row>
    <row r="28" spans="1:81" ht="15.5" x14ac:dyDescent="0.35">
      <c r="A28" s="270">
        <v>1030</v>
      </c>
      <c r="B28" s="156" t="s">
        <v>537</v>
      </c>
      <c r="C28" s="250" t="str">
        <f>VLOOKUP(B28,'Zdroj hloubka okresy'!$A$2:$D$171,2,FALSE)</f>
        <v>Pribram</v>
      </c>
      <c r="D28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28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28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28" s="264">
        <f>IF(AND(Tabulka1[[#This Row],[hum_60]]&gt;AY34,Tabulka1[[#This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28" s="264">
        <f>IF(Tabulka1[[#This Row],[kv.ek.]]=Body!$AX$13,IF(AND('Zdroj data'!M28&gt;=Body!$AY$13,'Zdroj data'!M28&lt;=Body!$BA$13),Body!$AY$6,IF(AND('Zdroj data'!M28&gt;=Body!$BB$13,'Zdroj data'!M28&lt;=Body!$BD$13),Body!$BB$6,IF(AND('Zdroj data'!M28&gt;=Body!$BE$13,'Zdroj data'!M28&lt;=Body!$BG$13),Body!$BE$6,IF(AND('Zdroj data'!M28&gt;=Body!$BH$13,'Zdroj data'!M28&lt;=Body!$BJ$13),Body!$BH$6,IF(AND('Zdroj data'!M28&gt;=Body!$BK$13,'Zdroj data'!M28&lt;=Body!$BM$13),Body!$BK$6,IF(AND('Zdroj data'!M28&gt;=Body!$BN$13,'Zdroj data'!M28&lt;=Body!$BP$13),Body!$BN$6,IF(AND('Zdroj data'!M28&gt;=Body!$BQ$13,'Zdroj data'!M28&lt;=Body!$BS$13),Body!$BQ$6,IF(AND('Zdroj data'!M28&gt;=Body!$BT$13,'Zdroj data'!M28&lt;=Body!$BV$13),Body!$BT$6,IF(AND('Zdroj data'!M28&gt;=Body!$BW$13,'Zdroj data'!M28&lt;=Body!$BY$13),Body!$BW$6,IF('Zdroj data'!M28&gt;=Body!$CB$13,Body!$BZ$6,"")))))))))),IF(Tabulka1[[#This Row],[kv.ek.]]=Body!$AX$14,IF(AND('Zdroj data'!N28&gt;=Body!$AY$14,'Zdroj data'!N28&lt;=Body!$BA$14),Body!$AY$6,IF(AND('Zdroj data'!N28&gt;=Body!$BB$14,'Zdroj data'!N28&lt;=Body!$BD$14),Body!$BB$6,IF(AND('Zdroj data'!N28&gt;=Body!$BE$14,'Zdroj data'!N28&lt;=Body!$BG$14),Body!$BE$6,IF(AND('Zdroj data'!N28&gt;=Body!$BH$14,'Zdroj data'!N28&lt;=Body!$BJ$14),Body!$BH$6,IF(AND('Zdroj data'!N28&gt;=Body!$BK$14,'Zdroj data'!N28&lt;=Body!$BM$14),Body!$BK$6,IF(AND('Zdroj data'!N28&gt;=Body!$BN$14,'Zdroj data'!N28&lt;=Body!$BP$14),Body!$BN$6,IF(AND('Zdroj data'!N28&gt;=Body!$BQ$14,'Zdroj data'!N28&lt;=Body!$BS$14),Body!$BQ$6,IF(AND('Zdroj data'!N28&gt;=Body!$BT$14,'Zdroj data'!N28&lt;=Body!$BV$14),Body!$BT$6,IF(AND('Zdroj data'!N28&gt;=Body!$BW$14,'Zdroj data'!N28&lt;=Body!$BY$14),Body!$BW$6,IF('Zdroj data'!N28&gt;=Body!$CB$14,Body!$BZ$6,"")))))))))),""))</f>
        <v>10</v>
      </c>
      <c r="I28" s="264">
        <f>IF(Tabulka1[[#This Row],[kv.ek.]]=Body!$AX$13,IF(AND('Zdroj data'!N28&gt;=Body!$AY$13,'Zdroj data'!N28&lt;=Body!$BA$13),Body!$AY$6,IF(AND('Zdroj data'!N28&gt;=Body!$BB$13,'Zdroj data'!N28&lt;=Body!$BD$13),Body!$BB$6,IF(AND('Zdroj data'!N28&gt;=Body!$BE$13,'Zdroj data'!N28&lt;=Body!$BG$13),Body!$BE$6,IF(AND('Zdroj data'!N28&gt;=Body!$BH$13,'Zdroj data'!N28&lt;=Body!$BJ$13),Body!$BH$6,IF(AND('Zdroj data'!N28&gt;=Body!$BK$13,'Zdroj data'!N28&lt;=Body!$BM$13),Body!$BK$6,IF(AND('Zdroj data'!N28&gt;=Body!$BN$13,'Zdroj data'!N28&lt;=Body!$BP$13),Body!$BN$6,IF(AND('Zdroj data'!N28&gt;=Body!$BQ$13,'Zdroj data'!N28&lt;=Body!$BS$13),Body!$BQ$6,IF(AND('Zdroj data'!N28&gt;=Body!$BT$13,'Zdroj data'!N28&lt;=Body!$BV$13),Body!$BT$6,IF(AND('Zdroj data'!N28&gt;=Body!$BW$13,'Zdroj data'!N28&lt;=Body!$BY$13),Body!$BW$6,IF('Zdroj data'!N28&gt;=Body!$CB$13,Body!$BZ$6," ")))))))))),IF(Tabulka1[[#This Row],[kv.ek.]]=Body!$AX$14,IF(AND('Zdroj data'!O28&gt;=Body!$AY$14,'Zdroj data'!O28&lt;=Body!$BA$14),Body!$AY$6,IF(AND('Zdroj data'!O28&gt;=Body!$BB$14,'Zdroj data'!O28&lt;=Body!$BD$14),Body!$BB$6,IF(AND('Zdroj data'!O28&gt;=Body!$BE$14,'Zdroj data'!O28&lt;=Body!$BG$14),Body!$BE$6,IF(AND('Zdroj data'!O28&gt;=Body!$BH$14,'Zdroj data'!O28&lt;=Body!$BJ$14),Body!$BH$6,IF(AND('Zdroj data'!O28&gt;=Body!$BK$14,'Zdroj data'!O28&lt;=Body!$BM$14),Body!$BK$6,IF(AND('Zdroj data'!O28&gt;=Body!$BN$14,'Zdroj data'!O28&lt;=Body!$BP$14),Body!$BN$6,IF(AND('Zdroj data'!O28&gt;=Body!$BQ$14,'Zdroj data'!O28&lt;=Body!$BS$14),Body!$BQ$6,IF(AND('Zdroj data'!O28&gt;=Body!$BT$14,'Zdroj data'!O28&lt;=Body!$BV$14),Body!$BT$6,IF(AND('Zdroj data'!O28&gt;=Body!$BW$14,'Zdroj data'!O28&lt;=Body!$BY$14),Body!$BW$6,IF('Zdroj data'!O28&gt;=Body!$CB$14,Body!$BZ$6," "))))))))))," "))</f>
        <v>8</v>
      </c>
      <c r="J28" s="264">
        <f t="shared" si="8"/>
        <v>1</v>
      </c>
      <c r="K28" s="264">
        <f t="shared" si="9"/>
        <v>1</v>
      </c>
      <c r="L28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1</v>
      </c>
      <c r="M28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1</v>
      </c>
      <c r="N28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28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28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28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2</v>
      </c>
      <c r="R28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2</v>
      </c>
      <c r="S28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4</v>
      </c>
      <c r="T28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3</v>
      </c>
      <c r="U28" s="264">
        <f>IF('Zdroj data'!BB28=Body!$AY$25,Body!$AY$22,IF('Zdroj data'!BB28=Body!$BB$25,Body!$BB$22,IF('Zdroj data'!BB28=Body!$BE$25,Body!$BE$22,IF('Zdroj data'!BB28=Body!$BH$25,Body!$BH$22,IF('Zdroj data'!BB28=Body!BK$25,Body!$BK$22,IF('Zdroj data'!BB28=Body!$BN$25,Body!$BN$22,IF('Zdroj data'!BB28=Body!$BQ$25,Body!$BQ$22,IF('Zdroj data'!BB28=Body!$BT$25,Body!$BT$22,IF('Zdroj data'!BB28=Body!$BW$25,Body!$BW$22,IF('Zdroj data'!BB28=Body!$BZ$25,Body!$BZ$22," "))))))))))</f>
        <v>6</v>
      </c>
      <c r="V28" s="264">
        <f>IF(AND('Zdroj data'!BO28&gt;Body!$AY$27,'Zdroj data'!BO28&lt;=Body!$BA$27),Body!$AY$22,IF(AND('Zdroj data'!BO28&gt;=Body!$BB$27,'Zdroj data'!BO28&lt;=Body!$BD$27),Body!$BB$22,IF(AND('Zdroj data'!BO28&gt;=Body!$BE$27,'Zdroj data'!BO28&lt;=Body!$BG$27),Body!$BE$22,IF(AND('Zdroj data'!BO28&gt;=Body!$BH$27,'Zdroj data'!BO28&lt;=Body!$BJ$27),Body!$BH$22,IF(AND('Zdroj data'!BO28&gt;=Body!$BK$27,'Zdroj data'!BO28&lt;=Body!$BM$27),Body!$BK$22,IF(AND('Zdroj data'!BO28&gt;=Body!$BN$27,'Zdroj data'!BO28&lt;=Body!$BP$27),Body!$BN$22,IF(AND('Zdroj data'!BO28&gt;=Body!$BQ$27,'Zdroj data'!BO28&lt;=Body!$BS$27),Body!$BQ$22,IF(AND('Zdroj data'!BO28&gt;=Body!$BT$27,'Zdroj data'!BO28&lt;=Body!$BV$27),Body!$BT$22,IF(AND('Zdroj data'!BO28&gt;=Body!$BW$27,'Zdroj data'!BO28&lt;=Body!$BY$27),Body!$BW$22,IF('Zdroj data'!BO28&gt;=Body!$CB$27,$BZ$22," "))))))))))</f>
        <v>5</v>
      </c>
      <c r="W28" s="264">
        <f>IF(AND('Zdroj data'!BP28&gt;Body!$AY$27,'Zdroj data'!BP28&lt;=Body!$BA$27),Body!$AY$22,IF(AND('Zdroj data'!BP28&gt;=Body!$BB$27,'Zdroj data'!BP28&lt;=Body!$BD$27),Body!$BB$22,IF(AND('Zdroj data'!BP28&gt;=Body!$BE$27,'Zdroj data'!BP28&lt;=Body!$BG$27),Body!$BE$22,IF(AND('Zdroj data'!BP28&gt;=Body!$BH$27,'Zdroj data'!BP28&lt;=Body!$BJ$27),Body!$BH$22,IF(AND('Zdroj data'!BP28&gt;=Body!$BK$27,'Zdroj data'!BP28&lt;=Body!$BM$27),Body!$BK$22,IF(AND('Zdroj data'!BP28&gt;=Body!$BN$27,'Zdroj data'!BP28&lt;=Body!$BP$27),Body!$BN$22,IF(AND('Zdroj data'!BP28&gt;=Body!$BQ$27,'Zdroj data'!BP28&lt;=Body!$BS$27),Body!$BQ$22,IF(AND('Zdroj data'!BP28&gt;=Body!$BT$27,'Zdroj data'!BP28&lt;=Body!$BV$27),Body!$BT$22,IF(AND('Zdroj data'!BP28&gt;=Body!$BW$27,'Zdroj data'!BP28&lt;=Body!$BY$27),Body!$BW$22,IF('Zdroj data'!BP28&gt;=Body!$CB$27,$BZ$22," "))))))))))</f>
        <v>7</v>
      </c>
      <c r="X28" s="264">
        <f>IF('Zdroj data'!BA28=Body!$BB$28,$BB$22,IF('Zdroj data'!BA28=Body!$BE$28,$BE$22,IF(OR('Zdroj data'!BA28=Body!$BK$28,'Zdroj data'!BA28=Body!$BL$28,'Zdroj data'!BA28=Body!$BM$28),$BK$22,IF(OR('Zdroj data'!BA28=Body!$BT$28,'Zdroj data'!BA28=Body!$BV$28),$BT$22,IF(OR('Zdroj data'!BA28=Body!$BW$28,'Zdroj data'!BA28=Body!$BY$28),$BW$22,IF('Zdroj data'!BA28=Body!$BZ$28,$BZ$22," "))))))</f>
        <v>10</v>
      </c>
      <c r="Y28" s="264">
        <f>IF('Zdroj data'!AZ28=Body!$BZ$29,Body!$BZ$22,IF(OR('Zdroj data'!AZ28=$BT$29,'Zdroj data'!AZ28=$BU$29,'Zdroj data'!AZ28=$BV$29),$BT$22,IF(OR('Zdroj data'!AZ28=$BK$29,'Zdroj data'!AZ28=$BM$29),$BK$22,IF(OR('Zdroj data'!AZ28=$BE$29,'Zdroj data'!AZ28=$BG$29),$BE$22,IF(OR('Zdroj data'!AZ28=$AY$29,'Zdroj data'!AZ28=$BA$29),$AY$22," ")))))</f>
        <v>10</v>
      </c>
      <c r="Z28" s="264">
        <f>IF(AND('Zdroj data'!BF28="T",(OR('Zdroj data'!AZ28=Body!$AW$45,'Zdroj data'!AZ28=Body!$AW$46,'Zdroj data'!AZ28=Body!$AW$47,'Zdroj data'!AZ28=Body!$AW$48))),Body!$AY$22,IF(AND('Zdroj data'!BF28="T",(OR('Zdroj data'!AZ28=$AW$49,'Zdroj data'!AZ28=$AW$50,'Zdroj data'!AZ28=$AW$51,'Zdroj data'!AZ28=$AW$52))),$BZ$22,IF(AND(OR('Zdroj data'!BF28="VT",'Zdroj data'!BF28="T",'Zdroj data'!BF28="CH"),(OR('Zdroj data'!AZ28=$AW$43,'Zdroj data'!AZ28=$AW$44,))),$BZ$22,IF(AND('Zdroj data'!BF28="CH",(OR('Zdroj data'!AZ28=$AW$49,'Zdroj data'!AZ28=$AW$50,'Zdroj data'!AZ28=$AW$51,'Zdroj data'!AZ28=$AW$52))),$AY$22,IF(AND('Zdroj data'!BF28="CH",(OR('Zdroj data'!AZ28=$AW$45,'Zdroj data'!AZ28=$AW$46,'Zdroj data'!AZ28=$AW$47,'Zdroj data'!AZ28=$AW$48))),$BZ$22," ")))))</f>
        <v>10</v>
      </c>
      <c r="AA28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28" s="264">
        <f>IF(Tabulka1[[#This Row],[kv.ek.]]=Body!$BK$35,Body!$BK$34,IF(Tabulka1[[#This Row],[kv.ek.]]=Body!$BZ$35,Body!$BZ$34," "))</f>
        <v>5</v>
      </c>
      <c r="AC28" s="264" t="str">
        <f>IF(AND('Zdroj data'!BF28="T",(OR('Zdroj data'!AZ28=Body!$AW$45,'Zdroj data'!AZ28=Body!$AW$46,'Zdroj data'!AZ28=Body!$AW$47,'Zdroj data'!AZ28=Body!$AW$48))),Body!$AY$22,IF(AND('Zdroj data'!BF28="T",(OR('Zdroj data'!AZ28=$AW$49,'Zdroj data'!AZ28=$AW$50,'Zdroj data'!AZ28=$AW$51,'Zdroj data'!AZ28=$AW$52))),$BZ$22," "))</f>
        <v xml:space="preserve"> </v>
      </c>
      <c r="AD28" s="264">
        <f>IF(AND(OR('Zdroj data'!BF28="VT",'Zdroj data'!BF28="T",'Zdroj data'!BF28="CH"),(OR('Zdroj data'!AZ28=$AW$43,'Zdroj data'!AZ28=$AW$44,))),$BZ$22," ")</f>
        <v>10</v>
      </c>
      <c r="AE28" s="264" t="str">
        <f>IF(AND('Zdroj data'!BF28="CH",(OR('Zdroj data'!AZ28=$AW$49,'Zdroj data'!AZ28=$AW$50,'Zdroj data'!AZ28=$AW$51,'Zdroj data'!AZ28=$AW$52))),$AY$22,IF(AND('Zdroj data'!BF28="CH",(OR('Zdroj data'!AZ28=$AW$45,'Zdroj data'!AZ28=$AW$46,'Zdroj data'!AZ28=$AW$47,'Zdroj data'!AZ28=$AW$48))),$BZ$22," "))</f>
        <v xml:space="preserve"> </v>
      </c>
      <c r="AF28" s="264">
        <f>IF(AND('Zdroj data'!BG28="L",'Zdroj data'!AM28=Body!$AX$15),IF(AND('Zdroj data'!O28&gt;=Body!$AY$15,'Zdroj data'!O28&lt;=Body!$BA$15),Body!AY$6,IF(AND('Zdroj data'!O28&gt;=Body!$BB$15,'Zdroj data'!O28&lt;=Body!$BD$15),Body!BB$6,IF(AND('Zdroj data'!O28&gt;=Body!$BE$15,'Zdroj data'!O28&lt;=Body!$BG$15),Body!BE$6,IF(AND('Zdroj data'!O28&gt;=Body!$BH$15,'Zdroj data'!O28&lt;=Body!$BJ$15),Body!BH$6,IF(AND('Zdroj data'!O28&gt;=Body!$BK$15,'Zdroj data'!O28&lt;=Body!$BM$15),Body!BK$6,IF(AND('Zdroj data'!O28&gt;=Body!$BN$15,'Zdroj data'!O28&lt;=Body!$BP$15),Body!$BN$6,IF(AND('Zdroj data'!O28&gt;=Body!$BQ$15,'Zdroj data'!O28&lt;=Body!$BS$15),Body!$BQ$6,IF(AND('Zdroj data'!O28&gt;=Body!$BT$15,'Zdroj data'!O28&lt;=Body!$BV$15),Body!BT$6,IF(AND('Zdroj data'!O28&gt;=Body!$BW$15,'Zdroj data'!O28&lt;=Body!$BY$15),Body!$BW$6,IF('Zdroj data'!O28&gt;=Body!$CB$15,Body!$BZ$6," ")))))))))),IF(AND('Zdroj data'!BG28="ST",'Zdroj data'!AM28=Body!$AX$16),IF(AND('Zdroj data'!O28&gt;=Body!$AY$16,'Zdroj data'!O28&lt;=Body!$BA$16),Body!$AY$6,IF(AND('Zdroj data'!O28&gt;=Body!$BB$16,'Zdroj data'!O28&lt;=Body!$BD$16),Body!$BB$6,IF(AND('Zdroj data'!O28&gt;=Body!$BE$16,'Zdroj data'!O28&lt;=Body!$BG$16),Body!$BE$6,IF(AND('Zdroj data'!O28&gt;=Body!$BH$16,'Zdroj data'!O28&lt;=Body!$BJ$16),Body!$BH$6,IF(AND('Zdroj data'!O28&gt;=Body!$BK$16,'Zdroj data'!O28&lt;=Body!$BM$16),Body!$BK$6,IF(AND('Zdroj data'!O28&gt;=Body!$BN$16,'Zdroj data'!O28&lt;=Body!$BP$16),Body!$BN$6,IF(AND('Zdroj data'!O28&gt;=Body!$BQ$16,'Zdroj data'!O28&lt;=Body!$BS$16),Body!$BQ$6,IF(AND('Zdroj data'!O28&gt;=Body!$BT$16,'Zdroj data'!O28&lt;=Body!$BV$16),Body!$BT$6,IF(AND('Zdroj data'!O28&gt;=Body!$BW$16,'Zdroj data'!O28&lt;=Body!$BY$16),Body!$BW$6,IF('Zdroj data'!O28&gt;=Body!$CB$16,Body!$BZ$6," ")))))))))),IF(AND('Zdroj data'!BG28="T",'Zdroj data'!AM28=Body!$AX$17),IF(AND('Zdroj data'!O28&gt;=Body!$AY$17,'Zdroj data'!O28&lt;=Body!$BA$17),Body!$AY$6,IF(AND('Zdroj data'!O28&gt;=Body!$BB$17,'Zdroj data'!O28&lt;=Body!$BD$17),Body!$BB$6,IF(AND('Zdroj data'!O28&gt;=Body!$BE$17,'Zdroj data'!O28&lt;=Body!$BG$17),Body!$BE$6,IF(AND('Zdroj data'!O28&gt;=Body!$BH$17,'Zdroj data'!O28&lt;=Body!BJ42),Body!$BH$6,IF(AND('Zdroj data'!O28&gt;=Body!$BK$17,'Zdroj data'!O28&lt;=Body!$BM$17),Body!$BK$6,IF(AND('Zdroj data'!O28&gt;=Body!$BN$17,'Zdroj data'!O28&lt;=Body!$BP$17),Body!$BN$6,IF(AND('Zdroj data'!O28&gt;=Body!$BQ$17,'Zdroj data'!O28&lt;=Body!$BS$17),Body!$BQ$6,IF(AND('Zdroj data'!O28&gt;=Body!$BT$17,'Zdroj data'!O28&lt;=Body!$BV$17),Body!$BT$6,IF(AND('Zdroj data'!O28&gt;=Body!$BW$17,'Zdroj data'!O28&lt;=Body!$BY$17),Body!$BW$6,IF('Zdroj data'!O28&gt;=Body!$CB$17,Body!$BZ$6," "))))))))))," ")))</f>
        <v>1</v>
      </c>
      <c r="AG28" s="264">
        <f>IF(AND('Zdroj data'!$BG28="L",'Zdroj data'!$AM28=Body!$AX$15),IF(AND(Tabulka1[[#This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data'!$BG28="ST",'Zdroj data'!$AM28=Body!$AX$16),IF(AND(Tabulka1[[#This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data'!$BG28="T",'Zdroj data'!$AM28=Body!$AX$17),IF(AND(Tabulka1[[#This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Row],[K2O_60]]&lt;=Body!BJ42),Body!$BH$6,IF(AND(Tabulka1[[#This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28" s="264" t="str">
        <f>IF(AND('Zdroj data'!BG28="L",'Zdroj data'!AM28=Body!$AX$18),IF(AND('Zdroj data'!O28&gt;=Body!$AY$18,'Zdroj data'!O28&lt;=Body!$BA$18),Body!AY$6,IF(AND('Zdroj data'!O28&gt;=Body!$BB$18,'Zdroj data'!O28&lt;=Body!$BD$18),Body!BB$6,IF(AND('Zdroj data'!O28&gt;=Body!$BE$18,'Zdroj data'!O28&lt;=Body!$BG$18),Body!BE$6,IF(AND('Zdroj data'!O28&gt;=Body!$BH$18,'Zdroj data'!O28&lt;=Body!$BJ$18),Body!BH$6,IF(AND('Zdroj data'!O28&gt;=Body!$BK$18,'Zdroj data'!O28&lt;=Body!$BM$18),Body!$BK$6,IF(AND('Zdroj data'!O28&gt;=Body!$BN$18,'Zdroj data'!O28&lt;=Body!$BP$18),Body!BN$6,IF(AND('Zdroj data'!O28&gt;=Body!$BQ$18,'Zdroj data'!O28&lt;=Body!$BS$18),Body!$BQ$6,IF(AND('Zdroj data'!O28&gt;=Body!$BT$18,'Zdroj data'!O28&lt;=Body!$BV$18),Body!$BT$6,IF(AND('Zdroj data'!O28&gt;=Body!$BW$18,'Zdroj data'!O28&lt;=Body!$BY$18),Body!$BW$6,IF('Zdroj data'!O28&gt;=Body!$CB$18,Body!$BZ$6," ")))))))))),IF(AND('Zdroj data'!BG28="ST",'Zdroj data'!AM28=Body!$AX$19),IF(AND('Zdroj data'!O28&gt;=Body!$AY$19,'Zdroj data'!O28&lt;=Body!$BA$19),Body!$AY$6,IF(AND('Zdroj data'!O28&gt;=Body!$BB$19,'Zdroj data'!O28&lt;=Body!$BD$19),Body!$BB$6,IF(AND('Zdroj data'!O28&gt;=Body!$BE$19,'Zdroj data'!O28&lt;=Body!$BG$19),Body!$BE$6,IF(AND('Zdroj data'!O28&gt;=Body!$BH$19,'Zdroj data'!O28&lt;=Body!$BJ$19),Body!$BH$6,IF(AND('Zdroj data'!O28&gt;=Body!$BK$19,'Zdroj data'!O28&lt;=Body!$BM$19),Body!$BK$6,IF(AND('Zdroj data'!O28&gt;=Body!$BN$19,'Zdroj data'!O28&lt;=Body!$BP$19),Body!$BN$6,IF(AND('Zdroj data'!O28&gt;=Body!$BQ$19,'Zdroj data'!O28&lt;=Body!$BS$19),Body!$BQ$6,IF(AND('Zdroj data'!O28&gt;=Body!$BT$19,'Zdroj data'!O32&lt;=Body!$BV$19),Body!$BT$6,IF(AND('Zdroj data'!O28&gt;=Body!$BW$19,'Zdroj data'!O28&lt;=Body!$BY$19),Body!$BW$6,IF('Zdroj data'!O28&gt;=Body!$CB$19,Body!$BZ$6," ")))))))))),IF(AND('Zdroj data'!BG28="T",'Zdroj data'!AM28=Body!$AX$20),IF(AND('Zdroj data'!O28&gt;=Body!$AY$20,'Zdroj data'!O28&lt;=Body!$BA$20),Body!$AY$6,IF(AND('Zdroj data'!O28&gt;=Body!$BB$20,'Zdroj data'!O28&lt;=Body!$BD$20),Body!$BB$6,IF(AND('Zdroj data'!O28&gt;=Body!$BE$20,'Zdroj data'!O28&lt;=Body!$BG$20),Body!$BE$6,IF(AND('Zdroj data'!O28&gt;=Body!$BH$20,'Zdroj data'!O28&lt;=Body!$BJ$20),Body!$BH$6,IF(AND('Zdroj data'!O28&gt;=Body!$BK$20,'Zdroj data'!O28&lt;=Body!$BM$20),Body!$BK$6,IF(AND('Zdroj data'!O28&gt;=Body!$BN$20,'Zdroj data'!O28&lt;=Body!$BP$20),Body!$BN$6,IF(AND('Zdroj data'!O28&gt;=Body!$BQ$20,'Zdroj data'!O28&lt;=Body!$BS$20),Body!$BQ$6,IF(AND('Zdroj data'!O28&gt;=Body!$BT$20,'Zdroj data'!O28&lt;=Body!BV45),Body!$BT$6,IF(AND('Zdroj data'!O28&gt;=Body!$BW$20,'Zdroj data'!O28&lt;=Body!$BY$20),Body!$BW$6,IF('Zdroj data'!O28&gt;=Body!$CB$20,Body!$BZ$6," "))))))))))," ")))</f>
        <v xml:space="preserve"> </v>
      </c>
      <c r="AI28" s="264" t="str">
        <f>IF(AND('Zdroj data'!$BG28="L",'Zdroj data'!$AM28=Body!$AX$18),IF(AND(Tabulka1[[#This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data'!$BG28="ST",'Zdroj data'!$AM28=Body!$AX$19),IF(AND(Tabulka1[[#This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data'!$BG28="T",'Zdroj data'!$AM28=Body!$AX$20),IF(AND(Tabulka1[[#This Row],[K2O_60]]&gt;=Body!$AY$20,'Zdroj data'!O28&lt;=Body!$BA$20),Body!$AY$6,IF(AND(Tabulka1[[#This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Row],[K2O_60]]&lt;=Body!BV45),Body!$BT$6,IF(AND(Tabulka1[[#This Row],[K2O_60]]&gt;=Body!$BW$20,Tabulka1[[#This Row],[K2O_60]]&lt;=Body!$BY$20),Body!$BW$6,IF(Tabulka1[[#This Row],[K2O_60]]&gt;=Body!$CB$20,Body!$BZ$6," "))))))))))," ")))</f>
        <v xml:space="preserve"> </v>
      </c>
      <c r="AJ28" s="265">
        <f t="shared" si="10"/>
        <v>5.3333333333333375</v>
      </c>
      <c r="AK28" s="264">
        <f t="shared" si="3"/>
        <v>21.9537792555845</v>
      </c>
      <c r="AL28" s="264">
        <f t="shared" si="4"/>
        <v>19.627832648514989</v>
      </c>
      <c r="AM28" s="264">
        <f t="shared" si="5"/>
        <v>51.666805622904413</v>
      </c>
      <c r="AN28" s="264">
        <f t="shared" si="6"/>
        <v>50.842368080232397</v>
      </c>
      <c r="AO28" s="265">
        <f t="shared" si="11"/>
        <v>73.620584878488913</v>
      </c>
      <c r="AP28" s="265">
        <f t="shared" si="12"/>
        <v>70.470200728747386</v>
      </c>
      <c r="AQ28" s="318"/>
      <c r="AR28" s="338">
        <f t="shared" si="7"/>
        <v>149.42411894056963</v>
      </c>
      <c r="AS28" s="318"/>
      <c r="AT28" s="454"/>
      <c r="AU28" s="468"/>
      <c r="AV28" s="152">
        <v>8.1036900775893081E-2</v>
      </c>
      <c r="AW28" s="33" t="s">
        <v>864</v>
      </c>
      <c r="AX28" s="34"/>
      <c r="AY28" s="117"/>
      <c r="AZ28" s="118"/>
      <c r="BA28" s="119"/>
      <c r="BB28" s="117">
        <v>9</v>
      </c>
      <c r="BC28" s="118"/>
      <c r="BD28" s="119"/>
      <c r="BE28" s="117">
        <v>8</v>
      </c>
      <c r="BF28" s="118"/>
      <c r="BG28" s="119"/>
      <c r="BH28" s="117"/>
      <c r="BI28" s="118"/>
      <c r="BJ28" s="119"/>
      <c r="BK28" s="117">
        <v>3</v>
      </c>
      <c r="BL28" s="118">
        <v>4</v>
      </c>
      <c r="BM28" s="119">
        <v>6</v>
      </c>
      <c r="BN28" s="117"/>
      <c r="BO28" s="118"/>
      <c r="BP28" s="119"/>
      <c r="BQ28" s="117"/>
      <c r="BR28" s="118"/>
      <c r="BS28" s="119"/>
      <c r="BT28" s="117">
        <v>2</v>
      </c>
      <c r="BU28" s="120" t="s">
        <v>870</v>
      </c>
      <c r="BV28" s="119">
        <v>5</v>
      </c>
      <c r="BW28" s="117">
        <v>1</v>
      </c>
      <c r="BX28" s="120" t="s">
        <v>870</v>
      </c>
      <c r="BY28" s="119">
        <v>7</v>
      </c>
      <c r="BZ28" s="117">
        <v>0</v>
      </c>
      <c r="CA28" s="118"/>
      <c r="CB28" s="119"/>
    </row>
    <row r="29" spans="1:81" ht="15.5" x14ac:dyDescent="0.35">
      <c r="A29" s="270">
        <v>1033</v>
      </c>
      <c r="B29" s="156" t="s">
        <v>129</v>
      </c>
      <c r="C29" s="250" t="str">
        <f>VLOOKUP(B29,'Zdroj hloubka okresy'!$A$2:$D$171,2,FALSE)</f>
        <v>Pribram</v>
      </c>
      <c r="D29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29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29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29" s="264">
        <f>IF(AND(Tabulka1[[#This Row],[hum_60]]&gt;AY38,Tabulka1[[#This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29" s="264">
        <f>IF(Tabulka1[[#This Row],[kv.ek.]]=Body!$AX$13,IF(AND('Zdroj data'!M29&gt;=Body!$AY$13,'Zdroj data'!M29&lt;=Body!$BA$13),Body!$AY$6,IF(AND('Zdroj data'!M29&gt;=Body!$BB$13,'Zdroj data'!M29&lt;=Body!$BD$13),Body!$BB$6,IF(AND('Zdroj data'!M29&gt;=Body!$BE$13,'Zdroj data'!M29&lt;=Body!$BG$13),Body!$BE$6,IF(AND('Zdroj data'!M29&gt;=Body!$BH$13,'Zdroj data'!M29&lt;=Body!$BJ$13),Body!$BH$6,IF(AND('Zdroj data'!M29&gt;=Body!$BK$13,'Zdroj data'!M29&lt;=Body!$BM$13),Body!$BK$6,IF(AND('Zdroj data'!M29&gt;=Body!$BN$13,'Zdroj data'!M29&lt;=Body!$BP$13),Body!$BN$6,IF(AND('Zdroj data'!M29&gt;=Body!$BQ$13,'Zdroj data'!M29&lt;=Body!$BS$13),Body!$BQ$6,IF(AND('Zdroj data'!M29&gt;=Body!$BT$13,'Zdroj data'!M29&lt;=Body!$BV$13),Body!$BT$6,IF(AND('Zdroj data'!M29&gt;=Body!$BW$13,'Zdroj data'!M29&lt;=Body!$BY$13),Body!$BW$6,IF('Zdroj data'!M29&gt;=Body!$CB$13,Body!$BZ$6,"")))))))))),IF(Tabulka1[[#This Row],[kv.ek.]]=Body!$AX$14,IF(AND('Zdroj data'!N29&gt;=Body!$AY$14,'Zdroj data'!N29&lt;=Body!$BA$14),Body!$AY$6,IF(AND('Zdroj data'!N29&gt;=Body!$BB$14,'Zdroj data'!N29&lt;=Body!$BD$14),Body!$BB$6,IF(AND('Zdroj data'!N29&gt;=Body!$BE$14,'Zdroj data'!N29&lt;=Body!$BG$14),Body!$BE$6,IF(AND('Zdroj data'!N29&gt;=Body!$BH$14,'Zdroj data'!N29&lt;=Body!$BJ$14),Body!$BH$6,IF(AND('Zdroj data'!N29&gt;=Body!$BK$14,'Zdroj data'!N29&lt;=Body!$BM$14),Body!$BK$6,IF(AND('Zdroj data'!N29&gt;=Body!$BN$14,'Zdroj data'!N29&lt;=Body!$BP$14),Body!$BN$6,IF(AND('Zdroj data'!N29&gt;=Body!$BQ$14,'Zdroj data'!N29&lt;=Body!$BS$14),Body!$BQ$6,IF(AND('Zdroj data'!N29&gt;=Body!$BT$14,'Zdroj data'!N29&lt;=Body!$BV$14),Body!$BT$6,IF(AND('Zdroj data'!N29&gt;=Body!$BW$14,'Zdroj data'!N29&lt;=Body!$BY$14),Body!$BW$6,IF('Zdroj data'!N29&gt;=Body!$CB$14,Body!$BZ$6,"")))))))))),""))</f>
        <v>1</v>
      </c>
      <c r="I29" s="264">
        <f>IF(Tabulka1[[#This Row],[kv.ek.]]=Body!$AX$13,IF(AND('Zdroj data'!N29&gt;=Body!$AY$13,'Zdroj data'!N29&lt;=Body!$BA$13),Body!$AY$6,IF(AND('Zdroj data'!N29&gt;=Body!$BB$13,'Zdroj data'!N29&lt;=Body!$BD$13),Body!$BB$6,IF(AND('Zdroj data'!N29&gt;=Body!$BE$13,'Zdroj data'!N29&lt;=Body!$BG$13),Body!$BE$6,IF(AND('Zdroj data'!N29&gt;=Body!$BH$13,'Zdroj data'!N29&lt;=Body!$BJ$13),Body!$BH$6,IF(AND('Zdroj data'!N29&gt;=Body!$BK$13,'Zdroj data'!N29&lt;=Body!$BM$13),Body!$BK$6,IF(AND('Zdroj data'!N29&gt;=Body!$BN$13,'Zdroj data'!N29&lt;=Body!$BP$13),Body!$BN$6,IF(AND('Zdroj data'!N29&gt;=Body!$BQ$13,'Zdroj data'!N29&lt;=Body!$BS$13),Body!$BQ$6,IF(AND('Zdroj data'!N29&gt;=Body!$BT$13,'Zdroj data'!N29&lt;=Body!$BV$13),Body!$BT$6,IF(AND('Zdroj data'!N29&gt;=Body!$BW$13,'Zdroj data'!N29&lt;=Body!$BY$13),Body!$BW$6,IF('Zdroj data'!N29&gt;=Body!$CB$13,Body!$BZ$6," ")))))))))),IF(Tabulka1[[#This Row],[kv.ek.]]=Body!$AX$14,IF(AND('Zdroj data'!O29&gt;=Body!$AY$14,'Zdroj data'!O29&lt;=Body!$BA$14),Body!$AY$6,IF(AND('Zdroj data'!O29&gt;=Body!$BB$14,'Zdroj data'!O29&lt;=Body!$BD$14),Body!$BB$6,IF(AND('Zdroj data'!O29&gt;=Body!$BE$14,'Zdroj data'!O29&lt;=Body!$BG$14),Body!$BE$6,IF(AND('Zdroj data'!O29&gt;=Body!$BH$14,'Zdroj data'!O29&lt;=Body!$BJ$14),Body!$BH$6,IF(AND('Zdroj data'!O29&gt;=Body!$BK$14,'Zdroj data'!O29&lt;=Body!$BM$14),Body!$BK$6,IF(AND('Zdroj data'!O29&gt;=Body!$BN$14,'Zdroj data'!O29&lt;=Body!$BP$14),Body!$BN$6,IF(AND('Zdroj data'!O29&gt;=Body!$BQ$14,'Zdroj data'!O29&lt;=Body!$BS$14),Body!$BQ$6,IF(AND('Zdroj data'!O29&gt;=Body!$BT$14,'Zdroj data'!O29&lt;=Body!$BV$14),Body!$BT$6,IF(AND('Zdroj data'!O29&gt;=Body!$BW$14,'Zdroj data'!O29&lt;=Body!$BY$14),Body!$BW$6,IF('Zdroj data'!O29&gt;=Body!$CB$14,Body!$BZ$6," "))))))))))," "))</f>
        <v>1</v>
      </c>
      <c r="J29" s="264">
        <f t="shared" si="8"/>
        <v>2</v>
      </c>
      <c r="K29" s="264">
        <f t="shared" si="9"/>
        <v>2</v>
      </c>
      <c r="L29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29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29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29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29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29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29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29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29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29" s="264">
        <f>IF('Zdroj data'!BB29=Body!$AY$25,Body!$AY$22,IF('Zdroj data'!BB29=Body!$BB$25,Body!$BB$22,IF('Zdroj data'!BB29=Body!$BE$25,Body!$BE$22,IF('Zdroj data'!BB29=Body!$BH$25,Body!$BH$22,IF('Zdroj data'!BB29=Body!BK$25,Body!$BK$22,IF('Zdroj data'!BB29=Body!$BN$25,Body!$BN$22,IF('Zdroj data'!BB29=Body!$BQ$25,Body!$BQ$22,IF('Zdroj data'!BB29=Body!$BT$25,Body!$BT$22,IF('Zdroj data'!BB29=Body!$BW$25,Body!$BW$22,IF('Zdroj data'!BB29=Body!$BZ$25,Body!$BZ$22," "))))))))))</f>
        <v>5</v>
      </c>
      <c r="V29" s="264">
        <f>IF(AND('Zdroj data'!BO29&gt;Body!$AY$27,'Zdroj data'!BO29&lt;=Body!$BA$27),Body!$AY$22,IF(AND('Zdroj data'!BO29&gt;=Body!$BB$27,'Zdroj data'!BO29&lt;=Body!$BD$27),Body!$BB$22,IF(AND('Zdroj data'!BO29&gt;=Body!$BE$27,'Zdroj data'!BO29&lt;=Body!$BG$27),Body!$BE$22,IF(AND('Zdroj data'!BO29&gt;=Body!$BH$27,'Zdroj data'!BO29&lt;=Body!$BJ$27),Body!$BH$22,IF(AND('Zdroj data'!BO29&gt;=Body!$BK$27,'Zdroj data'!BO29&lt;=Body!$BM$27),Body!$BK$22,IF(AND('Zdroj data'!BO29&gt;=Body!$BN$27,'Zdroj data'!BO29&lt;=Body!$BP$27),Body!$BN$22,IF(AND('Zdroj data'!BO29&gt;=Body!$BQ$27,'Zdroj data'!BO29&lt;=Body!$BS$27),Body!$BQ$22,IF(AND('Zdroj data'!BO29&gt;=Body!$BT$27,'Zdroj data'!BO29&lt;=Body!$BV$27),Body!$BT$22,IF(AND('Zdroj data'!BO29&gt;=Body!$BW$27,'Zdroj data'!BO29&lt;=Body!$BY$27),Body!$BW$22,IF('Zdroj data'!BO29&gt;=Body!$CB$27,$BZ$22," "))))))))))</f>
        <v>5</v>
      </c>
      <c r="W29" s="264">
        <f>IF(AND('Zdroj data'!BP29&gt;Body!$AY$27,'Zdroj data'!BP29&lt;=Body!$BA$27),Body!$AY$22,IF(AND('Zdroj data'!BP29&gt;=Body!$BB$27,'Zdroj data'!BP29&lt;=Body!$BD$27),Body!$BB$22,IF(AND('Zdroj data'!BP29&gt;=Body!$BE$27,'Zdroj data'!BP29&lt;=Body!$BG$27),Body!$BE$22,IF(AND('Zdroj data'!BP29&gt;=Body!$BH$27,'Zdroj data'!BP29&lt;=Body!$BJ$27),Body!$BH$22,IF(AND('Zdroj data'!BP29&gt;=Body!$BK$27,'Zdroj data'!BP29&lt;=Body!$BM$27),Body!$BK$22,IF(AND('Zdroj data'!BP29&gt;=Body!$BN$27,'Zdroj data'!BP29&lt;=Body!$BP$27),Body!$BN$22,IF(AND('Zdroj data'!BP29&gt;=Body!$BQ$27,'Zdroj data'!BP29&lt;=Body!$BS$27),Body!$BQ$22,IF(AND('Zdroj data'!BP29&gt;=Body!$BT$27,'Zdroj data'!BP29&lt;=Body!$BV$27),Body!$BT$22,IF(AND('Zdroj data'!BP29&gt;=Body!$BW$27,'Zdroj data'!BP29&lt;=Body!$BY$27),Body!$BW$22,IF('Zdroj data'!BP29&gt;=Body!$CB$27,$BZ$22," "))))))))))</f>
        <v>10</v>
      </c>
      <c r="X29" s="264">
        <f>IF('Zdroj data'!BA29=Body!$BB$28,$BB$22,IF('Zdroj data'!BA29=Body!$BE$28,$BE$22,IF(OR('Zdroj data'!BA29=Body!$BK$28,'Zdroj data'!BA29=Body!$BL$28,'Zdroj data'!BA29=Body!$BM$28),$BK$22,IF(OR('Zdroj data'!BA29=Body!$BT$28,'Zdroj data'!BA29=Body!$BV$28),$BT$22,IF(OR('Zdroj data'!BA29=Body!$BW$28,'Zdroj data'!BA29=Body!$BY$28),$BW$22,IF('Zdroj data'!BA29=Body!$BZ$28,$BZ$22," "))))))</f>
        <v>9</v>
      </c>
      <c r="Y29" s="264">
        <f>IF('Zdroj data'!AZ29=Body!$BZ$29,Body!$BZ$22,IF(OR('Zdroj data'!AZ29=$BT$29,'Zdroj data'!AZ29=$BU$29,'Zdroj data'!AZ29=$BV$29),$BT$22,IF(OR('Zdroj data'!AZ29=$BK$29,'Zdroj data'!AZ29=$BM$29),$BK$22,IF(OR('Zdroj data'!AZ29=$BE$29,'Zdroj data'!AZ29=$BG$29),$BE$22,IF(OR('Zdroj data'!AZ29=$AY$29,'Zdroj data'!AZ29=$BA$29),$AY$22," ")))))</f>
        <v>8</v>
      </c>
      <c r="Z29" s="264">
        <f>IF(AND('Zdroj data'!BF29="T",(OR('Zdroj data'!AZ29=Body!$AW$45,'Zdroj data'!AZ29=Body!$AW$46,'Zdroj data'!AZ29=Body!$AW$47,'Zdroj data'!AZ29=Body!$AW$48))),Body!$AY$22,IF(AND('Zdroj data'!BF29="T",(OR('Zdroj data'!AZ29=$AW$49,'Zdroj data'!AZ29=$AW$50,'Zdroj data'!AZ29=$AW$51,'Zdroj data'!AZ29=$AW$52))),$BZ$22,IF(AND(OR('Zdroj data'!BF29="VT",'Zdroj data'!BF29="T",'Zdroj data'!BF29="CH"),(OR('Zdroj data'!AZ29=$AW$43,'Zdroj data'!AZ29=$AW$44,))),$BZ$22,IF(AND('Zdroj data'!BF29="CH",(OR('Zdroj data'!AZ29=$AW$49,'Zdroj data'!AZ29=$AW$50,'Zdroj data'!AZ29=$AW$51,'Zdroj data'!AZ29=$AW$52))),$AY$22,IF(AND('Zdroj data'!BF29="CH",(OR('Zdroj data'!AZ29=$AW$45,'Zdroj data'!AZ29=$AW$46,'Zdroj data'!AZ29=$AW$47,'Zdroj data'!AZ29=$AW$48))),$BZ$22," ")))))</f>
        <v>10</v>
      </c>
      <c r="AA29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29" s="264">
        <f>IF(Tabulka1[[#This Row],[kv.ek.]]=Body!$BK$35,Body!$BK$34,IF(Tabulka1[[#This Row],[kv.ek.]]=Body!$BZ$35,Body!$BZ$34," "))</f>
        <v>5</v>
      </c>
      <c r="AC29" s="264" t="str">
        <f>IF(AND('Zdroj data'!BF29="T",(OR('Zdroj data'!AZ29=Body!$AW$45,'Zdroj data'!AZ29=Body!$AW$46,'Zdroj data'!AZ29=Body!$AW$47,'Zdroj data'!AZ29=Body!$AW$48))),Body!$AY$22,IF(AND('Zdroj data'!BF29="T",(OR('Zdroj data'!AZ29=$AW$49,'Zdroj data'!AZ29=$AW$50,'Zdroj data'!AZ29=$AW$51,'Zdroj data'!AZ29=$AW$52))),$BZ$22," "))</f>
        <v xml:space="preserve"> </v>
      </c>
      <c r="AD29" s="264">
        <f>IF(AND(OR('Zdroj data'!BF29="VT",'Zdroj data'!BF29="T",'Zdroj data'!BF29="CH"),(OR('Zdroj data'!AZ29=$AW$43,'Zdroj data'!AZ29=$AW$44,))),$BZ$22," ")</f>
        <v>10</v>
      </c>
      <c r="AE29" s="264" t="str">
        <f>IF(AND('Zdroj data'!BF29="CH",(OR('Zdroj data'!AZ29=$AW$49,'Zdroj data'!AZ29=$AW$50,'Zdroj data'!AZ29=$AW$51,'Zdroj data'!AZ29=$AW$52))),$AY$22,IF(AND('Zdroj data'!BF29="CH",(OR('Zdroj data'!AZ29=$AW$45,'Zdroj data'!AZ29=$AW$46,'Zdroj data'!AZ29=$AW$47,'Zdroj data'!AZ29=$AW$48))),$BZ$22," "))</f>
        <v xml:space="preserve"> </v>
      </c>
      <c r="AF29" s="264">
        <f>IF(AND('Zdroj data'!BG29="L",'Zdroj data'!AM29=Body!$AX$15),IF(AND('Zdroj data'!O29&gt;=Body!$AY$15,'Zdroj data'!O29&lt;=Body!$BA$15),Body!AY$6,IF(AND('Zdroj data'!O29&gt;=Body!$BB$15,'Zdroj data'!O29&lt;=Body!$BD$15),Body!BB$6,IF(AND('Zdroj data'!O29&gt;=Body!$BE$15,'Zdroj data'!O29&lt;=Body!$BG$15),Body!BE$6,IF(AND('Zdroj data'!O29&gt;=Body!$BH$15,'Zdroj data'!O29&lt;=Body!$BJ$15),Body!BH$6,IF(AND('Zdroj data'!O29&gt;=Body!$BK$15,'Zdroj data'!O29&lt;=Body!$BM$15),Body!BK$6,IF(AND('Zdroj data'!O29&gt;=Body!$BN$15,'Zdroj data'!O29&lt;=Body!$BP$15),Body!$BN$6,IF(AND('Zdroj data'!O29&gt;=Body!$BQ$15,'Zdroj data'!O29&lt;=Body!$BS$15),Body!$BQ$6,IF(AND('Zdroj data'!O29&gt;=Body!$BT$15,'Zdroj data'!O29&lt;=Body!$BV$15),Body!BT$6,IF(AND('Zdroj data'!O29&gt;=Body!$BW$15,'Zdroj data'!O29&lt;=Body!$BY$15),Body!$BW$6,IF('Zdroj data'!O29&gt;=Body!$CB$15,Body!$BZ$6," ")))))))))),IF(AND('Zdroj data'!BG29="ST",'Zdroj data'!AM29=Body!$AX$16),IF(AND('Zdroj data'!O29&gt;=Body!$AY$16,'Zdroj data'!O29&lt;=Body!$BA$16),Body!$AY$6,IF(AND('Zdroj data'!O29&gt;=Body!$BB$16,'Zdroj data'!O29&lt;=Body!$BD$16),Body!$BB$6,IF(AND('Zdroj data'!O29&gt;=Body!$BE$16,'Zdroj data'!O29&lt;=Body!$BG$16),Body!$BE$6,IF(AND('Zdroj data'!O29&gt;=Body!$BH$16,'Zdroj data'!O29&lt;=Body!$BJ$16),Body!$BH$6,IF(AND('Zdroj data'!O29&gt;=Body!$BK$16,'Zdroj data'!O29&lt;=Body!$BM$16),Body!$BK$6,IF(AND('Zdroj data'!O29&gt;=Body!$BN$16,'Zdroj data'!O29&lt;=Body!$BP$16),Body!$BN$6,IF(AND('Zdroj data'!O29&gt;=Body!$BQ$16,'Zdroj data'!O29&lt;=Body!$BS$16),Body!$BQ$6,IF(AND('Zdroj data'!O29&gt;=Body!$BT$16,'Zdroj data'!O29&lt;=Body!$BV$16),Body!$BT$6,IF(AND('Zdroj data'!O29&gt;=Body!$BW$16,'Zdroj data'!O29&lt;=Body!$BY$16),Body!$BW$6,IF('Zdroj data'!O29&gt;=Body!$CB$16,Body!$BZ$6," ")))))))))),IF(AND('Zdroj data'!BG29="T",'Zdroj data'!AM29=Body!$AX$17),IF(AND('Zdroj data'!O29&gt;=Body!$AY$17,'Zdroj data'!O29&lt;=Body!$BA$17),Body!$AY$6,IF(AND('Zdroj data'!O29&gt;=Body!$BB$17,'Zdroj data'!O29&lt;=Body!$BD$17),Body!$BB$6,IF(AND('Zdroj data'!O29&gt;=Body!$BE$17,'Zdroj data'!O29&lt;=Body!$BG$17),Body!$BE$6,IF(AND('Zdroj data'!O29&gt;=Body!$BH$17,'Zdroj data'!O29&lt;=Body!BJ43),Body!$BH$6,IF(AND('Zdroj data'!O29&gt;=Body!$BK$17,'Zdroj data'!O29&lt;=Body!$BM$17),Body!$BK$6,IF(AND('Zdroj data'!O29&gt;=Body!$BN$17,'Zdroj data'!O29&lt;=Body!$BP$17),Body!$BN$6,IF(AND('Zdroj data'!O29&gt;=Body!$BQ$17,'Zdroj data'!O29&lt;=Body!$BS$17),Body!$BQ$6,IF(AND('Zdroj data'!O29&gt;=Body!$BT$17,'Zdroj data'!O29&lt;=Body!$BV$17),Body!$BT$6,IF(AND('Zdroj data'!O29&gt;=Body!$BW$17,'Zdroj data'!O29&lt;=Body!$BY$17),Body!$BW$6,IF('Zdroj data'!O29&gt;=Body!$CB$17,Body!$BZ$6," "))))))))))," ")))</f>
        <v>2</v>
      </c>
      <c r="AG29" s="264">
        <f>IF(AND('Zdroj data'!$BG29="L",'Zdroj data'!$AM29=Body!$AX$15),IF(AND(Tabulka1[[#This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data'!$BG29="ST",'Zdroj data'!$AM29=Body!$AX$16),IF(AND(Tabulka1[[#This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data'!$BG29="T",'Zdroj data'!$AM29=Body!$AX$17),IF(AND(Tabulka1[[#This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Row],[K2O_60]]&lt;=Body!BJ43),Body!$BH$6,IF(AND(Tabulka1[[#This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2</v>
      </c>
      <c r="AH29" s="264" t="str">
        <f>IF(AND('Zdroj data'!BG29="L",'Zdroj data'!AM29=Body!$AX$18),IF(AND('Zdroj data'!O29&gt;=Body!$AY$18,'Zdroj data'!O29&lt;=Body!$BA$18),Body!AY$6,IF(AND('Zdroj data'!O29&gt;=Body!$BB$18,'Zdroj data'!O29&lt;=Body!$BD$18),Body!BB$6,IF(AND('Zdroj data'!O29&gt;=Body!$BE$18,'Zdroj data'!O29&lt;=Body!$BG$18),Body!BE$6,IF(AND('Zdroj data'!O29&gt;=Body!$BH$18,'Zdroj data'!O29&lt;=Body!$BJ$18),Body!BH$6,IF(AND('Zdroj data'!O29&gt;=Body!$BK$18,'Zdroj data'!O29&lt;=Body!$BM$18),Body!$BK$6,IF(AND('Zdroj data'!O29&gt;=Body!$BN$18,'Zdroj data'!O29&lt;=Body!$BP$18),Body!BN$6,IF(AND('Zdroj data'!O29&gt;=Body!$BQ$18,'Zdroj data'!O29&lt;=Body!$BS$18),Body!$BQ$6,IF(AND('Zdroj data'!O29&gt;=Body!$BT$18,'Zdroj data'!O29&lt;=Body!$BV$18),Body!$BT$6,IF(AND('Zdroj data'!O29&gt;=Body!$BW$18,'Zdroj data'!O29&lt;=Body!$BY$18),Body!$BW$6,IF('Zdroj data'!O29&gt;=Body!$CB$18,Body!$BZ$6," ")))))))))),IF(AND('Zdroj data'!BG29="ST",'Zdroj data'!AM29=Body!$AX$19),IF(AND('Zdroj data'!O29&gt;=Body!$AY$19,'Zdroj data'!O29&lt;=Body!$BA$19),Body!$AY$6,IF(AND('Zdroj data'!O29&gt;=Body!$BB$19,'Zdroj data'!O29&lt;=Body!$BD$19),Body!$BB$6,IF(AND('Zdroj data'!O29&gt;=Body!$BE$19,'Zdroj data'!O29&lt;=Body!$BG$19),Body!$BE$6,IF(AND('Zdroj data'!O29&gt;=Body!$BH$19,'Zdroj data'!O29&lt;=Body!$BJ$19),Body!$BH$6,IF(AND('Zdroj data'!O29&gt;=Body!$BK$19,'Zdroj data'!O29&lt;=Body!$BM$19),Body!$BK$6,IF(AND('Zdroj data'!O29&gt;=Body!$BN$19,'Zdroj data'!O29&lt;=Body!$BP$19),Body!$BN$6,IF(AND('Zdroj data'!O29&gt;=Body!$BQ$19,'Zdroj data'!O29&lt;=Body!$BS$19),Body!$BQ$6,IF(AND('Zdroj data'!O29&gt;=Body!$BT$19,'Zdroj data'!O33&lt;=Body!$BV$19),Body!$BT$6,IF(AND('Zdroj data'!O29&gt;=Body!$BW$19,'Zdroj data'!O29&lt;=Body!$BY$19),Body!$BW$6,IF('Zdroj data'!O29&gt;=Body!$CB$19,Body!$BZ$6," ")))))))))),IF(AND('Zdroj data'!BG29="T",'Zdroj data'!AM29=Body!$AX$20),IF(AND('Zdroj data'!O29&gt;=Body!$AY$20,'Zdroj data'!O29&lt;=Body!$BA$20),Body!$AY$6,IF(AND('Zdroj data'!O29&gt;=Body!$BB$20,'Zdroj data'!O29&lt;=Body!$BD$20),Body!$BB$6,IF(AND('Zdroj data'!O29&gt;=Body!$BE$20,'Zdroj data'!O29&lt;=Body!$BG$20),Body!$BE$6,IF(AND('Zdroj data'!O29&gt;=Body!$BH$20,'Zdroj data'!O29&lt;=Body!$BJ$20),Body!$BH$6,IF(AND('Zdroj data'!O29&gt;=Body!$BK$20,'Zdroj data'!O29&lt;=Body!$BM$20),Body!$BK$6,IF(AND('Zdroj data'!O29&gt;=Body!$BN$20,'Zdroj data'!O29&lt;=Body!$BP$20),Body!$BN$6,IF(AND('Zdroj data'!O29&gt;=Body!$BQ$20,'Zdroj data'!O29&lt;=Body!$BS$20),Body!$BQ$6,IF(AND('Zdroj data'!O29&gt;=Body!$BT$20,'Zdroj data'!O29&lt;=Body!BV46),Body!$BT$6,IF(AND('Zdroj data'!O29&gt;=Body!$BW$20,'Zdroj data'!O29&lt;=Body!$BY$20),Body!$BW$6,IF('Zdroj data'!O29&gt;=Body!$CB$20,Body!$BZ$6," "))))))))))," ")))</f>
        <v xml:space="preserve"> </v>
      </c>
      <c r="AI29" s="264" t="str">
        <f>IF(AND('Zdroj data'!$BG29="L",'Zdroj data'!$AM29=Body!$AX$18),IF(AND(Tabulka1[[#This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data'!$BG29="ST",'Zdroj data'!$AM29=Body!$AX$19),IF(AND(Tabulka1[[#This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data'!$BG29="T",'Zdroj data'!$AM29=Body!$AX$20),IF(AND(Tabulka1[[#This Row],[K2O_60]]&gt;=Body!$AY$20,'Zdroj data'!O29&lt;=Body!$BA$20),Body!$AY$6,IF(AND(Tabulka1[[#This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Row],[K2O_60]]&lt;=Body!BV46),Body!$BT$6,IF(AND(Tabulka1[[#This Row],[K2O_60]]&gt;=Body!$BW$20,Tabulka1[[#This Row],[K2O_60]]&lt;=Body!$BY$20),Body!$BW$6,IF(Tabulka1[[#This Row],[K2O_60]]&gt;=Body!$CB$20,Body!$BZ$6," "))))))))))," ")))</f>
        <v xml:space="preserve"> </v>
      </c>
      <c r="AJ29" s="265">
        <f t="shared" si="10"/>
        <v>5.3333333333333375</v>
      </c>
      <c r="AK29" s="264">
        <f t="shared" si="3"/>
        <v>23.06018699521595</v>
      </c>
      <c r="AL29" s="264">
        <f t="shared" si="4"/>
        <v>21.988907834798123</v>
      </c>
      <c r="AM29" s="264">
        <f t="shared" si="5"/>
        <v>59.669150688462629</v>
      </c>
      <c r="AN29" s="264">
        <f t="shared" si="6"/>
        <v>71.305740681548556</v>
      </c>
      <c r="AO29" s="265">
        <f t="shared" si="11"/>
        <v>82.72933768367858</v>
      </c>
      <c r="AP29" s="265">
        <f t="shared" si="12"/>
        <v>93.294648516346683</v>
      </c>
      <c r="AQ29" s="318"/>
      <c r="AR29" s="338">
        <f t="shared" si="7"/>
        <v>181.35731953335861</v>
      </c>
      <c r="AS29" s="318"/>
      <c r="AT29" s="454"/>
      <c r="AU29" s="468"/>
      <c r="AV29" s="163">
        <v>5.0293263209220639E-2</v>
      </c>
      <c r="AW29" s="25" t="s">
        <v>868</v>
      </c>
      <c r="AX29" s="24"/>
      <c r="AY29" s="25">
        <v>8</v>
      </c>
      <c r="AZ29" s="23" t="s">
        <v>859</v>
      </c>
      <c r="BA29" s="27">
        <v>9</v>
      </c>
      <c r="BB29" s="28"/>
      <c r="BC29" s="23"/>
      <c r="BD29" s="27"/>
      <c r="BE29" s="28">
        <v>6</v>
      </c>
      <c r="BF29" s="29" t="s">
        <v>859</v>
      </c>
      <c r="BG29" s="27">
        <v>7</v>
      </c>
      <c r="BH29" s="25"/>
      <c r="BI29" s="23"/>
      <c r="BJ29" s="27"/>
      <c r="BK29" s="28">
        <v>4</v>
      </c>
      <c r="BL29" s="29" t="s">
        <v>859</v>
      </c>
      <c r="BM29" s="27">
        <v>5</v>
      </c>
      <c r="BN29" s="28"/>
      <c r="BO29" s="29"/>
      <c r="BP29" s="27"/>
      <c r="BQ29" s="28"/>
      <c r="BR29" s="23"/>
      <c r="BS29" s="27"/>
      <c r="BT29" s="28">
        <v>1</v>
      </c>
      <c r="BU29" s="23">
        <v>2</v>
      </c>
      <c r="BV29" s="27">
        <v>3</v>
      </c>
      <c r="BW29" s="28"/>
      <c r="BX29" s="23"/>
      <c r="BY29" s="27"/>
      <c r="BZ29" s="28">
        <v>0</v>
      </c>
      <c r="CA29" s="29"/>
      <c r="CB29" s="27"/>
    </row>
    <row r="30" spans="1:81" ht="15" customHeight="1" x14ac:dyDescent="0.35">
      <c r="A30" s="270">
        <v>1036</v>
      </c>
      <c r="B30" s="156" t="s">
        <v>123</v>
      </c>
      <c r="C30" s="250" t="str">
        <f>VLOOKUP(B30,'Zdroj hloubka okresy'!$A$2:$D$171,2,FALSE)</f>
        <v>Pribram</v>
      </c>
      <c r="D30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30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30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30" s="264">
        <f>IF(AND(Tabulka1[[#This Row],[hum_60]]&gt;AY39,Tabulka1[[#This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30" s="264">
        <f>IF(Tabulka1[[#This Row],[kv.ek.]]=Body!$AX$13,IF(AND('Zdroj data'!M30&gt;=Body!$AY$13,'Zdroj data'!M30&lt;=Body!$BA$13),Body!$AY$6,IF(AND('Zdroj data'!M30&gt;=Body!$BB$13,'Zdroj data'!M30&lt;=Body!$BD$13),Body!$BB$6,IF(AND('Zdroj data'!M30&gt;=Body!$BE$13,'Zdroj data'!M30&lt;=Body!$BG$13),Body!$BE$6,IF(AND('Zdroj data'!M30&gt;=Body!$BH$13,'Zdroj data'!M30&lt;=Body!$BJ$13),Body!$BH$6,IF(AND('Zdroj data'!M30&gt;=Body!$BK$13,'Zdroj data'!M30&lt;=Body!$BM$13),Body!$BK$6,IF(AND('Zdroj data'!M30&gt;=Body!$BN$13,'Zdroj data'!M30&lt;=Body!$BP$13),Body!$BN$6,IF(AND('Zdroj data'!M30&gt;=Body!$BQ$13,'Zdroj data'!M30&lt;=Body!$BS$13),Body!$BQ$6,IF(AND('Zdroj data'!M30&gt;=Body!$BT$13,'Zdroj data'!M30&lt;=Body!$BV$13),Body!$BT$6,IF(AND('Zdroj data'!M30&gt;=Body!$BW$13,'Zdroj data'!M30&lt;=Body!$BY$13),Body!$BW$6,IF('Zdroj data'!M30&gt;=Body!$CB$13,Body!$BZ$6,"")))))))))),IF(Tabulka1[[#This Row],[kv.ek.]]=Body!$AX$14,IF(AND('Zdroj data'!N30&gt;=Body!$AY$14,'Zdroj data'!N30&lt;=Body!$BA$14),Body!$AY$6,IF(AND('Zdroj data'!N30&gt;=Body!$BB$14,'Zdroj data'!N30&lt;=Body!$BD$14),Body!$BB$6,IF(AND('Zdroj data'!N30&gt;=Body!$BE$14,'Zdroj data'!N30&lt;=Body!$BG$14),Body!$BE$6,IF(AND('Zdroj data'!N30&gt;=Body!$BH$14,'Zdroj data'!N30&lt;=Body!$BJ$14),Body!$BH$6,IF(AND('Zdroj data'!N30&gt;=Body!$BK$14,'Zdroj data'!N30&lt;=Body!$BM$14),Body!$BK$6,IF(AND('Zdroj data'!N30&gt;=Body!$BN$14,'Zdroj data'!N30&lt;=Body!$BP$14),Body!$BN$6,IF(AND('Zdroj data'!N30&gt;=Body!$BQ$14,'Zdroj data'!N30&lt;=Body!$BS$14),Body!$BQ$6,IF(AND('Zdroj data'!N30&gt;=Body!$BT$14,'Zdroj data'!N30&lt;=Body!$BV$14),Body!$BT$6,IF(AND('Zdroj data'!N30&gt;=Body!$BW$14,'Zdroj data'!N30&lt;=Body!$BY$14),Body!$BW$6,IF('Zdroj data'!N30&gt;=Body!$CB$14,Body!$BZ$6,"")))))))))),""))</f>
        <v>1</v>
      </c>
      <c r="I30" s="264">
        <f>IF(Tabulka1[[#This Row],[kv.ek.]]=Body!$AX$13,IF(AND('Zdroj data'!N30&gt;=Body!$AY$13,'Zdroj data'!N30&lt;=Body!$BA$13),Body!$AY$6,IF(AND('Zdroj data'!N30&gt;=Body!$BB$13,'Zdroj data'!N30&lt;=Body!$BD$13),Body!$BB$6,IF(AND('Zdroj data'!N30&gt;=Body!$BE$13,'Zdroj data'!N30&lt;=Body!$BG$13),Body!$BE$6,IF(AND('Zdroj data'!N30&gt;=Body!$BH$13,'Zdroj data'!N30&lt;=Body!$BJ$13),Body!$BH$6,IF(AND('Zdroj data'!N30&gt;=Body!$BK$13,'Zdroj data'!N30&lt;=Body!$BM$13),Body!$BK$6,IF(AND('Zdroj data'!N30&gt;=Body!$BN$13,'Zdroj data'!N30&lt;=Body!$BP$13),Body!$BN$6,IF(AND('Zdroj data'!N30&gt;=Body!$BQ$13,'Zdroj data'!N30&lt;=Body!$BS$13),Body!$BQ$6,IF(AND('Zdroj data'!N30&gt;=Body!$BT$13,'Zdroj data'!N30&lt;=Body!$BV$13),Body!$BT$6,IF(AND('Zdroj data'!N30&gt;=Body!$BW$13,'Zdroj data'!N30&lt;=Body!$BY$13),Body!$BW$6,IF('Zdroj data'!N30&gt;=Body!$CB$13,Body!$BZ$6," ")))))))))),IF(Tabulka1[[#This Row],[kv.ek.]]=Body!$AX$14,IF(AND('Zdroj data'!O30&gt;=Body!$AY$14,'Zdroj data'!O30&lt;=Body!$BA$14),Body!$AY$6,IF(AND('Zdroj data'!O30&gt;=Body!$BB$14,'Zdroj data'!O30&lt;=Body!$BD$14),Body!$BB$6,IF(AND('Zdroj data'!O30&gt;=Body!$BE$14,'Zdroj data'!O30&lt;=Body!$BG$14),Body!$BE$6,IF(AND('Zdroj data'!O30&gt;=Body!$BH$14,'Zdroj data'!O30&lt;=Body!$BJ$14),Body!$BH$6,IF(AND('Zdroj data'!O30&gt;=Body!$BK$14,'Zdroj data'!O30&lt;=Body!$BM$14),Body!$BK$6,IF(AND('Zdroj data'!O30&gt;=Body!$BN$14,'Zdroj data'!O30&lt;=Body!$BP$14),Body!$BN$6,IF(AND('Zdroj data'!O30&gt;=Body!$BQ$14,'Zdroj data'!O30&lt;=Body!$BS$14),Body!$BQ$6,IF(AND('Zdroj data'!O30&gt;=Body!$BT$14,'Zdroj data'!O30&lt;=Body!$BV$14),Body!$BT$6,IF(AND('Zdroj data'!O30&gt;=Body!$BW$14,'Zdroj data'!O30&lt;=Body!$BY$14),Body!$BW$6,IF('Zdroj data'!O30&gt;=Body!$CB$14,Body!$BZ$6," "))))))))))," "))</f>
        <v>1</v>
      </c>
      <c r="J30" s="264">
        <f>IF(AF30=" ",AH30,AF30)</f>
        <v>1</v>
      </c>
      <c r="K30" s="264">
        <f t="shared" si="9"/>
        <v>1</v>
      </c>
      <c r="L30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30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30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30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30" s="264">
        <f>IF(Tabulka1[[#This Row],[RVK]]=Body!$BE$10,Body!$BE$6,IF(Tabulka1[[#This Row],[RVK]]=Body!$BK$10,Body!$BK$6,IF(Tabulka1[[#This Row],[RVK]]=Body!$BN$10,Body!$BN$6,IF(Tabulka1[[#This Row],[RVK]]=Body!$BZ$10,Body!$BZ$6," "))))</f>
        <v>10</v>
      </c>
      <c r="Q30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30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30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30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30" s="264">
        <f>IF('Zdroj data'!BB30=Body!$AY$25,Body!$AY$22,IF('Zdroj data'!BB30=Body!$BB$25,Body!$BB$22,IF('Zdroj data'!BB30=Body!$BE$25,Body!$BE$22,IF('Zdroj data'!BB30=Body!$BH$25,Body!$BH$22,IF('Zdroj data'!BB30=Body!BK$25,Body!$BK$22,IF('Zdroj data'!BB30=Body!$BN$25,Body!$BN$22,IF('Zdroj data'!BB30=Body!$BQ$25,Body!$BQ$22,IF('Zdroj data'!BB30=Body!$BT$25,Body!$BT$22,IF('Zdroj data'!BB30=Body!$BW$25,Body!$BW$22,IF('Zdroj data'!BB30=Body!$BZ$25,Body!$BZ$22," "))))))))))</f>
        <v>5</v>
      </c>
      <c r="V30" s="264">
        <f>IF(AND('Zdroj data'!BO30&gt;Body!$AY$27,'Zdroj data'!BO30&lt;=Body!$BA$27),Body!$AY$22,IF(AND('Zdroj data'!BO30&gt;=Body!$BB$27,'Zdroj data'!BO30&lt;=Body!$BD$27),Body!$BB$22,IF(AND('Zdroj data'!BO30&gt;=Body!$BE$27,'Zdroj data'!BO30&lt;=Body!$BG$27),Body!$BE$22,IF(AND('Zdroj data'!BO30&gt;=Body!$BH$27,'Zdroj data'!BO30&lt;=Body!$BJ$27),Body!$BH$22,IF(AND('Zdroj data'!BO30&gt;=Body!$BK$27,'Zdroj data'!BO30&lt;=Body!$BM$27),Body!$BK$22,IF(AND('Zdroj data'!BO30&gt;=Body!$BN$27,'Zdroj data'!BO30&lt;=Body!$BP$27),Body!$BN$22,IF(AND('Zdroj data'!BO30&gt;=Body!$BQ$27,'Zdroj data'!BO30&lt;=Body!$BS$27),Body!$BQ$22,IF(AND('Zdroj data'!BO30&gt;=Body!$BT$27,'Zdroj data'!BO30&lt;=Body!$BV$27),Body!$BT$22,IF(AND('Zdroj data'!BO30&gt;=Body!$BW$27,'Zdroj data'!BO30&lt;=Body!$BY$27),Body!$BW$22,IF('Zdroj data'!BO30&gt;=Body!$CB$27,$BZ$22," "))))))))))</f>
        <v>6</v>
      </c>
      <c r="W30" s="264">
        <f>IF(AND('Zdroj data'!BP30&gt;Body!$AY$27,'Zdroj data'!BP30&lt;=Body!$BA$27),Body!$AY$22,IF(AND('Zdroj data'!BP30&gt;=Body!$BB$27,'Zdroj data'!BP30&lt;=Body!$BD$27),Body!$BB$22,IF(AND('Zdroj data'!BP30&gt;=Body!$BE$27,'Zdroj data'!BP30&lt;=Body!$BG$27),Body!$BE$22,IF(AND('Zdroj data'!BP30&gt;=Body!$BH$27,'Zdroj data'!BP30&lt;=Body!$BJ$27),Body!$BH$22,IF(AND('Zdroj data'!BP30&gt;=Body!$BK$27,'Zdroj data'!BP30&lt;=Body!$BM$27),Body!$BK$22,IF(AND('Zdroj data'!BP30&gt;=Body!$BN$27,'Zdroj data'!BP30&lt;=Body!$BP$27),Body!$BN$22,IF(AND('Zdroj data'!BP30&gt;=Body!$BQ$27,'Zdroj data'!BP30&lt;=Body!$BS$27),Body!$BQ$22,IF(AND('Zdroj data'!BP30&gt;=Body!$BT$27,'Zdroj data'!BP30&lt;=Body!$BV$27),Body!$BT$22,IF(AND('Zdroj data'!BP30&gt;=Body!$BW$27,'Zdroj data'!BP30&lt;=Body!$BY$27),Body!$BW$22,IF('Zdroj data'!BP30&gt;=Body!$CB$27,$BZ$22," "))))))))))</f>
        <v>6</v>
      </c>
      <c r="X30" s="264">
        <f>IF('Zdroj data'!BA30=Body!$BB$28,$BB$22,IF('Zdroj data'!BA30=Body!$BE$28,$BE$22,IF(OR('Zdroj data'!BA30=Body!$BK$28,'Zdroj data'!BA30=Body!$BL$28,'Zdroj data'!BA30=Body!$BM$28),$BK$22,IF(OR('Zdroj data'!BA30=Body!$BT$28,'Zdroj data'!BA30=Body!$BV$28),$BT$22,IF(OR('Zdroj data'!BA30=Body!$BW$28,'Zdroj data'!BA30=Body!$BY$28),$BW$22,IF('Zdroj data'!BA30=Body!$BZ$28,$BZ$22," "))))))</f>
        <v>5</v>
      </c>
      <c r="Y30" s="264">
        <f>IF('Zdroj data'!AZ30=Body!$BZ$29,Body!$BZ$22,IF(OR('Zdroj data'!AZ30=$BT$29,'Zdroj data'!AZ30=$BU$29,'Zdroj data'!AZ30=$BV$29),$BT$22,IF(OR('Zdroj data'!AZ30=$BK$29,'Zdroj data'!AZ30=$BM$29),$BK$22,IF(OR('Zdroj data'!AZ30=$BE$29,'Zdroj data'!AZ30=$BG$29),$BE$22,IF(OR('Zdroj data'!AZ30=$AY$29,'Zdroj data'!AZ30=$BA$29),$AY$22," ")))))</f>
        <v>8</v>
      </c>
      <c r="Z30" s="264">
        <f>IF(AND('Zdroj data'!BF30="T",(OR('Zdroj data'!AZ30=Body!$AW$45,'Zdroj data'!AZ30=Body!$AW$46,'Zdroj data'!AZ30=Body!$AW$47,'Zdroj data'!AZ30=Body!$AW$48))),Body!$AY$22,IF(AND('Zdroj data'!BF30="T",(OR('Zdroj data'!AZ30=$AW$49,'Zdroj data'!AZ30=$AW$50,'Zdroj data'!AZ30=$AW$51,'Zdroj data'!AZ30=$AW$52))),$BZ$22,IF(AND(OR('Zdroj data'!BF30="VT",'Zdroj data'!BF30="T",'Zdroj data'!BF30="CH"),(OR('Zdroj data'!AZ30=$AW$43,'Zdroj data'!AZ30=$AW$44,))),$BZ$22,IF(AND('Zdroj data'!BF30="CH",(OR('Zdroj data'!AZ30=$AW$49,'Zdroj data'!AZ30=$AW$50,'Zdroj data'!AZ30=$AW$51,'Zdroj data'!AZ30=$AW$52))),$AY$22,IF(AND('Zdroj data'!BF30="CH",(OR('Zdroj data'!AZ30=$AW$45,'Zdroj data'!AZ30=$AW$46,'Zdroj data'!AZ30=$AW$47,'Zdroj data'!AZ30=$AW$48))),$BZ$22," ")))))</f>
        <v>10</v>
      </c>
      <c r="AA30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30" s="264">
        <f>IF(Tabulka1[[#This Row],[kv.ek.]]=Body!$BK$35,Body!$BK$34,IF(Tabulka1[[#This Row],[kv.ek.]]=Body!$BZ$35,Body!$BZ$34," "))</f>
        <v>5</v>
      </c>
      <c r="AC30" s="264" t="str">
        <f>IF(AND('Zdroj data'!BF30="T",(OR('Zdroj data'!AZ30=Body!$AW$45,'Zdroj data'!AZ30=Body!$AW$46,'Zdroj data'!AZ30=Body!$AW$47,'Zdroj data'!AZ30=Body!$AW$48))),Body!$AY$22,IF(AND('Zdroj data'!BF30="T",(OR('Zdroj data'!AZ30=$AW$49,'Zdroj data'!AZ30=$AW$50,'Zdroj data'!AZ30=$AW$51,'Zdroj data'!AZ30=$AW$52))),$BZ$22," "))</f>
        <v xml:space="preserve"> </v>
      </c>
      <c r="AD30" s="264">
        <f>IF(AND(OR('Zdroj data'!BF30="VT",'Zdroj data'!BF30="T",'Zdroj data'!BF30="CH"),(OR('Zdroj data'!AZ30=$AW$43,'Zdroj data'!AZ30=$AW$44,))),$BZ$22," ")</f>
        <v>10</v>
      </c>
      <c r="AE30" s="264" t="str">
        <f>IF(AND('Zdroj data'!BF30="CH",(OR('Zdroj data'!AZ30=$AW$49,'Zdroj data'!AZ30=$AW$50,'Zdroj data'!AZ30=$AW$51,'Zdroj data'!AZ30=$AW$52))),$AY$22,IF(AND('Zdroj data'!BF30="CH",(OR('Zdroj data'!AZ30=$AW$45,'Zdroj data'!AZ30=$AW$46,'Zdroj data'!AZ30=$AW$47,'Zdroj data'!AZ30=$AW$48))),$BZ$22," "))</f>
        <v xml:space="preserve"> </v>
      </c>
      <c r="AF30" s="264">
        <f>IF(AND('Zdroj data'!BG30="L",'Zdroj data'!AM30=Body!$AX$15),IF(AND('Zdroj data'!O30&gt;=Body!$AY$15,'Zdroj data'!O30&lt;=Body!$BA$15),Body!AY$6,IF(AND('Zdroj data'!O30&gt;=Body!$BB$15,'Zdroj data'!O30&lt;=Body!$BD$15),Body!BB$6,IF(AND('Zdroj data'!O30&gt;=Body!$BE$15,'Zdroj data'!O30&lt;=Body!$BG$15),Body!BE$6,IF(AND('Zdroj data'!O30&gt;=Body!$BH$15,'Zdroj data'!O30&lt;=Body!$BJ$15),Body!BH$6,IF(AND('Zdroj data'!O30&gt;=Body!$BK$15,'Zdroj data'!O30&lt;=Body!$BM$15),Body!BK$6,IF(AND('Zdroj data'!O30&gt;=Body!$BN$15,'Zdroj data'!O30&lt;=Body!$BP$15),Body!$BN$6,IF(AND('Zdroj data'!O30&gt;=Body!$BQ$15,'Zdroj data'!O30&lt;=Body!$BS$15),Body!$BQ$6,IF(AND('Zdroj data'!O30&gt;=Body!$BT$15,'Zdroj data'!O30&lt;=Body!$BV$15),Body!BT$6,IF(AND('Zdroj data'!O30&gt;=Body!$BW$15,'Zdroj data'!O30&lt;=Body!$BY$15),Body!$BW$6,IF('Zdroj data'!O30&gt;=Body!$CB$15,Body!$BZ$6," ")))))))))),IF(AND('Zdroj data'!BG30="ST",'Zdroj data'!AM30=Body!$AX$16),IF(AND('Zdroj data'!O30&gt;=Body!$AY$16,'Zdroj data'!O30&lt;=Body!$BA$16),Body!$AY$6,IF(AND('Zdroj data'!O30&gt;=Body!$BB$16,'Zdroj data'!O30&lt;=Body!$BD$16),Body!$BB$6,IF(AND('Zdroj data'!O30&gt;=Body!$BE$16,'Zdroj data'!O30&lt;=Body!$BG$16),Body!$BE$6,IF(AND('Zdroj data'!O30&gt;=Body!$BH$16,'Zdroj data'!O30&lt;=Body!$BJ$16),Body!$BH$6,IF(AND('Zdroj data'!O30&gt;=Body!$BK$16,'Zdroj data'!O30&lt;=Body!$BM$16),Body!$BK$6,IF(AND('Zdroj data'!O30&gt;=Body!$BN$16,'Zdroj data'!O30&lt;=Body!$BP$16),Body!$BN$6,IF(AND('Zdroj data'!O30&gt;=Body!$BQ$16,'Zdroj data'!O30&lt;=Body!$BS$16),Body!$BQ$6,IF(AND('Zdroj data'!O30&gt;=Body!$BT$16,'Zdroj data'!O30&lt;=Body!$BV$16),Body!$BT$6,IF(AND('Zdroj data'!O30&gt;=Body!$BW$16,'Zdroj data'!O30&lt;=Body!$BY$16),Body!$BW$6,IF('Zdroj data'!O30&gt;=Body!$CB$16,Body!$BZ$6," ")))))))))),IF(AND('Zdroj data'!BG30="T",'Zdroj data'!AM30=Body!$AX$17),IF(AND('Zdroj data'!O30&gt;=Body!$AY$17,'Zdroj data'!O30&lt;=Body!$BA$17),Body!$AY$6,IF(AND('Zdroj data'!O30&gt;=Body!$BB$17,'Zdroj data'!O30&lt;=Body!$BD$17),Body!$BB$6,IF(AND('Zdroj data'!O30&gt;=Body!$BE$17,'Zdroj data'!O30&lt;=Body!$BG$17),Body!$BE$6,IF(AND('Zdroj data'!O30&gt;=Body!$BH$17,'Zdroj data'!O30&lt;=Body!BJ44),Body!$BH$6,IF(AND('Zdroj data'!O30&gt;=Body!$BK$17,'Zdroj data'!O30&lt;=Body!$BM$17),Body!$BK$6,IF(AND('Zdroj data'!O30&gt;=Body!$BN$17,'Zdroj data'!O30&lt;=Body!$BP$17),Body!$BN$6,IF(AND('Zdroj data'!O30&gt;=Body!$BQ$17,'Zdroj data'!O30&lt;=Body!$BS$17),Body!$BQ$6,IF(AND('Zdroj data'!O30&gt;=Body!$BT$17,'Zdroj data'!O30&lt;=Body!$BV$17),Body!$BT$6,IF(AND('Zdroj data'!O30&gt;=Body!$BW$17,'Zdroj data'!O30&lt;=Body!$BY$17),Body!$BW$6,IF('Zdroj data'!O30&gt;=Body!$CB$17,Body!$BZ$6," "))))))))))," ")))</f>
        <v>1</v>
      </c>
      <c r="AG30" s="264">
        <f>IF(AND('Zdroj data'!$BG30="L",'Zdroj data'!$AM30=Body!$AX$15),IF(AND(Tabulka1[[#This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data'!$BG30="ST",'Zdroj data'!$AM30=Body!$AX$16),IF(AND(Tabulka1[[#This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data'!$BG30="T",'Zdroj data'!$AM30=Body!$AX$17),IF(AND(Tabulka1[[#This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Row],[K2O_60]]&lt;=Body!BJ44),Body!$BH$6,IF(AND(Tabulka1[[#This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30" s="264" t="str">
        <f>IF(AND('Zdroj data'!BG30="L",'Zdroj data'!AM30=Body!$AX$18),IF(AND('Zdroj data'!O30&gt;=Body!$AY$18,'Zdroj data'!O30&lt;=Body!$BA$18),Body!AY$6,IF(AND('Zdroj data'!O30&gt;=Body!$BB$18,'Zdroj data'!O30&lt;=Body!$BD$18),Body!BB$6,IF(AND('Zdroj data'!O30&gt;=Body!$BE$18,'Zdroj data'!O30&lt;=Body!$BG$18),Body!BE$6,IF(AND('Zdroj data'!O30&gt;=Body!$BH$18,'Zdroj data'!O30&lt;=Body!$BJ$18),Body!BH$6,IF(AND('Zdroj data'!O30&gt;=Body!$BK$18,'Zdroj data'!O30&lt;=Body!$BM$18),Body!$BK$6,IF(AND('Zdroj data'!O30&gt;=Body!$BN$18,'Zdroj data'!O30&lt;=Body!$BP$18),Body!BN$6,IF(AND('Zdroj data'!O30&gt;=Body!$BQ$18,'Zdroj data'!O30&lt;=Body!$BS$18),Body!$BQ$6,IF(AND('Zdroj data'!O30&gt;=Body!$BT$18,'Zdroj data'!O30&lt;=Body!$BV$18),Body!$BT$6,IF(AND('Zdroj data'!O30&gt;=Body!$BW$18,'Zdroj data'!O30&lt;=Body!$BY$18),Body!$BW$6,IF('Zdroj data'!O30&gt;=Body!$CB$18,Body!$BZ$6," ")))))))))),IF(AND('Zdroj data'!BG30="ST",'Zdroj data'!AM30=Body!$AX$19),IF(AND('Zdroj data'!O30&gt;=Body!$AY$19,'Zdroj data'!O30&lt;=Body!$BA$19),Body!$AY$6,IF(AND('Zdroj data'!O30&gt;=Body!$BB$19,'Zdroj data'!O30&lt;=Body!$BD$19),Body!$BB$6,IF(AND('Zdroj data'!O30&gt;=Body!$BE$19,'Zdroj data'!O30&lt;=Body!$BG$19),Body!$BE$6,IF(AND('Zdroj data'!O30&gt;=Body!$BH$19,'Zdroj data'!O30&lt;=Body!$BJ$19),Body!$BH$6,IF(AND('Zdroj data'!O30&gt;=Body!$BK$19,'Zdroj data'!O30&lt;=Body!$BM$19),Body!$BK$6,IF(AND('Zdroj data'!O30&gt;=Body!$BN$19,'Zdroj data'!O30&lt;=Body!$BP$19),Body!$BN$6,IF(AND('Zdroj data'!O30&gt;=Body!$BQ$19,'Zdroj data'!O30&lt;=Body!$BS$19),Body!$BQ$6,IF(AND('Zdroj data'!O30&gt;=Body!$BT$19,'Zdroj data'!O34&lt;=Body!$BV$19),Body!$BT$6,IF(AND('Zdroj data'!O30&gt;=Body!$BW$19,'Zdroj data'!O30&lt;=Body!$BY$19),Body!$BW$6,IF('Zdroj data'!O30&gt;=Body!$CB$19,Body!$BZ$6," ")))))))))),IF(AND('Zdroj data'!BG30="T",'Zdroj data'!AM30=Body!$AX$20),IF(AND('Zdroj data'!O30&gt;=Body!$AY$20,'Zdroj data'!O30&lt;=Body!$BA$20),Body!$AY$6,IF(AND('Zdroj data'!O30&gt;=Body!$BB$20,'Zdroj data'!O30&lt;=Body!$BD$20),Body!$BB$6,IF(AND('Zdroj data'!O30&gt;=Body!$BE$20,'Zdroj data'!O30&lt;=Body!$BG$20),Body!$BE$6,IF(AND('Zdroj data'!O30&gt;=Body!$BH$20,'Zdroj data'!O30&lt;=Body!$BJ$20),Body!$BH$6,IF(AND('Zdroj data'!O30&gt;=Body!$BK$20,'Zdroj data'!O30&lt;=Body!$BM$20),Body!$BK$6,IF(AND('Zdroj data'!O30&gt;=Body!$BN$20,'Zdroj data'!O30&lt;=Body!$BP$20),Body!$BN$6,IF(AND('Zdroj data'!O30&gt;=Body!$BQ$20,'Zdroj data'!O30&lt;=Body!$BS$20),Body!$BQ$6,IF(AND('Zdroj data'!O30&gt;=Body!$BT$20,'Zdroj data'!O30&lt;=Body!BV47),Body!$BT$6,IF(AND('Zdroj data'!O30&gt;=Body!$BW$20,'Zdroj data'!O30&lt;=Body!$BY$20),Body!$BW$6,IF('Zdroj data'!O30&gt;=Body!$CB$20,Body!$BZ$6," "))))))))))," ")))</f>
        <v xml:space="preserve"> </v>
      </c>
      <c r="AI30" s="264" t="str">
        <f>IF(AND('Zdroj data'!$BG30="L",'Zdroj data'!$AM30=Body!$AX$18),IF(AND(Tabulka1[[#This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data'!$BG30="ST",'Zdroj data'!$AM30=Body!$AX$19),IF(AND(Tabulka1[[#This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data'!$BG30="T",'Zdroj data'!$AM30=Body!$AX$20),IF(AND(Tabulka1[[#This Row],[K2O_60]]&gt;=Body!$AY$20,'Zdroj data'!O30&lt;=Body!$BA$20),Body!$AY$6,IF(AND(Tabulka1[[#This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Row],[K2O_60]]&lt;=Body!BV47),Body!$BT$6,IF(AND(Tabulka1[[#This Row],[K2O_60]]&gt;=Body!$BW$20,Tabulka1[[#This Row],[K2O_60]]&lt;=Body!$BY$20),Body!$BW$6,IF(Tabulka1[[#This Row],[K2O_60]]&gt;=Body!$CB$20,Body!$BZ$6," "))))))))))," ")))</f>
        <v xml:space="preserve"> </v>
      </c>
      <c r="AJ30" s="265">
        <f t="shared" si="10"/>
        <v>14.666666666666682</v>
      </c>
      <c r="AK30" s="264">
        <f t="shared" si="3"/>
        <v>29.051679680642152</v>
      </c>
      <c r="AL30" s="264">
        <f t="shared" si="4"/>
        <v>27.181145621903823</v>
      </c>
      <c r="AM30" s="264">
        <f t="shared" si="5"/>
        <v>62.171141712436025</v>
      </c>
      <c r="AN30" s="264">
        <f t="shared" si="6"/>
        <v>62.171141712436025</v>
      </c>
      <c r="AO30" s="265">
        <f t="shared" si="11"/>
        <v>91.222821393078178</v>
      </c>
      <c r="AP30" s="265">
        <f t="shared" si="12"/>
        <v>89.352287334339849</v>
      </c>
      <c r="AQ30" s="318"/>
      <c r="AR30" s="338">
        <f t="shared" si="7"/>
        <v>195.2417753940847</v>
      </c>
      <c r="AS30" s="318"/>
      <c r="AT30" s="454"/>
      <c r="AU30" s="468"/>
      <c r="AV30" s="473">
        <v>4.1878354223723553E-2</v>
      </c>
      <c r="AW30" s="33" t="s">
        <v>976</v>
      </c>
      <c r="AX30" s="34" t="s">
        <v>872</v>
      </c>
      <c r="AY30" s="124" t="s">
        <v>892</v>
      </c>
      <c r="AZ30" s="70"/>
      <c r="BA30" s="41"/>
      <c r="BB30" s="42"/>
      <c r="BC30" s="70"/>
      <c r="BD30" s="41"/>
      <c r="BE30" s="42"/>
      <c r="BF30" s="38"/>
      <c r="BG30" s="41"/>
      <c r="BH30" s="33"/>
      <c r="BI30" s="70"/>
      <c r="BJ30" s="41"/>
      <c r="BK30" s="42"/>
      <c r="BL30" s="38"/>
      <c r="BM30" s="41"/>
      <c r="BN30" s="42"/>
      <c r="BO30" s="38"/>
      <c r="BP30" s="41"/>
      <c r="BQ30" s="42"/>
      <c r="BR30" s="70"/>
      <c r="BS30" s="41"/>
      <c r="BT30" s="42"/>
      <c r="BU30" s="70"/>
      <c r="BV30" s="41"/>
      <c r="BW30" s="42"/>
      <c r="BX30" s="70"/>
      <c r="BY30" s="41"/>
      <c r="BZ30" s="42" t="s">
        <v>894</v>
      </c>
      <c r="CA30" s="38"/>
      <c r="CB30" s="41"/>
      <c r="CC30" s="126"/>
    </row>
    <row r="31" spans="1:81" ht="15.75" customHeight="1" x14ac:dyDescent="0.35">
      <c r="A31" s="270">
        <v>1039</v>
      </c>
      <c r="B31" s="156" t="s">
        <v>553</v>
      </c>
      <c r="C31" s="250" t="str">
        <f>VLOOKUP(B31,'Zdroj hloubka okresy'!$A$2:$D$171,2,FALSE)</f>
        <v>Pribram</v>
      </c>
      <c r="D31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7</v>
      </c>
      <c r="E31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8</v>
      </c>
      <c r="F31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31" s="264">
        <f>IF(AND(Tabulka1[[#This Row],[hum_60]]&gt;AY40,Tabulka1[[#This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4</v>
      </c>
      <c r="H31" s="264">
        <f>IF(Tabulka1[[#This Row],[kv.ek.]]=Body!$AX$13,IF(AND('Zdroj data'!M31&gt;=Body!$AY$13,'Zdroj data'!M31&lt;=Body!$BA$13),Body!$AY$6,IF(AND('Zdroj data'!M31&gt;=Body!$BB$13,'Zdroj data'!M31&lt;=Body!$BD$13),Body!$BB$6,IF(AND('Zdroj data'!M31&gt;=Body!$BE$13,'Zdroj data'!M31&lt;=Body!$BG$13),Body!$BE$6,IF(AND('Zdroj data'!M31&gt;=Body!$BH$13,'Zdroj data'!M31&lt;=Body!$BJ$13),Body!$BH$6,IF(AND('Zdroj data'!M31&gt;=Body!$BK$13,'Zdroj data'!M31&lt;=Body!$BM$13),Body!$BK$6,IF(AND('Zdroj data'!M31&gt;=Body!$BN$13,'Zdroj data'!M31&lt;=Body!$BP$13),Body!$BN$6,IF(AND('Zdroj data'!M31&gt;=Body!$BQ$13,'Zdroj data'!M31&lt;=Body!$BS$13),Body!$BQ$6,IF(AND('Zdroj data'!M31&gt;=Body!$BT$13,'Zdroj data'!M31&lt;=Body!$BV$13),Body!$BT$6,IF(AND('Zdroj data'!M31&gt;=Body!$BW$13,'Zdroj data'!M31&lt;=Body!$BY$13),Body!$BW$6,IF('Zdroj data'!M31&gt;=Body!$CB$13,Body!$BZ$6,"")))))))))),IF(Tabulka1[[#This Row],[kv.ek.]]=Body!$AX$14,IF(AND('Zdroj data'!N31&gt;=Body!$AY$14,'Zdroj data'!N31&lt;=Body!$BA$14),Body!$AY$6,IF(AND('Zdroj data'!N31&gt;=Body!$BB$14,'Zdroj data'!N31&lt;=Body!$BD$14),Body!$BB$6,IF(AND('Zdroj data'!N31&gt;=Body!$BE$14,'Zdroj data'!N31&lt;=Body!$BG$14),Body!$BE$6,IF(AND('Zdroj data'!N31&gt;=Body!$BH$14,'Zdroj data'!N31&lt;=Body!$BJ$14),Body!$BH$6,IF(AND('Zdroj data'!N31&gt;=Body!$BK$14,'Zdroj data'!N31&lt;=Body!$BM$14),Body!$BK$6,IF(AND('Zdroj data'!N31&gt;=Body!$BN$14,'Zdroj data'!N31&lt;=Body!$BP$14),Body!$BN$6,IF(AND('Zdroj data'!N31&gt;=Body!$BQ$14,'Zdroj data'!N31&lt;=Body!$BS$14),Body!$BQ$6,IF(AND('Zdroj data'!N31&gt;=Body!$BT$14,'Zdroj data'!N31&lt;=Body!$BV$14),Body!$BT$6,IF(AND('Zdroj data'!N31&gt;=Body!$BW$14,'Zdroj data'!N31&lt;=Body!$BY$14),Body!$BW$6,IF('Zdroj data'!N31&gt;=Body!$CB$14,Body!$BZ$6,"")))))))))),""))</f>
        <v>9</v>
      </c>
      <c r="I31" s="264">
        <f>IF(Tabulka1[[#This Row],[kv.ek.]]=Body!$AX$13,IF(AND('Zdroj data'!N31&gt;=Body!$AY$13,'Zdroj data'!N31&lt;=Body!$BA$13),Body!$AY$6,IF(AND('Zdroj data'!N31&gt;=Body!$BB$13,'Zdroj data'!N31&lt;=Body!$BD$13),Body!$BB$6,IF(AND('Zdroj data'!N31&gt;=Body!$BE$13,'Zdroj data'!N31&lt;=Body!$BG$13),Body!$BE$6,IF(AND('Zdroj data'!N31&gt;=Body!$BH$13,'Zdroj data'!N31&lt;=Body!$BJ$13),Body!$BH$6,IF(AND('Zdroj data'!N31&gt;=Body!$BK$13,'Zdroj data'!N31&lt;=Body!$BM$13),Body!$BK$6,IF(AND('Zdroj data'!N31&gt;=Body!$BN$13,'Zdroj data'!N31&lt;=Body!$BP$13),Body!$BN$6,IF(AND('Zdroj data'!N31&gt;=Body!$BQ$13,'Zdroj data'!N31&lt;=Body!$BS$13),Body!$BQ$6,IF(AND('Zdroj data'!N31&gt;=Body!$BT$13,'Zdroj data'!N31&lt;=Body!$BV$13),Body!$BT$6,IF(AND('Zdroj data'!N31&gt;=Body!$BW$13,'Zdroj data'!N31&lt;=Body!$BY$13),Body!$BW$6,IF('Zdroj data'!N31&gt;=Body!$CB$13,Body!$BZ$6," ")))))))))),IF(Tabulka1[[#This Row],[kv.ek.]]=Body!$AX$14,IF(AND('Zdroj data'!O31&gt;=Body!$AY$14,'Zdroj data'!O31&lt;=Body!$BA$14),Body!$AY$6,IF(AND('Zdroj data'!O31&gt;=Body!$BB$14,'Zdroj data'!O31&lt;=Body!$BD$14),Body!$BB$6,IF(AND('Zdroj data'!O31&gt;=Body!$BE$14,'Zdroj data'!O31&lt;=Body!$BG$14),Body!$BE$6,IF(AND('Zdroj data'!O31&gt;=Body!$BH$14,'Zdroj data'!O31&lt;=Body!$BJ$14),Body!$BH$6,IF(AND('Zdroj data'!O31&gt;=Body!$BK$14,'Zdroj data'!O31&lt;=Body!$BM$14),Body!$BK$6,IF(AND('Zdroj data'!O31&gt;=Body!$BN$14,'Zdroj data'!O31&lt;=Body!$BP$14),Body!$BN$6,IF(AND('Zdroj data'!O31&gt;=Body!$BQ$14,'Zdroj data'!O31&lt;=Body!$BS$14),Body!$BQ$6,IF(AND('Zdroj data'!O31&gt;=Body!$BT$14,'Zdroj data'!O31&lt;=Body!$BV$14),Body!$BT$6,IF(AND('Zdroj data'!O31&gt;=Body!$BW$14,'Zdroj data'!O31&lt;=Body!$BY$14),Body!$BW$6,IF('Zdroj data'!O31&gt;=Body!$CB$14,Body!$BZ$6," "))))))))))," "))</f>
        <v>7</v>
      </c>
      <c r="J31" s="264">
        <f t="shared" si="8"/>
        <v>2</v>
      </c>
      <c r="K31" s="264">
        <f t="shared" si="9"/>
        <v>1</v>
      </c>
      <c r="L31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6</v>
      </c>
      <c r="M31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31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31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31" s="264">
        <f>IF(Tabulka1[[#This Row],[RVK]]=Body!$BE$10,Body!$BE$6,IF(Tabulka1[[#This Row],[RVK]]=Body!$BK$10,Body!$BK$6,IF(Tabulka1[[#This Row],[RVK]]=Body!$BN$10,Body!$BN$6,IF(Tabulka1[[#This Row],[RVK]]=Body!$BZ$10,Body!$BZ$6," "))))</f>
        <v>10</v>
      </c>
      <c r="Q31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31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31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31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31" s="264">
        <f>IF('Zdroj data'!BB31=Body!$AY$25,Body!$AY$22,IF('Zdroj data'!BB31=Body!$BB$25,Body!$BB$22,IF('Zdroj data'!BB31=Body!$BE$25,Body!$BE$22,IF('Zdroj data'!BB31=Body!$BH$25,Body!$BH$22,IF('Zdroj data'!BB31=Body!BK$25,Body!$BK$22,IF('Zdroj data'!BB31=Body!$BN$25,Body!$BN$22,IF('Zdroj data'!BB31=Body!$BQ$25,Body!$BQ$22,IF('Zdroj data'!BB31=Body!$BT$25,Body!$BT$22,IF('Zdroj data'!BB31=Body!$BW$25,Body!$BW$22,IF('Zdroj data'!BB31=Body!$BZ$25,Body!$BZ$22," "))))))))))</f>
        <v>5</v>
      </c>
      <c r="V31" s="264">
        <f>IF(AND('Zdroj data'!BO31&gt;Body!$AY$27,'Zdroj data'!BO31&lt;=Body!$BA$27),Body!$AY$22,IF(AND('Zdroj data'!BO31&gt;=Body!$BB$27,'Zdroj data'!BO31&lt;=Body!$BD$27),Body!$BB$22,IF(AND('Zdroj data'!BO31&gt;=Body!$BE$27,'Zdroj data'!BO31&lt;=Body!$BG$27),Body!$BE$22,IF(AND('Zdroj data'!BO31&gt;=Body!$BH$27,'Zdroj data'!BO31&lt;=Body!$BJ$27),Body!$BH$22,IF(AND('Zdroj data'!BO31&gt;=Body!$BK$27,'Zdroj data'!BO31&lt;=Body!$BM$27),Body!$BK$22,IF(AND('Zdroj data'!BO31&gt;=Body!$BN$27,'Zdroj data'!BO31&lt;=Body!$BP$27),Body!$BN$22,IF(AND('Zdroj data'!BO31&gt;=Body!$BQ$27,'Zdroj data'!BO31&lt;=Body!$BS$27),Body!$BQ$22,IF(AND('Zdroj data'!BO31&gt;=Body!$BT$27,'Zdroj data'!BO31&lt;=Body!$BV$27),Body!$BT$22,IF(AND('Zdroj data'!BO31&gt;=Body!$BW$27,'Zdroj data'!BO31&lt;=Body!$BY$27),Body!$BW$22,IF('Zdroj data'!BO31&gt;=Body!$CB$27,$BZ$22," "))))))))))</f>
        <v>5</v>
      </c>
      <c r="W31" s="264">
        <f>IF(AND('Zdroj data'!BP31&gt;Body!$AY$27,'Zdroj data'!BP31&lt;=Body!$BA$27),Body!$AY$22,IF(AND('Zdroj data'!BP31&gt;=Body!$BB$27,'Zdroj data'!BP31&lt;=Body!$BD$27),Body!$BB$22,IF(AND('Zdroj data'!BP31&gt;=Body!$BE$27,'Zdroj data'!BP31&lt;=Body!$BG$27),Body!$BE$22,IF(AND('Zdroj data'!BP31&gt;=Body!$BH$27,'Zdroj data'!BP31&lt;=Body!$BJ$27),Body!$BH$22,IF(AND('Zdroj data'!BP31&gt;=Body!$BK$27,'Zdroj data'!BP31&lt;=Body!$BM$27),Body!$BK$22,IF(AND('Zdroj data'!BP31&gt;=Body!$BN$27,'Zdroj data'!BP31&lt;=Body!$BP$27),Body!$BN$22,IF(AND('Zdroj data'!BP31&gt;=Body!$BQ$27,'Zdroj data'!BP31&lt;=Body!$BS$27),Body!$BQ$22,IF(AND('Zdroj data'!BP31&gt;=Body!$BT$27,'Zdroj data'!BP31&lt;=Body!$BV$27),Body!$BT$22,IF(AND('Zdroj data'!BP31&gt;=Body!$BW$27,'Zdroj data'!BP31&lt;=Body!$BY$27),Body!$BW$22,IF('Zdroj data'!BP31&gt;=Body!$CB$27,$BZ$22," "))))))))))</f>
        <v>7</v>
      </c>
      <c r="X31" s="264">
        <f>IF('Zdroj data'!BA31=Body!$BB$28,$BB$22,IF('Zdroj data'!BA31=Body!$BE$28,$BE$22,IF(OR('Zdroj data'!BA31=Body!$BK$28,'Zdroj data'!BA31=Body!$BL$28,'Zdroj data'!BA31=Body!$BM$28),$BK$22,IF(OR('Zdroj data'!BA31=Body!$BT$28,'Zdroj data'!BA31=Body!$BV$28),$BT$22,IF(OR('Zdroj data'!BA31=Body!$BW$28,'Zdroj data'!BA31=Body!$BY$28),$BW$22,IF('Zdroj data'!BA31=Body!$BZ$28,$BZ$22," "))))))</f>
        <v>2</v>
      </c>
      <c r="Y31" s="264">
        <f>IF('Zdroj data'!AZ31=Body!$BZ$29,Body!$BZ$22,IF(OR('Zdroj data'!AZ31=$BT$29,'Zdroj data'!AZ31=$BU$29,'Zdroj data'!AZ31=$BV$29),$BT$22,IF(OR('Zdroj data'!AZ31=$BK$29,'Zdroj data'!AZ31=$BM$29),$BK$22,IF(OR('Zdroj data'!AZ31=$BE$29,'Zdroj data'!AZ31=$BG$29),$BE$22,IF(OR('Zdroj data'!AZ31=$AY$29,'Zdroj data'!AZ31=$BA$29),$AY$22," ")))))</f>
        <v>8</v>
      </c>
      <c r="Z31" s="264">
        <f>IF(AND('Zdroj data'!BF31="T",(OR('Zdroj data'!AZ31=Body!$AW$45,'Zdroj data'!AZ31=Body!$AW$46,'Zdroj data'!AZ31=Body!$AW$47,'Zdroj data'!AZ31=Body!$AW$48))),Body!$AY$22,IF(AND('Zdroj data'!BF31="T",(OR('Zdroj data'!AZ31=$AW$49,'Zdroj data'!AZ31=$AW$50,'Zdroj data'!AZ31=$AW$51,'Zdroj data'!AZ31=$AW$52))),$BZ$22,IF(AND(OR('Zdroj data'!BF31="VT",'Zdroj data'!BF31="T",'Zdroj data'!BF31="CH"),(OR('Zdroj data'!AZ31=$AW$43,'Zdroj data'!AZ31=$AW$44,))),$BZ$22,IF(AND('Zdroj data'!BF31="CH",(OR('Zdroj data'!AZ31=$AW$49,'Zdroj data'!AZ31=$AW$50,'Zdroj data'!AZ31=$AW$51,'Zdroj data'!AZ31=$AW$52))),$AY$22,IF(AND('Zdroj data'!BF31="CH",(OR('Zdroj data'!AZ31=$AW$45,'Zdroj data'!AZ31=$AW$46,'Zdroj data'!AZ31=$AW$47,'Zdroj data'!AZ31=$AW$48))),$BZ$22," ")))))</f>
        <v>10</v>
      </c>
      <c r="AA31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31" s="264">
        <f>IF(Tabulka1[[#This Row],[kv.ek.]]=Body!$BK$35,Body!$BK$34,IF(Tabulka1[[#This Row],[kv.ek.]]=Body!$BZ$35,Body!$BZ$34," "))</f>
        <v>10</v>
      </c>
      <c r="AC31" s="264">
        <f>IF(AND('Zdroj data'!BF31="T",(OR('Zdroj data'!AZ31=Body!$AW$45,'Zdroj data'!AZ31=Body!$AW$46,'Zdroj data'!AZ31=Body!$AW$47,'Zdroj data'!AZ31=Body!$AW$48))),Body!$AY$22,IF(AND('Zdroj data'!BF31="T",(OR('Zdroj data'!AZ31=$AW$49,'Zdroj data'!AZ31=$AW$50,'Zdroj data'!AZ31=$AW$51,'Zdroj data'!AZ31=$AW$52))),$BZ$22," "))</f>
        <v>10</v>
      </c>
      <c r="AD31" s="264" t="str">
        <f>IF(AND(OR('Zdroj data'!BF31="VT",'Zdroj data'!BF31="T",'Zdroj data'!BF31="CH"),(OR('Zdroj data'!AZ31=$AW$43,'Zdroj data'!AZ31=$AW$44,))),$BZ$22," ")</f>
        <v xml:space="preserve"> </v>
      </c>
      <c r="AE31" s="264" t="str">
        <f>IF(AND('Zdroj data'!BF31="CH",(OR('Zdroj data'!AZ31=$AW$49,'Zdroj data'!AZ31=$AW$50,'Zdroj data'!AZ31=$AW$51,'Zdroj data'!AZ31=$AW$52))),$AY$22,IF(AND('Zdroj data'!BF31="CH",(OR('Zdroj data'!AZ31=$AW$45,'Zdroj data'!AZ31=$AW$46,'Zdroj data'!AZ31=$AW$47,'Zdroj data'!AZ31=$AW$48))),$BZ$22," "))</f>
        <v xml:space="preserve"> </v>
      </c>
      <c r="AF31" s="264" t="str">
        <f>IF(AND('Zdroj data'!BG31="L",'Zdroj data'!AM31=Body!$AX$15),IF(AND('Zdroj data'!O31&gt;=Body!$AY$15,'Zdroj data'!O31&lt;=Body!$BA$15),Body!AY$6,IF(AND('Zdroj data'!O31&gt;=Body!$BB$15,'Zdroj data'!O31&lt;=Body!$BD$15),Body!BB$6,IF(AND('Zdroj data'!O31&gt;=Body!$BE$15,'Zdroj data'!O31&lt;=Body!$BG$15),Body!BE$6,IF(AND('Zdroj data'!O31&gt;=Body!$BH$15,'Zdroj data'!O31&lt;=Body!$BJ$15),Body!BH$6,IF(AND('Zdroj data'!O31&gt;=Body!$BK$15,'Zdroj data'!O31&lt;=Body!$BM$15),Body!BK$6,IF(AND('Zdroj data'!O31&gt;=Body!$BN$15,'Zdroj data'!O31&lt;=Body!$BP$15),Body!$BN$6,IF(AND('Zdroj data'!O31&gt;=Body!$BQ$15,'Zdroj data'!O31&lt;=Body!$BS$15),Body!$BQ$6,IF(AND('Zdroj data'!O31&gt;=Body!$BT$15,'Zdroj data'!O31&lt;=Body!$BV$15),Body!BT$6,IF(AND('Zdroj data'!O31&gt;=Body!$BW$15,'Zdroj data'!O31&lt;=Body!$BY$15),Body!$BW$6,IF('Zdroj data'!O31&gt;=Body!$CB$15,Body!$BZ$6," ")))))))))),IF(AND('Zdroj data'!BG31="ST",'Zdroj data'!AM31=Body!$AX$16),IF(AND('Zdroj data'!O31&gt;=Body!$AY$16,'Zdroj data'!O31&lt;=Body!$BA$16),Body!$AY$6,IF(AND('Zdroj data'!O31&gt;=Body!$BB$16,'Zdroj data'!O31&lt;=Body!$BD$16),Body!$BB$6,IF(AND('Zdroj data'!O31&gt;=Body!$BE$16,'Zdroj data'!O31&lt;=Body!$BG$16),Body!$BE$6,IF(AND('Zdroj data'!O31&gt;=Body!$BH$16,'Zdroj data'!O31&lt;=Body!$BJ$16),Body!$BH$6,IF(AND('Zdroj data'!O31&gt;=Body!$BK$16,'Zdroj data'!O31&lt;=Body!$BM$16),Body!$BK$6,IF(AND('Zdroj data'!O31&gt;=Body!$BN$16,'Zdroj data'!O31&lt;=Body!$BP$16),Body!$BN$6,IF(AND('Zdroj data'!O31&gt;=Body!$BQ$16,'Zdroj data'!O31&lt;=Body!$BS$16),Body!$BQ$6,IF(AND('Zdroj data'!O31&gt;=Body!$BT$16,'Zdroj data'!O31&lt;=Body!$BV$16),Body!$BT$6,IF(AND('Zdroj data'!O31&gt;=Body!$BW$16,'Zdroj data'!O31&lt;=Body!$BY$16),Body!$BW$6,IF('Zdroj data'!O31&gt;=Body!$CB$16,Body!$BZ$6," ")))))))))),IF(AND('Zdroj data'!BG31="T",'Zdroj data'!AM31=Body!$AX$17),IF(AND('Zdroj data'!O31&gt;=Body!$AY$17,'Zdroj data'!O31&lt;=Body!$BA$17),Body!$AY$6,IF(AND('Zdroj data'!O31&gt;=Body!$BB$17,'Zdroj data'!O31&lt;=Body!$BD$17),Body!$BB$6,IF(AND('Zdroj data'!O31&gt;=Body!$BE$17,'Zdroj data'!O31&lt;=Body!$BG$17),Body!$BE$6,IF(AND('Zdroj data'!O31&gt;=Body!$BH$17,'Zdroj data'!O31&lt;=Body!BJ45),Body!$BH$6,IF(AND('Zdroj data'!O31&gt;=Body!$BK$17,'Zdroj data'!O31&lt;=Body!$BM$17),Body!$BK$6,IF(AND('Zdroj data'!O31&gt;=Body!$BN$17,'Zdroj data'!O31&lt;=Body!$BP$17),Body!$BN$6,IF(AND('Zdroj data'!O31&gt;=Body!$BQ$17,'Zdroj data'!O31&lt;=Body!$BS$17),Body!$BQ$6,IF(AND('Zdroj data'!O31&gt;=Body!$BT$17,'Zdroj data'!O31&lt;=Body!$BV$17),Body!$BT$6,IF(AND('Zdroj data'!O31&gt;=Body!$BW$17,'Zdroj data'!O31&lt;=Body!$BY$17),Body!$BW$6,IF('Zdroj data'!O31&gt;=Body!$CB$17,Body!$BZ$6," "))))))))))," ")))</f>
        <v xml:space="preserve"> </v>
      </c>
      <c r="AG31" s="264" t="str">
        <f>IF(AND('Zdroj data'!$BG31="L",'Zdroj data'!$AM31=Body!$AX$15),IF(AND(Tabulka1[[#This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data'!$BG31="ST",'Zdroj data'!$AM31=Body!$AX$16),IF(AND(Tabulka1[[#This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data'!$BG31="T",'Zdroj data'!$AM31=Body!$AX$17),IF(AND(Tabulka1[[#This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Row],[K2O_60]]&lt;=Body!BJ45),Body!$BH$6,IF(AND(Tabulka1[[#This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31" s="264">
        <f>IF(AND('Zdroj data'!BG31="L",'Zdroj data'!AM31=Body!$AX$18),IF(AND('Zdroj data'!O31&gt;=Body!$AY$18,'Zdroj data'!O31&lt;=Body!$BA$18),Body!AY$6,IF(AND('Zdroj data'!O31&gt;=Body!$BB$18,'Zdroj data'!O31&lt;=Body!$BD$18),Body!BB$6,IF(AND('Zdroj data'!O31&gt;=Body!$BE$18,'Zdroj data'!O31&lt;=Body!$BG$18),Body!BE$6,IF(AND('Zdroj data'!O31&gt;=Body!$BH$18,'Zdroj data'!O31&lt;=Body!$BJ$18),Body!BH$6,IF(AND('Zdroj data'!O31&gt;=Body!$BK$18,'Zdroj data'!O31&lt;=Body!$BM$18),Body!$BK$6,IF(AND('Zdroj data'!O31&gt;=Body!$BN$18,'Zdroj data'!O31&lt;=Body!$BP$18),Body!BN$6,IF(AND('Zdroj data'!O31&gt;=Body!$BQ$18,'Zdroj data'!O31&lt;=Body!$BS$18),Body!$BQ$6,IF(AND('Zdroj data'!O31&gt;=Body!$BT$18,'Zdroj data'!O31&lt;=Body!$BV$18),Body!$BT$6,IF(AND('Zdroj data'!O31&gt;=Body!$BW$18,'Zdroj data'!O31&lt;=Body!$BY$18),Body!$BW$6,IF('Zdroj data'!O31&gt;=Body!$CB$18,Body!$BZ$6," ")))))))))),IF(AND('Zdroj data'!BG31="ST",'Zdroj data'!AM31=Body!$AX$19),IF(AND('Zdroj data'!O31&gt;=Body!$AY$19,'Zdroj data'!O31&lt;=Body!$BA$19),Body!$AY$6,IF(AND('Zdroj data'!O31&gt;=Body!$BB$19,'Zdroj data'!O31&lt;=Body!$BD$19),Body!$BB$6,IF(AND('Zdroj data'!O31&gt;=Body!$BE$19,'Zdroj data'!O31&lt;=Body!$BG$19),Body!$BE$6,IF(AND('Zdroj data'!O31&gt;=Body!$BH$19,'Zdroj data'!O31&lt;=Body!$BJ$19),Body!$BH$6,IF(AND('Zdroj data'!O31&gt;=Body!$BK$19,'Zdroj data'!O31&lt;=Body!$BM$19),Body!$BK$6,IF(AND('Zdroj data'!O31&gt;=Body!$BN$19,'Zdroj data'!O31&lt;=Body!$BP$19),Body!$BN$6,IF(AND('Zdroj data'!O31&gt;=Body!$BQ$19,'Zdroj data'!O31&lt;=Body!$BS$19),Body!$BQ$6,IF(AND('Zdroj data'!O31&gt;=Body!$BT$19,'Zdroj data'!O35&lt;=Body!$BV$19),Body!$BT$6,IF(AND('Zdroj data'!O31&gt;=Body!$BW$19,'Zdroj data'!O31&lt;=Body!$BY$19),Body!$BW$6,IF('Zdroj data'!O31&gt;=Body!$CB$19,Body!$BZ$6," ")))))))))),IF(AND('Zdroj data'!BG31="T",'Zdroj data'!AM31=Body!$AX$20),IF(AND('Zdroj data'!O31&gt;=Body!$AY$20,'Zdroj data'!O31&lt;=Body!$BA$20),Body!$AY$6,IF(AND('Zdroj data'!O31&gt;=Body!$BB$20,'Zdroj data'!O31&lt;=Body!$BD$20),Body!$BB$6,IF(AND('Zdroj data'!O31&gt;=Body!$BE$20,'Zdroj data'!O31&lt;=Body!$BG$20),Body!$BE$6,IF(AND('Zdroj data'!O31&gt;=Body!$BH$20,'Zdroj data'!O31&lt;=Body!$BJ$20),Body!$BH$6,IF(AND('Zdroj data'!O31&gt;=Body!$BK$20,'Zdroj data'!O31&lt;=Body!$BM$20),Body!$BK$6,IF(AND('Zdroj data'!O31&gt;=Body!$BN$20,'Zdroj data'!O31&lt;=Body!$BP$20),Body!$BN$6,IF(AND('Zdroj data'!O31&gt;=Body!$BQ$20,'Zdroj data'!O31&lt;=Body!$BS$20),Body!$BQ$6,IF(AND('Zdroj data'!O31&gt;=Body!$BT$20,'Zdroj data'!O31&lt;=Body!BV48),Body!$BT$6,IF(AND('Zdroj data'!O31&gt;=Body!$BW$20,'Zdroj data'!O31&lt;=Body!$BY$20),Body!$BW$6,IF('Zdroj data'!O31&gt;=Body!$CB$20,Body!$BZ$6," "))))))))))," ")))</f>
        <v>2</v>
      </c>
      <c r="AI31" s="264">
        <f>IF(AND('Zdroj data'!$BG31="L",'Zdroj data'!$AM31=Body!$AX$18),IF(AND(Tabulka1[[#This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data'!$BG31="ST",'Zdroj data'!$AM31=Body!$AX$19),IF(AND(Tabulka1[[#This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data'!$BG31="T",'Zdroj data'!$AM31=Body!$AX$20),IF(AND(Tabulka1[[#This Row],[K2O_60]]&gt;=Body!$AY$20,'Zdroj data'!O31&lt;=Body!$BA$20),Body!$AY$6,IF(AND(Tabulka1[[#This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Row],[K2O_60]]&lt;=Body!BV48),Body!$BT$6,IF(AND(Tabulka1[[#This Row],[K2O_60]]&gt;=Body!$BW$20,Tabulka1[[#This Row],[K2O_60]]&lt;=Body!$BY$20),Body!$BW$6,IF(Tabulka1[[#This Row],[K2O_60]]&gt;=Body!$CB$20,Body!$BZ$6," "))))))))))," ")))</f>
        <v>1</v>
      </c>
      <c r="AJ31" s="265">
        <f t="shared" si="10"/>
        <v>16.000000000000014</v>
      </c>
      <c r="AK31" s="264">
        <f t="shared" si="3"/>
        <v>35.235302080417767</v>
      </c>
      <c r="AL31" s="264">
        <f t="shared" si="4"/>
        <v>33.204292099036948</v>
      </c>
      <c r="AM31" s="264">
        <f t="shared" si="5"/>
        <v>58.409378900005613</v>
      </c>
      <c r="AN31" s="264">
        <f t="shared" si="6"/>
        <v>61.498565314409582</v>
      </c>
      <c r="AO31" s="265">
        <f t="shared" si="11"/>
        <v>93.644680980423374</v>
      </c>
      <c r="AP31" s="265">
        <f t="shared" si="12"/>
        <v>94.702857413446537</v>
      </c>
      <c r="AQ31" s="318"/>
      <c r="AR31" s="338">
        <f t="shared" si="7"/>
        <v>204.34753839386991</v>
      </c>
      <c r="AS31" s="318"/>
      <c r="AT31" s="454"/>
      <c r="AU31" s="468"/>
      <c r="AV31" s="474"/>
      <c r="AW31" s="276" t="s">
        <v>975</v>
      </c>
      <c r="AX31" s="277" t="s">
        <v>873</v>
      </c>
      <c r="AY31" s="278" t="s">
        <v>893</v>
      </c>
      <c r="AZ31" s="279"/>
      <c r="BA31" s="280"/>
      <c r="BB31" s="281"/>
      <c r="BC31" s="279"/>
      <c r="BD31" s="280"/>
      <c r="BE31" s="281"/>
      <c r="BF31" s="282"/>
      <c r="BG31" s="280"/>
      <c r="BH31" s="283"/>
      <c r="BI31" s="279"/>
      <c r="BJ31" s="280"/>
      <c r="BK31" s="281"/>
      <c r="BL31" s="282"/>
      <c r="BM31" s="280"/>
      <c r="BN31" s="281"/>
      <c r="BO31" s="282"/>
      <c r="BP31" s="280"/>
      <c r="BQ31" s="281"/>
      <c r="BR31" s="279"/>
      <c r="BS31" s="280"/>
      <c r="BT31" s="281"/>
      <c r="BU31" s="279"/>
      <c r="BV31" s="280"/>
      <c r="BW31" s="281"/>
      <c r="BX31" s="279"/>
      <c r="BY31" s="280"/>
      <c r="BZ31" s="281" t="s">
        <v>895</v>
      </c>
      <c r="CA31" s="282"/>
      <c r="CB31" s="280"/>
    </row>
    <row r="32" spans="1:81" ht="15.75" customHeight="1" x14ac:dyDescent="0.35">
      <c r="A32" s="270">
        <v>1042</v>
      </c>
      <c r="B32" s="156" t="s">
        <v>528</v>
      </c>
      <c r="C32" s="250" t="str">
        <f>VLOOKUP(B32,'Zdroj hloubka okresy'!$A$2:$D$171,2,FALSE)</f>
        <v>Pribram</v>
      </c>
      <c r="D32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32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32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32" s="264">
        <f>IF(AND(Tabulka1[[#This Row],[hum_60]]&gt;AY41,Tabulka1[[#This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32" s="264">
        <f>IF(Tabulka1[[#This Row],[kv.ek.]]=Body!$AX$13,IF(AND('Zdroj data'!M32&gt;=Body!$AY$13,'Zdroj data'!M32&lt;=Body!$BA$13),Body!$AY$6,IF(AND('Zdroj data'!M32&gt;=Body!$BB$13,'Zdroj data'!M32&lt;=Body!$BD$13),Body!$BB$6,IF(AND('Zdroj data'!M32&gt;=Body!$BE$13,'Zdroj data'!M32&lt;=Body!$BG$13),Body!$BE$6,IF(AND('Zdroj data'!M32&gt;=Body!$BH$13,'Zdroj data'!M32&lt;=Body!$BJ$13),Body!$BH$6,IF(AND('Zdroj data'!M32&gt;=Body!$BK$13,'Zdroj data'!M32&lt;=Body!$BM$13),Body!$BK$6,IF(AND('Zdroj data'!M32&gt;=Body!$BN$13,'Zdroj data'!M32&lt;=Body!$BP$13),Body!$BN$6,IF(AND('Zdroj data'!M32&gt;=Body!$BQ$13,'Zdroj data'!M32&lt;=Body!$BS$13),Body!$BQ$6,IF(AND('Zdroj data'!M32&gt;=Body!$BT$13,'Zdroj data'!M32&lt;=Body!$BV$13),Body!$BT$6,IF(AND('Zdroj data'!M32&gt;=Body!$BW$13,'Zdroj data'!M32&lt;=Body!$BY$13),Body!$BW$6,IF('Zdroj data'!M32&gt;=Body!$CB$13,Body!$BZ$6,"")))))))))),IF(Tabulka1[[#This Row],[kv.ek.]]=Body!$AX$14,IF(AND('Zdroj data'!N32&gt;=Body!$AY$14,'Zdroj data'!N32&lt;=Body!$BA$14),Body!$AY$6,IF(AND('Zdroj data'!N32&gt;=Body!$BB$14,'Zdroj data'!N32&lt;=Body!$BD$14),Body!$BB$6,IF(AND('Zdroj data'!N32&gt;=Body!$BE$14,'Zdroj data'!N32&lt;=Body!$BG$14),Body!$BE$6,IF(AND('Zdroj data'!N32&gt;=Body!$BH$14,'Zdroj data'!N32&lt;=Body!$BJ$14),Body!$BH$6,IF(AND('Zdroj data'!N32&gt;=Body!$BK$14,'Zdroj data'!N32&lt;=Body!$BM$14),Body!$BK$6,IF(AND('Zdroj data'!N32&gt;=Body!$BN$14,'Zdroj data'!N32&lt;=Body!$BP$14),Body!$BN$6,IF(AND('Zdroj data'!N32&gt;=Body!$BQ$14,'Zdroj data'!N32&lt;=Body!$BS$14),Body!$BQ$6,IF(AND('Zdroj data'!N32&gt;=Body!$BT$14,'Zdroj data'!N32&lt;=Body!$BV$14),Body!$BT$6,IF(AND('Zdroj data'!N32&gt;=Body!$BW$14,'Zdroj data'!N32&lt;=Body!$BY$14),Body!$BW$6,IF('Zdroj data'!N32&gt;=Body!$CB$14,Body!$BZ$6,"")))))))))),""))</f>
        <v>3</v>
      </c>
      <c r="I32" s="264">
        <f>IF(Tabulka1[[#This Row],[kv.ek.]]=Body!$AX$13,IF(AND('Zdroj data'!N32&gt;=Body!$AY$13,'Zdroj data'!N32&lt;=Body!$BA$13),Body!$AY$6,IF(AND('Zdroj data'!N32&gt;=Body!$BB$13,'Zdroj data'!N32&lt;=Body!$BD$13),Body!$BB$6,IF(AND('Zdroj data'!N32&gt;=Body!$BE$13,'Zdroj data'!N32&lt;=Body!$BG$13),Body!$BE$6,IF(AND('Zdroj data'!N32&gt;=Body!$BH$13,'Zdroj data'!N32&lt;=Body!$BJ$13),Body!$BH$6,IF(AND('Zdroj data'!N32&gt;=Body!$BK$13,'Zdroj data'!N32&lt;=Body!$BM$13),Body!$BK$6,IF(AND('Zdroj data'!N32&gt;=Body!$BN$13,'Zdroj data'!N32&lt;=Body!$BP$13),Body!$BN$6,IF(AND('Zdroj data'!N32&gt;=Body!$BQ$13,'Zdroj data'!N32&lt;=Body!$BS$13),Body!$BQ$6,IF(AND('Zdroj data'!N32&gt;=Body!$BT$13,'Zdroj data'!N32&lt;=Body!$BV$13),Body!$BT$6,IF(AND('Zdroj data'!N32&gt;=Body!$BW$13,'Zdroj data'!N32&lt;=Body!$BY$13),Body!$BW$6,IF('Zdroj data'!N32&gt;=Body!$CB$13,Body!$BZ$6," ")))))))))),IF(Tabulka1[[#This Row],[kv.ek.]]=Body!$AX$14,IF(AND('Zdroj data'!O32&gt;=Body!$AY$14,'Zdroj data'!O32&lt;=Body!$BA$14),Body!$AY$6,IF(AND('Zdroj data'!O32&gt;=Body!$BB$14,'Zdroj data'!O32&lt;=Body!$BD$14),Body!$BB$6,IF(AND('Zdroj data'!O32&gt;=Body!$BE$14,'Zdroj data'!O32&lt;=Body!$BG$14),Body!$BE$6,IF(AND('Zdroj data'!O32&gt;=Body!$BH$14,'Zdroj data'!O32&lt;=Body!$BJ$14),Body!$BH$6,IF(AND('Zdroj data'!O32&gt;=Body!$BK$14,'Zdroj data'!O32&lt;=Body!$BM$14),Body!$BK$6,IF(AND('Zdroj data'!O32&gt;=Body!$BN$14,'Zdroj data'!O32&lt;=Body!$BP$14),Body!$BN$6,IF(AND('Zdroj data'!O32&gt;=Body!$BQ$14,'Zdroj data'!O32&lt;=Body!$BS$14),Body!$BQ$6,IF(AND('Zdroj data'!O32&gt;=Body!$BT$14,'Zdroj data'!O32&lt;=Body!$BV$14),Body!$BT$6,IF(AND('Zdroj data'!O32&gt;=Body!$BW$14,'Zdroj data'!O32&lt;=Body!$BY$14),Body!$BW$6,IF('Zdroj data'!O32&gt;=Body!$CB$14,Body!$BZ$6," "))))))))))," "))</f>
        <v>2</v>
      </c>
      <c r="J32" s="264">
        <f t="shared" si="8"/>
        <v>3</v>
      </c>
      <c r="K32" s="264">
        <f>IF(AG32=" ",AI32,AG32)</f>
        <v>1</v>
      </c>
      <c r="L32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32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32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32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32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32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32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32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32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32" s="264">
        <f>IF('Zdroj data'!BB32=Body!$AY$25,Body!$AY$22,IF('Zdroj data'!BB32=Body!$BB$25,Body!$BB$22,IF('Zdroj data'!BB32=Body!$BE$25,Body!$BE$22,IF('Zdroj data'!BB32=Body!$BH$25,Body!$BH$22,IF('Zdroj data'!BB32=Body!BK$25,Body!$BK$22,IF('Zdroj data'!BB32=Body!$BN$25,Body!$BN$22,IF('Zdroj data'!BB32=Body!$BQ$25,Body!$BQ$22,IF('Zdroj data'!BB32=Body!$BT$25,Body!$BT$22,IF('Zdroj data'!BB32=Body!$BW$25,Body!$BW$22,IF('Zdroj data'!BB32=Body!$BZ$25,Body!$BZ$22," "))))))))))</f>
        <v>5</v>
      </c>
      <c r="V32" s="264">
        <f>IF(AND('Zdroj data'!BO32&gt;Body!$AY$27,'Zdroj data'!BO32&lt;=Body!$BA$27),Body!$AY$22,IF(AND('Zdroj data'!BO32&gt;=Body!$BB$27,'Zdroj data'!BO32&lt;=Body!$BD$27),Body!$BB$22,IF(AND('Zdroj data'!BO32&gt;=Body!$BE$27,'Zdroj data'!BO32&lt;=Body!$BG$27),Body!$BE$22,IF(AND('Zdroj data'!BO32&gt;=Body!$BH$27,'Zdroj data'!BO32&lt;=Body!$BJ$27),Body!$BH$22,IF(AND('Zdroj data'!BO32&gt;=Body!$BK$27,'Zdroj data'!BO32&lt;=Body!$BM$27),Body!$BK$22,IF(AND('Zdroj data'!BO32&gt;=Body!$BN$27,'Zdroj data'!BO32&lt;=Body!$BP$27),Body!$BN$22,IF(AND('Zdroj data'!BO32&gt;=Body!$BQ$27,'Zdroj data'!BO32&lt;=Body!$BS$27),Body!$BQ$22,IF(AND('Zdroj data'!BO32&gt;=Body!$BT$27,'Zdroj data'!BO32&lt;=Body!$BV$27),Body!$BT$22,IF(AND('Zdroj data'!BO32&gt;=Body!$BW$27,'Zdroj data'!BO32&lt;=Body!$BY$27),Body!$BW$22,IF('Zdroj data'!BO32&gt;=Body!$CB$27,$BZ$22," "))))))))))</f>
        <v>6</v>
      </c>
      <c r="W32" s="264">
        <f>IF(AND('Zdroj data'!BP32&gt;Body!$AY$27,'Zdroj data'!BP32&lt;=Body!$BA$27),Body!$AY$22,IF(AND('Zdroj data'!BP32&gt;=Body!$BB$27,'Zdroj data'!BP32&lt;=Body!$BD$27),Body!$BB$22,IF(AND('Zdroj data'!BP32&gt;=Body!$BE$27,'Zdroj data'!BP32&lt;=Body!$BG$27),Body!$BE$22,IF(AND('Zdroj data'!BP32&gt;=Body!$BH$27,'Zdroj data'!BP32&lt;=Body!$BJ$27),Body!$BH$22,IF(AND('Zdroj data'!BP32&gt;=Body!$BK$27,'Zdroj data'!BP32&lt;=Body!$BM$27),Body!$BK$22,IF(AND('Zdroj data'!BP32&gt;=Body!$BN$27,'Zdroj data'!BP32&lt;=Body!$BP$27),Body!$BN$22,IF(AND('Zdroj data'!BP32&gt;=Body!$BQ$27,'Zdroj data'!BP32&lt;=Body!$BS$27),Body!$BQ$22,IF(AND('Zdroj data'!BP32&gt;=Body!$BT$27,'Zdroj data'!BP32&lt;=Body!$BV$27),Body!$BT$22,IF(AND('Zdroj data'!BP32&gt;=Body!$BW$27,'Zdroj data'!BP32&lt;=Body!$BY$27),Body!$BW$22,IF('Zdroj data'!BP32&gt;=Body!$CB$27,$BZ$22," "))))))))))</f>
        <v>5</v>
      </c>
      <c r="X32" s="264">
        <f>IF('Zdroj data'!BA32=Body!$BB$28,$BB$22,IF('Zdroj data'!BA32=Body!$BE$28,$BE$22,IF(OR('Zdroj data'!BA32=Body!$BK$28,'Zdroj data'!BA32=Body!$BL$28,'Zdroj data'!BA32=Body!$BM$28),$BK$22,IF(OR('Zdroj data'!BA32=Body!$BT$28,'Zdroj data'!BA32=Body!$BV$28),$BT$22,IF(OR('Zdroj data'!BA32=Body!$BW$28,'Zdroj data'!BA32=Body!$BY$28),$BW$22,IF('Zdroj data'!BA32=Body!$BZ$28,$BZ$22," "))))))</f>
        <v>3</v>
      </c>
      <c r="Y32" s="264">
        <f>IF('Zdroj data'!AZ32=Body!$BZ$29,Body!$BZ$22,IF(OR('Zdroj data'!AZ32=$BT$29,'Zdroj data'!AZ32=$BU$29,'Zdroj data'!AZ32=$BV$29),$BT$22,IF(OR('Zdroj data'!AZ32=$BK$29,'Zdroj data'!AZ32=$BM$29),$BK$22,IF(OR('Zdroj data'!AZ32=$BE$29,'Zdroj data'!AZ32=$BG$29),$BE$22,IF(OR('Zdroj data'!AZ32=$AY$29,'Zdroj data'!AZ32=$BA$29),$AY$22," ")))))</f>
        <v>3</v>
      </c>
      <c r="Z32" s="264">
        <f>IF(AND('Zdroj data'!BF32="T",(OR('Zdroj data'!AZ32=Body!$AW$45,'Zdroj data'!AZ32=Body!$AW$46,'Zdroj data'!AZ32=Body!$AW$47,'Zdroj data'!AZ32=Body!$AW$48))),Body!$AY$22,IF(AND('Zdroj data'!BF32="T",(OR('Zdroj data'!AZ32=$AW$49,'Zdroj data'!AZ32=$AW$50,'Zdroj data'!AZ32=$AW$51,'Zdroj data'!AZ32=$AW$52))),$BZ$22,IF(AND(OR('Zdroj data'!BF32="VT",'Zdroj data'!BF32="T",'Zdroj data'!BF32="CH"),(OR('Zdroj data'!AZ32=$AW$43,'Zdroj data'!AZ32=$AW$44,))),$BZ$22,IF(AND('Zdroj data'!BF32="CH",(OR('Zdroj data'!AZ32=$AW$49,'Zdroj data'!AZ32=$AW$50,'Zdroj data'!AZ32=$AW$51,'Zdroj data'!AZ32=$AW$52))),$AY$22,IF(AND('Zdroj data'!BF32="CH",(OR('Zdroj data'!AZ32=$AW$45,'Zdroj data'!AZ32=$AW$46,'Zdroj data'!AZ32=$AW$47,'Zdroj data'!AZ32=$AW$48))),$BZ$22," ")))))</f>
        <v>1</v>
      </c>
      <c r="AA32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32" s="264">
        <f>IF(Tabulka1[[#This Row],[kv.ek.]]=Body!$BK$35,Body!$BK$34,IF(Tabulka1[[#This Row],[kv.ek.]]=Body!$BZ$35,Body!$BZ$34," "))</f>
        <v>5</v>
      </c>
      <c r="AC32" s="264">
        <f>IF(AND('Zdroj data'!BF32="T",(OR('Zdroj data'!AZ32=Body!$AW$45,'Zdroj data'!AZ32=Body!$AW$46,'Zdroj data'!AZ32=Body!$AW$47,'Zdroj data'!AZ32=Body!$AW$48))),Body!$AY$22,IF(AND('Zdroj data'!BF32="T",(OR('Zdroj data'!AZ32=$AW$49,'Zdroj data'!AZ32=$AW$50,'Zdroj data'!AZ32=$AW$51,'Zdroj data'!AZ32=$AW$52))),$BZ$22," "))</f>
        <v>1</v>
      </c>
      <c r="AD32" s="264" t="str">
        <f>IF(AND(OR('Zdroj data'!BF32="VT",'Zdroj data'!BF32="T",'Zdroj data'!BF32="CH"),(OR('Zdroj data'!AZ32=$AW$43,'Zdroj data'!AZ32=$AW$44,))),$BZ$22," ")</f>
        <v xml:space="preserve"> </v>
      </c>
      <c r="AE32" s="264" t="str">
        <f>IF(AND('Zdroj data'!BF32="CH",(OR('Zdroj data'!AZ32=$AW$49,'Zdroj data'!AZ32=$AW$50,'Zdroj data'!AZ32=$AW$51,'Zdroj data'!AZ32=$AW$52))),$AY$22,IF(AND('Zdroj data'!BF32="CH",(OR('Zdroj data'!AZ32=$AW$45,'Zdroj data'!AZ32=$AW$46,'Zdroj data'!AZ32=$AW$47,'Zdroj data'!AZ32=$AW$48))),$BZ$22," "))</f>
        <v xml:space="preserve"> </v>
      </c>
      <c r="AF32" s="264">
        <f>IF(AND('Zdroj data'!BG32="L",'Zdroj data'!AM32=Body!$AX$15),IF(AND('Zdroj data'!O32&gt;=Body!$AY$15,'Zdroj data'!O32&lt;=Body!$BA$15),Body!AY$6,IF(AND('Zdroj data'!O32&gt;=Body!$BB$15,'Zdroj data'!O32&lt;=Body!$BD$15),Body!BB$6,IF(AND('Zdroj data'!O32&gt;=Body!$BE$15,'Zdroj data'!O32&lt;=Body!$BG$15),Body!BE$6,IF(AND('Zdroj data'!O32&gt;=Body!$BH$15,'Zdroj data'!O32&lt;=Body!$BJ$15),Body!BH$6,IF(AND('Zdroj data'!O32&gt;=Body!$BK$15,'Zdroj data'!O32&lt;=Body!$BM$15),Body!BK$6,IF(AND('Zdroj data'!O32&gt;=Body!$BN$15,'Zdroj data'!O32&lt;=Body!$BP$15),Body!$BN$6,IF(AND('Zdroj data'!O32&gt;=Body!$BQ$15,'Zdroj data'!O32&lt;=Body!$BS$15),Body!$BQ$6,IF(AND('Zdroj data'!O32&gt;=Body!$BT$15,'Zdroj data'!O32&lt;=Body!$BV$15),Body!BT$6,IF(AND('Zdroj data'!O32&gt;=Body!$BW$15,'Zdroj data'!O32&lt;=Body!$BY$15),Body!$BW$6,IF('Zdroj data'!O32&gt;=Body!$CB$15,Body!$BZ$6," ")))))))))),IF(AND('Zdroj data'!BG32="ST",'Zdroj data'!AM32=Body!$AX$16),IF(AND('Zdroj data'!O32&gt;=Body!$AY$16,'Zdroj data'!O32&lt;=Body!$BA$16),Body!$AY$6,IF(AND('Zdroj data'!O32&gt;=Body!$BB$16,'Zdroj data'!O32&lt;=Body!$BD$16),Body!$BB$6,IF(AND('Zdroj data'!O32&gt;=Body!$BE$16,'Zdroj data'!O32&lt;=Body!$BG$16),Body!$BE$6,IF(AND('Zdroj data'!O32&gt;=Body!$BH$16,'Zdroj data'!O32&lt;=Body!$BJ$16),Body!$BH$6,IF(AND('Zdroj data'!O32&gt;=Body!$BK$16,'Zdroj data'!O32&lt;=Body!$BM$16),Body!$BK$6,IF(AND('Zdroj data'!O32&gt;=Body!$BN$16,'Zdroj data'!O32&lt;=Body!$BP$16),Body!$BN$6,IF(AND('Zdroj data'!O32&gt;=Body!$BQ$16,'Zdroj data'!O32&lt;=Body!$BS$16),Body!$BQ$6,IF(AND('Zdroj data'!O32&gt;=Body!$BT$16,'Zdroj data'!O32&lt;=Body!$BV$16),Body!$BT$6,IF(AND('Zdroj data'!O32&gt;=Body!$BW$16,'Zdroj data'!O32&lt;=Body!$BY$16),Body!$BW$6,IF('Zdroj data'!O32&gt;=Body!$CB$16,Body!$BZ$6," ")))))))))),IF(AND('Zdroj data'!BG32="T",'Zdroj data'!AM32=Body!$AX$17),IF(AND('Zdroj data'!O32&gt;=Body!$AY$17,'Zdroj data'!O32&lt;=Body!$BA$17),Body!$AY$6,IF(AND('Zdroj data'!O32&gt;=Body!$BB$17,'Zdroj data'!O32&lt;=Body!$BD$17),Body!$BB$6,IF(AND('Zdroj data'!O32&gt;=Body!$BE$17,'Zdroj data'!O32&lt;=Body!$BG$17),Body!$BE$6,IF(AND('Zdroj data'!O32&gt;=Body!$BH$17,'Zdroj data'!O32&lt;=Body!BJ46),Body!$BH$6,IF(AND('Zdroj data'!O32&gt;=Body!$BK$17,'Zdroj data'!O32&lt;=Body!$BM$17),Body!$BK$6,IF(AND('Zdroj data'!O32&gt;=Body!$BN$17,'Zdroj data'!O32&lt;=Body!$BP$17),Body!$BN$6,IF(AND('Zdroj data'!O32&gt;=Body!$BQ$17,'Zdroj data'!O32&lt;=Body!$BS$17),Body!$BQ$6,IF(AND('Zdroj data'!O32&gt;=Body!$BT$17,'Zdroj data'!O32&lt;=Body!$BV$17),Body!$BT$6,IF(AND('Zdroj data'!O32&gt;=Body!$BW$17,'Zdroj data'!O32&lt;=Body!$BY$17),Body!$BW$6,IF('Zdroj data'!O32&gt;=Body!$CB$17,Body!$BZ$6," "))))))))))," ")))</f>
        <v>3</v>
      </c>
      <c r="AG32" s="264">
        <f>IF(AND('Zdroj data'!$BG32="L",'Zdroj data'!$AM32=Body!$AX$15),IF(AND(Tabulka1[[#This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data'!$BG32="ST",'Zdroj data'!$AM32=Body!$AX$16),IF(AND(Tabulka1[[#This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data'!$BG32="T",'Zdroj data'!$AM32=Body!$AX$17),IF(AND(Tabulka1[[#This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Row],[K2O_60]]&lt;=Body!BJ46),Body!$BH$6,IF(AND(Tabulka1[[#This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32" s="264" t="str">
        <f>IF(AND('Zdroj data'!BG32="L",'Zdroj data'!AM32=Body!$AX$18),IF(AND('Zdroj data'!O32&gt;=Body!$AY$18,'Zdroj data'!O32&lt;=Body!$BA$18),Body!AY$6,IF(AND('Zdroj data'!O32&gt;=Body!$BB$18,'Zdroj data'!O32&lt;=Body!$BD$18),Body!BB$6,IF(AND('Zdroj data'!O32&gt;=Body!$BE$18,'Zdroj data'!O32&lt;=Body!$BG$18),Body!BE$6,IF(AND('Zdroj data'!O32&gt;=Body!$BH$18,'Zdroj data'!O32&lt;=Body!$BJ$18),Body!BH$6,IF(AND('Zdroj data'!O32&gt;=Body!$BK$18,'Zdroj data'!O32&lt;=Body!$BM$18),Body!$BK$6,IF(AND('Zdroj data'!O32&gt;=Body!$BN$18,'Zdroj data'!O32&lt;=Body!$BP$18),Body!BN$6,IF(AND('Zdroj data'!O32&gt;=Body!$BQ$18,'Zdroj data'!O32&lt;=Body!$BS$18),Body!$BQ$6,IF(AND('Zdroj data'!O32&gt;=Body!$BT$18,'Zdroj data'!O32&lt;=Body!$BV$18),Body!$BT$6,IF(AND('Zdroj data'!O32&gt;=Body!$BW$18,'Zdroj data'!O32&lt;=Body!$BY$18),Body!$BW$6,IF('Zdroj data'!O32&gt;=Body!$CB$18,Body!$BZ$6," ")))))))))),IF(AND('Zdroj data'!BG32="ST",'Zdroj data'!AM32=Body!$AX$19),IF(AND('Zdroj data'!O32&gt;=Body!$AY$19,'Zdroj data'!O32&lt;=Body!$BA$19),Body!$AY$6,IF(AND('Zdroj data'!O32&gt;=Body!$BB$19,'Zdroj data'!O32&lt;=Body!$BD$19),Body!$BB$6,IF(AND('Zdroj data'!O32&gt;=Body!$BE$19,'Zdroj data'!O32&lt;=Body!$BG$19),Body!$BE$6,IF(AND('Zdroj data'!O32&gt;=Body!$BH$19,'Zdroj data'!O32&lt;=Body!$BJ$19),Body!$BH$6,IF(AND('Zdroj data'!O32&gt;=Body!$BK$19,'Zdroj data'!O32&lt;=Body!$BM$19),Body!$BK$6,IF(AND('Zdroj data'!O32&gt;=Body!$BN$19,'Zdroj data'!O32&lt;=Body!$BP$19),Body!$BN$6,IF(AND('Zdroj data'!O32&gt;=Body!$BQ$19,'Zdroj data'!O32&lt;=Body!$BS$19),Body!$BQ$6,IF(AND('Zdroj data'!O32&gt;=Body!$BT$19,'Zdroj data'!O36&lt;=Body!$BV$19),Body!$BT$6,IF(AND('Zdroj data'!O32&gt;=Body!$BW$19,'Zdroj data'!O32&lt;=Body!$BY$19),Body!$BW$6,IF('Zdroj data'!O32&gt;=Body!$CB$19,Body!$BZ$6," ")))))))))),IF(AND('Zdroj data'!BG32="T",'Zdroj data'!AM32=Body!$AX$20),IF(AND('Zdroj data'!O32&gt;=Body!$AY$20,'Zdroj data'!O32&lt;=Body!$BA$20),Body!$AY$6,IF(AND('Zdroj data'!O32&gt;=Body!$BB$20,'Zdroj data'!O32&lt;=Body!$BD$20),Body!$BB$6,IF(AND('Zdroj data'!O32&gt;=Body!$BE$20,'Zdroj data'!O32&lt;=Body!$BG$20),Body!$BE$6,IF(AND('Zdroj data'!O32&gt;=Body!$BH$20,'Zdroj data'!O32&lt;=Body!$BJ$20),Body!$BH$6,IF(AND('Zdroj data'!O32&gt;=Body!$BK$20,'Zdroj data'!O32&lt;=Body!$BM$20),Body!$BK$6,IF(AND('Zdroj data'!O32&gt;=Body!$BN$20,'Zdroj data'!O32&lt;=Body!$BP$20),Body!$BN$6,IF(AND('Zdroj data'!O32&gt;=Body!$BQ$20,'Zdroj data'!O32&lt;=Body!$BS$20),Body!$BQ$6,IF(AND('Zdroj data'!O32&gt;=Body!$BT$20,'Zdroj data'!O32&lt;=Body!BV49),Body!$BT$6,IF(AND('Zdroj data'!O32&gt;=Body!$BW$20,'Zdroj data'!O32&lt;=Body!$BY$20),Body!$BW$6,IF('Zdroj data'!O32&gt;=Body!$CB$20,Body!$BZ$6," "))))))))))," ")))</f>
        <v xml:space="preserve"> </v>
      </c>
      <c r="AI32" s="264" t="str">
        <f>IF(AND('Zdroj data'!$BG32="L",'Zdroj data'!$AM32=Body!$AX$18),IF(AND(Tabulka1[[#This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data'!$BG32="ST",'Zdroj data'!$AM32=Body!$AX$19),IF(AND(Tabulka1[[#This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data'!$BG32="T",'Zdroj data'!$AM32=Body!$AX$20),IF(AND(Tabulka1[[#This Row],[K2O_60]]&gt;=Body!$AY$20,'Zdroj data'!O32&lt;=Body!$BA$20),Body!$AY$6,IF(AND(Tabulka1[[#This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Row],[K2O_60]]&lt;=Body!BV49),Body!$BT$6,IF(AND(Tabulka1[[#This Row],[K2O_60]]&gt;=Body!$BW$20,Tabulka1[[#This Row],[K2O_60]]&lt;=Body!$BY$20),Body!$BW$6,IF(Tabulka1[[#This Row],[K2O_60]]&gt;=Body!$CB$20,Body!$BZ$6," "))))))))))," ")))</f>
        <v xml:space="preserve"> </v>
      </c>
      <c r="AJ32" s="265">
        <f t="shared" si="10"/>
        <v>14.666666666666682</v>
      </c>
      <c r="AK32" s="264">
        <f t="shared" si="3"/>
        <v>25.765282968536606</v>
      </c>
      <c r="AL32" s="264">
        <f t="shared" si="4"/>
        <v>23.43092042703578</v>
      </c>
      <c r="AM32" s="264">
        <f t="shared" si="5"/>
        <v>51.048656568184057</v>
      </c>
      <c r="AN32" s="264">
        <f t="shared" si="6"/>
        <v>49.504063360982066</v>
      </c>
      <c r="AO32" s="265">
        <f t="shared" si="11"/>
        <v>76.813939536720667</v>
      </c>
      <c r="AP32" s="265">
        <f t="shared" si="12"/>
        <v>72.934983788017846</v>
      </c>
      <c r="AQ32" s="318"/>
      <c r="AR32" s="338">
        <f t="shared" si="7"/>
        <v>164.4155899914052</v>
      </c>
      <c r="AS32" s="318"/>
      <c r="AT32" s="454"/>
      <c r="AU32" s="468"/>
      <c r="AV32" s="474"/>
      <c r="AW32" s="33" t="s">
        <v>871</v>
      </c>
      <c r="AX32" s="34" t="s">
        <v>872</v>
      </c>
      <c r="AY32" s="33">
        <v>8</v>
      </c>
      <c r="AZ32" s="70"/>
      <c r="BA32" s="41"/>
      <c r="BB32" s="42">
        <v>9</v>
      </c>
      <c r="BC32" s="70"/>
      <c r="BD32" s="41"/>
      <c r="BE32" s="42">
        <v>6</v>
      </c>
      <c r="BF32" s="38"/>
      <c r="BG32" s="41"/>
      <c r="BH32" s="33">
        <v>7</v>
      </c>
      <c r="BI32" s="70"/>
      <c r="BJ32" s="41"/>
      <c r="BK32" s="42">
        <v>5</v>
      </c>
      <c r="BL32" s="38"/>
      <c r="BM32" s="41"/>
      <c r="BN32" s="42">
        <v>4</v>
      </c>
      <c r="BO32" s="38"/>
      <c r="BP32" s="41"/>
      <c r="BQ32" s="42">
        <v>2</v>
      </c>
      <c r="BR32" s="70"/>
      <c r="BS32" s="41"/>
      <c r="BT32" s="42">
        <v>3</v>
      </c>
      <c r="BU32" s="70"/>
      <c r="BV32" s="41"/>
      <c r="BW32" s="42">
        <v>1</v>
      </c>
      <c r="BX32" s="70"/>
      <c r="BY32" s="41"/>
      <c r="BZ32" s="42">
        <v>0</v>
      </c>
      <c r="CA32" s="38"/>
      <c r="CB32" s="41"/>
      <c r="CC32" s="128"/>
    </row>
    <row r="33" spans="1:80" ht="15.75" customHeight="1" thickBot="1" x14ac:dyDescent="0.4">
      <c r="A33" s="270">
        <v>1045</v>
      </c>
      <c r="B33" s="156" t="s">
        <v>541</v>
      </c>
      <c r="C33" s="250" t="str">
        <f>VLOOKUP(B33,'Zdroj hloubka okresy'!$A$2:$D$171,2,FALSE)</f>
        <v>Pribram</v>
      </c>
      <c r="D33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33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33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33" s="264">
        <f>IF(AND(Tabulka1[[#This Row],[hum_60]]&gt;AY42,Tabulka1[[#This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33" s="264">
        <f>IF(Tabulka1[[#This Row],[kv.ek.]]=Body!$AX$13,IF(AND('Zdroj data'!M33&gt;=Body!$AY$13,'Zdroj data'!M33&lt;=Body!$BA$13),Body!$AY$6,IF(AND('Zdroj data'!M33&gt;=Body!$BB$13,'Zdroj data'!M33&lt;=Body!$BD$13),Body!$BB$6,IF(AND('Zdroj data'!M33&gt;=Body!$BE$13,'Zdroj data'!M33&lt;=Body!$BG$13),Body!$BE$6,IF(AND('Zdroj data'!M33&gt;=Body!$BH$13,'Zdroj data'!M33&lt;=Body!$BJ$13),Body!$BH$6,IF(AND('Zdroj data'!M33&gt;=Body!$BK$13,'Zdroj data'!M33&lt;=Body!$BM$13),Body!$BK$6,IF(AND('Zdroj data'!M33&gt;=Body!$BN$13,'Zdroj data'!M33&lt;=Body!$BP$13),Body!$BN$6,IF(AND('Zdroj data'!M33&gt;=Body!$BQ$13,'Zdroj data'!M33&lt;=Body!$BS$13),Body!$BQ$6,IF(AND('Zdroj data'!M33&gt;=Body!$BT$13,'Zdroj data'!M33&lt;=Body!$BV$13),Body!$BT$6,IF(AND('Zdroj data'!M33&gt;=Body!$BW$13,'Zdroj data'!M33&lt;=Body!$BY$13),Body!$BW$6,IF('Zdroj data'!M33&gt;=Body!$CB$13,Body!$BZ$6,"")))))))))),IF(Tabulka1[[#This Row],[kv.ek.]]=Body!$AX$14,IF(AND('Zdroj data'!N33&gt;=Body!$AY$14,'Zdroj data'!N33&lt;=Body!$BA$14),Body!$AY$6,IF(AND('Zdroj data'!N33&gt;=Body!$BB$14,'Zdroj data'!N33&lt;=Body!$BD$14),Body!$BB$6,IF(AND('Zdroj data'!N33&gt;=Body!$BE$14,'Zdroj data'!N33&lt;=Body!$BG$14),Body!$BE$6,IF(AND('Zdroj data'!N33&gt;=Body!$BH$14,'Zdroj data'!N33&lt;=Body!$BJ$14),Body!$BH$6,IF(AND('Zdroj data'!N33&gt;=Body!$BK$14,'Zdroj data'!N33&lt;=Body!$BM$14),Body!$BK$6,IF(AND('Zdroj data'!N33&gt;=Body!$BN$14,'Zdroj data'!N33&lt;=Body!$BP$14),Body!$BN$6,IF(AND('Zdroj data'!N33&gt;=Body!$BQ$14,'Zdroj data'!N33&lt;=Body!$BS$14),Body!$BQ$6,IF(AND('Zdroj data'!N33&gt;=Body!$BT$14,'Zdroj data'!N33&lt;=Body!$BV$14),Body!$BT$6,IF(AND('Zdroj data'!N33&gt;=Body!$BW$14,'Zdroj data'!N33&lt;=Body!$BY$14),Body!$BW$6,IF('Zdroj data'!N33&gt;=Body!$CB$14,Body!$BZ$6,"")))))))))),""))</f>
        <v>1</v>
      </c>
      <c r="I33" s="264">
        <f>IF(Tabulka1[[#This Row],[kv.ek.]]=Body!$AX$13,IF(AND('Zdroj data'!N33&gt;=Body!$AY$13,'Zdroj data'!N33&lt;=Body!$BA$13),Body!$AY$6,IF(AND('Zdroj data'!N33&gt;=Body!$BB$13,'Zdroj data'!N33&lt;=Body!$BD$13),Body!$BB$6,IF(AND('Zdroj data'!N33&gt;=Body!$BE$13,'Zdroj data'!N33&lt;=Body!$BG$13),Body!$BE$6,IF(AND('Zdroj data'!N33&gt;=Body!$BH$13,'Zdroj data'!N33&lt;=Body!$BJ$13),Body!$BH$6,IF(AND('Zdroj data'!N33&gt;=Body!$BK$13,'Zdroj data'!N33&lt;=Body!$BM$13),Body!$BK$6,IF(AND('Zdroj data'!N33&gt;=Body!$BN$13,'Zdroj data'!N33&lt;=Body!$BP$13),Body!$BN$6,IF(AND('Zdroj data'!N33&gt;=Body!$BQ$13,'Zdroj data'!N33&lt;=Body!$BS$13),Body!$BQ$6,IF(AND('Zdroj data'!N33&gt;=Body!$BT$13,'Zdroj data'!N33&lt;=Body!$BV$13),Body!$BT$6,IF(AND('Zdroj data'!N33&gt;=Body!$BW$13,'Zdroj data'!N33&lt;=Body!$BY$13),Body!$BW$6,IF('Zdroj data'!N33&gt;=Body!$CB$13,Body!$BZ$6," ")))))))))),IF(Tabulka1[[#This Row],[kv.ek.]]=Body!$AX$14,IF(AND('Zdroj data'!O33&gt;=Body!$AY$14,'Zdroj data'!O33&lt;=Body!$BA$14),Body!$AY$6,IF(AND('Zdroj data'!O33&gt;=Body!$BB$14,'Zdroj data'!O33&lt;=Body!$BD$14),Body!$BB$6,IF(AND('Zdroj data'!O33&gt;=Body!$BE$14,'Zdroj data'!O33&lt;=Body!$BG$14),Body!$BE$6,IF(AND('Zdroj data'!O33&gt;=Body!$BH$14,'Zdroj data'!O33&lt;=Body!$BJ$14),Body!$BH$6,IF(AND('Zdroj data'!O33&gt;=Body!$BK$14,'Zdroj data'!O33&lt;=Body!$BM$14),Body!$BK$6,IF(AND('Zdroj data'!O33&gt;=Body!$BN$14,'Zdroj data'!O33&lt;=Body!$BP$14),Body!$BN$6,IF(AND('Zdroj data'!O33&gt;=Body!$BQ$14,'Zdroj data'!O33&lt;=Body!$BS$14),Body!$BQ$6,IF(AND('Zdroj data'!O33&gt;=Body!$BT$14,'Zdroj data'!O33&lt;=Body!$BV$14),Body!$BT$6,IF(AND('Zdroj data'!O33&gt;=Body!$BW$14,'Zdroj data'!O33&lt;=Body!$BY$14),Body!$BW$6,IF('Zdroj data'!O33&gt;=Body!$CB$14,Body!$BZ$6," "))))))))))," "))</f>
        <v>4</v>
      </c>
      <c r="J33" s="264">
        <f t="shared" si="8"/>
        <v>1</v>
      </c>
      <c r="K33" s="264">
        <f t="shared" si="9"/>
        <v>1</v>
      </c>
      <c r="L33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33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33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33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33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33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33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33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33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33" s="264">
        <f>IF('Zdroj data'!BB33=Body!$AY$25,Body!$AY$22,IF('Zdroj data'!BB33=Body!$BB$25,Body!$BB$22,IF('Zdroj data'!BB33=Body!$BE$25,Body!$BE$22,IF('Zdroj data'!BB33=Body!$BH$25,Body!$BH$22,IF('Zdroj data'!BB33=Body!BK$25,Body!$BK$22,IF('Zdroj data'!BB33=Body!$BN$25,Body!$BN$22,IF('Zdroj data'!BB33=Body!$BQ$25,Body!$BQ$22,IF('Zdroj data'!BB33=Body!$BT$25,Body!$BT$22,IF('Zdroj data'!BB33=Body!$BW$25,Body!$BW$22,IF('Zdroj data'!BB33=Body!$BZ$25,Body!$BZ$22," "))))))))))</f>
        <v>5</v>
      </c>
      <c r="V33" s="264">
        <f>IF(AND('Zdroj data'!BO33&gt;Body!$AY$27,'Zdroj data'!BO33&lt;=Body!$BA$27),Body!$AY$22,IF(AND('Zdroj data'!BO33&gt;=Body!$BB$27,'Zdroj data'!BO33&lt;=Body!$BD$27),Body!$BB$22,IF(AND('Zdroj data'!BO33&gt;=Body!$BE$27,'Zdroj data'!BO33&lt;=Body!$BG$27),Body!$BE$22,IF(AND('Zdroj data'!BO33&gt;=Body!$BH$27,'Zdroj data'!BO33&lt;=Body!$BJ$27),Body!$BH$22,IF(AND('Zdroj data'!BO33&gt;=Body!$BK$27,'Zdroj data'!BO33&lt;=Body!$BM$27),Body!$BK$22,IF(AND('Zdroj data'!BO33&gt;=Body!$BN$27,'Zdroj data'!BO33&lt;=Body!$BP$27),Body!$BN$22,IF(AND('Zdroj data'!BO33&gt;=Body!$BQ$27,'Zdroj data'!BO33&lt;=Body!$BS$27),Body!$BQ$22,IF(AND('Zdroj data'!BO33&gt;=Body!$BT$27,'Zdroj data'!BO33&lt;=Body!$BV$27),Body!$BT$22,IF(AND('Zdroj data'!BO33&gt;=Body!$BW$27,'Zdroj data'!BO33&lt;=Body!$BY$27),Body!$BW$22,IF('Zdroj data'!BO33&gt;=Body!$CB$27,$BZ$22," "))))))))))</f>
        <v>6</v>
      </c>
      <c r="W33" s="264">
        <f>IF(AND('Zdroj data'!BP33&gt;Body!$AY$27,'Zdroj data'!BP33&lt;=Body!$BA$27),Body!$AY$22,IF(AND('Zdroj data'!BP33&gt;=Body!$BB$27,'Zdroj data'!BP33&lt;=Body!$BD$27),Body!$BB$22,IF(AND('Zdroj data'!BP33&gt;=Body!$BE$27,'Zdroj data'!BP33&lt;=Body!$BG$27),Body!$BE$22,IF(AND('Zdroj data'!BP33&gt;=Body!$BH$27,'Zdroj data'!BP33&lt;=Body!$BJ$27),Body!$BH$22,IF(AND('Zdroj data'!BP33&gt;=Body!$BK$27,'Zdroj data'!BP33&lt;=Body!$BM$27),Body!$BK$22,IF(AND('Zdroj data'!BP33&gt;=Body!$BN$27,'Zdroj data'!BP33&lt;=Body!$BP$27),Body!$BN$22,IF(AND('Zdroj data'!BP33&gt;=Body!$BQ$27,'Zdroj data'!BP33&lt;=Body!$BS$27),Body!$BQ$22,IF(AND('Zdroj data'!BP33&gt;=Body!$BT$27,'Zdroj data'!BP33&lt;=Body!$BV$27),Body!$BT$22,IF(AND('Zdroj data'!BP33&gt;=Body!$BW$27,'Zdroj data'!BP33&lt;=Body!$BY$27),Body!$BW$22,IF('Zdroj data'!BP33&gt;=Body!$CB$27,$BZ$22," "))))))))))</f>
        <v>7</v>
      </c>
      <c r="X33" s="264">
        <f>IF('Zdroj data'!BA33=Body!$BB$28,$BB$22,IF('Zdroj data'!BA33=Body!$BE$28,$BE$22,IF(OR('Zdroj data'!BA33=Body!$BK$28,'Zdroj data'!BA33=Body!$BL$28,'Zdroj data'!BA33=Body!$BM$28),$BK$22,IF(OR('Zdroj data'!BA33=Body!$BT$28,'Zdroj data'!BA33=Body!$BV$28),$BT$22,IF(OR('Zdroj data'!BA33=Body!$BW$28,'Zdroj data'!BA33=Body!$BY$28),$BW$22,IF('Zdroj data'!BA33=Body!$BZ$28,$BZ$22," "))))))</f>
        <v>9</v>
      </c>
      <c r="Y33" s="264">
        <f>IF('Zdroj data'!AZ33=Body!$BZ$29,Body!$BZ$22,IF(OR('Zdroj data'!AZ33=$BT$29,'Zdroj data'!AZ33=$BU$29,'Zdroj data'!AZ33=$BV$29),$BT$22,IF(OR('Zdroj data'!AZ33=$BK$29,'Zdroj data'!AZ33=$BM$29),$BK$22,IF(OR('Zdroj data'!AZ33=$BE$29,'Zdroj data'!AZ33=$BG$29),$BE$22,IF(OR('Zdroj data'!AZ33=$AY$29,'Zdroj data'!AZ33=$BA$29),$AY$22," ")))))</f>
        <v>10</v>
      </c>
      <c r="Z33" s="264">
        <f>IF(AND('Zdroj data'!BF33="T",(OR('Zdroj data'!AZ33=Body!$AW$45,'Zdroj data'!AZ33=Body!$AW$46,'Zdroj data'!AZ33=Body!$AW$47,'Zdroj data'!AZ33=Body!$AW$48))),Body!$AY$22,IF(AND('Zdroj data'!BF33="T",(OR('Zdroj data'!AZ33=$AW$49,'Zdroj data'!AZ33=$AW$50,'Zdroj data'!AZ33=$AW$51,'Zdroj data'!AZ33=$AW$52))),$BZ$22,IF(AND(OR('Zdroj data'!BF33="VT",'Zdroj data'!BF33="T",'Zdroj data'!BF33="CH"),(OR('Zdroj data'!AZ33=$AW$43,'Zdroj data'!AZ33=$AW$44,))),$BZ$22,IF(AND('Zdroj data'!BF33="CH",(OR('Zdroj data'!AZ33=$AW$49,'Zdroj data'!AZ33=$AW$50,'Zdroj data'!AZ33=$AW$51,'Zdroj data'!AZ33=$AW$52))),$AY$22,IF(AND('Zdroj data'!BF33="CH",(OR('Zdroj data'!AZ33=$AW$45,'Zdroj data'!AZ33=$AW$46,'Zdroj data'!AZ33=$AW$47,'Zdroj data'!AZ33=$AW$48))),$BZ$22," ")))))</f>
        <v>10</v>
      </c>
      <c r="AA33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33" s="264">
        <f>IF(Tabulka1[[#This Row],[kv.ek.]]=Body!$BK$35,Body!$BK$34,IF(Tabulka1[[#This Row],[kv.ek.]]=Body!$BZ$35,Body!$BZ$34," "))</f>
        <v>10</v>
      </c>
      <c r="AC33" s="264" t="str">
        <f>IF(AND('Zdroj data'!BF33="T",(OR('Zdroj data'!AZ33=Body!$AW$45,'Zdroj data'!AZ33=Body!$AW$46,'Zdroj data'!AZ33=Body!$AW$47,'Zdroj data'!AZ33=Body!$AW$48))),Body!$AY$22,IF(AND('Zdroj data'!BF33="T",(OR('Zdroj data'!AZ33=$AW$49,'Zdroj data'!AZ33=$AW$50,'Zdroj data'!AZ33=$AW$51,'Zdroj data'!AZ33=$AW$52))),$BZ$22," "))</f>
        <v xml:space="preserve"> </v>
      </c>
      <c r="AD33" s="264">
        <f>IF(AND(OR('Zdroj data'!BF33="VT",'Zdroj data'!BF33="T",'Zdroj data'!BF33="CH"),(OR('Zdroj data'!AZ33=$AW$43,'Zdroj data'!AZ33=$AW$44,))),$BZ$22," ")</f>
        <v>10</v>
      </c>
      <c r="AE33" s="264" t="str">
        <f>IF(AND('Zdroj data'!BF33="CH",(OR('Zdroj data'!AZ33=$AW$49,'Zdroj data'!AZ33=$AW$50,'Zdroj data'!AZ33=$AW$51,'Zdroj data'!AZ33=$AW$52))),$AY$22,IF(AND('Zdroj data'!BF33="CH",(OR('Zdroj data'!AZ33=$AW$45,'Zdroj data'!AZ33=$AW$46,'Zdroj data'!AZ33=$AW$47,'Zdroj data'!AZ33=$AW$48))),$BZ$22," "))</f>
        <v xml:space="preserve"> </v>
      </c>
      <c r="AF33" s="264" t="str">
        <f>IF(AND('Zdroj data'!BG33="L",'Zdroj data'!AM33=Body!$AX$15),IF(AND('Zdroj data'!O33&gt;=Body!$AY$15,'Zdroj data'!O33&lt;=Body!$BA$15),Body!AY$6,IF(AND('Zdroj data'!O33&gt;=Body!$BB$15,'Zdroj data'!O33&lt;=Body!$BD$15),Body!BB$6,IF(AND('Zdroj data'!O33&gt;=Body!$BE$15,'Zdroj data'!O33&lt;=Body!$BG$15),Body!BE$6,IF(AND('Zdroj data'!O33&gt;=Body!$BH$15,'Zdroj data'!O33&lt;=Body!$BJ$15),Body!BH$6,IF(AND('Zdroj data'!O33&gt;=Body!$BK$15,'Zdroj data'!O33&lt;=Body!$BM$15),Body!BK$6,IF(AND('Zdroj data'!O33&gt;=Body!$BN$15,'Zdroj data'!O33&lt;=Body!$BP$15),Body!$BN$6,IF(AND('Zdroj data'!O33&gt;=Body!$BQ$15,'Zdroj data'!O33&lt;=Body!$BS$15),Body!$BQ$6,IF(AND('Zdroj data'!O33&gt;=Body!$BT$15,'Zdroj data'!O33&lt;=Body!$BV$15),Body!BT$6,IF(AND('Zdroj data'!O33&gt;=Body!$BW$15,'Zdroj data'!O33&lt;=Body!$BY$15),Body!$BW$6,IF('Zdroj data'!O33&gt;=Body!$CB$15,Body!$BZ$6," ")))))))))),IF(AND('Zdroj data'!BG33="ST",'Zdroj data'!AM33=Body!$AX$16),IF(AND('Zdroj data'!O33&gt;=Body!$AY$16,'Zdroj data'!O33&lt;=Body!$BA$16),Body!$AY$6,IF(AND('Zdroj data'!O33&gt;=Body!$BB$16,'Zdroj data'!O33&lt;=Body!$BD$16),Body!$BB$6,IF(AND('Zdroj data'!O33&gt;=Body!$BE$16,'Zdroj data'!O33&lt;=Body!$BG$16),Body!$BE$6,IF(AND('Zdroj data'!O33&gt;=Body!$BH$16,'Zdroj data'!O33&lt;=Body!$BJ$16),Body!$BH$6,IF(AND('Zdroj data'!O33&gt;=Body!$BK$16,'Zdroj data'!O33&lt;=Body!$BM$16),Body!$BK$6,IF(AND('Zdroj data'!O33&gt;=Body!$BN$16,'Zdroj data'!O33&lt;=Body!$BP$16),Body!$BN$6,IF(AND('Zdroj data'!O33&gt;=Body!$BQ$16,'Zdroj data'!O33&lt;=Body!$BS$16),Body!$BQ$6,IF(AND('Zdroj data'!O33&gt;=Body!$BT$16,'Zdroj data'!O33&lt;=Body!$BV$16),Body!$BT$6,IF(AND('Zdroj data'!O33&gt;=Body!$BW$16,'Zdroj data'!O33&lt;=Body!$BY$16),Body!$BW$6,IF('Zdroj data'!O33&gt;=Body!$CB$16,Body!$BZ$6," ")))))))))),IF(AND('Zdroj data'!BG33="T",'Zdroj data'!AM33=Body!$AX$17),IF(AND('Zdroj data'!O33&gt;=Body!$AY$17,'Zdroj data'!O33&lt;=Body!$BA$17),Body!$AY$6,IF(AND('Zdroj data'!O33&gt;=Body!$BB$17,'Zdroj data'!O33&lt;=Body!$BD$17),Body!$BB$6,IF(AND('Zdroj data'!O33&gt;=Body!$BE$17,'Zdroj data'!O33&lt;=Body!$BG$17),Body!$BE$6,IF(AND('Zdroj data'!O33&gt;=Body!$BH$17,'Zdroj data'!O33&lt;=Body!BJ47),Body!$BH$6,IF(AND('Zdroj data'!O33&gt;=Body!$BK$17,'Zdroj data'!O33&lt;=Body!$BM$17),Body!$BK$6,IF(AND('Zdroj data'!O33&gt;=Body!$BN$17,'Zdroj data'!O33&lt;=Body!$BP$17),Body!$BN$6,IF(AND('Zdroj data'!O33&gt;=Body!$BQ$17,'Zdroj data'!O33&lt;=Body!$BS$17),Body!$BQ$6,IF(AND('Zdroj data'!O33&gt;=Body!$BT$17,'Zdroj data'!O33&lt;=Body!$BV$17),Body!$BT$6,IF(AND('Zdroj data'!O33&gt;=Body!$BW$17,'Zdroj data'!O33&lt;=Body!$BY$17),Body!$BW$6,IF('Zdroj data'!O33&gt;=Body!$CB$17,Body!$BZ$6," "))))))))))," ")))</f>
        <v xml:space="preserve"> </v>
      </c>
      <c r="AG33" s="264" t="str">
        <f>IF(AND('Zdroj data'!$BG33="L",'Zdroj data'!$AM33=Body!$AX$15),IF(AND(Tabulka1[[#This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data'!$BG33="ST",'Zdroj data'!$AM33=Body!$AX$16),IF(AND(Tabulka1[[#This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data'!$BG33="T",'Zdroj data'!$AM33=Body!$AX$17),IF(AND(Tabulka1[[#This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Row],[K2O_60]]&lt;=Body!BJ47),Body!$BH$6,IF(AND(Tabulka1[[#This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33" s="264">
        <f>IF(AND('Zdroj data'!BG33="L",'Zdroj data'!AM33=Body!$AX$18),IF(AND('Zdroj data'!O33&gt;=Body!$AY$18,'Zdroj data'!O33&lt;=Body!$BA$18),Body!AY$6,IF(AND('Zdroj data'!O33&gt;=Body!$BB$18,'Zdroj data'!O33&lt;=Body!$BD$18),Body!BB$6,IF(AND('Zdroj data'!O33&gt;=Body!$BE$18,'Zdroj data'!O33&lt;=Body!$BG$18),Body!BE$6,IF(AND('Zdroj data'!O33&gt;=Body!$BH$18,'Zdroj data'!O33&lt;=Body!$BJ$18),Body!BH$6,IF(AND('Zdroj data'!O33&gt;=Body!$BK$18,'Zdroj data'!O33&lt;=Body!$BM$18),Body!$BK$6,IF(AND('Zdroj data'!O33&gt;=Body!$BN$18,'Zdroj data'!O33&lt;=Body!$BP$18),Body!BN$6,IF(AND('Zdroj data'!O33&gt;=Body!$BQ$18,'Zdroj data'!O33&lt;=Body!$BS$18),Body!$BQ$6,IF(AND('Zdroj data'!O33&gt;=Body!$BT$18,'Zdroj data'!O33&lt;=Body!$BV$18),Body!$BT$6,IF(AND('Zdroj data'!O33&gt;=Body!$BW$18,'Zdroj data'!O33&lt;=Body!$BY$18),Body!$BW$6,IF('Zdroj data'!O33&gt;=Body!$CB$18,Body!$BZ$6," ")))))))))),IF(AND('Zdroj data'!BG33="ST",'Zdroj data'!AM33=Body!$AX$19),IF(AND('Zdroj data'!O33&gt;=Body!$AY$19,'Zdroj data'!O33&lt;=Body!$BA$19),Body!$AY$6,IF(AND('Zdroj data'!O33&gt;=Body!$BB$19,'Zdroj data'!O33&lt;=Body!$BD$19),Body!$BB$6,IF(AND('Zdroj data'!O33&gt;=Body!$BE$19,'Zdroj data'!O33&lt;=Body!$BG$19),Body!$BE$6,IF(AND('Zdroj data'!O33&gt;=Body!$BH$19,'Zdroj data'!O33&lt;=Body!$BJ$19),Body!$BH$6,IF(AND('Zdroj data'!O33&gt;=Body!$BK$19,'Zdroj data'!O33&lt;=Body!$BM$19),Body!$BK$6,IF(AND('Zdroj data'!O33&gt;=Body!$BN$19,'Zdroj data'!O33&lt;=Body!$BP$19),Body!$BN$6,IF(AND('Zdroj data'!O33&gt;=Body!$BQ$19,'Zdroj data'!O33&lt;=Body!$BS$19),Body!$BQ$6,IF(AND('Zdroj data'!O33&gt;=Body!$BT$19,'Zdroj data'!O37&lt;=Body!$BV$19),Body!$BT$6,IF(AND('Zdroj data'!O33&gt;=Body!$BW$19,'Zdroj data'!O33&lt;=Body!$BY$19),Body!$BW$6,IF('Zdroj data'!O33&gt;=Body!$CB$19,Body!$BZ$6," ")))))))))),IF(AND('Zdroj data'!BG33="T",'Zdroj data'!AM33=Body!$AX$20),IF(AND('Zdroj data'!O33&gt;=Body!$AY$20,'Zdroj data'!O33&lt;=Body!$BA$20),Body!$AY$6,IF(AND('Zdroj data'!O33&gt;=Body!$BB$20,'Zdroj data'!O33&lt;=Body!$BD$20),Body!$BB$6,IF(AND('Zdroj data'!O33&gt;=Body!$BE$20,'Zdroj data'!O33&lt;=Body!$BG$20),Body!$BE$6,IF(AND('Zdroj data'!O33&gt;=Body!$BH$20,'Zdroj data'!O33&lt;=Body!$BJ$20),Body!$BH$6,IF(AND('Zdroj data'!O33&gt;=Body!$BK$20,'Zdroj data'!O33&lt;=Body!$BM$20),Body!$BK$6,IF(AND('Zdroj data'!O33&gt;=Body!$BN$20,'Zdroj data'!O33&lt;=Body!$BP$20),Body!$BN$6,IF(AND('Zdroj data'!O33&gt;=Body!$BQ$20,'Zdroj data'!O33&lt;=Body!$BS$20),Body!$BQ$6,IF(AND('Zdroj data'!O33&gt;=Body!$BT$20,'Zdroj data'!O33&lt;=Body!BV50),Body!$BT$6,IF(AND('Zdroj data'!O33&gt;=Body!$BW$20,'Zdroj data'!O33&lt;=Body!$BY$20),Body!$BW$6,IF('Zdroj data'!O33&gt;=Body!$CB$20,Body!$BZ$6," "))))))))))," ")))</f>
        <v>1</v>
      </c>
      <c r="AI33" s="264">
        <f>IF(AND('Zdroj data'!$BG33="L",'Zdroj data'!$AM33=Body!$AX$18),IF(AND(Tabulka1[[#This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data'!$BG33="ST",'Zdroj data'!$AM33=Body!$AX$19),IF(AND(Tabulka1[[#This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data'!$BG33="T",'Zdroj data'!$AM33=Body!$AX$20),IF(AND(Tabulka1[[#This Row],[K2O_60]]&gt;=Body!$AY$20,'Zdroj data'!O33&lt;=Body!$BA$20),Body!$AY$6,IF(AND(Tabulka1[[#This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Row],[K2O_60]]&lt;=Body!BV50),Body!$BT$6,IF(AND(Tabulka1[[#This Row],[K2O_60]]&gt;=Body!$BW$20,Tabulka1[[#This Row],[K2O_60]]&lt;=Body!$BY$20),Body!$BW$6,IF(Tabulka1[[#This Row],[K2O_60]]&gt;=Body!$CB$20,Body!$BZ$6," "))))))))))," ")))</f>
        <v>1</v>
      </c>
      <c r="AJ33" s="265">
        <f t="shared" si="10"/>
        <v>6.6666666666666714</v>
      </c>
      <c r="AK33" s="264">
        <f t="shared" si="3"/>
        <v>24.73670521563859</v>
      </c>
      <c r="AL33" s="264">
        <f t="shared" si="4"/>
        <v>24.348544877717536</v>
      </c>
      <c r="AM33" s="264">
        <f t="shared" si="5"/>
        <v>62.131093016600801</v>
      </c>
      <c r="AN33" s="264">
        <f t="shared" si="6"/>
        <v>63.675686223802792</v>
      </c>
      <c r="AO33" s="265">
        <f t="shared" si="11"/>
        <v>86.867798232239394</v>
      </c>
      <c r="AP33" s="265">
        <f t="shared" si="12"/>
        <v>88.024231101520328</v>
      </c>
      <c r="AQ33" s="318"/>
      <c r="AR33" s="338">
        <f t="shared" si="7"/>
        <v>181.55869600042638</v>
      </c>
      <c r="AS33" s="318"/>
      <c r="AT33" s="455"/>
      <c r="AU33" s="469"/>
      <c r="AV33" s="475"/>
      <c r="AW33" s="53" t="s">
        <v>891</v>
      </c>
      <c r="AX33" s="54" t="s">
        <v>873</v>
      </c>
      <c r="AY33" s="53">
        <v>9</v>
      </c>
      <c r="AZ33" s="71"/>
      <c r="BA33" s="59"/>
      <c r="BB33" s="62">
        <v>8</v>
      </c>
      <c r="BC33" s="71"/>
      <c r="BD33" s="59"/>
      <c r="BE33" s="62">
        <v>7</v>
      </c>
      <c r="BF33" s="58"/>
      <c r="BG33" s="59"/>
      <c r="BH33" s="53">
        <v>6</v>
      </c>
      <c r="BI33" s="71"/>
      <c r="BJ33" s="59"/>
      <c r="BK33" s="62">
        <v>5</v>
      </c>
      <c r="BL33" s="58"/>
      <c r="BM33" s="59"/>
      <c r="BN33" s="62">
        <v>4</v>
      </c>
      <c r="BO33" s="58"/>
      <c r="BP33" s="59"/>
      <c r="BQ33" s="62">
        <v>3</v>
      </c>
      <c r="BR33" s="71"/>
      <c r="BS33" s="59"/>
      <c r="BT33" s="62">
        <v>2</v>
      </c>
      <c r="BU33" s="71"/>
      <c r="BV33" s="59"/>
      <c r="BW33" s="62">
        <v>1</v>
      </c>
      <c r="BX33" s="71"/>
      <c r="BY33" s="59"/>
      <c r="BZ33" s="62">
        <v>0</v>
      </c>
      <c r="CA33" s="58"/>
      <c r="CB33" s="59"/>
    </row>
    <row r="34" spans="1:80" ht="16" thickTop="1" x14ac:dyDescent="0.35">
      <c r="A34" s="270">
        <v>1048</v>
      </c>
      <c r="B34" s="156" t="s">
        <v>540</v>
      </c>
      <c r="C34" s="250" t="str">
        <f>VLOOKUP(B34,'Zdroj hloubka okresy'!$A$2:$D$171,2,FALSE)</f>
        <v>Pribram</v>
      </c>
      <c r="D34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8</v>
      </c>
      <c r="E34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34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8</v>
      </c>
      <c r="G34" s="264">
        <f>IF(AND(Tabulka1[[#This Row],[hum_60]]&gt;AY45,Tabulka1[[#This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5</v>
      </c>
      <c r="H34" s="264">
        <f>IF(Tabulka1[[#This Row],[kv.ek.]]=Body!$AX$13,IF(AND('Zdroj data'!M34&gt;=Body!$AY$13,'Zdroj data'!M34&lt;=Body!$BA$13),Body!$AY$6,IF(AND('Zdroj data'!M34&gt;=Body!$BB$13,'Zdroj data'!M34&lt;=Body!$BD$13),Body!$BB$6,IF(AND('Zdroj data'!M34&gt;=Body!$BE$13,'Zdroj data'!M34&lt;=Body!$BG$13),Body!$BE$6,IF(AND('Zdroj data'!M34&gt;=Body!$BH$13,'Zdroj data'!M34&lt;=Body!$BJ$13),Body!$BH$6,IF(AND('Zdroj data'!M34&gt;=Body!$BK$13,'Zdroj data'!M34&lt;=Body!$BM$13),Body!$BK$6,IF(AND('Zdroj data'!M34&gt;=Body!$BN$13,'Zdroj data'!M34&lt;=Body!$BP$13),Body!$BN$6,IF(AND('Zdroj data'!M34&gt;=Body!$BQ$13,'Zdroj data'!M34&lt;=Body!$BS$13),Body!$BQ$6,IF(AND('Zdroj data'!M34&gt;=Body!$BT$13,'Zdroj data'!M34&lt;=Body!$BV$13),Body!$BT$6,IF(AND('Zdroj data'!M34&gt;=Body!$BW$13,'Zdroj data'!M34&lt;=Body!$BY$13),Body!$BW$6,IF('Zdroj data'!M34&gt;=Body!$CB$13,Body!$BZ$6,"")))))))))),IF(Tabulka1[[#This Row],[kv.ek.]]=Body!$AX$14,IF(AND('Zdroj data'!N34&gt;=Body!$AY$14,'Zdroj data'!N34&lt;=Body!$BA$14),Body!$AY$6,IF(AND('Zdroj data'!N34&gt;=Body!$BB$14,'Zdroj data'!N34&lt;=Body!$BD$14),Body!$BB$6,IF(AND('Zdroj data'!N34&gt;=Body!$BE$14,'Zdroj data'!N34&lt;=Body!$BG$14),Body!$BE$6,IF(AND('Zdroj data'!N34&gt;=Body!$BH$14,'Zdroj data'!N34&lt;=Body!$BJ$14),Body!$BH$6,IF(AND('Zdroj data'!N34&gt;=Body!$BK$14,'Zdroj data'!N34&lt;=Body!$BM$14),Body!$BK$6,IF(AND('Zdroj data'!N34&gt;=Body!$BN$14,'Zdroj data'!N34&lt;=Body!$BP$14),Body!$BN$6,IF(AND('Zdroj data'!N34&gt;=Body!$BQ$14,'Zdroj data'!N34&lt;=Body!$BS$14),Body!$BQ$6,IF(AND('Zdroj data'!N34&gt;=Body!$BT$14,'Zdroj data'!N34&lt;=Body!$BV$14),Body!$BT$6,IF(AND('Zdroj data'!N34&gt;=Body!$BW$14,'Zdroj data'!N34&lt;=Body!$BY$14),Body!$BW$6,IF('Zdroj data'!N34&gt;=Body!$CB$14,Body!$BZ$6,"")))))))))),""))</f>
        <v>10</v>
      </c>
      <c r="I34" s="264">
        <f>IF(Tabulka1[[#This Row],[kv.ek.]]=Body!$AX$13,IF(AND('Zdroj data'!N34&gt;=Body!$AY$13,'Zdroj data'!N34&lt;=Body!$BA$13),Body!$AY$6,IF(AND('Zdroj data'!N34&gt;=Body!$BB$13,'Zdroj data'!N34&lt;=Body!$BD$13),Body!$BB$6,IF(AND('Zdroj data'!N34&gt;=Body!$BE$13,'Zdroj data'!N34&lt;=Body!$BG$13),Body!$BE$6,IF(AND('Zdroj data'!N34&gt;=Body!$BH$13,'Zdroj data'!N34&lt;=Body!$BJ$13),Body!$BH$6,IF(AND('Zdroj data'!N34&gt;=Body!$BK$13,'Zdroj data'!N34&lt;=Body!$BM$13),Body!$BK$6,IF(AND('Zdroj data'!N34&gt;=Body!$BN$13,'Zdroj data'!N34&lt;=Body!$BP$13),Body!$BN$6,IF(AND('Zdroj data'!N34&gt;=Body!$BQ$13,'Zdroj data'!N34&lt;=Body!$BS$13),Body!$BQ$6,IF(AND('Zdroj data'!N34&gt;=Body!$BT$13,'Zdroj data'!N34&lt;=Body!$BV$13),Body!$BT$6,IF(AND('Zdroj data'!N34&gt;=Body!$BW$13,'Zdroj data'!N34&lt;=Body!$BY$13),Body!$BW$6,IF('Zdroj data'!N34&gt;=Body!$CB$13,Body!$BZ$6," ")))))))))),IF(Tabulka1[[#This Row],[kv.ek.]]=Body!$AX$14,IF(AND('Zdroj data'!O34&gt;=Body!$AY$14,'Zdroj data'!O34&lt;=Body!$BA$14),Body!$AY$6,IF(AND('Zdroj data'!O34&gt;=Body!$BB$14,'Zdroj data'!O34&lt;=Body!$BD$14),Body!$BB$6,IF(AND('Zdroj data'!O34&gt;=Body!$BE$14,'Zdroj data'!O34&lt;=Body!$BG$14),Body!$BE$6,IF(AND('Zdroj data'!O34&gt;=Body!$BH$14,'Zdroj data'!O34&lt;=Body!$BJ$14),Body!$BH$6,IF(AND('Zdroj data'!O34&gt;=Body!$BK$14,'Zdroj data'!O34&lt;=Body!$BM$14),Body!$BK$6,IF(AND('Zdroj data'!O34&gt;=Body!$BN$14,'Zdroj data'!O34&lt;=Body!$BP$14),Body!$BN$6,IF(AND('Zdroj data'!O34&gt;=Body!$BQ$14,'Zdroj data'!O34&lt;=Body!$BS$14),Body!$BQ$6,IF(AND('Zdroj data'!O34&gt;=Body!$BT$14,'Zdroj data'!O34&lt;=Body!$BV$14),Body!$BT$6,IF(AND('Zdroj data'!O34&gt;=Body!$BW$14,'Zdroj data'!O34&lt;=Body!$BY$14),Body!$BW$6,IF('Zdroj data'!O34&gt;=Body!$CB$14,Body!$BZ$6," "))))))))))," "))</f>
        <v>6</v>
      </c>
      <c r="J34" s="264">
        <f t="shared" si="8"/>
        <v>3</v>
      </c>
      <c r="K34" s="264">
        <f t="shared" si="9"/>
        <v>2</v>
      </c>
      <c r="L34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6</v>
      </c>
      <c r="M34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7</v>
      </c>
      <c r="N34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34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34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34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34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34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9</v>
      </c>
      <c r="T34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34" s="264">
        <f>IF('Zdroj data'!BB34=Body!$AY$25,Body!$AY$22,IF('Zdroj data'!BB34=Body!$BB$25,Body!$BB$22,IF('Zdroj data'!BB34=Body!$BE$25,Body!$BE$22,IF('Zdroj data'!BB34=Body!$BH$25,Body!$BH$22,IF('Zdroj data'!BB34=Body!BK$25,Body!$BK$22,IF('Zdroj data'!BB34=Body!$BN$25,Body!$BN$22,IF('Zdroj data'!BB34=Body!$BQ$25,Body!$BQ$22,IF('Zdroj data'!BB34=Body!$BT$25,Body!$BT$22,IF('Zdroj data'!BB34=Body!$BW$25,Body!$BW$22,IF('Zdroj data'!BB34=Body!$BZ$25,Body!$BZ$22," "))))))))))</f>
        <v>5</v>
      </c>
      <c r="V34" s="264">
        <f>IF(AND('Zdroj data'!BO34&gt;Body!$AY$27,'Zdroj data'!BO34&lt;=Body!$BA$27),Body!$AY$22,IF(AND('Zdroj data'!BO34&gt;=Body!$BB$27,'Zdroj data'!BO34&lt;=Body!$BD$27),Body!$BB$22,IF(AND('Zdroj data'!BO34&gt;=Body!$BE$27,'Zdroj data'!BO34&lt;=Body!$BG$27),Body!$BE$22,IF(AND('Zdroj data'!BO34&gt;=Body!$BH$27,'Zdroj data'!BO34&lt;=Body!$BJ$27),Body!$BH$22,IF(AND('Zdroj data'!BO34&gt;=Body!$BK$27,'Zdroj data'!BO34&lt;=Body!$BM$27),Body!$BK$22,IF(AND('Zdroj data'!BO34&gt;=Body!$BN$27,'Zdroj data'!BO34&lt;=Body!$BP$27),Body!$BN$22,IF(AND('Zdroj data'!BO34&gt;=Body!$BQ$27,'Zdroj data'!BO34&lt;=Body!$BS$27),Body!$BQ$22,IF(AND('Zdroj data'!BO34&gt;=Body!$BT$27,'Zdroj data'!BO34&lt;=Body!$BV$27),Body!$BT$22,IF(AND('Zdroj data'!BO34&gt;=Body!$BW$27,'Zdroj data'!BO34&lt;=Body!$BY$27),Body!$BW$22,IF('Zdroj data'!BO34&gt;=Body!$CB$27,$BZ$22," "))))))))))</f>
        <v>6</v>
      </c>
      <c r="W34" s="264">
        <f>IF(AND('Zdroj data'!BP34&gt;Body!$AY$27,'Zdroj data'!BP34&lt;=Body!$BA$27),Body!$AY$22,IF(AND('Zdroj data'!BP34&gt;=Body!$BB$27,'Zdroj data'!BP34&lt;=Body!$BD$27),Body!$BB$22,IF(AND('Zdroj data'!BP34&gt;=Body!$BE$27,'Zdroj data'!BP34&lt;=Body!$BG$27),Body!$BE$22,IF(AND('Zdroj data'!BP34&gt;=Body!$BH$27,'Zdroj data'!BP34&lt;=Body!$BJ$27),Body!$BH$22,IF(AND('Zdroj data'!BP34&gt;=Body!$BK$27,'Zdroj data'!BP34&lt;=Body!$BM$27),Body!$BK$22,IF(AND('Zdroj data'!BP34&gt;=Body!$BN$27,'Zdroj data'!BP34&lt;=Body!$BP$27),Body!$BN$22,IF(AND('Zdroj data'!BP34&gt;=Body!$BQ$27,'Zdroj data'!BP34&lt;=Body!$BS$27),Body!$BQ$22,IF(AND('Zdroj data'!BP34&gt;=Body!$BT$27,'Zdroj data'!BP34&lt;=Body!$BV$27),Body!$BT$22,IF(AND('Zdroj data'!BP34&gt;=Body!$BW$27,'Zdroj data'!BP34&lt;=Body!$BY$27),Body!$BW$22,IF('Zdroj data'!BP34&gt;=Body!$CB$27,$BZ$22," "))))))))))</f>
        <v>6</v>
      </c>
      <c r="X34" s="264">
        <f>IF('Zdroj data'!BA34=Body!$BB$28,$BB$22,IF('Zdroj data'!BA34=Body!$BE$28,$BE$22,IF(OR('Zdroj data'!BA34=Body!$BK$28,'Zdroj data'!BA34=Body!$BL$28,'Zdroj data'!BA34=Body!$BM$28),$BK$22,IF(OR('Zdroj data'!BA34=Body!$BT$28,'Zdroj data'!BA34=Body!$BV$28),$BT$22,IF(OR('Zdroj data'!BA34=Body!$BW$28,'Zdroj data'!BA34=Body!$BY$28),$BW$22,IF('Zdroj data'!BA34=Body!$BZ$28,$BZ$22," "))))))</f>
        <v>10</v>
      </c>
      <c r="Y34" s="264">
        <f>IF('Zdroj data'!AZ34=Body!$BZ$29,Body!$BZ$22,IF(OR('Zdroj data'!AZ34=$BT$29,'Zdroj data'!AZ34=$BU$29,'Zdroj data'!AZ34=$BV$29),$BT$22,IF(OR('Zdroj data'!AZ34=$BK$29,'Zdroj data'!AZ34=$BM$29),$BK$22,IF(OR('Zdroj data'!AZ34=$BE$29,'Zdroj data'!AZ34=$BG$29),$BE$22,IF(OR('Zdroj data'!AZ34=$AY$29,'Zdroj data'!AZ34=$BA$29),$AY$22," ")))))</f>
        <v>10</v>
      </c>
      <c r="Z34" s="264">
        <f>IF(AND('Zdroj data'!BF34="T",(OR('Zdroj data'!AZ34=Body!$AW$45,'Zdroj data'!AZ34=Body!$AW$46,'Zdroj data'!AZ34=Body!$AW$47,'Zdroj data'!AZ34=Body!$AW$48))),Body!$AY$22,IF(AND('Zdroj data'!BF34="T",(OR('Zdroj data'!AZ34=$AW$49,'Zdroj data'!AZ34=$AW$50,'Zdroj data'!AZ34=$AW$51,'Zdroj data'!AZ34=$AW$52))),$BZ$22,IF(AND(OR('Zdroj data'!BF34="VT",'Zdroj data'!BF34="T",'Zdroj data'!BF34="CH"),(OR('Zdroj data'!AZ34=$AW$43,'Zdroj data'!AZ34=$AW$44,))),$BZ$22,IF(AND('Zdroj data'!BF34="CH",(OR('Zdroj data'!AZ34=$AW$49,'Zdroj data'!AZ34=$AW$50,'Zdroj data'!AZ34=$AW$51,'Zdroj data'!AZ34=$AW$52))),$AY$22,IF(AND('Zdroj data'!BF34="CH",(OR('Zdroj data'!AZ34=$AW$45,'Zdroj data'!AZ34=$AW$46,'Zdroj data'!AZ34=$AW$47,'Zdroj data'!AZ34=$AW$48))),$BZ$22," ")))))</f>
        <v>10</v>
      </c>
      <c r="AA34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</v>
      </c>
      <c r="AB34" s="264">
        <f>IF(Tabulka1[[#This Row],[kv.ek.]]=Body!$BK$35,Body!$BK$34,IF(Tabulka1[[#This Row],[kv.ek.]]=Body!$BZ$35,Body!$BZ$34," "))</f>
        <v>5</v>
      </c>
      <c r="AC34" s="264" t="str">
        <f>IF(AND('Zdroj data'!BF34="T",(OR('Zdroj data'!AZ34=Body!$AW$45,'Zdroj data'!AZ34=Body!$AW$46,'Zdroj data'!AZ34=Body!$AW$47,'Zdroj data'!AZ34=Body!$AW$48))),Body!$AY$22,IF(AND('Zdroj data'!BF34="T",(OR('Zdroj data'!AZ34=$AW$49,'Zdroj data'!AZ34=$AW$50,'Zdroj data'!AZ34=$AW$51,'Zdroj data'!AZ34=$AW$52))),$BZ$22," "))</f>
        <v xml:space="preserve"> </v>
      </c>
      <c r="AD34" s="264">
        <f>IF(AND(OR('Zdroj data'!BF34="VT",'Zdroj data'!BF34="T",'Zdroj data'!BF34="CH"),(OR('Zdroj data'!AZ34=$AW$43,'Zdroj data'!AZ34=$AW$44,))),$BZ$22," ")</f>
        <v>10</v>
      </c>
      <c r="AE34" s="264" t="str">
        <f>IF(AND('Zdroj data'!BF34="CH",(OR('Zdroj data'!AZ34=$AW$49,'Zdroj data'!AZ34=$AW$50,'Zdroj data'!AZ34=$AW$51,'Zdroj data'!AZ34=$AW$52))),$AY$22,IF(AND('Zdroj data'!BF34="CH",(OR('Zdroj data'!AZ34=$AW$45,'Zdroj data'!AZ34=$AW$46,'Zdroj data'!AZ34=$AW$47,'Zdroj data'!AZ34=$AW$48))),$BZ$22," "))</f>
        <v xml:space="preserve"> </v>
      </c>
      <c r="AF34" s="264">
        <f>IF(AND('Zdroj data'!BG34="L",'Zdroj data'!AM34=Body!$AX$15),IF(AND('Zdroj data'!O34&gt;=Body!$AY$15,'Zdroj data'!O34&lt;=Body!$BA$15),Body!AY$6,IF(AND('Zdroj data'!O34&gt;=Body!$BB$15,'Zdroj data'!O34&lt;=Body!$BD$15),Body!BB$6,IF(AND('Zdroj data'!O34&gt;=Body!$BE$15,'Zdroj data'!O34&lt;=Body!$BG$15),Body!BE$6,IF(AND('Zdroj data'!O34&gt;=Body!$BH$15,'Zdroj data'!O34&lt;=Body!$BJ$15),Body!BH$6,IF(AND('Zdroj data'!O34&gt;=Body!$BK$15,'Zdroj data'!O34&lt;=Body!$BM$15),Body!BK$6,IF(AND('Zdroj data'!O34&gt;=Body!$BN$15,'Zdroj data'!O34&lt;=Body!$BP$15),Body!$BN$6,IF(AND('Zdroj data'!O34&gt;=Body!$BQ$15,'Zdroj data'!O34&lt;=Body!$BS$15),Body!$BQ$6,IF(AND('Zdroj data'!O34&gt;=Body!$BT$15,'Zdroj data'!O34&lt;=Body!$BV$15),Body!BT$6,IF(AND('Zdroj data'!O34&gt;=Body!$BW$15,'Zdroj data'!O34&lt;=Body!$BY$15),Body!$BW$6,IF('Zdroj data'!O34&gt;=Body!$CB$15,Body!$BZ$6," ")))))))))),IF(AND('Zdroj data'!BG34="ST",'Zdroj data'!AM34=Body!$AX$16),IF(AND('Zdroj data'!O34&gt;=Body!$AY$16,'Zdroj data'!O34&lt;=Body!$BA$16),Body!$AY$6,IF(AND('Zdroj data'!O34&gt;=Body!$BB$16,'Zdroj data'!O34&lt;=Body!$BD$16),Body!$BB$6,IF(AND('Zdroj data'!O34&gt;=Body!$BE$16,'Zdroj data'!O34&lt;=Body!$BG$16),Body!$BE$6,IF(AND('Zdroj data'!O34&gt;=Body!$BH$16,'Zdroj data'!O34&lt;=Body!$BJ$16),Body!$BH$6,IF(AND('Zdroj data'!O34&gt;=Body!$BK$16,'Zdroj data'!O34&lt;=Body!$BM$16),Body!$BK$6,IF(AND('Zdroj data'!O34&gt;=Body!$BN$16,'Zdroj data'!O34&lt;=Body!$BP$16),Body!$BN$6,IF(AND('Zdroj data'!O34&gt;=Body!$BQ$16,'Zdroj data'!O34&lt;=Body!$BS$16),Body!$BQ$6,IF(AND('Zdroj data'!O34&gt;=Body!$BT$16,'Zdroj data'!O34&lt;=Body!$BV$16),Body!$BT$6,IF(AND('Zdroj data'!O34&gt;=Body!$BW$16,'Zdroj data'!O34&lt;=Body!$BY$16),Body!$BW$6,IF('Zdroj data'!O34&gt;=Body!$CB$16,Body!$BZ$6," ")))))))))),IF(AND('Zdroj data'!BG34="T",'Zdroj data'!AM34=Body!$AX$17),IF(AND('Zdroj data'!O34&gt;=Body!$AY$17,'Zdroj data'!O34&lt;=Body!$BA$17),Body!$AY$6,IF(AND('Zdroj data'!O34&gt;=Body!$BB$17,'Zdroj data'!O34&lt;=Body!$BD$17),Body!$BB$6,IF(AND('Zdroj data'!O34&gt;=Body!$BE$17,'Zdroj data'!O34&lt;=Body!$BG$17),Body!$BE$6,IF(AND('Zdroj data'!O34&gt;=Body!$BH$17,'Zdroj data'!O34&lt;=Body!BJ48),Body!$BH$6,IF(AND('Zdroj data'!O34&gt;=Body!$BK$17,'Zdroj data'!O34&lt;=Body!$BM$17),Body!$BK$6,IF(AND('Zdroj data'!O34&gt;=Body!$BN$17,'Zdroj data'!O34&lt;=Body!$BP$17),Body!$BN$6,IF(AND('Zdroj data'!O34&gt;=Body!$BQ$17,'Zdroj data'!O34&lt;=Body!$BS$17),Body!$BQ$6,IF(AND('Zdroj data'!O34&gt;=Body!$BT$17,'Zdroj data'!O34&lt;=Body!$BV$17),Body!$BT$6,IF(AND('Zdroj data'!O34&gt;=Body!$BW$17,'Zdroj data'!O34&lt;=Body!$BY$17),Body!$BW$6,IF('Zdroj data'!O34&gt;=Body!$CB$17,Body!$BZ$6," "))))))))))," ")))</f>
        <v>3</v>
      </c>
      <c r="AG34" s="264">
        <f>IF(AND('Zdroj data'!$BG34="L",'Zdroj data'!$AM34=Body!$AX$15),IF(AND(Tabulka1[[#This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data'!$BG34="ST",'Zdroj data'!$AM34=Body!$AX$16),IF(AND(Tabulka1[[#This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data'!$BG34="T",'Zdroj data'!$AM34=Body!$AX$17),IF(AND(Tabulka1[[#This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Row],[K2O_60]]&lt;=Body!BJ48),Body!$BH$6,IF(AND(Tabulka1[[#This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2</v>
      </c>
      <c r="AH34" s="264" t="str">
        <f>IF(AND('Zdroj data'!BG34="L",'Zdroj data'!AM34=Body!$AX$18),IF(AND('Zdroj data'!O34&gt;=Body!$AY$18,'Zdroj data'!O34&lt;=Body!$BA$18),Body!AY$6,IF(AND('Zdroj data'!O34&gt;=Body!$BB$18,'Zdroj data'!O34&lt;=Body!$BD$18),Body!BB$6,IF(AND('Zdroj data'!O34&gt;=Body!$BE$18,'Zdroj data'!O34&lt;=Body!$BG$18),Body!BE$6,IF(AND('Zdroj data'!O34&gt;=Body!$BH$18,'Zdroj data'!O34&lt;=Body!$BJ$18),Body!BH$6,IF(AND('Zdroj data'!O34&gt;=Body!$BK$18,'Zdroj data'!O34&lt;=Body!$BM$18),Body!$BK$6,IF(AND('Zdroj data'!O34&gt;=Body!$BN$18,'Zdroj data'!O34&lt;=Body!$BP$18),Body!BN$6,IF(AND('Zdroj data'!O34&gt;=Body!$BQ$18,'Zdroj data'!O34&lt;=Body!$BS$18),Body!$BQ$6,IF(AND('Zdroj data'!O34&gt;=Body!$BT$18,'Zdroj data'!O34&lt;=Body!$BV$18),Body!$BT$6,IF(AND('Zdroj data'!O34&gt;=Body!$BW$18,'Zdroj data'!O34&lt;=Body!$BY$18),Body!$BW$6,IF('Zdroj data'!O34&gt;=Body!$CB$18,Body!$BZ$6," ")))))))))),IF(AND('Zdroj data'!BG34="ST",'Zdroj data'!AM34=Body!$AX$19),IF(AND('Zdroj data'!O34&gt;=Body!$AY$19,'Zdroj data'!O34&lt;=Body!$BA$19),Body!$AY$6,IF(AND('Zdroj data'!O34&gt;=Body!$BB$19,'Zdroj data'!O34&lt;=Body!$BD$19),Body!$BB$6,IF(AND('Zdroj data'!O34&gt;=Body!$BE$19,'Zdroj data'!O34&lt;=Body!$BG$19),Body!$BE$6,IF(AND('Zdroj data'!O34&gt;=Body!$BH$19,'Zdroj data'!O34&lt;=Body!$BJ$19),Body!$BH$6,IF(AND('Zdroj data'!O34&gt;=Body!$BK$19,'Zdroj data'!O34&lt;=Body!$BM$19),Body!$BK$6,IF(AND('Zdroj data'!O34&gt;=Body!$BN$19,'Zdroj data'!O34&lt;=Body!$BP$19),Body!$BN$6,IF(AND('Zdroj data'!O34&gt;=Body!$BQ$19,'Zdroj data'!O34&lt;=Body!$BS$19),Body!$BQ$6,IF(AND('Zdroj data'!O34&gt;=Body!$BT$19,'Zdroj data'!O38&lt;=Body!$BV$19),Body!$BT$6,IF(AND('Zdroj data'!O34&gt;=Body!$BW$19,'Zdroj data'!O34&lt;=Body!$BY$19),Body!$BW$6,IF('Zdroj data'!O34&gt;=Body!$CB$19,Body!$BZ$6," ")))))))))),IF(AND('Zdroj data'!BG34="T",'Zdroj data'!AM34=Body!$AX$20),IF(AND('Zdroj data'!O34&gt;=Body!$AY$20,'Zdroj data'!O34&lt;=Body!$BA$20),Body!$AY$6,IF(AND('Zdroj data'!O34&gt;=Body!$BB$20,'Zdroj data'!O34&lt;=Body!$BD$20),Body!$BB$6,IF(AND('Zdroj data'!O34&gt;=Body!$BE$20,'Zdroj data'!O34&lt;=Body!$BG$20),Body!$BE$6,IF(AND('Zdroj data'!O34&gt;=Body!$BH$20,'Zdroj data'!O34&lt;=Body!$BJ$20),Body!$BH$6,IF(AND('Zdroj data'!O34&gt;=Body!$BK$20,'Zdroj data'!O34&lt;=Body!$BM$20),Body!$BK$6,IF(AND('Zdroj data'!O34&gt;=Body!$BN$20,'Zdroj data'!O34&lt;=Body!$BP$20),Body!$BN$6,IF(AND('Zdroj data'!O34&gt;=Body!$BQ$20,'Zdroj data'!O34&lt;=Body!$BS$20),Body!$BQ$6,IF(AND('Zdroj data'!O34&gt;=Body!$BT$20,'Zdroj data'!O34&lt;=Body!BV51),Body!$BT$6,IF(AND('Zdroj data'!O34&gt;=Body!$BW$20,'Zdroj data'!O34&lt;=Body!$BY$20),Body!$BW$6,IF('Zdroj data'!O34&gt;=Body!$CB$20,Body!$BZ$6," "))))))))))," ")))</f>
        <v xml:space="preserve"> </v>
      </c>
      <c r="AI34" s="264" t="str">
        <f>IF(AND('Zdroj data'!$BG34="L",'Zdroj data'!$AM34=Body!$AX$18),IF(AND(Tabulka1[[#This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data'!$BG34="ST",'Zdroj data'!$AM34=Body!$AX$19),IF(AND(Tabulka1[[#This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data'!$BG34="T",'Zdroj data'!$AM34=Body!$AX$20),IF(AND(Tabulka1[[#This Row],[K2O_60]]&gt;=Body!$AY$20,'Zdroj data'!O34&lt;=Body!$BA$20),Body!$AY$6,IF(AND(Tabulka1[[#This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Row],[K2O_60]]&lt;=Body!BV51),Body!$BT$6,IF(AND(Tabulka1[[#This Row],[K2O_60]]&gt;=Body!$BW$20,Tabulka1[[#This Row],[K2O_60]]&lt;=Body!$BY$20),Body!$BW$6,IF(Tabulka1[[#This Row],[K2O_60]]&gt;=Body!$CB$20,Body!$BZ$6," "))))))))))," ")))</f>
        <v xml:space="preserve"> </v>
      </c>
      <c r="AJ34" s="265">
        <f t="shared" si="10"/>
        <v>2.6666666666666687</v>
      </c>
      <c r="AK34" s="264">
        <f t="shared" si="3"/>
        <v>38.420576288607357</v>
      </c>
      <c r="AL34" s="264">
        <f t="shared" si="4"/>
        <v>32.882238221643966</v>
      </c>
      <c r="AM34" s="264">
        <f t="shared" si="5"/>
        <v>70.697397465828928</v>
      </c>
      <c r="AN34" s="264">
        <f t="shared" si="6"/>
        <v>62.870149551676953</v>
      </c>
      <c r="AO34" s="265">
        <f t="shared" si="11"/>
        <v>109.11797375443629</v>
      </c>
      <c r="AP34" s="265">
        <f t="shared" si="12"/>
        <v>95.752387773320919</v>
      </c>
      <c r="AQ34" s="318"/>
      <c r="AR34" s="338">
        <f t="shared" si="7"/>
        <v>207.53702819442387</v>
      </c>
      <c r="AS34" s="318"/>
      <c r="AT34" s="298" t="s">
        <v>1008</v>
      </c>
      <c r="AU34" s="298" t="s">
        <v>983</v>
      </c>
      <c r="AV34" s="306" t="s">
        <v>914</v>
      </c>
      <c r="AW34" s="299" t="s">
        <v>981</v>
      </c>
      <c r="AX34" s="307"/>
      <c r="AY34" s="457">
        <v>1</v>
      </c>
      <c r="AZ34" s="457"/>
      <c r="BA34" s="458"/>
      <c r="BB34" s="456">
        <v>2</v>
      </c>
      <c r="BC34" s="457"/>
      <c r="BD34" s="458"/>
      <c r="BE34" s="456">
        <v>3</v>
      </c>
      <c r="BF34" s="457"/>
      <c r="BG34" s="458"/>
      <c r="BH34" s="456">
        <v>4</v>
      </c>
      <c r="BI34" s="457"/>
      <c r="BJ34" s="458"/>
      <c r="BK34" s="456">
        <v>5</v>
      </c>
      <c r="BL34" s="457"/>
      <c r="BM34" s="458"/>
      <c r="BN34" s="456">
        <v>6</v>
      </c>
      <c r="BO34" s="457"/>
      <c r="BP34" s="458"/>
      <c r="BQ34" s="456">
        <v>7</v>
      </c>
      <c r="BR34" s="457"/>
      <c r="BS34" s="458"/>
      <c r="BT34" s="456">
        <v>8</v>
      </c>
      <c r="BU34" s="457"/>
      <c r="BV34" s="458"/>
      <c r="BW34" s="456">
        <v>9</v>
      </c>
      <c r="BX34" s="457"/>
      <c r="BY34" s="458"/>
      <c r="BZ34" s="456">
        <v>10</v>
      </c>
      <c r="CA34" s="457"/>
      <c r="CB34" s="458"/>
    </row>
    <row r="35" spans="1:80" ht="15.5" x14ac:dyDescent="0.35">
      <c r="A35" s="270">
        <v>1051</v>
      </c>
      <c r="B35" s="156" t="s">
        <v>542</v>
      </c>
      <c r="C35" s="250" t="str">
        <f>VLOOKUP(B35,'Zdroj hloubka okresy'!$A$2:$D$171,2,FALSE)</f>
        <v>Pribram</v>
      </c>
      <c r="D35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35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35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35" s="264">
        <f>IF(AND(Tabulka1[[#This Row],[hum_60]]&gt;AY46,Tabulka1[[#This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35" s="264">
        <f>IF(Tabulka1[[#This Row],[kv.ek.]]=Body!$AX$13,IF(AND('Zdroj data'!M35&gt;=Body!$AY$13,'Zdroj data'!M35&lt;=Body!$BA$13),Body!$AY$6,IF(AND('Zdroj data'!M35&gt;=Body!$BB$13,'Zdroj data'!M35&lt;=Body!$BD$13),Body!$BB$6,IF(AND('Zdroj data'!M35&gt;=Body!$BE$13,'Zdroj data'!M35&lt;=Body!$BG$13),Body!$BE$6,IF(AND('Zdroj data'!M35&gt;=Body!$BH$13,'Zdroj data'!M35&lt;=Body!$BJ$13),Body!$BH$6,IF(AND('Zdroj data'!M35&gt;=Body!$BK$13,'Zdroj data'!M35&lt;=Body!$BM$13),Body!$BK$6,IF(AND('Zdroj data'!M35&gt;=Body!$BN$13,'Zdroj data'!M35&lt;=Body!$BP$13),Body!$BN$6,IF(AND('Zdroj data'!M35&gt;=Body!$BQ$13,'Zdroj data'!M35&lt;=Body!$BS$13),Body!$BQ$6,IF(AND('Zdroj data'!M35&gt;=Body!$BT$13,'Zdroj data'!M35&lt;=Body!$BV$13),Body!$BT$6,IF(AND('Zdroj data'!M35&gt;=Body!$BW$13,'Zdroj data'!M35&lt;=Body!$BY$13),Body!$BW$6,IF('Zdroj data'!M35&gt;=Body!$CB$13,Body!$BZ$6,"")))))))))),IF(Tabulka1[[#This Row],[kv.ek.]]=Body!$AX$14,IF(AND('Zdroj data'!N35&gt;=Body!$AY$14,'Zdroj data'!N35&lt;=Body!$BA$14),Body!$AY$6,IF(AND('Zdroj data'!N35&gt;=Body!$BB$14,'Zdroj data'!N35&lt;=Body!$BD$14),Body!$BB$6,IF(AND('Zdroj data'!N35&gt;=Body!$BE$14,'Zdroj data'!N35&lt;=Body!$BG$14),Body!$BE$6,IF(AND('Zdroj data'!N35&gt;=Body!$BH$14,'Zdroj data'!N35&lt;=Body!$BJ$14),Body!$BH$6,IF(AND('Zdroj data'!N35&gt;=Body!$BK$14,'Zdroj data'!N35&lt;=Body!$BM$14),Body!$BK$6,IF(AND('Zdroj data'!N35&gt;=Body!$BN$14,'Zdroj data'!N35&lt;=Body!$BP$14),Body!$BN$6,IF(AND('Zdroj data'!N35&gt;=Body!$BQ$14,'Zdroj data'!N35&lt;=Body!$BS$14),Body!$BQ$6,IF(AND('Zdroj data'!N35&gt;=Body!$BT$14,'Zdroj data'!N35&lt;=Body!$BV$14),Body!$BT$6,IF(AND('Zdroj data'!N35&gt;=Body!$BW$14,'Zdroj data'!N35&lt;=Body!$BY$14),Body!$BW$6,IF('Zdroj data'!N35&gt;=Body!$CB$14,Body!$BZ$6,"")))))))))),""))</f>
        <v>5</v>
      </c>
      <c r="I35" s="264">
        <f>IF(Tabulka1[[#This Row],[kv.ek.]]=Body!$AX$13,IF(AND('Zdroj data'!N35&gt;=Body!$AY$13,'Zdroj data'!N35&lt;=Body!$BA$13),Body!$AY$6,IF(AND('Zdroj data'!N35&gt;=Body!$BB$13,'Zdroj data'!N35&lt;=Body!$BD$13),Body!$BB$6,IF(AND('Zdroj data'!N35&gt;=Body!$BE$13,'Zdroj data'!N35&lt;=Body!$BG$13),Body!$BE$6,IF(AND('Zdroj data'!N35&gt;=Body!$BH$13,'Zdroj data'!N35&lt;=Body!$BJ$13),Body!$BH$6,IF(AND('Zdroj data'!N35&gt;=Body!$BK$13,'Zdroj data'!N35&lt;=Body!$BM$13),Body!$BK$6,IF(AND('Zdroj data'!N35&gt;=Body!$BN$13,'Zdroj data'!N35&lt;=Body!$BP$13),Body!$BN$6,IF(AND('Zdroj data'!N35&gt;=Body!$BQ$13,'Zdroj data'!N35&lt;=Body!$BS$13),Body!$BQ$6,IF(AND('Zdroj data'!N35&gt;=Body!$BT$13,'Zdroj data'!N35&lt;=Body!$BV$13),Body!$BT$6,IF(AND('Zdroj data'!N35&gt;=Body!$BW$13,'Zdroj data'!N35&lt;=Body!$BY$13),Body!$BW$6,IF('Zdroj data'!N35&gt;=Body!$CB$13,Body!$BZ$6," ")))))))))),IF(Tabulka1[[#This Row],[kv.ek.]]=Body!$AX$14,IF(AND('Zdroj data'!O35&gt;=Body!$AY$14,'Zdroj data'!O35&lt;=Body!$BA$14),Body!$AY$6,IF(AND('Zdroj data'!O35&gt;=Body!$BB$14,'Zdroj data'!O35&lt;=Body!$BD$14),Body!$BB$6,IF(AND('Zdroj data'!O35&gt;=Body!$BE$14,'Zdroj data'!O35&lt;=Body!$BG$14),Body!$BE$6,IF(AND('Zdroj data'!O35&gt;=Body!$BH$14,'Zdroj data'!O35&lt;=Body!$BJ$14),Body!$BH$6,IF(AND('Zdroj data'!O35&gt;=Body!$BK$14,'Zdroj data'!O35&lt;=Body!$BM$14),Body!$BK$6,IF(AND('Zdroj data'!O35&gt;=Body!$BN$14,'Zdroj data'!O35&lt;=Body!$BP$14),Body!$BN$6,IF(AND('Zdroj data'!O35&gt;=Body!$BQ$14,'Zdroj data'!O35&lt;=Body!$BS$14),Body!$BQ$6,IF(AND('Zdroj data'!O35&gt;=Body!$BT$14,'Zdroj data'!O35&lt;=Body!$BV$14),Body!$BT$6,IF(AND('Zdroj data'!O35&gt;=Body!$BW$14,'Zdroj data'!O35&lt;=Body!$BY$14),Body!$BW$6,IF('Zdroj data'!O35&gt;=Body!$CB$14,Body!$BZ$6," "))))))))))," "))</f>
        <v>2</v>
      </c>
      <c r="J35" s="264">
        <f t="shared" si="8"/>
        <v>10</v>
      </c>
      <c r="K35" s="264">
        <f t="shared" si="9"/>
        <v>8</v>
      </c>
      <c r="L35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35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35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5</v>
      </c>
      <c r="O35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5</v>
      </c>
      <c r="P35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35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35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35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35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35" s="264">
        <f>IF('Zdroj data'!BB35=Body!$AY$25,Body!$AY$22,IF('Zdroj data'!BB35=Body!$BB$25,Body!$BB$22,IF('Zdroj data'!BB35=Body!$BE$25,Body!$BE$22,IF('Zdroj data'!BB35=Body!$BH$25,Body!$BH$22,IF('Zdroj data'!BB35=Body!BK$25,Body!$BK$22,IF('Zdroj data'!BB35=Body!$BN$25,Body!$BN$22,IF('Zdroj data'!BB35=Body!$BQ$25,Body!$BQ$22,IF('Zdroj data'!BB35=Body!$BT$25,Body!$BT$22,IF('Zdroj data'!BB35=Body!$BW$25,Body!$BW$22,IF('Zdroj data'!BB35=Body!$BZ$25,Body!$BZ$22," "))))))))))</f>
        <v>6</v>
      </c>
      <c r="V35" s="264">
        <f>IF(AND('Zdroj data'!BO35&gt;Body!$AY$27,'Zdroj data'!BO35&lt;=Body!$BA$27),Body!$AY$22,IF(AND('Zdroj data'!BO35&gt;=Body!$BB$27,'Zdroj data'!BO35&lt;=Body!$BD$27),Body!$BB$22,IF(AND('Zdroj data'!BO35&gt;=Body!$BE$27,'Zdroj data'!BO35&lt;=Body!$BG$27),Body!$BE$22,IF(AND('Zdroj data'!BO35&gt;=Body!$BH$27,'Zdroj data'!BO35&lt;=Body!$BJ$27),Body!$BH$22,IF(AND('Zdroj data'!BO35&gt;=Body!$BK$27,'Zdroj data'!BO35&lt;=Body!$BM$27),Body!$BK$22,IF(AND('Zdroj data'!BO35&gt;=Body!$BN$27,'Zdroj data'!BO35&lt;=Body!$BP$27),Body!$BN$22,IF(AND('Zdroj data'!BO35&gt;=Body!$BQ$27,'Zdroj data'!BO35&lt;=Body!$BS$27),Body!$BQ$22,IF(AND('Zdroj data'!BO35&gt;=Body!$BT$27,'Zdroj data'!BO35&lt;=Body!$BV$27),Body!$BT$22,IF(AND('Zdroj data'!BO35&gt;=Body!$BW$27,'Zdroj data'!BO35&lt;=Body!$BY$27),Body!$BW$22,IF('Zdroj data'!BO35&gt;=Body!$CB$27,$BZ$22," "))))))))))</f>
        <v>5</v>
      </c>
      <c r="W35" s="264">
        <f>IF(AND('Zdroj data'!BP35&gt;Body!$AY$27,'Zdroj data'!BP35&lt;=Body!$BA$27),Body!$AY$22,IF(AND('Zdroj data'!BP35&gt;=Body!$BB$27,'Zdroj data'!BP35&lt;=Body!$BD$27),Body!$BB$22,IF(AND('Zdroj data'!BP35&gt;=Body!$BE$27,'Zdroj data'!BP35&lt;=Body!$BG$27),Body!$BE$22,IF(AND('Zdroj data'!BP35&gt;=Body!$BH$27,'Zdroj data'!BP35&lt;=Body!$BJ$27),Body!$BH$22,IF(AND('Zdroj data'!BP35&gt;=Body!$BK$27,'Zdroj data'!BP35&lt;=Body!$BM$27),Body!$BK$22,IF(AND('Zdroj data'!BP35&gt;=Body!$BN$27,'Zdroj data'!BP35&lt;=Body!$BP$27),Body!$BN$22,IF(AND('Zdroj data'!BP35&gt;=Body!$BQ$27,'Zdroj data'!BP35&lt;=Body!$BS$27),Body!$BQ$22,IF(AND('Zdroj data'!BP35&gt;=Body!$BT$27,'Zdroj data'!BP35&lt;=Body!$BV$27),Body!$BT$22,IF(AND('Zdroj data'!BP35&gt;=Body!$BW$27,'Zdroj data'!BP35&lt;=Body!$BY$27),Body!$BW$22,IF('Zdroj data'!BP35&gt;=Body!$CB$27,$BZ$22," "))))))))))</f>
        <v>10</v>
      </c>
      <c r="X35" s="264">
        <f>IF('Zdroj data'!BA35=Body!$BB$28,$BB$22,IF('Zdroj data'!BA35=Body!$BE$28,$BE$22,IF(OR('Zdroj data'!BA35=Body!$BK$28,'Zdroj data'!BA35=Body!$BL$28,'Zdroj data'!BA35=Body!$BM$28),$BK$22,IF(OR('Zdroj data'!BA35=Body!$BT$28,'Zdroj data'!BA35=Body!$BV$28),$BT$22,IF(OR('Zdroj data'!BA35=Body!$BW$28,'Zdroj data'!BA35=Body!$BY$28),$BW$22,IF('Zdroj data'!BA35=Body!$BZ$28,$BZ$22," "))))))</f>
        <v>5</v>
      </c>
      <c r="Y35" s="264">
        <f>IF('Zdroj data'!AZ35=Body!$BZ$29,Body!$BZ$22,IF(OR('Zdroj data'!AZ35=$BT$29,'Zdroj data'!AZ35=$BU$29,'Zdroj data'!AZ35=$BV$29),$BT$22,IF(OR('Zdroj data'!AZ35=$BK$29,'Zdroj data'!AZ35=$BM$29),$BK$22,IF(OR('Zdroj data'!AZ35=$BE$29,'Zdroj data'!AZ35=$BG$29),$BE$22,IF(OR('Zdroj data'!AZ35=$AY$29,'Zdroj data'!AZ35=$BA$29),$AY$22," ")))))</f>
        <v>8</v>
      </c>
      <c r="Z35" s="264">
        <f>IF(AND('Zdroj data'!BF35="T",(OR('Zdroj data'!AZ35=Body!$AW$45,'Zdroj data'!AZ35=Body!$AW$46,'Zdroj data'!AZ35=Body!$AW$47,'Zdroj data'!AZ35=Body!$AW$48))),Body!$AY$22,IF(AND('Zdroj data'!BF35="T",(OR('Zdroj data'!AZ35=$AW$49,'Zdroj data'!AZ35=$AW$50,'Zdroj data'!AZ35=$AW$51,'Zdroj data'!AZ35=$AW$52))),$BZ$22,IF(AND(OR('Zdroj data'!BF35="VT",'Zdroj data'!BF35="T",'Zdroj data'!BF35="CH"),(OR('Zdroj data'!AZ35=$AW$43,'Zdroj data'!AZ35=$AW$44,))),$BZ$22,IF(AND('Zdroj data'!BF35="CH",(OR('Zdroj data'!AZ35=$AW$49,'Zdroj data'!AZ35=$AW$50,'Zdroj data'!AZ35=$AW$51,'Zdroj data'!AZ35=$AW$52))),$AY$22,IF(AND('Zdroj data'!BF35="CH",(OR('Zdroj data'!AZ35=$AW$45,'Zdroj data'!AZ35=$AW$46,'Zdroj data'!AZ35=$AW$47,'Zdroj data'!AZ35=$AW$48))),$BZ$22," ")))))</f>
        <v>10</v>
      </c>
      <c r="AA35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35" s="264">
        <f>IF(Tabulka1[[#This Row],[kv.ek.]]=Body!$BK$35,Body!$BK$34,IF(Tabulka1[[#This Row],[kv.ek.]]=Body!$BZ$35,Body!$BZ$34," "))</f>
        <v>5</v>
      </c>
      <c r="AC35" s="264" t="str">
        <f>IF(AND('Zdroj data'!BF35="T",(OR('Zdroj data'!AZ35=Body!$AW$45,'Zdroj data'!AZ35=Body!$AW$46,'Zdroj data'!AZ35=Body!$AW$47,'Zdroj data'!AZ35=Body!$AW$48))),Body!$AY$22,IF(AND('Zdroj data'!BF35="T",(OR('Zdroj data'!AZ35=$AW$49,'Zdroj data'!AZ35=$AW$50,'Zdroj data'!AZ35=$AW$51,'Zdroj data'!AZ35=$AW$52))),$BZ$22," "))</f>
        <v xml:space="preserve"> </v>
      </c>
      <c r="AD35" s="264">
        <f>IF(AND(OR('Zdroj data'!BF35="VT",'Zdroj data'!BF35="T",'Zdroj data'!BF35="CH"),(OR('Zdroj data'!AZ35=$AW$43,'Zdroj data'!AZ35=$AW$44,))),$BZ$22," ")</f>
        <v>10</v>
      </c>
      <c r="AE35" s="264" t="str">
        <f>IF(AND('Zdroj data'!BF35="CH",(OR('Zdroj data'!AZ35=$AW$49,'Zdroj data'!AZ35=$AW$50,'Zdroj data'!AZ35=$AW$51,'Zdroj data'!AZ35=$AW$52))),$AY$22,IF(AND('Zdroj data'!BF35="CH",(OR('Zdroj data'!AZ35=$AW$45,'Zdroj data'!AZ35=$AW$46,'Zdroj data'!AZ35=$AW$47,'Zdroj data'!AZ35=$AW$48))),$BZ$22," "))</f>
        <v xml:space="preserve"> </v>
      </c>
      <c r="AF35" s="264">
        <f>IF(AND('Zdroj data'!BG35="L",'Zdroj data'!AM35=Body!$AX$15),IF(AND('Zdroj data'!O35&gt;=Body!$AY$15,'Zdroj data'!O35&lt;=Body!$BA$15),Body!AY$6,IF(AND('Zdroj data'!O35&gt;=Body!$BB$15,'Zdroj data'!O35&lt;=Body!$BD$15),Body!BB$6,IF(AND('Zdroj data'!O35&gt;=Body!$BE$15,'Zdroj data'!O35&lt;=Body!$BG$15),Body!BE$6,IF(AND('Zdroj data'!O35&gt;=Body!$BH$15,'Zdroj data'!O35&lt;=Body!$BJ$15),Body!BH$6,IF(AND('Zdroj data'!O35&gt;=Body!$BK$15,'Zdroj data'!O35&lt;=Body!$BM$15),Body!BK$6,IF(AND('Zdroj data'!O35&gt;=Body!$BN$15,'Zdroj data'!O35&lt;=Body!$BP$15),Body!$BN$6,IF(AND('Zdroj data'!O35&gt;=Body!$BQ$15,'Zdroj data'!O35&lt;=Body!$BS$15),Body!$BQ$6,IF(AND('Zdroj data'!O35&gt;=Body!$BT$15,'Zdroj data'!O35&lt;=Body!$BV$15),Body!BT$6,IF(AND('Zdroj data'!O35&gt;=Body!$BW$15,'Zdroj data'!O35&lt;=Body!$BY$15),Body!$BW$6,IF('Zdroj data'!O35&gt;=Body!$CB$15,Body!$BZ$6," ")))))))))),IF(AND('Zdroj data'!BG35="ST",'Zdroj data'!AM35=Body!$AX$16),IF(AND('Zdroj data'!O35&gt;=Body!$AY$16,'Zdroj data'!O35&lt;=Body!$BA$16),Body!$AY$6,IF(AND('Zdroj data'!O35&gt;=Body!$BB$16,'Zdroj data'!O35&lt;=Body!$BD$16),Body!$BB$6,IF(AND('Zdroj data'!O35&gt;=Body!$BE$16,'Zdroj data'!O35&lt;=Body!$BG$16),Body!$BE$6,IF(AND('Zdroj data'!O35&gt;=Body!$BH$16,'Zdroj data'!O35&lt;=Body!$BJ$16),Body!$BH$6,IF(AND('Zdroj data'!O35&gt;=Body!$BK$16,'Zdroj data'!O35&lt;=Body!$BM$16),Body!$BK$6,IF(AND('Zdroj data'!O35&gt;=Body!$BN$16,'Zdroj data'!O35&lt;=Body!$BP$16),Body!$BN$6,IF(AND('Zdroj data'!O35&gt;=Body!$BQ$16,'Zdroj data'!O35&lt;=Body!$BS$16),Body!$BQ$6,IF(AND('Zdroj data'!O35&gt;=Body!$BT$16,'Zdroj data'!O35&lt;=Body!$BV$16),Body!$BT$6,IF(AND('Zdroj data'!O35&gt;=Body!$BW$16,'Zdroj data'!O35&lt;=Body!$BY$16),Body!$BW$6,IF('Zdroj data'!O35&gt;=Body!$CB$16,Body!$BZ$6," ")))))))))),IF(AND('Zdroj data'!BG35="T",'Zdroj data'!AM35=Body!$AX$17),IF(AND('Zdroj data'!O35&gt;=Body!$AY$17,'Zdroj data'!O35&lt;=Body!$BA$17),Body!$AY$6,IF(AND('Zdroj data'!O35&gt;=Body!$BB$17,'Zdroj data'!O35&lt;=Body!$BD$17),Body!$BB$6,IF(AND('Zdroj data'!O35&gt;=Body!$BE$17,'Zdroj data'!O35&lt;=Body!$BG$17),Body!$BE$6,IF(AND('Zdroj data'!O35&gt;=Body!$BH$17,'Zdroj data'!O35&lt;=Body!BJ49),Body!$BH$6,IF(AND('Zdroj data'!O35&gt;=Body!$BK$17,'Zdroj data'!O35&lt;=Body!$BM$17),Body!$BK$6,IF(AND('Zdroj data'!O35&gt;=Body!$BN$17,'Zdroj data'!O35&lt;=Body!$BP$17),Body!$BN$6,IF(AND('Zdroj data'!O35&gt;=Body!$BQ$17,'Zdroj data'!O35&lt;=Body!$BS$17),Body!$BQ$6,IF(AND('Zdroj data'!O35&gt;=Body!$BT$17,'Zdroj data'!O35&lt;=Body!$BV$17),Body!$BT$6,IF(AND('Zdroj data'!O35&gt;=Body!$BW$17,'Zdroj data'!O35&lt;=Body!$BY$17),Body!$BW$6,IF('Zdroj data'!O35&gt;=Body!$CB$17,Body!$BZ$6," "))))))))))," ")))</f>
        <v>10</v>
      </c>
      <c r="AG35" s="264">
        <f>IF(AND('Zdroj data'!$BG35="L",'Zdroj data'!$AM35=Body!$AX$15),IF(AND(Tabulka1[[#This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data'!$BG35="ST",'Zdroj data'!$AM35=Body!$AX$16),IF(AND(Tabulka1[[#This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data'!$BG35="T",'Zdroj data'!$AM35=Body!$AX$17),IF(AND(Tabulka1[[#This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Row],[K2O_60]]&lt;=Body!BJ49),Body!$BH$6,IF(AND(Tabulka1[[#This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8</v>
      </c>
      <c r="AH35" s="264" t="str">
        <f>IF(AND('Zdroj data'!BG35="L",'Zdroj data'!AM35=Body!$AX$18),IF(AND('Zdroj data'!O35&gt;=Body!$AY$18,'Zdroj data'!O35&lt;=Body!$BA$18),Body!AY$6,IF(AND('Zdroj data'!O35&gt;=Body!$BB$18,'Zdroj data'!O35&lt;=Body!$BD$18),Body!BB$6,IF(AND('Zdroj data'!O35&gt;=Body!$BE$18,'Zdroj data'!O35&lt;=Body!$BG$18),Body!BE$6,IF(AND('Zdroj data'!O35&gt;=Body!$BH$18,'Zdroj data'!O35&lt;=Body!$BJ$18),Body!BH$6,IF(AND('Zdroj data'!O35&gt;=Body!$BK$18,'Zdroj data'!O35&lt;=Body!$BM$18),Body!$BK$6,IF(AND('Zdroj data'!O35&gt;=Body!$BN$18,'Zdroj data'!O35&lt;=Body!$BP$18),Body!BN$6,IF(AND('Zdroj data'!O35&gt;=Body!$BQ$18,'Zdroj data'!O35&lt;=Body!$BS$18),Body!$BQ$6,IF(AND('Zdroj data'!O35&gt;=Body!$BT$18,'Zdroj data'!O35&lt;=Body!$BV$18),Body!$BT$6,IF(AND('Zdroj data'!O35&gt;=Body!$BW$18,'Zdroj data'!O35&lt;=Body!$BY$18),Body!$BW$6,IF('Zdroj data'!O35&gt;=Body!$CB$18,Body!$BZ$6," ")))))))))),IF(AND('Zdroj data'!BG35="ST",'Zdroj data'!AM35=Body!$AX$19),IF(AND('Zdroj data'!O35&gt;=Body!$AY$19,'Zdroj data'!O35&lt;=Body!$BA$19),Body!$AY$6,IF(AND('Zdroj data'!O35&gt;=Body!$BB$19,'Zdroj data'!O35&lt;=Body!$BD$19),Body!$BB$6,IF(AND('Zdroj data'!O35&gt;=Body!$BE$19,'Zdroj data'!O35&lt;=Body!$BG$19),Body!$BE$6,IF(AND('Zdroj data'!O35&gt;=Body!$BH$19,'Zdroj data'!O35&lt;=Body!$BJ$19),Body!$BH$6,IF(AND('Zdroj data'!O35&gt;=Body!$BK$19,'Zdroj data'!O35&lt;=Body!$BM$19),Body!$BK$6,IF(AND('Zdroj data'!O35&gt;=Body!$BN$19,'Zdroj data'!O35&lt;=Body!$BP$19),Body!$BN$6,IF(AND('Zdroj data'!O35&gt;=Body!$BQ$19,'Zdroj data'!O35&lt;=Body!$BS$19),Body!$BQ$6,IF(AND('Zdroj data'!O35&gt;=Body!$BT$19,'Zdroj data'!O39&lt;=Body!$BV$19),Body!$BT$6,IF(AND('Zdroj data'!O35&gt;=Body!$BW$19,'Zdroj data'!O35&lt;=Body!$BY$19),Body!$BW$6,IF('Zdroj data'!O35&gt;=Body!$CB$19,Body!$BZ$6," ")))))))))),IF(AND('Zdroj data'!BG35="T",'Zdroj data'!AM35=Body!$AX$20),IF(AND('Zdroj data'!O35&gt;=Body!$AY$20,'Zdroj data'!O35&lt;=Body!$BA$20),Body!$AY$6,IF(AND('Zdroj data'!O35&gt;=Body!$BB$20,'Zdroj data'!O35&lt;=Body!$BD$20),Body!$BB$6,IF(AND('Zdroj data'!O35&gt;=Body!$BE$20,'Zdroj data'!O35&lt;=Body!$BG$20),Body!$BE$6,IF(AND('Zdroj data'!O35&gt;=Body!$BH$20,'Zdroj data'!O35&lt;=Body!$BJ$20),Body!$BH$6,IF(AND('Zdroj data'!O35&gt;=Body!$BK$20,'Zdroj data'!O35&lt;=Body!$BM$20),Body!$BK$6,IF(AND('Zdroj data'!O35&gt;=Body!$BN$20,'Zdroj data'!O35&lt;=Body!$BP$20),Body!$BN$6,IF(AND('Zdroj data'!O35&gt;=Body!$BQ$20,'Zdroj data'!O35&lt;=Body!$BS$20),Body!$BQ$6,IF(AND('Zdroj data'!O35&gt;=Body!$BT$20,'Zdroj data'!O35&lt;=Body!BV52),Body!$BT$6,IF(AND('Zdroj data'!O35&gt;=Body!$BW$20,'Zdroj data'!O35&lt;=Body!$BY$20),Body!$BW$6,IF('Zdroj data'!O35&gt;=Body!$CB$20,Body!$BZ$6," "))))))))))," ")))</f>
        <v xml:space="preserve"> </v>
      </c>
      <c r="AI35" s="264" t="str">
        <f>IF(AND('Zdroj data'!$BG35="L",'Zdroj data'!$AM35=Body!$AX$18),IF(AND(Tabulka1[[#This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data'!$BG35="ST",'Zdroj data'!$AM35=Body!$AX$19),IF(AND(Tabulka1[[#This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data'!$BG35="T",'Zdroj data'!$AM35=Body!$AX$20),IF(AND(Tabulka1[[#This Row],[K2O_60]]&gt;=Body!$AY$20,'Zdroj data'!O35&lt;=Body!$BA$20),Body!$AY$6,IF(AND(Tabulka1[[#This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Row],[K2O_60]]&lt;=Body!BV52),Body!$BT$6,IF(AND(Tabulka1[[#This Row],[K2O_60]]&gt;=Body!$BW$20,Tabulka1[[#This Row],[K2O_60]]&lt;=Body!$BY$20),Body!$BW$6,IF(Tabulka1[[#This Row],[K2O_60]]&gt;=Body!$CB$20,Body!$BZ$6," "))))))))))," ")))</f>
        <v xml:space="preserve"> </v>
      </c>
      <c r="AJ35" s="265">
        <f t="shared" si="10"/>
        <v>8.0000000000000071</v>
      </c>
      <c r="AK35" s="264">
        <f t="shared" si="3"/>
        <v>32.169334089898939</v>
      </c>
      <c r="AL35" s="264">
        <f t="shared" si="4"/>
        <v>26.709770043008092</v>
      </c>
      <c r="AM35" s="264">
        <f t="shared" si="5"/>
        <v>58.795045697815475</v>
      </c>
      <c r="AN35" s="264">
        <f t="shared" si="6"/>
        <v>66.518011733825404</v>
      </c>
      <c r="AO35" s="265">
        <f t="shared" si="11"/>
        <v>90.964379787714421</v>
      </c>
      <c r="AP35" s="265">
        <f t="shared" si="12"/>
        <v>93.227781776833496</v>
      </c>
      <c r="AQ35" s="318"/>
      <c r="AR35" s="338">
        <f t="shared" si="7"/>
        <v>192.19216156454792</v>
      </c>
      <c r="AS35" s="318"/>
      <c r="AT35" s="454">
        <f>1-AT7</f>
        <v>5.0000000000000044E-2</v>
      </c>
      <c r="AU35" s="459">
        <v>1</v>
      </c>
      <c r="AV35" s="310">
        <v>0.16666666666666666</v>
      </c>
      <c r="AW35" s="308" t="s">
        <v>980</v>
      </c>
      <c r="AX35" s="312"/>
      <c r="AY35" s="314"/>
      <c r="AZ35" s="300"/>
      <c r="BA35" s="302"/>
      <c r="BB35" s="316"/>
      <c r="BC35" s="300"/>
      <c r="BD35" s="302"/>
      <c r="BE35" s="316"/>
      <c r="BF35" s="301"/>
      <c r="BG35" s="302"/>
      <c r="BH35" s="316"/>
      <c r="BI35" s="300"/>
      <c r="BJ35" s="302"/>
      <c r="BK35" s="316" t="s">
        <v>824</v>
      </c>
      <c r="BL35" s="301"/>
      <c r="BM35" s="302"/>
      <c r="BN35" s="316"/>
      <c r="BO35" s="301"/>
      <c r="BP35" s="302"/>
      <c r="BQ35" s="316"/>
      <c r="BR35" s="300"/>
      <c r="BS35" s="302"/>
      <c r="BT35" s="316"/>
      <c r="BU35" s="300"/>
      <c r="BV35" s="302"/>
      <c r="BW35" s="316"/>
      <c r="BX35" s="300"/>
      <c r="BY35" s="302"/>
      <c r="BZ35" s="316" t="s">
        <v>796</v>
      </c>
      <c r="CA35" s="301"/>
      <c r="CB35" s="302"/>
    </row>
    <row r="36" spans="1:80" ht="16" thickBot="1" x14ac:dyDescent="0.4">
      <c r="A36" s="270">
        <v>1054</v>
      </c>
      <c r="B36" s="156" t="s">
        <v>118</v>
      </c>
      <c r="C36" s="250" t="str">
        <f>VLOOKUP(B36,'Zdroj hloubka okresy'!$A$2:$D$171,2,FALSE)</f>
        <v>Pribram</v>
      </c>
      <c r="D36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36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36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36" s="264">
        <f>IF(AND(Tabulka1[[#This Row],[hum_60]]&gt;AY47,Tabulka1[[#This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36" s="264">
        <f>IF(Tabulka1[[#This Row],[kv.ek.]]=Body!$AX$13,IF(AND('Zdroj data'!M36&gt;=Body!$AY$13,'Zdroj data'!M36&lt;=Body!$BA$13),Body!$AY$6,IF(AND('Zdroj data'!M36&gt;=Body!$BB$13,'Zdroj data'!M36&lt;=Body!$BD$13),Body!$BB$6,IF(AND('Zdroj data'!M36&gt;=Body!$BE$13,'Zdroj data'!M36&lt;=Body!$BG$13),Body!$BE$6,IF(AND('Zdroj data'!M36&gt;=Body!$BH$13,'Zdroj data'!M36&lt;=Body!$BJ$13),Body!$BH$6,IF(AND('Zdroj data'!M36&gt;=Body!$BK$13,'Zdroj data'!M36&lt;=Body!$BM$13),Body!$BK$6,IF(AND('Zdroj data'!M36&gt;=Body!$BN$13,'Zdroj data'!M36&lt;=Body!$BP$13),Body!$BN$6,IF(AND('Zdroj data'!M36&gt;=Body!$BQ$13,'Zdroj data'!M36&lt;=Body!$BS$13),Body!$BQ$6,IF(AND('Zdroj data'!M36&gt;=Body!$BT$13,'Zdroj data'!M36&lt;=Body!$BV$13),Body!$BT$6,IF(AND('Zdroj data'!M36&gt;=Body!$BW$13,'Zdroj data'!M36&lt;=Body!$BY$13),Body!$BW$6,IF('Zdroj data'!M36&gt;=Body!$CB$13,Body!$BZ$6,"")))))))))),IF(Tabulka1[[#This Row],[kv.ek.]]=Body!$AX$14,IF(AND('Zdroj data'!N36&gt;=Body!$AY$14,'Zdroj data'!N36&lt;=Body!$BA$14),Body!$AY$6,IF(AND('Zdroj data'!N36&gt;=Body!$BB$14,'Zdroj data'!N36&lt;=Body!$BD$14),Body!$BB$6,IF(AND('Zdroj data'!N36&gt;=Body!$BE$14,'Zdroj data'!N36&lt;=Body!$BG$14),Body!$BE$6,IF(AND('Zdroj data'!N36&gt;=Body!$BH$14,'Zdroj data'!N36&lt;=Body!$BJ$14),Body!$BH$6,IF(AND('Zdroj data'!N36&gt;=Body!$BK$14,'Zdroj data'!N36&lt;=Body!$BM$14),Body!$BK$6,IF(AND('Zdroj data'!N36&gt;=Body!$BN$14,'Zdroj data'!N36&lt;=Body!$BP$14),Body!$BN$6,IF(AND('Zdroj data'!N36&gt;=Body!$BQ$14,'Zdroj data'!N36&lt;=Body!$BS$14),Body!$BQ$6,IF(AND('Zdroj data'!N36&gt;=Body!$BT$14,'Zdroj data'!N36&lt;=Body!$BV$14),Body!$BT$6,IF(AND('Zdroj data'!N36&gt;=Body!$BW$14,'Zdroj data'!N36&lt;=Body!$BY$14),Body!$BW$6,IF('Zdroj data'!N36&gt;=Body!$CB$14,Body!$BZ$6,"")))))))))),""))</f>
        <v>1</v>
      </c>
      <c r="I36" s="264">
        <f>IF(Tabulka1[[#This Row],[kv.ek.]]=Body!$AX$13,IF(AND('Zdroj data'!N36&gt;=Body!$AY$13,'Zdroj data'!N36&lt;=Body!$BA$13),Body!$AY$6,IF(AND('Zdroj data'!N36&gt;=Body!$BB$13,'Zdroj data'!N36&lt;=Body!$BD$13),Body!$BB$6,IF(AND('Zdroj data'!N36&gt;=Body!$BE$13,'Zdroj data'!N36&lt;=Body!$BG$13),Body!$BE$6,IF(AND('Zdroj data'!N36&gt;=Body!$BH$13,'Zdroj data'!N36&lt;=Body!$BJ$13),Body!$BH$6,IF(AND('Zdroj data'!N36&gt;=Body!$BK$13,'Zdroj data'!N36&lt;=Body!$BM$13),Body!$BK$6,IF(AND('Zdroj data'!N36&gt;=Body!$BN$13,'Zdroj data'!N36&lt;=Body!$BP$13),Body!$BN$6,IF(AND('Zdroj data'!N36&gt;=Body!$BQ$13,'Zdroj data'!N36&lt;=Body!$BS$13),Body!$BQ$6,IF(AND('Zdroj data'!N36&gt;=Body!$BT$13,'Zdroj data'!N36&lt;=Body!$BV$13),Body!$BT$6,IF(AND('Zdroj data'!N36&gt;=Body!$BW$13,'Zdroj data'!N36&lt;=Body!$BY$13),Body!$BW$6,IF('Zdroj data'!N36&gt;=Body!$CB$13,Body!$BZ$6," ")))))))))),IF(Tabulka1[[#This Row],[kv.ek.]]=Body!$AX$14,IF(AND('Zdroj data'!O36&gt;=Body!$AY$14,'Zdroj data'!O36&lt;=Body!$BA$14),Body!$AY$6,IF(AND('Zdroj data'!O36&gt;=Body!$BB$14,'Zdroj data'!O36&lt;=Body!$BD$14),Body!$BB$6,IF(AND('Zdroj data'!O36&gt;=Body!$BE$14,'Zdroj data'!O36&lt;=Body!$BG$14),Body!$BE$6,IF(AND('Zdroj data'!O36&gt;=Body!$BH$14,'Zdroj data'!O36&lt;=Body!$BJ$14),Body!$BH$6,IF(AND('Zdroj data'!O36&gt;=Body!$BK$14,'Zdroj data'!O36&lt;=Body!$BM$14),Body!$BK$6,IF(AND('Zdroj data'!O36&gt;=Body!$BN$14,'Zdroj data'!O36&lt;=Body!$BP$14),Body!$BN$6,IF(AND('Zdroj data'!O36&gt;=Body!$BQ$14,'Zdroj data'!O36&lt;=Body!$BS$14),Body!$BQ$6,IF(AND('Zdroj data'!O36&gt;=Body!$BT$14,'Zdroj data'!O36&lt;=Body!$BV$14),Body!$BT$6,IF(AND('Zdroj data'!O36&gt;=Body!$BW$14,'Zdroj data'!O36&lt;=Body!$BY$14),Body!$BW$6,IF('Zdroj data'!O36&gt;=Body!$CB$14,Body!$BZ$6," "))))))))))," "))</f>
        <v>8</v>
      </c>
      <c r="J36" s="264">
        <f t="shared" si="8"/>
        <v>2</v>
      </c>
      <c r="K36" s="264">
        <f t="shared" si="9"/>
        <v>2</v>
      </c>
      <c r="L36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2</v>
      </c>
      <c r="M36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36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5</v>
      </c>
      <c r="O36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6</v>
      </c>
      <c r="P36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36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36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36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36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36" s="264">
        <f>IF('Zdroj data'!BB36=Body!$AY$25,Body!$AY$22,IF('Zdroj data'!BB36=Body!$BB$25,Body!$BB$22,IF('Zdroj data'!BB36=Body!$BE$25,Body!$BE$22,IF('Zdroj data'!BB36=Body!$BH$25,Body!$BH$22,IF('Zdroj data'!BB36=Body!BK$25,Body!$BK$22,IF('Zdroj data'!BB36=Body!$BN$25,Body!$BN$22,IF('Zdroj data'!BB36=Body!$BQ$25,Body!$BQ$22,IF('Zdroj data'!BB36=Body!$BT$25,Body!$BT$22,IF('Zdroj data'!BB36=Body!$BW$25,Body!$BW$22,IF('Zdroj data'!BB36=Body!$BZ$25,Body!$BZ$22," "))))))))))</f>
        <v>5</v>
      </c>
      <c r="V36" s="264">
        <f>IF(AND('Zdroj data'!BO36&gt;Body!$AY$27,'Zdroj data'!BO36&lt;=Body!$BA$27),Body!$AY$22,IF(AND('Zdroj data'!BO36&gt;=Body!$BB$27,'Zdroj data'!BO36&lt;=Body!$BD$27),Body!$BB$22,IF(AND('Zdroj data'!BO36&gt;=Body!$BE$27,'Zdroj data'!BO36&lt;=Body!$BG$27),Body!$BE$22,IF(AND('Zdroj data'!BO36&gt;=Body!$BH$27,'Zdroj data'!BO36&lt;=Body!$BJ$27),Body!$BH$22,IF(AND('Zdroj data'!BO36&gt;=Body!$BK$27,'Zdroj data'!BO36&lt;=Body!$BM$27),Body!$BK$22,IF(AND('Zdroj data'!BO36&gt;=Body!$BN$27,'Zdroj data'!BO36&lt;=Body!$BP$27),Body!$BN$22,IF(AND('Zdroj data'!BO36&gt;=Body!$BQ$27,'Zdroj data'!BO36&lt;=Body!$BS$27),Body!$BQ$22,IF(AND('Zdroj data'!BO36&gt;=Body!$BT$27,'Zdroj data'!BO36&lt;=Body!$BV$27),Body!$BT$22,IF(AND('Zdroj data'!BO36&gt;=Body!$BW$27,'Zdroj data'!BO36&lt;=Body!$BY$27),Body!$BW$22,IF('Zdroj data'!BO36&gt;=Body!$CB$27,$BZ$22," "))))))))))</f>
        <v>6</v>
      </c>
      <c r="W36" s="264">
        <f>IF(AND('Zdroj data'!BP36&gt;Body!$AY$27,'Zdroj data'!BP36&lt;=Body!$BA$27),Body!$AY$22,IF(AND('Zdroj data'!BP36&gt;=Body!$BB$27,'Zdroj data'!BP36&lt;=Body!$BD$27),Body!$BB$22,IF(AND('Zdroj data'!BP36&gt;=Body!$BE$27,'Zdroj data'!BP36&lt;=Body!$BG$27),Body!$BE$22,IF(AND('Zdroj data'!BP36&gt;=Body!$BH$27,'Zdroj data'!BP36&lt;=Body!$BJ$27),Body!$BH$22,IF(AND('Zdroj data'!BP36&gt;=Body!$BK$27,'Zdroj data'!BP36&lt;=Body!$BM$27),Body!$BK$22,IF(AND('Zdroj data'!BP36&gt;=Body!$BN$27,'Zdroj data'!BP36&lt;=Body!$BP$27),Body!$BN$22,IF(AND('Zdroj data'!BP36&gt;=Body!$BQ$27,'Zdroj data'!BP36&lt;=Body!$BS$27),Body!$BQ$22,IF(AND('Zdroj data'!BP36&gt;=Body!$BT$27,'Zdroj data'!BP36&lt;=Body!$BV$27),Body!$BT$22,IF(AND('Zdroj data'!BP36&gt;=Body!$BW$27,'Zdroj data'!BP36&lt;=Body!$BY$27),Body!$BW$22,IF('Zdroj data'!BP36&gt;=Body!$CB$27,$BZ$22," "))))))))))</f>
        <v>5</v>
      </c>
      <c r="X36" s="264">
        <f>IF('Zdroj data'!BA36=Body!$BB$28,$BB$22,IF('Zdroj data'!BA36=Body!$BE$28,$BE$22,IF(OR('Zdroj data'!BA36=Body!$BK$28,'Zdroj data'!BA36=Body!$BL$28,'Zdroj data'!BA36=Body!$BM$28),$BK$22,IF(OR('Zdroj data'!BA36=Body!$BT$28,'Zdroj data'!BA36=Body!$BV$28),$BT$22,IF(OR('Zdroj data'!BA36=Body!$BW$28,'Zdroj data'!BA36=Body!$BY$28),$BW$22,IF('Zdroj data'!BA36=Body!$BZ$28,$BZ$22," "))))))</f>
        <v>5</v>
      </c>
      <c r="Y36" s="264">
        <f>IF('Zdroj data'!AZ36=Body!$BZ$29,Body!$BZ$22,IF(OR('Zdroj data'!AZ36=$BT$29,'Zdroj data'!AZ36=$BU$29,'Zdroj data'!AZ36=$BV$29),$BT$22,IF(OR('Zdroj data'!AZ36=$BK$29,'Zdroj data'!AZ36=$BM$29),$BK$22,IF(OR('Zdroj data'!AZ36=$BE$29,'Zdroj data'!AZ36=$BG$29),$BE$22,IF(OR('Zdroj data'!AZ36=$AY$29,'Zdroj data'!AZ36=$BA$29),$AY$22," ")))))</f>
        <v>8</v>
      </c>
      <c r="Z36" s="264">
        <f>IF(AND('Zdroj data'!BF36="T",(OR('Zdroj data'!AZ36=Body!$AW$45,'Zdroj data'!AZ36=Body!$AW$46,'Zdroj data'!AZ36=Body!$AW$47,'Zdroj data'!AZ36=Body!$AW$48))),Body!$AY$22,IF(AND('Zdroj data'!BF36="T",(OR('Zdroj data'!AZ36=$AW$49,'Zdroj data'!AZ36=$AW$50,'Zdroj data'!AZ36=$AW$51,'Zdroj data'!AZ36=$AW$52))),$BZ$22,IF(AND(OR('Zdroj data'!BF36="VT",'Zdroj data'!BF36="T",'Zdroj data'!BF36="CH"),(OR('Zdroj data'!AZ36=$AW$43,'Zdroj data'!AZ36=$AW$44,))),$BZ$22,IF(AND('Zdroj data'!BF36="CH",(OR('Zdroj data'!AZ36=$AW$49,'Zdroj data'!AZ36=$AW$50,'Zdroj data'!AZ36=$AW$51,'Zdroj data'!AZ36=$AW$52))),$AY$22,IF(AND('Zdroj data'!BF36="CH",(OR('Zdroj data'!AZ36=$AW$45,'Zdroj data'!AZ36=$AW$46,'Zdroj data'!AZ36=$AW$47,'Zdroj data'!AZ36=$AW$48))),$BZ$22," ")))))</f>
        <v>10</v>
      </c>
      <c r="AA36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36" s="264">
        <f>IF(Tabulka1[[#This Row],[kv.ek.]]=Body!$BK$35,Body!$BK$34,IF(Tabulka1[[#This Row],[kv.ek.]]=Body!$BZ$35,Body!$BZ$34," "))</f>
        <v>10</v>
      </c>
      <c r="AC36" s="264" t="str">
        <f>IF(AND('Zdroj data'!BF36="T",(OR('Zdroj data'!AZ36=Body!$AW$45,'Zdroj data'!AZ36=Body!$AW$46,'Zdroj data'!AZ36=Body!$AW$47,'Zdroj data'!AZ36=Body!$AW$48))),Body!$AY$22,IF(AND('Zdroj data'!BF36="T",(OR('Zdroj data'!AZ36=$AW$49,'Zdroj data'!AZ36=$AW$50,'Zdroj data'!AZ36=$AW$51,'Zdroj data'!AZ36=$AW$52))),$BZ$22," "))</f>
        <v xml:space="preserve"> </v>
      </c>
      <c r="AD36" s="264">
        <f>IF(AND(OR('Zdroj data'!BF36="VT",'Zdroj data'!BF36="T",'Zdroj data'!BF36="CH"),(OR('Zdroj data'!AZ36=$AW$43,'Zdroj data'!AZ36=$AW$44,))),$BZ$22," ")</f>
        <v>10</v>
      </c>
      <c r="AE36" s="264" t="str">
        <f>IF(AND('Zdroj data'!BF36="CH",(OR('Zdroj data'!AZ36=$AW$49,'Zdroj data'!AZ36=$AW$50,'Zdroj data'!AZ36=$AW$51,'Zdroj data'!AZ36=$AW$52))),$AY$22,IF(AND('Zdroj data'!BF36="CH",(OR('Zdroj data'!AZ36=$AW$45,'Zdroj data'!AZ36=$AW$46,'Zdroj data'!AZ36=$AW$47,'Zdroj data'!AZ36=$AW$48))),$BZ$22," "))</f>
        <v xml:space="preserve"> </v>
      </c>
      <c r="AF36" s="264" t="str">
        <f>IF(AND('Zdroj data'!BG36="L",'Zdroj data'!AM36=Body!$AX$15),IF(AND('Zdroj data'!O36&gt;=Body!$AY$15,'Zdroj data'!O36&lt;=Body!$BA$15),Body!AY$6,IF(AND('Zdroj data'!O36&gt;=Body!$BB$15,'Zdroj data'!O36&lt;=Body!$BD$15),Body!BB$6,IF(AND('Zdroj data'!O36&gt;=Body!$BE$15,'Zdroj data'!O36&lt;=Body!$BG$15),Body!BE$6,IF(AND('Zdroj data'!O36&gt;=Body!$BH$15,'Zdroj data'!O36&lt;=Body!$BJ$15),Body!BH$6,IF(AND('Zdroj data'!O36&gt;=Body!$BK$15,'Zdroj data'!O36&lt;=Body!$BM$15),Body!BK$6,IF(AND('Zdroj data'!O36&gt;=Body!$BN$15,'Zdroj data'!O36&lt;=Body!$BP$15),Body!$BN$6,IF(AND('Zdroj data'!O36&gt;=Body!$BQ$15,'Zdroj data'!O36&lt;=Body!$BS$15),Body!$BQ$6,IF(AND('Zdroj data'!O36&gt;=Body!$BT$15,'Zdroj data'!O36&lt;=Body!$BV$15),Body!BT$6,IF(AND('Zdroj data'!O36&gt;=Body!$BW$15,'Zdroj data'!O36&lt;=Body!$BY$15),Body!$BW$6,IF('Zdroj data'!O36&gt;=Body!$CB$15,Body!$BZ$6," ")))))))))),IF(AND('Zdroj data'!BG36="ST",'Zdroj data'!AM36=Body!$AX$16),IF(AND('Zdroj data'!O36&gt;=Body!$AY$16,'Zdroj data'!O36&lt;=Body!$BA$16),Body!$AY$6,IF(AND('Zdroj data'!O36&gt;=Body!$BB$16,'Zdroj data'!O36&lt;=Body!$BD$16),Body!$BB$6,IF(AND('Zdroj data'!O36&gt;=Body!$BE$16,'Zdroj data'!O36&lt;=Body!$BG$16),Body!$BE$6,IF(AND('Zdroj data'!O36&gt;=Body!$BH$16,'Zdroj data'!O36&lt;=Body!$BJ$16),Body!$BH$6,IF(AND('Zdroj data'!O36&gt;=Body!$BK$16,'Zdroj data'!O36&lt;=Body!$BM$16),Body!$BK$6,IF(AND('Zdroj data'!O36&gt;=Body!$BN$16,'Zdroj data'!O36&lt;=Body!$BP$16),Body!$BN$6,IF(AND('Zdroj data'!O36&gt;=Body!$BQ$16,'Zdroj data'!O36&lt;=Body!$BS$16),Body!$BQ$6,IF(AND('Zdroj data'!O36&gt;=Body!$BT$16,'Zdroj data'!O36&lt;=Body!$BV$16),Body!$BT$6,IF(AND('Zdroj data'!O36&gt;=Body!$BW$16,'Zdroj data'!O36&lt;=Body!$BY$16),Body!$BW$6,IF('Zdroj data'!O36&gt;=Body!$CB$16,Body!$BZ$6," ")))))))))),IF(AND('Zdroj data'!BG36="T",'Zdroj data'!AM36=Body!$AX$17),IF(AND('Zdroj data'!O36&gt;=Body!$AY$17,'Zdroj data'!O36&lt;=Body!$BA$17),Body!$AY$6,IF(AND('Zdroj data'!O36&gt;=Body!$BB$17,'Zdroj data'!O36&lt;=Body!$BD$17),Body!$BB$6,IF(AND('Zdroj data'!O36&gt;=Body!$BE$17,'Zdroj data'!O36&lt;=Body!$BG$17),Body!$BE$6,IF(AND('Zdroj data'!O36&gt;=Body!$BH$17,'Zdroj data'!O36&lt;=Body!BJ50),Body!$BH$6,IF(AND('Zdroj data'!O36&gt;=Body!$BK$17,'Zdroj data'!O36&lt;=Body!$BM$17),Body!$BK$6,IF(AND('Zdroj data'!O36&gt;=Body!$BN$17,'Zdroj data'!O36&lt;=Body!$BP$17),Body!$BN$6,IF(AND('Zdroj data'!O36&gt;=Body!$BQ$17,'Zdroj data'!O36&lt;=Body!$BS$17),Body!$BQ$6,IF(AND('Zdroj data'!O36&gt;=Body!$BT$17,'Zdroj data'!O36&lt;=Body!$BV$17),Body!$BT$6,IF(AND('Zdroj data'!O36&gt;=Body!$BW$17,'Zdroj data'!O36&lt;=Body!$BY$17),Body!$BW$6,IF('Zdroj data'!O36&gt;=Body!$CB$17,Body!$BZ$6," "))))))))))," ")))</f>
        <v xml:space="preserve"> </v>
      </c>
      <c r="AG36" s="264" t="str">
        <f>IF(AND('Zdroj data'!$BG36="L",'Zdroj data'!$AM36=Body!$AX$15),IF(AND(Tabulka1[[#This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data'!$BG36="ST",'Zdroj data'!$AM36=Body!$AX$16),IF(AND(Tabulka1[[#This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data'!$BG36="T",'Zdroj data'!$AM36=Body!$AX$17),IF(AND(Tabulka1[[#This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Row],[K2O_60]]&lt;=Body!BJ50),Body!$BH$6,IF(AND(Tabulka1[[#This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36" s="264">
        <f>IF(AND('Zdroj data'!BG36="L",'Zdroj data'!AM36=Body!$AX$18),IF(AND('Zdroj data'!O36&gt;=Body!$AY$18,'Zdroj data'!O36&lt;=Body!$BA$18),Body!AY$6,IF(AND('Zdroj data'!O36&gt;=Body!$BB$18,'Zdroj data'!O36&lt;=Body!$BD$18),Body!BB$6,IF(AND('Zdroj data'!O36&gt;=Body!$BE$18,'Zdroj data'!O36&lt;=Body!$BG$18),Body!BE$6,IF(AND('Zdroj data'!O36&gt;=Body!$BH$18,'Zdroj data'!O36&lt;=Body!$BJ$18),Body!BH$6,IF(AND('Zdroj data'!O36&gt;=Body!$BK$18,'Zdroj data'!O36&lt;=Body!$BM$18),Body!$BK$6,IF(AND('Zdroj data'!O36&gt;=Body!$BN$18,'Zdroj data'!O36&lt;=Body!$BP$18),Body!BN$6,IF(AND('Zdroj data'!O36&gt;=Body!$BQ$18,'Zdroj data'!O36&lt;=Body!$BS$18),Body!$BQ$6,IF(AND('Zdroj data'!O36&gt;=Body!$BT$18,'Zdroj data'!O36&lt;=Body!$BV$18),Body!$BT$6,IF(AND('Zdroj data'!O36&gt;=Body!$BW$18,'Zdroj data'!O36&lt;=Body!$BY$18),Body!$BW$6,IF('Zdroj data'!O36&gt;=Body!$CB$18,Body!$BZ$6," ")))))))))),IF(AND('Zdroj data'!BG36="ST",'Zdroj data'!AM36=Body!$AX$19),IF(AND('Zdroj data'!O36&gt;=Body!$AY$19,'Zdroj data'!O36&lt;=Body!$BA$19),Body!$AY$6,IF(AND('Zdroj data'!O36&gt;=Body!$BB$19,'Zdroj data'!O36&lt;=Body!$BD$19),Body!$BB$6,IF(AND('Zdroj data'!O36&gt;=Body!$BE$19,'Zdroj data'!O36&lt;=Body!$BG$19),Body!$BE$6,IF(AND('Zdroj data'!O36&gt;=Body!$BH$19,'Zdroj data'!O36&lt;=Body!$BJ$19),Body!$BH$6,IF(AND('Zdroj data'!O36&gt;=Body!$BK$19,'Zdroj data'!O36&lt;=Body!$BM$19),Body!$BK$6,IF(AND('Zdroj data'!O36&gt;=Body!$BN$19,'Zdroj data'!O36&lt;=Body!$BP$19),Body!$BN$6,IF(AND('Zdroj data'!O36&gt;=Body!$BQ$19,'Zdroj data'!O36&lt;=Body!$BS$19),Body!$BQ$6,IF(AND('Zdroj data'!O36&gt;=Body!$BT$19,'Zdroj data'!O40&lt;=Body!$BV$19),Body!$BT$6,IF(AND('Zdroj data'!O36&gt;=Body!$BW$19,'Zdroj data'!O36&lt;=Body!$BY$19),Body!$BW$6,IF('Zdroj data'!O36&gt;=Body!$CB$19,Body!$BZ$6," ")))))))))),IF(AND('Zdroj data'!BG36="T",'Zdroj data'!AM36=Body!$AX$20),IF(AND('Zdroj data'!O36&gt;=Body!$AY$20,'Zdroj data'!O36&lt;=Body!$BA$20),Body!$AY$6,IF(AND('Zdroj data'!O36&gt;=Body!$BB$20,'Zdroj data'!O36&lt;=Body!$BD$20),Body!$BB$6,IF(AND('Zdroj data'!O36&gt;=Body!$BE$20,'Zdroj data'!O36&lt;=Body!$BG$20),Body!$BE$6,IF(AND('Zdroj data'!O36&gt;=Body!$BH$20,'Zdroj data'!O36&lt;=Body!$BJ$20),Body!$BH$6,IF(AND('Zdroj data'!O36&gt;=Body!$BK$20,'Zdroj data'!O36&lt;=Body!$BM$20),Body!$BK$6,IF(AND('Zdroj data'!O36&gt;=Body!$BN$20,'Zdroj data'!O36&lt;=Body!$BP$20),Body!$BN$6,IF(AND('Zdroj data'!O36&gt;=Body!$BQ$20,'Zdroj data'!O36&lt;=Body!$BS$20),Body!$BQ$6,IF(AND('Zdroj data'!O36&gt;=Body!$BT$20,'Zdroj data'!O36&lt;=Body!#REF!),Body!$BT$6,IF(AND('Zdroj data'!O36&gt;=Body!$BW$20,'Zdroj data'!O36&lt;=Body!$BY$20),Body!$BW$6,IF('Zdroj data'!O36&gt;=Body!$CB$20,Body!$BZ$6," "))))))))))," ")))</f>
        <v>2</v>
      </c>
      <c r="AI36" s="264">
        <f>IF(AND('Zdroj data'!$BG36="L",'Zdroj data'!$AM36=Body!$AX$18),IF(AND(Tabulka1[[#This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data'!$BG36="ST",'Zdroj data'!$AM36=Body!$AX$19),IF(AND(Tabulka1[[#This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data'!$BG36="T",'Zdroj data'!$AM36=Body!$AX$20),IF(AND(Tabulka1[[#This Row],[K2O_60]]&gt;=Body!$AY$20,'Zdroj data'!O36&lt;=Body!$BA$20),Body!$AY$6,IF(AND(Tabulka1[[#This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2</v>
      </c>
      <c r="AJ36" s="265">
        <f t="shared" si="10"/>
        <v>16.000000000000014</v>
      </c>
      <c r="AK36" s="264">
        <f t="shared" si="3"/>
        <v>21.613586666609422</v>
      </c>
      <c r="AL36" s="264">
        <f t="shared" si="4"/>
        <v>23.651399465550291</v>
      </c>
      <c r="AM36" s="264">
        <f t="shared" si="5"/>
        <v>58.257517755360041</v>
      </c>
      <c r="AN36" s="264">
        <f t="shared" si="6"/>
        <v>56.71292454815805</v>
      </c>
      <c r="AO36" s="265">
        <f t="shared" si="11"/>
        <v>79.871104421969463</v>
      </c>
      <c r="AP36" s="265">
        <f t="shared" si="12"/>
        <v>80.364324013708341</v>
      </c>
      <c r="AQ36" s="318"/>
      <c r="AR36" s="338">
        <f t="shared" si="7"/>
        <v>176.23542843567782</v>
      </c>
      <c r="AS36" s="318"/>
      <c r="AT36" s="455"/>
      <c r="AU36" s="460"/>
      <c r="AV36" s="311">
        <v>0.83333333333333337</v>
      </c>
      <c r="AW36" s="309" t="s">
        <v>795</v>
      </c>
      <c r="AX36" s="313"/>
      <c r="AY36" s="315" t="s">
        <v>806</v>
      </c>
      <c r="AZ36" s="303"/>
      <c r="BA36" s="305"/>
      <c r="BB36" s="317"/>
      <c r="BC36" s="303"/>
      <c r="BD36" s="305"/>
      <c r="BE36" s="317" t="s">
        <v>803</v>
      </c>
      <c r="BF36" s="304"/>
      <c r="BG36" s="305"/>
      <c r="BH36" s="315"/>
      <c r="BI36" s="303"/>
      <c r="BJ36" s="305"/>
      <c r="BK36" s="317" t="s">
        <v>802</v>
      </c>
      <c r="BL36" s="304"/>
      <c r="BM36" s="305"/>
      <c r="BN36" s="317"/>
      <c r="BO36" s="304"/>
      <c r="BP36" s="305"/>
      <c r="BQ36" s="317"/>
      <c r="BR36" s="303"/>
      <c r="BS36" s="305"/>
      <c r="BT36" s="317"/>
      <c r="BU36" s="303"/>
      <c r="BV36" s="305"/>
      <c r="BW36" s="317"/>
      <c r="BX36" s="303"/>
      <c r="BY36" s="305"/>
      <c r="BZ36" s="317" t="s">
        <v>804</v>
      </c>
      <c r="CA36" s="304"/>
      <c r="CB36" s="305"/>
    </row>
    <row r="37" spans="1:80" ht="16" thickTop="1" x14ac:dyDescent="0.35">
      <c r="A37" s="270">
        <v>1057</v>
      </c>
      <c r="B37" s="156" t="s">
        <v>535</v>
      </c>
      <c r="C37" s="250" t="str">
        <f>VLOOKUP(B37,'Zdroj hloubka okresy'!$A$2:$D$171,2,FALSE)</f>
        <v>Pribram</v>
      </c>
      <c r="D37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37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37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37" s="264">
        <f>IF(AND(Tabulka1[[#This Row],[hum_60]]&gt;AY48,Tabulka1[[#This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37" s="264">
        <f>IF(Tabulka1[[#This Row],[kv.ek.]]=Body!$AX$13,IF(AND('Zdroj data'!M37&gt;=Body!$AY$13,'Zdroj data'!M37&lt;=Body!$BA$13),Body!$AY$6,IF(AND('Zdroj data'!M37&gt;=Body!$BB$13,'Zdroj data'!M37&lt;=Body!$BD$13),Body!$BB$6,IF(AND('Zdroj data'!M37&gt;=Body!$BE$13,'Zdroj data'!M37&lt;=Body!$BG$13),Body!$BE$6,IF(AND('Zdroj data'!M37&gt;=Body!$BH$13,'Zdroj data'!M37&lt;=Body!$BJ$13),Body!$BH$6,IF(AND('Zdroj data'!M37&gt;=Body!$BK$13,'Zdroj data'!M37&lt;=Body!$BM$13),Body!$BK$6,IF(AND('Zdroj data'!M37&gt;=Body!$BN$13,'Zdroj data'!M37&lt;=Body!$BP$13),Body!$BN$6,IF(AND('Zdroj data'!M37&gt;=Body!$BQ$13,'Zdroj data'!M37&lt;=Body!$BS$13),Body!$BQ$6,IF(AND('Zdroj data'!M37&gt;=Body!$BT$13,'Zdroj data'!M37&lt;=Body!$BV$13),Body!$BT$6,IF(AND('Zdroj data'!M37&gt;=Body!$BW$13,'Zdroj data'!M37&lt;=Body!$BY$13),Body!$BW$6,IF('Zdroj data'!M37&gt;=Body!$CB$13,Body!$BZ$6,"")))))))))),IF(Tabulka1[[#This Row],[kv.ek.]]=Body!$AX$14,IF(AND('Zdroj data'!N37&gt;=Body!$AY$14,'Zdroj data'!N37&lt;=Body!$BA$14),Body!$AY$6,IF(AND('Zdroj data'!N37&gt;=Body!$BB$14,'Zdroj data'!N37&lt;=Body!$BD$14),Body!$BB$6,IF(AND('Zdroj data'!N37&gt;=Body!$BE$14,'Zdroj data'!N37&lt;=Body!$BG$14),Body!$BE$6,IF(AND('Zdroj data'!N37&gt;=Body!$BH$14,'Zdroj data'!N37&lt;=Body!$BJ$14),Body!$BH$6,IF(AND('Zdroj data'!N37&gt;=Body!$BK$14,'Zdroj data'!N37&lt;=Body!$BM$14),Body!$BK$6,IF(AND('Zdroj data'!N37&gt;=Body!$BN$14,'Zdroj data'!N37&lt;=Body!$BP$14),Body!$BN$6,IF(AND('Zdroj data'!N37&gt;=Body!$BQ$14,'Zdroj data'!N37&lt;=Body!$BS$14),Body!$BQ$6,IF(AND('Zdroj data'!N37&gt;=Body!$BT$14,'Zdroj data'!N37&lt;=Body!$BV$14),Body!$BT$6,IF(AND('Zdroj data'!N37&gt;=Body!$BW$14,'Zdroj data'!N37&lt;=Body!$BY$14),Body!$BW$6,IF('Zdroj data'!N37&gt;=Body!$CB$14,Body!$BZ$6,"")))))))))),""))</f>
        <v>1</v>
      </c>
      <c r="I37" s="264">
        <f>IF(Tabulka1[[#This Row],[kv.ek.]]=Body!$AX$13,IF(AND('Zdroj data'!N37&gt;=Body!$AY$13,'Zdroj data'!N37&lt;=Body!$BA$13),Body!$AY$6,IF(AND('Zdroj data'!N37&gt;=Body!$BB$13,'Zdroj data'!N37&lt;=Body!$BD$13),Body!$BB$6,IF(AND('Zdroj data'!N37&gt;=Body!$BE$13,'Zdroj data'!N37&lt;=Body!$BG$13),Body!$BE$6,IF(AND('Zdroj data'!N37&gt;=Body!$BH$13,'Zdroj data'!N37&lt;=Body!$BJ$13),Body!$BH$6,IF(AND('Zdroj data'!N37&gt;=Body!$BK$13,'Zdroj data'!N37&lt;=Body!$BM$13),Body!$BK$6,IF(AND('Zdroj data'!N37&gt;=Body!$BN$13,'Zdroj data'!N37&lt;=Body!$BP$13),Body!$BN$6,IF(AND('Zdroj data'!N37&gt;=Body!$BQ$13,'Zdroj data'!N37&lt;=Body!$BS$13),Body!$BQ$6,IF(AND('Zdroj data'!N37&gt;=Body!$BT$13,'Zdroj data'!N37&lt;=Body!$BV$13),Body!$BT$6,IF(AND('Zdroj data'!N37&gt;=Body!$BW$13,'Zdroj data'!N37&lt;=Body!$BY$13),Body!$BW$6,IF('Zdroj data'!N37&gt;=Body!$CB$13,Body!$BZ$6," ")))))))))),IF(Tabulka1[[#This Row],[kv.ek.]]=Body!$AX$14,IF(AND('Zdroj data'!O37&gt;=Body!$AY$14,'Zdroj data'!O37&lt;=Body!$BA$14),Body!$AY$6,IF(AND('Zdroj data'!O37&gt;=Body!$BB$14,'Zdroj data'!O37&lt;=Body!$BD$14),Body!$BB$6,IF(AND('Zdroj data'!O37&gt;=Body!$BE$14,'Zdroj data'!O37&lt;=Body!$BG$14),Body!$BE$6,IF(AND('Zdroj data'!O37&gt;=Body!$BH$14,'Zdroj data'!O37&lt;=Body!$BJ$14),Body!$BH$6,IF(AND('Zdroj data'!O37&gt;=Body!$BK$14,'Zdroj data'!O37&lt;=Body!$BM$14),Body!$BK$6,IF(AND('Zdroj data'!O37&gt;=Body!$BN$14,'Zdroj data'!O37&lt;=Body!$BP$14),Body!$BN$6,IF(AND('Zdroj data'!O37&gt;=Body!$BQ$14,'Zdroj data'!O37&lt;=Body!$BS$14),Body!$BQ$6,IF(AND('Zdroj data'!O37&gt;=Body!$BT$14,'Zdroj data'!O37&lt;=Body!$BV$14),Body!$BT$6,IF(AND('Zdroj data'!O37&gt;=Body!$BW$14,'Zdroj data'!O37&lt;=Body!$BY$14),Body!$BW$6,IF('Zdroj data'!O37&gt;=Body!$CB$14,Body!$BZ$6," "))))))))))," "))</f>
        <v>1</v>
      </c>
      <c r="J37" s="264">
        <f t="shared" si="8"/>
        <v>1</v>
      </c>
      <c r="K37" s="264">
        <f>IF(AG37=" ",AI37,AG37)</f>
        <v>1</v>
      </c>
      <c r="L37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6</v>
      </c>
      <c r="M37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7</v>
      </c>
      <c r="N37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37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37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37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37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37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9</v>
      </c>
      <c r="T37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37" s="264">
        <f>IF('Zdroj data'!BB37=Body!$AY$25,Body!$AY$22,IF('Zdroj data'!BB37=Body!$BB$25,Body!$BB$22,IF('Zdroj data'!BB37=Body!$BE$25,Body!$BE$22,IF('Zdroj data'!BB37=Body!$BH$25,Body!$BH$22,IF('Zdroj data'!BB37=Body!BK$25,Body!$BK$22,IF('Zdroj data'!BB37=Body!$BN$25,Body!$BN$22,IF('Zdroj data'!BB37=Body!$BQ$25,Body!$BQ$22,IF('Zdroj data'!BB37=Body!$BT$25,Body!$BT$22,IF('Zdroj data'!BB37=Body!$BW$25,Body!$BW$22,IF('Zdroj data'!BB37=Body!$BZ$25,Body!$BZ$22," "))))))))))</f>
        <v>5</v>
      </c>
      <c r="V37" s="264">
        <f>IF(AND('Zdroj data'!BO37&gt;Body!$AY$27,'Zdroj data'!BO37&lt;=Body!$BA$27),Body!$AY$22,IF(AND('Zdroj data'!BO37&gt;=Body!$BB$27,'Zdroj data'!BO37&lt;=Body!$BD$27),Body!$BB$22,IF(AND('Zdroj data'!BO37&gt;=Body!$BE$27,'Zdroj data'!BO37&lt;=Body!$BG$27),Body!$BE$22,IF(AND('Zdroj data'!BO37&gt;=Body!$BH$27,'Zdroj data'!BO37&lt;=Body!$BJ$27),Body!$BH$22,IF(AND('Zdroj data'!BO37&gt;=Body!$BK$27,'Zdroj data'!BO37&lt;=Body!$BM$27),Body!$BK$22,IF(AND('Zdroj data'!BO37&gt;=Body!$BN$27,'Zdroj data'!BO37&lt;=Body!$BP$27),Body!$BN$22,IF(AND('Zdroj data'!BO37&gt;=Body!$BQ$27,'Zdroj data'!BO37&lt;=Body!$BS$27),Body!$BQ$22,IF(AND('Zdroj data'!BO37&gt;=Body!$BT$27,'Zdroj data'!BO37&lt;=Body!$BV$27),Body!$BT$22,IF(AND('Zdroj data'!BO37&gt;=Body!$BW$27,'Zdroj data'!BO37&lt;=Body!$BY$27),Body!$BW$22,IF('Zdroj data'!BO37&gt;=Body!$CB$27,$BZ$22," "))))))))))</f>
        <v>6</v>
      </c>
      <c r="W37" s="264">
        <f>IF(AND('Zdroj data'!BP37&gt;Body!$AY$27,'Zdroj data'!BP37&lt;=Body!$BA$27),Body!$AY$22,IF(AND('Zdroj data'!BP37&gt;=Body!$BB$27,'Zdroj data'!BP37&lt;=Body!$BD$27),Body!$BB$22,IF(AND('Zdroj data'!BP37&gt;=Body!$BE$27,'Zdroj data'!BP37&lt;=Body!$BG$27),Body!$BE$22,IF(AND('Zdroj data'!BP37&gt;=Body!$BH$27,'Zdroj data'!BP37&lt;=Body!$BJ$27),Body!$BH$22,IF(AND('Zdroj data'!BP37&gt;=Body!$BK$27,'Zdroj data'!BP37&lt;=Body!$BM$27),Body!$BK$22,IF(AND('Zdroj data'!BP37&gt;=Body!$BN$27,'Zdroj data'!BP37&lt;=Body!$BP$27),Body!$BN$22,IF(AND('Zdroj data'!BP37&gt;=Body!$BQ$27,'Zdroj data'!BP37&lt;=Body!$BS$27),Body!$BQ$22,IF(AND('Zdroj data'!BP37&gt;=Body!$BT$27,'Zdroj data'!BP37&lt;=Body!$BV$27),Body!$BT$22,IF(AND('Zdroj data'!BP37&gt;=Body!$BW$27,'Zdroj data'!BP37&lt;=Body!$BY$27),Body!$BW$22,IF('Zdroj data'!BP37&gt;=Body!$CB$27,$BZ$22," "))))))))))</f>
        <v>3</v>
      </c>
      <c r="X37" s="264">
        <f>IF('Zdroj data'!BA37=Body!$BB$28,$BB$22,IF('Zdroj data'!BA37=Body!$BE$28,$BE$22,IF(OR('Zdroj data'!BA37=Body!$BK$28,'Zdroj data'!BA37=Body!$BL$28,'Zdroj data'!BA37=Body!$BM$28),$BK$22,IF(OR('Zdroj data'!BA37=Body!$BT$28,'Zdroj data'!BA37=Body!$BV$28),$BT$22,IF(OR('Zdroj data'!BA37=Body!$BW$28,'Zdroj data'!BA37=Body!$BY$28),$BW$22,IF('Zdroj data'!BA37=Body!$BZ$28,$BZ$22," "))))))</f>
        <v>9</v>
      </c>
      <c r="Y37" s="264">
        <f>IF('Zdroj data'!AZ37=Body!$BZ$29,Body!$BZ$22,IF(OR('Zdroj data'!AZ37=$BT$29,'Zdroj data'!AZ37=$BU$29,'Zdroj data'!AZ37=$BV$29),$BT$22,IF(OR('Zdroj data'!AZ37=$BK$29,'Zdroj data'!AZ37=$BM$29),$BK$22,IF(OR('Zdroj data'!AZ37=$BE$29,'Zdroj data'!AZ37=$BG$29),$BE$22,IF(OR('Zdroj data'!AZ37=$AY$29,'Zdroj data'!AZ37=$BA$29),$AY$22," ")))))</f>
        <v>10</v>
      </c>
      <c r="Z37" s="264">
        <f>IF(AND('Zdroj data'!BF37="T",(OR('Zdroj data'!AZ37=Body!$AW$45,'Zdroj data'!AZ37=Body!$AW$46,'Zdroj data'!AZ37=Body!$AW$47,'Zdroj data'!AZ37=Body!$AW$48))),Body!$AY$22,IF(AND('Zdroj data'!BF37="T",(OR('Zdroj data'!AZ37=$AW$49,'Zdroj data'!AZ37=$AW$50,'Zdroj data'!AZ37=$AW$51,'Zdroj data'!AZ37=$AW$52))),$BZ$22,IF(AND(OR('Zdroj data'!BF37="VT",'Zdroj data'!BF37="T",'Zdroj data'!BF37="CH"),(OR('Zdroj data'!AZ37=$AW$43,'Zdroj data'!AZ37=$AW$44,))),$BZ$22,IF(AND('Zdroj data'!BF37="CH",(OR('Zdroj data'!AZ37=$AW$49,'Zdroj data'!AZ37=$AW$50,'Zdroj data'!AZ37=$AW$51,'Zdroj data'!AZ37=$AW$52))),$AY$22,IF(AND('Zdroj data'!BF37="CH",(OR('Zdroj data'!AZ37=$AW$45,'Zdroj data'!AZ37=$AW$46,'Zdroj data'!AZ37=$AW$47,'Zdroj data'!AZ37=$AW$48))),$BZ$22," ")))))</f>
        <v>10</v>
      </c>
      <c r="AA37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37" s="264">
        <f>IF(Tabulka1[[#This Row],[kv.ek.]]=Body!$BK$35,Body!$BK$34,IF(Tabulka1[[#This Row],[kv.ek.]]=Body!$BZ$35,Body!$BZ$34," "))</f>
        <v>5</v>
      </c>
      <c r="AC37" s="264" t="str">
        <f>IF(AND('Zdroj data'!BF37="T",(OR('Zdroj data'!AZ37=Body!$AW$45,'Zdroj data'!AZ37=Body!$AW$46,'Zdroj data'!AZ37=Body!$AW$47,'Zdroj data'!AZ37=Body!$AW$48))),Body!$AY$22,IF(AND('Zdroj data'!BF37="T",(OR('Zdroj data'!AZ37=$AW$49,'Zdroj data'!AZ37=$AW$50,'Zdroj data'!AZ37=$AW$51,'Zdroj data'!AZ37=$AW$52))),$BZ$22," "))</f>
        <v xml:space="preserve"> </v>
      </c>
      <c r="AD37" s="264">
        <f>IF(AND(OR('Zdroj data'!BF37="VT",'Zdroj data'!BF37="T",'Zdroj data'!BF37="CH"),(OR('Zdroj data'!AZ37=$AW$43,'Zdroj data'!AZ37=$AW$44,))),$BZ$22," ")</f>
        <v>10</v>
      </c>
      <c r="AE37" s="264" t="str">
        <f>IF(AND('Zdroj data'!BF37="CH",(OR('Zdroj data'!AZ37=$AW$49,'Zdroj data'!AZ37=$AW$50,'Zdroj data'!AZ37=$AW$51,'Zdroj data'!AZ37=$AW$52))),$AY$22,IF(AND('Zdroj data'!BF37="CH",(OR('Zdroj data'!AZ37=$AW$45,'Zdroj data'!AZ37=$AW$46,'Zdroj data'!AZ37=$AW$47,'Zdroj data'!AZ37=$AW$48))),$BZ$22," "))</f>
        <v xml:space="preserve"> </v>
      </c>
      <c r="AF37" s="264">
        <f>IF(AND('Zdroj data'!BG37="L",'Zdroj data'!AM37=Body!$AX$15),IF(AND('Zdroj data'!O37&gt;=Body!$AY$15,'Zdroj data'!O37&lt;=Body!$BA$15),Body!AY$6,IF(AND('Zdroj data'!O37&gt;=Body!$BB$15,'Zdroj data'!O37&lt;=Body!$BD$15),Body!BB$6,IF(AND('Zdroj data'!O37&gt;=Body!$BE$15,'Zdroj data'!O37&lt;=Body!$BG$15),Body!BE$6,IF(AND('Zdroj data'!O37&gt;=Body!$BH$15,'Zdroj data'!O37&lt;=Body!$BJ$15),Body!BH$6,IF(AND('Zdroj data'!O37&gt;=Body!$BK$15,'Zdroj data'!O37&lt;=Body!$BM$15),Body!BK$6,IF(AND('Zdroj data'!O37&gt;=Body!$BN$15,'Zdroj data'!O37&lt;=Body!$BP$15),Body!$BN$6,IF(AND('Zdroj data'!O37&gt;=Body!$BQ$15,'Zdroj data'!O37&lt;=Body!$BS$15),Body!$BQ$6,IF(AND('Zdroj data'!O37&gt;=Body!$BT$15,'Zdroj data'!O37&lt;=Body!$BV$15),Body!BT$6,IF(AND('Zdroj data'!O37&gt;=Body!$BW$15,'Zdroj data'!O37&lt;=Body!$BY$15),Body!$BW$6,IF('Zdroj data'!O37&gt;=Body!$CB$15,Body!$BZ$6," ")))))))))),IF(AND('Zdroj data'!BG37="ST",'Zdroj data'!AM37=Body!$AX$16),IF(AND('Zdroj data'!O37&gt;=Body!$AY$16,'Zdroj data'!O37&lt;=Body!$BA$16),Body!$AY$6,IF(AND('Zdroj data'!O37&gt;=Body!$BB$16,'Zdroj data'!O37&lt;=Body!$BD$16),Body!$BB$6,IF(AND('Zdroj data'!O37&gt;=Body!$BE$16,'Zdroj data'!O37&lt;=Body!$BG$16),Body!$BE$6,IF(AND('Zdroj data'!O37&gt;=Body!$BH$16,'Zdroj data'!O37&lt;=Body!$BJ$16),Body!$BH$6,IF(AND('Zdroj data'!O37&gt;=Body!$BK$16,'Zdroj data'!O37&lt;=Body!$BM$16),Body!$BK$6,IF(AND('Zdroj data'!O37&gt;=Body!$BN$16,'Zdroj data'!O37&lt;=Body!$BP$16),Body!$BN$6,IF(AND('Zdroj data'!O37&gt;=Body!$BQ$16,'Zdroj data'!O37&lt;=Body!$BS$16),Body!$BQ$6,IF(AND('Zdroj data'!O37&gt;=Body!$BT$16,'Zdroj data'!O37&lt;=Body!$BV$16),Body!$BT$6,IF(AND('Zdroj data'!O37&gt;=Body!$BW$16,'Zdroj data'!O37&lt;=Body!$BY$16),Body!$BW$6,IF('Zdroj data'!O37&gt;=Body!$CB$16,Body!$BZ$6," ")))))))))),IF(AND('Zdroj data'!BG37="T",'Zdroj data'!AM37=Body!$AX$17),IF(AND('Zdroj data'!O37&gt;=Body!$AY$17,'Zdroj data'!O37&lt;=Body!$BA$17),Body!$AY$6,IF(AND('Zdroj data'!O37&gt;=Body!$BB$17,'Zdroj data'!O37&lt;=Body!$BD$17),Body!$BB$6,IF(AND('Zdroj data'!O37&gt;=Body!$BE$17,'Zdroj data'!O37&lt;=Body!$BG$17),Body!$BE$6,IF(AND('Zdroj data'!O37&gt;=Body!$BH$17,'Zdroj data'!O37&lt;=Body!BJ51),Body!$BH$6,IF(AND('Zdroj data'!O37&gt;=Body!$BK$17,'Zdroj data'!O37&lt;=Body!$BM$17),Body!$BK$6,IF(AND('Zdroj data'!O37&gt;=Body!$BN$17,'Zdroj data'!O37&lt;=Body!$BP$17),Body!$BN$6,IF(AND('Zdroj data'!O37&gt;=Body!$BQ$17,'Zdroj data'!O37&lt;=Body!$BS$17),Body!$BQ$6,IF(AND('Zdroj data'!O37&gt;=Body!$BT$17,'Zdroj data'!O37&lt;=Body!$BV$17),Body!$BT$6,IF(AND('Zdroj data'!O37&gt;=Body!$BW$17,'Zdroj data'!O37&lt;=Body!$BY$17),Body!$BW$6,IF('Zdroj data'!O37&gt;=Body!$CB$17,Body!$BZ$6," "))))))))))," ")))</f>
        <v>1</v>
      </c>
      <c r="AG37" s="264">
        <f>IF(AND('Zdroj data'!$BG37="L",'Zdroj data'!$AM37=Body!$AX$15),IF(AND(Tabulka1[[#This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data'!$BG37="ST",'Zdroj data'!$AM37=Body!$AX$16),IF(AND(Tabulka1[[#This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data'!$BG37="T",'Zdroj data'!$AM37=Body!$AX$17),IF(AND(Tabulka1[[#This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Row],[K2O_60]]&lt;=Body!BJ51),Body!$BH$6,IF(AND(Tabulka1[[#This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37" s="264" t="str">
        <f>IF(AND('Zdroj data'!BG37="L",'Zdroj data'!AM37=Body!$AX$18),IF(AND('Zdroj data'!O37&gt;=Body!$AY$18,'Zdroj data'!O37&lt;=Body!$BA$18),Body!AY$6,IF(AND('Zdroj data'!O37&gt;=Body!$BB$18,'Zdroj data'!O37&lt;=Body!$BD$18),Body!BB$6,IF(AND('Zdroj data'!O37&gt;=Body!$BE$18,'Zdroj data'!O37&lt;=Body!$BG$18),Body!BE$6,IF(AND('Zdroj data'!O37&gt;=Body!$BH$18,'Zdroj data'!O37&lt;=Body!$BJ$18),Body!BH$6,IF(AND('Zdroj data'!O37&gt;=Body!$BK$18,'Zdroj data'!O37&lt;=Body!$BM$18),Body!$BK$6,IF(AND('Zdroj data'!O37&gt;=Body!$BN$18,'Zdroj data'!O37&lt;=Body!$BP$18),Body!BN$6,IF(AND('Zdroj data'!O37&gt;=Body!$BQ$18,'Zdroj data'!O37&lt;=Body!$BS$18),Body!$BQ$6,IF(AND('Zdroj data'!O37&gt;=Body!$BT$18,'Zdroj data'!O37&lt;=Body!$BV$18),Body!$BT$6,IF(AND('Zdroj data'!O37&gt;=Body!$BW$18,'Zdroj data'!O37&lt;=Body!$BY$18),Body!$BW$6,IF('Zdroj data'!O37&gt;=Body!$CB$18,Body!$BZ$6," ")))))))))),IF(AND('Zdroj data'!BG37="ST",'Zdroj data'!AM37=Body!$AX$19),IF(AND('Zdroj data'!O37&gt;=Body!$AY$19,'Zdroj data'!O37&lt;=Body!$BA$19),Body!$AY$6,IF(AND('Zdroj data'!O37&gt;=Body!$BB$19,'Zdroj data'!O37&lt;=Body!$BD$19),Body!$BB$6,IF(AND('Zdroj data'!O37&gt;=Body!$BE$19,'Zdroj data'!O37&lt;=Body!$BG$19),Body!$BE$6,IF(AND('Zdroj data'!O37&gt;=Body!$BH$19,'Zdroj data'!O37&lt;=Body!$BJ$19),Body!$BH$6,IF(AND('Zdroj data'!O37&gt;=Body!$BK$19,'Zdroj data'!O37&lt;=Body!$BM$19),Body!$BK$6,IF(AND('Zdroj data'!O37&gt;=Body!$BN$19,'Zdroj data'!O37&lt;=Body!$BP$19),Body!$BN$6,IF(AND('Zdroj data'!O37&gt;=Body!$BQ$19,'Zdroj data'!O37&lt;=Body!$BS$19),Body!$BQ$6,IF(AND('Zdroj data'!O37&gt;=Body!$BT$19,'Zdroj data'!O41&lt;=Body!$BV$19),Body!$BT$6,IF(AND('Zdroj data'!O37&gt;=Body!$BW$19,'Zdroj data'!O37&lt;=Body!$BY$19),Body!$BW$6,IF('Zdroj data'!O37&gt;=Body!$CB$19,Body!$BZ$6," ")))))))))),IF(AND('Zdroj data'!BG37="T",'Zdroj data'!AM37=Body!$AX$20),IF(AND('Zdroj data'!O37&gt;=Body!$AY$20,'Zdroj data'!O37&lt;=Body!$BA$20),Body!$AY$6,IF(AND('Zdroj data'!O37&gt;=Body!$BB$20,'Zdroj data'!O37&lt;=Body!$BD$20),Body!$BB$6,IF(AND('Zdroj data'!O37&gt;=Body!$BE$20,'Zdroj data'!O37&lt;=Body!$BG$20),Body!$BE$6,IF(AND('Zdroj data'!O37&gt;=Body!$BH$20,'Zdroj data'!O37&lt;=Body!$BJ$20),Body!$BH$6,IF(AND('Zdroj data'!O37&gt;=Body!$BK$20,'Zdroj data'!O37&lt;=Body!$BM$20),Body!$BK$6,IF(AND('Zdroj data'!O37&gt;=Body!$BN$20,'Zdroj data'!O37&lt;=Body!$BP$20),Body!$BN$6,IF(AND('Zdroj data'!O37&gt;=Body!$BQ$20,'Zdroj data'!O37&lt;=Body!$BS$20),Body!$BQ$6,IF(AND('Zdroj data'!O37&gt;=Body!$BT$20,'Zdroj data'!O37&lt;=Body!#REF!),Body!$BT$6,IF(AND('Zdroj data'!O37&gt;=Body!$BW$20,'Zdroj data'!O37&lt;=Body!$BY$20),Body!$BW$6,IF('Zdroj data'!O37&gt;=Body!$CB$20,Body!$BZ$6," "))))))))))," ")))</f>
        <v xml:space="preserve"> </v>
      </c>
      <c r="AI37" s="264" t="str">
        <f>IF(AND('Zdroj data'!$BG37="L",'Zdroj data'!$AM37=Body!$AX$18),IF(AND(Tabulka1[[#This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data'!$BG37="ST",'Zdroj data'!$AM37=Body!$AX$19),IF(AND(Tabulka1[[#This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data'!$BG37="T",'Zdroj data'!$AM37=Body!$AX$20),IF(AND(Tabulka1[[#This Row],[K2O_60]]&gt;=Body!$AY$20,'Zdroj data'!O37&lt;=Body!$BA$20),Body!$AY$6,IF(AND(Tabulka1[[#This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37" s="265">
        <f t="shared" si="10"/>
        <v>14.666666666666682</v>
      </c>
      <c r="AK37" s="264">
        <f t="shared" si="3"/>
        <v>29.559042159699121</v>
      </c>
      <c r="AL37" s="264">
        <f t="shared" si="4"/>
        <v>29.135108429567325</v>
      </c>
      <c r="AM37" s="264">
        <f t="shared" si="5"/>
        <v>69.958340930752783</v>
      </c>
      <c r="AN37" s="264">
        <f t="shared" si="6"/>
        <v>65.32456130914683</v>
      </c>
      <c r="AO37" s="265">
        <f t="shared" si="11"/>
        <v>99.517383090451901</v>
      </c>
      <c r="AP37" s="265">
        <f t="shared" si="12"/>
        <v>94.459669738714155</v>
      </c>
      <c r="AQ37" s="318"/>
      <c r="AR37" s="338">
        <f t="shared" si="7"/>
        <v>208.64371949583273</v>
      </c>
      <c r="AS37" s="318"/>
      <c r="AT37" s="138"/>
      <c r="AU37" s="138"/>
      <c r="BH37"/>
    </row>
    <row r="38" spans="1:80" ht="15.5" x14ac:dyDescent="0.35">
      <c r="A38" s="270">
        <v>1060</v>
      </c>
      <c r="B38" s="156" t="s">
        <v>525</v>
      </c>
      <c r="C38" s="250" t="str">
        <f>VLOOKUP(B38,'Zdroj hloubka okresy'!$A$2:$D$171,2,FALSE)</f>
        <v>Pribram</v>
      </c>
      <c r="D38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38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38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38" s="264">
        <f>IF(AND(Tabulka1[[#This Row],[hum_60]]&gt;AY49,Tabulka1[[#This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38" s="264">
        <f>IF(Tabulka1[[#This Row],[kv.ek.]]=Body!$AX$13,IF(AND('Zdroj data'!M38&gt;=Body!$AY$13,'Zdroj data'!M38&lt;=Body!$BA$13),Body!$AY$6,IF(AND('Zdroj data'!M38&gt;=Body!$BB$13,'Zdroj data'!M38&lt;=Body!$BD$13),Body!$BB$6,IF(AND('Zdroj data'!M38&gt;=Body!$BE$13,'Zdroj data'!M38&lt;=Body!$BG$13),Body!$BE$6,IF(AND('Zdroj data'!M38&gt;=Body!$BH$13,'Zdroj data'!M38&lt;=Body!$BJ$13),Body!$BH$6,IF(AND('Zdroj data'!M38&gt;=Body!$BK$13,'Zdroj data'!M38&lt;=Body!$BM$13),Body!$BK$6,IF(AND('Zdroj data'!M38&gt;=Body!$BN$13,'Zdroj data'!M38&lt;=Body!$BP$13),Body!$BN$6,IF(AND('Zdroj data'!M38&gt;=Body!$BQ$13,'Zdroj data'!M38&lt;=Body!$BS$13),Body!$BQ$6,IF(AND('Zdroj data'!M38&gt;=Body!$BT$13,'Zdroj data'!M38&lt;=Body!$BV$13),Body!$BT$6,IF(AND('Zdroj data'!M38&gt;=Body!$BW$13,'Zdroj data'!M38&lt;=Body!$BY$13),Body!$BW$6,IF('Zdroj data'!M38&gt;=Body!$CB$13,Body!$BZ$6,"")))))))))),IF(Tabulka1[[#This Row],[kv.ek.]]=Body!$AX$14,IF(AND('Zdroj data'!N38&gt;=Body!$AY$14,'Zdroj data'!N38&lt;=Body!$BA$14),Body!$AY$6,IF(AND('Zdroj data'!N38&gt;=Body!$BB$14,'Zdroj data'!N38&lt;=Body!$BD$14),Body!$BB$6,IF(AND('Zdroj data'!N38&gt;=Body!$BE$14,'Zdroj data'!N38&lt;=Body!$BG$14),Body!$BE$6,IF(AND('Zdroj data'!N38&gt;=Body!$BH$14,'Zdroj data'!N38&lt;=Body!$BJ$14),Body!$BH$6,IF(AND('Zdroj data'!N38&gt;=Body!$BK$14,'Zdroj data'!N38&lt;=Body!$BM$14),Body!$BK$6,IF(AND('Zdroj data'!N38&gt;=Body!$BN$14,'Zdroj data'!N38&lt;=Body!$BP$14),Body!$BN$6,IF(AND('Zdroj data'!N38&gt;=Body!$BQ$14,'Zdroj data'!N38&lt;=Body!$BS$14),Body!$BQ$6,IF(AND('Zdroj data'!N38&gt;=Body!$BT$14,'Zdroj data'!N38&lt;=Body!$BV$14),Body!$BT$6,IF(AND('Zdroj data'!N38&gt;=Body!$BW$14,'Zdroj data'!N38&lt;=Body!$BY$14),Body!$BW$6,IF('Zdroj data'!N38&gt;=Body!$CB$14,Body!$BZ$6,"")))))))))),""))</f>
        <v>1</v>
      </c>
      <c r="I38" s="264">
        <f>IF(Tabulka1[[#This Row],[kv.ek.]]=Body!$AX$13,IF(AND('Zdroj data'!N38&gt;=Body!$AY$13,'Zdroj data'!N38&lt;=Body!$BA$13),Body!$AY$6,IF(AND('Zdroj data'!N38&gt;=Body!$BB$13,'Zdroj data'!N38&lt;=Body!$BD$13),Body!$BB$6,IF(AND('Zdroj data'!N38&gt;=Body!$BE$13,'Zdroj data'!N38&lt;=Body!$BG$13),Body!$BE$6,IF(AND('Zdroj data'!N38&gt;=Body!$BH$13,'Zdroj data'!N38&lt;=Body!$BJ$13),Body!$BH$6,IF(AND('Zdroj data'!N38&gt;=Body!$BK$13,'Zdroj data'!N38&lt;=Body!$BM$13),Body!$BK$6,IF(AND('Zdroj data'!N38&gt;=Body!$BN$13,'Zdroj data'!N38&lt;=Body!$BP$13),Body!$BN$6,IF(AND('Zdroj data'!N38&gt;=Body!$BQ$13,'Zdroj data'!N38&lt;=Body!$BS$13),Body!$BQ$6,IF(AND('Zdroj data'!N38&gt;=Body!$BT$13,'Zdroj data'!N38&lt;=Body!$BV$13),Body!$BT$6,IF(AND('Zdroj data'!N38&gt;=Body!$BW$13,'Zdroj data'!N38&lt;=Body!$BY$13),Body!$BW$6,IF('Zdroj data'!N38&gt;=Body!$CB$13,Body!$BZ$6," ")))))))))),IF(Tabulka1[[#This Row],[kv.ek.]]=Body!$AX$14,IF(AND('Zdroj data'!O38&gt;=Body!$AY$14,'Zdroj data'!O38&lt;=Body!$BA$14),Body!$AY$6,IF(AND('Zdroj data'!O38&gt;=Body!$BB$14,'Zdroj data'!O38&lt;=Body!$BD$14),Body!$BB$6,IF(AND('Zdroj data'!O38&gt;=Body!$BE$14,'Zdroj data'!O38&lt;=Body!$BG$14),Body!$BE$6,IF(AND('Zdroj data'!O38&gt;=Body!$BH$14,'Zdroj data'!O38&lt;=Body!$BJ$14),Body!$BH$6,IF(AND('Zdroj data'!O38&gt;=Body!$BK$14,'Zdroj data'!O38&lt;=Body!$BM$14),Body!$BK$6,IF(AND('Zdroj data'!O38&gt;=Body!$BN$14,'Zdroj data'!O38&lt;=Body!$BP$14),Body!$BN$6,IF(AND('Zdroj data'!O38&gt;=Body!$BQ$14,'Zdroj data'!O38&lt;=Body!$BS$14),Body!$BQ$6,IF(AND('Zdroj data'!O38&gt;=Body!$BT$14,'Zdroj data'!O38&lt;=Body!$BV$14),Body!$BT$6,IF(AND('Zdroj data'!O38&gt;=Body!$BW$14,'Zdroj data'!O38&lt;=Body!$BY$14),Body!$BW$6,IF('Zdroj data'!O38&gt;=Body!$CB$14,Body!$BZ$6," "))))))))))," "))</f>
        <v>9</v>
      </c>
      <c r="J38" s="264">
        <f t="shared" si="8"/>
        <v>3</v>
      </c>
      <c r="K38" s="264">
        <f t="shared" si="9"/>
        <v>2</v>
      </c>
      <c r="L38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8</v>
      </c>
      <c r="M38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7</v>
      </c>
      <c r="N38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38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38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38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38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38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38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38" s="264">
        <f>IF('Zdroj data'!BB38=Body!$AY$25,Body!$AY$22,IF('Zdroj data'!BB38=Body!$BB$25,Body!$BB$22,IF('Zdroj data'!BB38=Body!$BE$25,Body!$BE$22,IF('Zdroj data'!BB38=Body!$BH$25,Body!$BH$22,IF('Zdroj data'!BB38=Body!BK$25,Body!$BK$22,IF('Zdroj data'!BB38=Body!$BN$25,Body!$BN$22,IF('Zdroj data'!BB38=Body!$BQ$25,Body!$BQ$22,IF('Zdroj data'!BB38=Body!$BT$25,Body!$BT$22,IF('Zdroj data'!BB38=Body!$BW$25,Body!$BW$22,IF('Zdroj data'!BB38=Body!$BZ$25,Body!$BZ$22," "))))))))))</f>
        <v>6</v>
      </c>
      <c r="V38" s="264">
        <f>IF(AND('Zdroj data'!BO38&gt;Body!$AY$27,'Zdroj data'!BO38&lt;=Body!$BA$27),Body!$AY$22,IF(AND('Zdroj data'!BO38&gt;=Body!$BB$27,'Zdroj data'!BO38&lt;=Body!$BD$27),Body!$BB$22,IF(AND('Zdroj data'!BO38&gt;=Body!$BE$27,'Zdroj data'!BO38&lt;=Body!$BG$27),Body!$BE$22,IF(AND('Zdroj data'!BO38&gt;=Body!$BH$27,'Zdroj data'!BO38&lt;=Body!$BJ$27),Body!$BH$22,IF(AND('Zdroj data'!BO38&gt;=Body!$BK$27,'Zdroj data'!BO38&lt;=Body!$BM$27),Body!$BK$22,IF(AND('Zdroj data'!BO38&gt;=Body!$BN$27,'Zdroj data'!BO38&lt;=Body!$BP$27),Body!$BN$22,IF(AND('Zdroj data'!BO38&gt;=Body!$BQ$27,'Zdroj data'!BO38&lt;=Body!$BS$27),Body!$BQ$22,IF(AND('Zdroj data'!BO38&gt;=Body!$BT$27,'Zdroj data'!BO38&lt;=Body!$BV$27),Body!$BT$22,IF(AND('Zdroj data'!BO38&gt;=Body!$BW$27,'Zdroj data'!BO38&lt;=Body!$BY$27),Body!$BW$22,IF('Zdroj data'!BO38&gt;=Body!$CB$27,$BZ$22," "))))))))))</f>
        <v>4</v>
      </c>
      <c r="W38" s="264">
        <f>IF(AND('Zdroj data'!BP38&gt;Body!$AY$27,'Zdroj data'!BP38&lt;=Body!$BA$27),Body!$AY$22,IF(AND('Zdroj data'!BP38&gt;=Body!$BB$27,'Zdroj data'!BP38&lt;=Body!$BD$27),Body!$BB$22,IF(AND('Zdroj data'!BP38&gt;=Body!$BE$27,'Zdroj data'!BP38&lt;=Body!$BG$27),Body!$BE$22,IF(AND('Zdroj data'!BP38&gt;=Body!$BH$27,'Zdroj data'!BP38&lt;=Body!$BJ$27),Body!$BH$22,IF(AND('Zdroj data'!BP38&gt;=Body!$BK$27,'Zdroj data'!BP38&lt;=Body!$BM$27),Body!$BK$22,IF(AND('Zdroj data'!BP38&gt;=Body!$BN$27,'Zdroj data'!BP38&lt;=Body!$BP$27),Body!$BN$22,IF(AND('Zdroj data'!BP38&gt;=Body!$BQ$27,'Zdroj data'!BP38&lt;=Body!$BS$27),Body!$BQ$22,IF(AND('Zdroj data'!BP38&gt;=Body!$BT$27,'Zdroj data'!BP38&lt;=Body!$BV$27),Body!$BT$22,IF(AND('Zdroj data'!BP38&gt;=Body!$BW$27,'Zdroj data'!BP38&lt;=Body!$BY$27),Body!$BW$22,IF('Zdroj data'!BP38&gt;=Body!$CB$27,$BZ$22," "))))))))))</f>
        <v>5</v>
      </c>
      <c r="X38" s="264">
        <f>IF('Zdroj data'!BA38=Body!$BB$28,$BB$22,IF('Zdroj data'!BA38=Body!$BE$28,$BE$22,IF(OR('Zdroj data'!BA38=Body!$BK$28,'Zdroj data'!BA38=Body!$BL$28,'Zdroj data'!BA38=Body!$BM$28),$BK$22,IF(OR('Zdroj data'!BA38=Body!$BT$28,'Zdroj data'!BA38=Body!$BV$28),$BT$22,IF(OR('Zdroj data'!BA38=Body!$BW$28,'Zdroj data'!BA38=Body!$BY$28),$BW$22,IF('Zdroj data'!BA38=Body!$BZ$28,$BZ$22," "))))))</f>
        <v>9</v>
      </c>
      <c r="Y38" s="264">
        <f>IF('Zdroj data'!AZ38=Body!$BZ$29,Body!$BZ$22,IF(OR('Zdroj data'!AZ38=$BT$29,'Zdroj data'!AZ38=$BU$29,'Zdroj data'!AZ38=$BV$29),$BT$22,IF(OR('Zdroj data'!AZ38=$BK$29,'Zdroj data'!AZ38=$BM$29),$BK$22,IF(OR('Zdroj data'!AZ38=$BE$29,'Zdroj data'!AZ38=$BG$29),$BE$22,IF(OR('Zdroj data'!AZ38=$AY$29,'Zdroj data'!AZ38=$BA$29),$AY$22," ")))))</f>
        <v>8</v>
      </c>
      <c r="Z38" s="264">
        <f>IF(AND('Zdroj data'!BF38="T",(OR('Zdroj data'!AZ38=Body!$AW$45,'Zdroj data'!AZ38=Body!$AW$46,'Zdroj data'!AZ38=Body!$AW$47,'Zdroj data'!AZ38=Body!$AW$48))),Body!$AY$22,IF(AND('Zdroj data'!BF38="T",(OR('Zdroj data'!AZ38=$AW$49,'Zdroj data'!AZ38=$AW$50,'Zdroj data'!AZ38=$AW$51,'Zdroj data'!AZ38=$AW$52))),$BZ$22,IF(AND(OR('Zdroj data'!BF38="VT",'Zdroj data'!BF38="T",'Zdroj data'!BF38="CH"),(OR('Zdroj data'!AZ38=$AW$43,'Zdroj data'!AZ38=$AW$44,))),$BZ$22,IF(AND('Zdroj data'!BF38="CH",(OR('Zdroj data'!AZ38=$AW$49,'Zdroj data'!AZ38=$AW$50,'Zdroj data'!AZ38=$AW$51,'Zdroj data'!AZ38=$AW$52))),$AY$22,IF(AND('Zdroj data'!BF38="CH",(OR('Zdroj data'!AZ38=$AW$45,'Zdroj data'!AZ38=$AW$46,'Zdroj data'!AZ38=$AW$47,'Zdroj data'!AZ38=$AW$48))),$BZ$22," ")))))</f>
        <v>10</v>
      </c>
      <c r="AA38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38" s="264">
        <f>IF(Tabulka1[[#This Row],[kv.ek.]]=Body!$BK$35,Body!$BK$34,IF(Tabulka1[[#This Row],[kv.ek.]]=Body!$BZ$35,Body!$BZ$34," "))</f>
        <v>10</v>
      </c>
      <c r="AC38" s="264" t="str">
        <f>IF(AND('Zdroj data'!BF38="T",(OR('Zdroj data'!AZ38=Body!$AW$45,'Zdroj data'!AZ38=Body!$AW$46,'Zdroj data'!AZ38=Body!$AW$47,'Zdroj data'!AZ38=Body!$AW$48))),Body!$AY$22,IF(AND('Zdroj data'!BF38="T",(OR('Zdroj data'!AZ38=$AW$49,'Zdroj data'!AZ38=$AW$50,'Zdroj data'!AZ38=$AW$51,'Zdroj data'!AZ38=$AW$52))),$BZ$22," "))</f>
        <v xml:space="preserve"> </v>
      </c>
      <c r="AD38" s="264">
        <f>IF(AND(OR('Zdroj data'!BF38="VT",'Zdroj data'!BF38="T",'Zdroj data'!BF38="CH"),(OR('Zdroj data'!AZ38=$AW$43,'Zdroj data'!AZ38=$AW$44,))),$BZ$22," ")</f>
        <v>10</v>
      </c>
      <c r="AE38" s="264" t="str">
        <f>IF(AND('Zdroj data'!BF38="CH",(OR('Zdroj data'!AZ38=$AW$49,'Zdroj data'!AZ38=$AW$50,'Zdroj data'!AZ38=$AW$51,'Zdroj data'!AZ38=$AW$52))),$AY$22,IF(AND('Zdroj data'!BF38="CH",(OR('Zdroj data'!AZ38=$AW$45,'Zdroj data'!AZ38=$AW$46,'Zdroj data'!AZ38=$AW$47,'Zdroj data'!AZ38=$AW$48))),$BZ$22," "))</f>
        <v xml:space="preserve"> </v>
      </c>
      <c r="AF38" s="264" t="str">
        <f>IF(AND('Zdroj data'!BG38="L",'Zdroj data'!AM38=Body!$AX$15),IF(AND('Zdroj data'!O38&gt;=Body!$AY$15,'Zdroj data'!O38&lt;=Body!$BA$15),Body!AY$6,IF(AND('Zdroj data'!O38&gt;=Body!$BB$15,'Zdroj data'!O38&lt;=Body!$BD$15),Body!BB$6,IF(AND('Zdroj data'!O38&gt;=Body!$BE$15,'Zdroj data'!O38&lt;=Body!$BG$15),Body!BE$6,IF(AND('Zdroj data'!O38&gt;=Body!$BH$15,'Zdroj data'!O38&lt;=Body!$BJ$15),Body!BH$6,IF(AND('Zdroj data'!O38&gt;=Body!$BK$15,'Zdroj data'!O38&lt;=Body!$BM$15),Body!BK$6,IF(AND('Zdroj data'!O38&gt;=Body!$BN$15,'Zdroj data'!O38&lt;=Body!$BP$15),Body!$BN$6,IF(AND('Zdroj data'!O38&gt;=Body!$BQ$15,'Zdroj data'!O38&lt;=Body!$BS$15),Body!$BQ$6,IF(AND('Zdroj data'!O38&gt;=Body!$BT$15,'Zdroj data'!O38&lt;=Body!$BV$15),Body!BT$6,IF(AND('Zdroj data'!O38&gt;=Body!$BW$15,'Zdroj data'!O38&lt;=Body!$BY$15),Body!$BW$6,IF('Zdroj data'!O38&gt;=Body!$CB$15,Body!$BZ$6," ")))))))))),IF(AND('Zdroj data'!BG38="ST",'Zdroj data'!AM38=Body!$AX$16),IF(AND('Zdroj data'!O38&gt;=Body!$AY$16,'Zdroj data'!O38&lt;=Body!$BA$16),Body!$AY$6,IF(AND('Zdroj data'!O38&gt;=Body!$BB$16,'Zdroj data'!O38&lt;=Body!$BD$16),Body!$BB$6,IF(AND('Zdroj data'!O38&gt;=Body!$BE$16,'Zdroj data'!O38&lt;=Body!$BG$16),Body!$BE$6,IF(AND('Zdroj data'!O38&gt;=Body!$BH$16,'Zdroj data'!O38&lt;=Body!$BJ$16),Body!$BH$6,IF(AND('Zdroj data'!O38&gt;=Body!$BK$16,'Zdroj data'!O38&lt;=Body!$BM$16),Body!$BK$6,IF(AND('Zdroj data'!O38&gt;=Body!$BN$16,'Zdroj data'!O38&lt;=Body!$BP$16),Body!$BN$6,IF(AND('Zdroj data'!O38&gt;=Body!$BQ$16,'Zdroj data'!O38&lt;=Body!$BS$16),Body!$BQ$6,IF(AND('Zdroj data'!O38&gt;=Body!$BT$16,'Zdroj data'!O38&lt;=Body!$BV$16),Body!$BT$6,IF(AND('Zdroj data'!O38&gt;=Body!$BW$16,'Zdroj data'!O38&lt;=Body!$BY$16),Body!$BW$6,IF('Zdroj data'!O38&gt;=Body!$CB$16,Body!$BZ$6," ")))))))))),IF(AND('Zdroj data'!BG38="T",'Zdroj data'!AM38=Body!$AX$17),IF(AND('Zdroj data'!O38&gt;=Body!$AY$17,'Zdroj data'!O38&lt;=Body!$BA$17),Body!$AY$6,IF(AND('Zdroj data'!O38&gt;=Body!$BB$17,'Zdroj data'!O38&lt;=Body!$BD$17),Body!$BB$6,IF(AND('Zdroj data'!O38&gt;=Body!$BE$17,'Zdroj data'!O38&lt;=Body!$BG$17),Body!$BE$6,IF(AND('Zdroj data'!O38&gt;=Body!$BH$17,'Zdroj data'!O38&lt;=Body!BJ52),Body!$BH$6,IF(AND('Zdroj data'!O38&gt;=Body!$BK$17,'Zdroj data'!O38&lt;=Body!$BM$17),Body!$BK$6,IF(AND('Zdroj data'!O38&gt;=Body!$BN$17,'Zdroj data'!O38&lt;=Body!$BP$17),Body!$BN$6,IF(AND('Zdroj data'!O38&gt;=Body!$BQ$17,'Zdroj data'!O38&lt;=Body!$BS$17),Body!$BQ$6,IF(AND('Zdroj data'!O38&gt;=Body!$BT$17,'Zdroj data'!O38&lt;=Body!$BV$17),Body!$BT$6,IF(AND('Zdroj data'!O38&gt;=Body!$BW$17,'Zdroj data'!O38&lt;=Body!$BY$17),Body!$BW$6,IF('Zdroj data'!O38&gt;=Body!$CB$17,Body!$BZ$6," "))))))))))," ")))</f>
        <v xml:space="preserve"> </v>
      </c>
      <c r="AG38" s="264" t="str">
        <f>IF(AND('Zdroj data'!$BG38="L",'Zdroj data'!$AM38=Body!$AX$15),IF(AND(Tabulka1[[#This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data'!$BG38="ST",'Zdroj data'!$AM38=Body!$AX$16),IF(AND(Tabulka1[[#This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data'!$BG38="T",'Zdroj data'!$AM38=Body!$AX$17),IF(AND(Tabulka1[[#This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Row],[K2O_60]]&lt;=Body!BJ52),Body!$BH$6,IF(AND(Tabulka1[[#This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38" s="264">
        <f>IF(AND('Zdroj data'!BG38="L",'Zdroj data'!AM38=Body!$AX$18),IF(AND('Zdroj data'!O38&gt;=Body!$AY$18,'Zdroj data'!O38&lt;=Body!$BA$18),Body!AY$6,IF(AND('Zdroj data'!O38&gt;=Body!$BB$18,'Zdroj data'!O38&lt;=Body!$BD$18),Body!BB$6,IF(AND('Zdroj data'!O38&gt;=Body!$BE$18,'Zdroj data'!O38&lt;=Body!$BG$18),Body!BE$6,IF(AND('Zdroj data'!O38&gt;=Body!$BH$18,'Zdroj data'!O38&lt;=Body!$BJ$18),Body!BH$6,IF(AND('Zdroj data'!O38&gt;=Body!$BK$18,'Zdroj data'!O38&lt;=Body!$BM$18),Body!$BK$6,IF(AND('Zdroj data'!O38&gt;=Body!$BN$18,'Zdroj data'!O38&lt;=Body!$BP$18),Body!BN$6,IF(AND('Zdroj data'!O38&gt;=Body!$BQ$18,'Zdroj data'!O38&lt;=Body!$BS$18),Body!$BQ$6,IF(AND('Zdroj data'!O38&gt;=Body!$BT$18,'Zdroj data'!O38&lt;=Body!$BV$18),Body!$BT$6,IF(AND('Zdroj data'!O38&gt;=Body!$BW$18,'Zdroj data'!O38&lt;=Body!$BY$18),Body!$BW$6,IF('Zdroj data'!O38&gt;=Body!$CB$18,Body!$BZ$6," ")))))))))),IF(AND('Zdroj data'!BG38="ST",'Zdroj data'!AM38=Body!$AX$19),IF(AND('Zdroj data'!O38&gt;=Body!$AY$19,'Zdroj data'!O38&lt;=Body!$BA$19),Body!$AY$6,IF(AND('Zdroj data'!O38&gt;=Body!$BB$19,'Zdroj data'!O38&lt;=Body!$BD$19),Body!$BB$6,IF(AND('Zdroj data'!O38&gt;=Body!$BE$19,'Zdroj data'!O38&lt;=Body!$BG$19),Body!$BE$6,IF(AND('Zdroj data'!O38&gt;=Body!$BH$19,'Zdroj data'!O38&lt;=Body!$BJ$19),Body!$BH$6,IF(AND('Zdroj data'!O38&gt;=Body!$BK$19,'Zdroj data'!O38&lt;=Body!$BM$19),Body!$BK$6,IF(AND('Zdroj data'!O38&gt;=Body!$BN$19,'Zdroj data'!O38&lt;=Body!$BP$19),Body!$BN$6,IF(AND('Zdroj data'!O38&gt;=Body!$BQ$19,'Zdroj data'!O38&lt;=Body!$BS$19),Body!$BQ$6,IF(AND('Zdroj data'!O38&gt;=Body!$BT$19,'Zdroj data'!O42&lt;=Body!$BV$19),Body!$BT$6,IF(AND('Zdroj data'!O38&gt;=Body!$BW$19,'Zdroj data'!O38&lt;=Body!$BY$19),Body!$BW$6,IF('Zdroj data'!O38&gt;=Body!$CB$19,Body!$BZ$6," ")))))))))),IF(AND('Zdroj data'!BG38="T",'Zdroj data'!AM38=Body!$AX$20),IF(AND('Zdroj data'!O38&gt;=Body!$AY$20,'Zdroj data'!O38&lt;=Body!$BA$20),Body!$AY$6,IF(AND('Zdroj data'!O38&gt;=Body!$BB$20,'Zdroj data'!O38&lt;=Body!$BD$20),Body!$BB$6,IF(AND('Zdroj data'!O38&gt;=Body!$BE$20,'Zdroj data'!O38&lt;=Body!$BG$20),Body!$BE$6,IF(AND('Zdroj data'!O38&gt;=Body!$BH$20,'Zdroj data'!O38&lt;=Body!$BJ$20),Body!$BH$6,IF(AND('Zdroj data'!O38&gt;=Body!$BK$20,'Zdroj data'!O38&lt;=Body!$BM$20),Body!$BK$6,IF(AND('Zdroj data'!O38&gt;=Body!$BN$20,'Zdroj data'!O38&lt;=Body!$BP$20),Body!$BN$6,IF(AND('Zdroj data'!O38&gt;=Body!$BQ$20,'Zdroj data'!O38&lt;=Body!$BS$20),Body!$BQ$6,IF(AND('Zdroj data'!O38&gt;=Body!$BT$20,'Zdroj data'!O38&lt;=Body!#REF!),Body!$BT$6,IF(AND('Zdroj data'!O38&gt;=Body!$BW$20,'Zdroj data'!O38&lt;=Body!$BY$20),Body!$BW$6,IF('Zdroj data'!O38&gt;=Body!$CB$20,Body!$BZ$6," "))))))))))," ")))</f>
        <v>3</v>
      </c>
      <c r="AI38" s="264">
        <f>IF(AND('Zdroj data'!$BG38="L",'Zdroj data'!$AM38=Body!$AX$18),IF(AND(Tabulka1[[#This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data'!$BG38="ST",'Zdroj data'!$AM38=Body!$AX$19),IF(AND(Tabulka1[[#This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data'!$BG38="T",'Zdroj data'!$AM38=Body!$AX$20),IF(AND(Tabulka1[[#This Row],[K2O_60]]&gt;=Body!$AY$20,'Zdroj data'!O38&lt;=Body!$BA$20),Body!$AY$6,IF(AND(Tabulka1[[#This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2</v>
      </c>
      <c r="AJ38" s="265">
        <f t="shared" si="10"/>
        <v>16.000000000000014</v>
      </c>
      <c r="AK38" s="264">
        <f t="shared" si="3"/>
        <v>32.775255759670969</v>
      </c>
      <c r="AL38" s="264">
        <f t="shared" si="4"/>
        <v>33.089856231539095</v>
      </c>
      <c r="AM38" s="264">
        <f t="shared" si="5"/>
        <v>60.20667863091807</v>
      </c>
      <c r="AN38" s="264">
        <f t="shared" si="6"/>
        <v>61.751271838120054</v>
      </c>
      <c r="AO38" s="265">
        <f t="shared" si="11"/>
        <v>92.981934390589032</v>
      </c>
      <c r="AP38" s="265">
        <f t="shared" si="12"/>
        <v>94.841128069659149</v>
      </c>
      <c r="AQ38" s="318"/>
      <c r="AR38" s="338">
        <f t="shared" si="7"/>
        <v>203.8230624602482</v>
      </c>
      <c r="AS38" s="318"/>
      <c r="AT38" s="138"/>
      <c r="AU38" s="138"/>
      <c r="AW38" s="110" t="s">
        <v>880</v>
      </c>
      <c r="AX38" s="110" t="s">
        <v>879</v>
      </c>
      <c r="AY38" s="110" t="s">
        <v>881</v>
      </c>
      <c r="AZ38" s="110"/>
      <c r="BA38" s="111"/>
      <c r="BB38" s="111"/>
      <c r="BH38"/>
    </row>
    <row r="39" spans="1:80" ht="15.5" x14ac:dyDescent="0.35">
      <c r="A39" s="270">
        <v>1063</v>
      </c>
      <c r="B39" s="156" t="s">
        <v>524</v>
      </c>
      <c r="C39" s="250" t="str">
        <f>VLOOKUP(B39,'Zdroj hloubka okresy'!$A$2:$D$171,2,FALSE)</f>
        <v>Pribram</v>
      </c>
      <c r="D39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39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39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39" s="264">
        <f>IF(AND(Tabulka1[[#This Row],[hum_60]]&gt;AY48,Tabulka1[[#This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39" s="264">
        <f>IF(Tabulka1[[#This Row],[kv.ek.]]=Body!$AX$13,IF(AND('Zdroj data'!M39&gt;=Body!$AY$13,'Zdroj data'!M39&lt;=Body!$BA$13),Body!$AY$6,IF(AND('Zdroj data'!M39&gt;=Body!$BB$13,'Zdroj data'!M39&lt;=Body!$BD$13),Body!$BB$6,IF(AND('Zdroj data'!M39&gt;=Body!$BE$13,'Zdroj data'!M39&lt;=Body!$BG$13),Body!$BE$6,IF(AND('Zdroj data'!M39&gt;=Body!$BH$13,'Zdroj data'!M39&lt;=Body!$BJ$13),Body!$BH$6,IF(AND('Zdroj data'!M39&gt;=Body!$BK$13,'Zdroj data'!M39&lt;=Body!$BM$13),Body!$BK$6,IF(AND('Zdroj data'!M39&gt;=Body!$BN$13,'Zdroj data'!M39&lt;=Body!$BP$13),Body!$BN$6,IF(AND('Zdroj data'!M39&gt;=Body!$BQ$13,'Zdroj data'!M39&lt;=Body!$BS$13),Body!$BQ$6,IF(AND('Zdroj data'!M39&gt;=Body!$BT$13,'Zdroj data'!M39&lt;=Body!$BV$13),Body!$BT$6,IF(AND('Zdroj data'!M39&gt;=Body!$BW$13,'Zdroj data'!M39&lt;=Body!$BY$13),Body!$BW$6,IF('Zdroj data'!M39&gt;=Body!$CB$13,Body!$BZ$6,"")))))))))),IF(Tabulka1[[#This Row],[kv.ek.]]=Body!$AX$14,IF(AND('Zdroj data'!N39&gt;=Body!$AY$14,'Zdroj data'!N39&lt;=Body!$BA$14),Body!$AY$6,IF(AND('Zdroj data'!N39&gt;=Body!$BB$14,'Zdroj data'!N39&lt;=Body!$BD$14),Body!$BB$6,IF(AND('Zdroj data'!N39&gt;=Body!$BE$14,'Zdroj data'!N39&lt;=Body!$BG$14),Body!$BE$6,IF(AND('Zdroj data'!N39&gt;=Body!$BH$14,'Zdroj data'!N39&lt;=Body!$BJ$14),Body!$BH$6,IF(AND('Zdroj data'!N39&gt;=Body!$BK$14,'Zdroj data'!N39&lt;=Body!$BM$14),Body!$BK$6,IF(AND('Zdroj data'!N39&gt;=Body!$BN$14,'Zdroj data'!N39&lt;=Body!$BP$14),Body!$BN$6,IF(AND('Zdroj data'!N39&gt;=Body!$BQ$14,'Zdroj data'!N39&lt;=Body!$BS$14),Body!$BQ$6,IF(AND('Zdroj data'!N39&gt;=Body!$BT$14,'Zdroj data'!N39&lt;=Body!$BV$14),Body!$BT$6,IF(AND('Zdroj data'!N39&gt;=Body!$BW$14,'Zdroj data'!N39&lt;=Body!$BY$14),Body!$BW$6,IF('Zdroj data'!N39&gt;=Body!$CB$14,Body!$BZ$6,"")))))))))),""))</f>
        <v>1</v>
      </c>
      <c r="I39" s="264">
        <f>IF(Tabulka1[[#This Row],[kv.ek.]]=Body!$AX$13,IF(AND('Zdroj data'!N39&gt;=Body!$AY$13,'Zdroj data'!N39&lt;=Body!$BA$13),Body!$AY$6,IF(AND('Zdroj data'!N39&gt;=Body!$BB$13,'Zdroj data'!N39&lt;=Body!$BD$13),Body!$BB$6,IF(AND('Zdroj data'!N39&gt;=Body!$BE$13,'Zdroj data'!N39&lt;=Body!$BG$13),Body!$BE$6,IF(AND('Zdroj data'!N39&gt;=Body!$BH$13,'Zdroj data'!N39&lt;=Body!$BJ$13),Body!$BH$6,IF(AND('Zdroj data'!N39&gt;=Body!$BK$13,'Zdroj data'!N39&lt;=Body!$BM$13),Body!$BK$6,IF(AND('Zdroj data'!N39&gt;=Body!$BN$13,'Zdroj data'!N39&lt;=Body!$BP$13),Body!$BN$6,IF(AND('Zdroj data'!N39&gt;=Body!$BQ$13,'Zdroj data'!N39&lt;=Body!$BS$13),Body!$BQ$6,IF(AND('Zdroj data'!N39&gt;=Body!$BT$13,'Zdroj data'!N39&lt;=Body!$BV$13),Body!$BT$6,IF(AND('Zdroj data'!N39&gt;=Body!$BW$13,'Zdroj data'!N39&lt;=Body!$BY$13),Body!$BW$6,IF('Zdroj data'!N39&gt;=Body!$CB$13,Body!$BZ$6," ")))))))))),IF(Tabulka1[[#This Row],[kv.ek.]]=Body!$AX$14,IF(AND('Zdroj data'!O39&gt;=Body!$AY$14,'Zdroj data'!O39&lt;=Body!$BA$14),Body!$AY$6,IF(AND('Zdroj data'!O39&gt;=Body!$BB$14,'Zdroj data'!O39&lt;=Body!$BD$14),Body!$BB$6,IF(AND('Zdroj data'!O39&gt;=Body!$BE$14,'Zdroj data'!O39&lt;=Body!$BG$14),Body!$BE$6,IF(AND('Zdroj data'!O39&gt;=Body!$BH$14,'Zdroj data'!O39&lt;=Body!$BJ$14),Body!$BH$6,IF(AND('Zdroj data'!O39&gt;=Body!$BK$14,'Zdroj data'!O39&lt;=Body!$BM$14),Body!$BK$6,IF(AND('Zdroj data'!O39&gt;=Body!$BN$14,'Zdroj data'!O39&lt;=Body!$BP$14),Body!$BN$6,IF(AND('Zdroj data'!O39&gt;=Body!$BQ$14,'Zdroj data'!O39&lt;=Body!$BS$14),Body!$BQ$6,IF(AND('Zdroj data'!O39&gt;=Body!$BT$14,'Zdroj data'!O39&lt;=Body!$BV$14),Body!$BT$6,IF(AND('Zdroj data'!O39&gt;=Body!$BW$14,'Zdroj data'!O39&lt;=Body!$BY$14),Body!$BW$6,IF('Zdroj data'!O39&gt;=Body!$CB$14,Body!$BZ$6," "))))))))))," "))</f>
        <v>1</v>
      </c>
      <c r="J39" s="264">
        <f t="shared" si="8"/>
        <v>2</v>
      </c>
      <c r="K39" s="264">
        <f t="shared" si="9"/>
        <v>1</v>
      </c>
      <c r="L39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39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39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39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39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39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39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39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39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39" s="264">
        <f>IF('Zdroj data'!BB39=Body!$AY$25,Body!$AY$22,IF('Zdroj data'!BB39=Body!$BB$25,Body!$BB$22,IF('Zdroj data'!BB39=Body!$BE$25,Body!$BE$22,IF('Zdroj data'!BB39=Body!$BH$25,Body!$BH$22,IF('Zdroj data'!BB39=Body!BK$25,Body!$BK$22,IF('Zdroj data'!BB39=Body!$BN$25,Body!$BN$22,IF('Zdroj data'!BB39=Body!$BQ$25,Body!$BQ$22,IF('Zdroj data'!BB39=Body!$BT$25,Body!$BT$22,IF('Zdroj data'!BB39=Body!$BW$25,Body!$BW$22,IF('Zdroj data'!BB39=Body!$BZ$25,Body!$BZ$22," "))))))))))</f>
        <v>5</v>
      </c>
      <c r="V39" s="264">
        <f>IF(AND('Zdroj data'!BO39&gt;Body!$AY$27,'Zdroj data'!BO39&lt;=Body!$BA$27),Body!$AY$22,IF(AND('Zdroj data'!BO39&gt;=Body!$BB$27,'Zdroj data'!BO39&lt;=Body!$BD$27),Body!$BB$22,IF(AND('Zdroj data'!BO39&gt;=Body!$BE$27,'Zdroj data'!BO39&lt;=Body!$BG$27),Body!$BE$22,IF(AND('Zdroj data'!BO39&gt;=Body!$BH$27,'Zdroj data'!BO39&lt;=Body!$BJ$27),Body!$BH$22,IF(AND('Zdroj data'!BO39&gt;=Body!$BK$27,'Zdroj data'!BO39&lt;=Body!$BM$27),Body!$BK$22,IF(AND('Zdroj data'!BO39&gt;=Body!$BN$27,'Zdroj data'!BO39&lt;=Body!$BP$27),Body!$BN$22,IF(AND('Zdroj data'!BO39&gt;=Body!$BQ$27,'Zdroj data'!BO39&lt;=Body!$BS$27),Body!$BQ$22,IF(AND('Zdroj data'!BO39&gt;=Body!$BT$27,'Zdroj data'!BO39&lt;=Body!$BV$27),Body!$BT$22,IF(AND('Zdroj data'!BO39&gt;=Body!$BW$27,'Zdroj data'!BO39&lt;=Body!$BY$27),Body!$BW$22,IF('Zdroj data'!BO39&gt;=Body!$CB$27,$BZ$22," "))))))))))</f>
        <v>6</v>
      </c>
      <c r="W39" s="264">
        <f>IF(AND('Zdroj data'!BP39&gt;Body!$AY$27,'Zdroj data'!BP39&lt;=Body!$BA$27),Body!$AY$22,IF(AND('Zdroj data'!BP39&gt;=Body!$BB$27,'Zdroj data'!BP39&lt;=Body!$BD$27),Body!$BB$22,IF(AND('Zdroj data'!BP39&gt;=Body!$BE$27,'Zdroj data'!BP39&lt;=Body!$BG$27),Body!$BE$22,IF(AND('Zdroj data'!BP39&gt;=Body!$BH$27,'Zdroj data'!BP39&lt;=Body!$BJ$27),Body!$BH$22,IF(AND('Zdroj data'!BP39&gt;=Body!$BK$27,'Zdroj data'!BP39&lt;=Body!$BM$27),Body!$BK$22,IF(AND('Zdroj data'!BP39&gt;=Body!$BN$27,'Zdroj data'!BP39&lt;=Body!$BP$27),Body!$BN$22,IF(AND('Zdroj data'!BP39&gt;=Body!$BQ$27,'Zdroj data'!BP39&lt;=Body!$BS$27),Body!$BQ$22,IF(AND('Zdroj data'!BP39&gt;=Body!$BT$27,'Zdroj data'!BP39&lt;=Body!$BV$27),Body!$BT$22,IF(AND('Zdroj data'!BP39&gt;=Body!$BW$27,'Zdroj data'!BP39&lt;=Body!$BY$27),Body!$BW$22,IF('Zdroj data'!BP39&gt;=Body!$CB$27,$BZ$22," "))))))))))</f>
        <v>7</v>
      </c>
      <c r="X39" s="264">
        <f>IF('Zdroj data'!BA39=Body!$BB$28,$BB$22,IF('Zdroj data'!BA39=Body!$BE$28,$BE$22,IF(OR('Zdroj data'!BA39=Body!$BK$28,'Zdroj data'!BA39=Body!$BL$28,'Zdroj data'!BA39=Body!$BM$28),$BK$22,IF(OR('Zdroj data'!BA39=Body!$BT$28,'Zdroj data'!BA39=Body!$BV$28),$BT$22,IF(OR('Zdroj data'!BA39=Body!$BW$28,'Zdroj data'!BA39=Body!$BY$28),$BW$22,IF('Zdroj data'!BA39=Body!$BZ$28,$BZ$22," "))))))</f>
        <v>5</v>
      </c>
      <c r="Y39" s="264">
        <f>IF('Zdroj data'!AZ39=Body!$BZ$29,Body!$BZ$22,IF(OR('Zdroj data'!AZ39=$BT$29,'Zdroj data'!AZ39=$BU$29,'Zdroj data'!AZ39=$BV$29),$BT$22,IF(OR('Zdroj data'!AZ39=$BK$29,'Zdroj data'!AZ39=$BM$29),$BK$22,IF(OR('Zdroj data'!AZ39=$BE$29,'Zdroj data'!AZ39=$BG$29),$BE$22,IF(OR('Zdroj data'!AZ39=$AY$29,'Zdroj data'!AZ39=$BA$29),$AY$22," ")))))</f>
        <v>8</v>
      </c>
      <c r="Z39" s="264">
        <f>IF(AND('Zdroj data'!BF39="T",(OR('Zdroj data'!AZ39=Body!$AW$45,'Zdroj data'!AZ39=Body!$AW$46,'Zdroj data'!AZ39=Body!$AW$47,'Zdroj data'!AZ39=Body!$AW$48))),Body!$AY$22,IF(AND('Zdroj data'!BF39="T",(OR('Zdroj data'!AZ39=$AW$49,'Zdroj data'!AZ39=$AW$50,'Zdroj data'!AZ39=$AW$51,'Zdroj data'!AZ39=$AW$52))),$BZ$22,IF(AND(OR('Zdroj data'!BF39="VT",'Zdroj data'!BF39="T",'Zdroj data'!BF39="CH"),(OR('Zdroj data'!AZ39=$AW$43,'Zdroj data'!AZ39=$AW$44,))),$BZ$22,IF(AND('Zdroj data'!BF39="CH",(OR('Zdroj data'!AZ39=$AW$49,'Zdroj data'!AZ39=$AW$50,'Zdroj data'!AZ39=$AW$51,'Zdroj data'!AZ39=$AW$52))),$AY$22,IF(AND('Zdroj data'!BF39="CH",(OR('Zdroj data'!AZ39=$AW$45,'Zdroj data'!AZ39=$AW$46,'Zdroj data'!AZ39=$AW$47,'Zdroj data'!AZ39=$AW$48))),$BZ$22," ")))))</f>
        <v>10</v>
      </c>
      <c r="AA39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39" s="264">
        <f>IF(Tabulka1[[#This Row],[kv.ek.]]=Body!$BK$35,Body!$BK$34,IF(Tabulka1[[#This Row],[kv.ek.]]=Body!$BZ$35,Body!$BZ$34," "))</f>
        <v>5</v>
      </c>
      <c r="AC39" s="264" t="str">
        <f>IF(AND('Zdroj data'!BF39="T",(OR('Zdroj data'!AZ39=Body!$AW$45,'Zdroj data'!AZ39=Body!$AW$46,'Zdroj data'!AZ39=Body!$AW$47,'Zdroj data'!AZ39=Body!$AW$48))),Body!$AY$22,IF(AND('Zdroj data'!BF39="T",(OR('Zdroj data'!AZ39=$AW$49,'Zdroj data'!AZ39=$AW$50,'Zdroj data'!AZ39=$AW$51,'Zdroj data'!AZ39=$AW$52))),$BZ$22," "))</f>
        <v xml:space="preserve"> </v>
      </c>
      <c r="AD39" s="264">
        <f>IF(AND(OR('Zdroj data'!BF39="VT",'Zdroj data'!BF39="T",'Zdroj data'!BF39="CH"),(OR('Zdroj data'!AZ39=$AW$43,'Zdroj data'!AZ39=$AW$44,))),$BZ$22," ")</f>
        <v>10</v>
      </c>
      <c r="AE39" s="264" t="str">
        <f>IF(AND('Zdroj data'!BF39="CH",(OR('Zdroj data'!AZ39=$AW$49,'Zdroj data'!AZ39=$AW$50,'Zdroj data'!AZ39=$AW$51,'Zdroj data'!AZ39=$AW$52))),$AY$22,IF(AND('Zdroj data'!BF39="CH",(OR('Zdroj data'!AZ39=$AW$45,'Zdroj data'!AZ39=$AW$46,'Zdroj data'!AZ39=$AW$47,'Zdroj data'!AZ39=$AW$48))),$BZ$22," "))</f>
        <v xml:space="preserve"> </v>
      </c>
      <c r="AF39" s="264">
        <f>IF(AND('Zdroj data'!BG39="L",'Zdroj data'!AM39=Body!$AX$15),IF(AND('Zdroj data'!O39&gt;=Body!$AY$15,'Zdroj data'!O39&lt;=Body!$BA$15),Body!AY$6,IF(AND('Zdroj data'!O39&gt;=Body!$BB$15,'Zdroj data'!O39&lt;=Body!$BD$15),Body!BB$6,IF(AND('Zdroj data'!O39&gt;=Body!$BE$15,'Zdroj data'!O39&lt;=Body!$BG$15),Body!BE$6,IF(AND('Zdroj data'!O39&gt;=Body!$BH$15,'Zdroj data'!O39&lt;=Body!$BJ$15),Body!BH$6,IF(AND('Zdroj data'!O39&gt;=Body!$BK$15,'Zdroj data'!O39&lt;=Body!$BM$15),Body!BK$6,IF(AND('Zdroj data'!O39&gt;=Body!$BN$15,'Zdroj data'!O39&lt;=Body!$BP$15),Body!$BN$6,IF(AND('Zdroj data'!O39&gt;=Body!$BQ$15,'Zdroj data'!O39&lt;=Body!$BS$15),Body!$BQ$6,IF(AND('Zdroj data'!O39&gt;=Body!$BT$15,'Zdroj data'!O39&lt;=Body!$BV$15),Body!BT$6,IF(AND('Zdroj data'!O39&gt;=Body!$BW$15,'Zdroj data'!O39&lt;=Body!$BY$15),Body!$BW$6,IF('Zdroj data'!O39&gt;=Body!$CB$15,Body!$BZ$6," ")))))))))),IF(AND('Zdroj data'!BG39="ST",'Zdroj data'!AM39=Body!$AX$16),IF(AND('Zdroj data'!O39&gt;=Body!$AY$16,'Zdroj data'!O39&lt;=Body!$BA$16),Body!$AY$6,IF(AND('Zdroj data'!O39&gt;=Body!$BB$16,'Zdroj data'!O39&lt;=Body!$BD$16),Body!$BB$6,IF(AND('Zdroj data'!O39&gt;=Body!$BE$16,'Zdroj data'!O39&lt;=Body!$BG$16),Body!$BE$6,IF(AND('Zdroj data'!O39&gt;=Body!$BH$16,'Zdroj data'!O39&lt;=Body!$BJ$16),Body!$BH$6,IF(AND('Zdroj data'!O39&gt;=Body!$BK$16,'Zdroj data'!O39&lt;=Body!$BM$16),Body!$BK$6,IF(AND('Zdroj data'!O39&gt;=Body!$BN$16,'Zdroj data'!O39&lt;=Body!$BP$16),Body!$BN$6,IF(AND('Zdroj data'!O39&gt;=Body!$BQ$16,'Zdroj data'!O39&lt;=Body!$BS$16),Body!$BQ$6,IF(AND('Zdroj data'!O39&gt;=Body!$BT$16,'Zdroj data'!O39&lt;=Body!$BV$16),Body!$BT$6,IF(AND('Zdroj data'!O39&gt;=Body!$BW$16,'Zdroj data'!O39&lt;=Body!$BY$16),Body!$BW$6,IF('Zdroj data'!O39&gt;=Body!$CB$16,Body!$BZ$6," ")))))))))),IF(AND('Zdroj data'!BG39="T",'Zdroj data'!AM39=Body!$AX$17),IF(AND('Zdroj data'!O39&gt;=Body!$AY$17,'Zdroj data'!O39&lt;=Body!$BA$17),Body!$AY$6,IF(AND('Zdroj data'!O39&gt;=Body!$BB$17,'Zdroj data'!O39&lt;=Body!$BD$17),Body!$BB$6,IF(AND('Zdroj data'!O39&gt;=Body!$BE$17,'Zdroj data'!O39&lt;=Body!$BG$17),Body!$BE$6,IF(AND('Zdroj data'!O39&gt;=Body!$BH$17,'Zdroj data'!O39&lt;=Body!#REF!),Body!$BH$6,IF(AND('Zdroj data'!O39&gt;=Body!$BK$17,'Zdroj data'!O39&lt;=Body!$BM$17),Body!$BK$6,IF(AND('Zdroj data'!O39&gt;=Body!$BN$17,'Zdroj data'!O39&lt;=Body!$BP$17),Body!$BN$6,IF(AND('Zdroj data'!O39&gt;=Body!$BQ$17,'Zdroj data'!O39&lt;=Body!$BS$17),Body!$BQ$6,IF(AND('Zdroj data'!O39&gt;=Body!$BT$17,'Zdroj data'!O39&lt;=Body!$BV$17),Body!$BT$6,IF(AND('Zdroj data'!O39&gt;=Body!$BW$17,'Zdroj data'!O39&lt;=Body!$BY$17),Body!$BW$6,IF('Zdroj data'!O39&gt;=Body!$CB$17,Body!$BZ$6," "))))))))))," ")))</f>
        <v>2</v>
      </c>
      <c r="AG39" s="264">
        <f>IF(AND('Zdroj data'!$BG39="L",'Zdroj data'!$AM39=Body!$AX$15),IF(AND(Tabulka1[[#This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data'!$BG39="ST",'Zdroj data'!$AM39=Body!$AX$16),IF(AND(Tabulka1[[#This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data'!$BG39="T",'Zdroj data'!$AM39=Body!$AX$17),IF(AND(Tabulka1[[#This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39" s="264" t="str">
        <f>IF(AND('Zdroj data'!BG39="L",'Zdroj data'!AM39=Body!$AX$18),IF(AND('Zdroj data'!O39&gt;=Body!$AY$18,'Zdroj data'!O39&lt;=Body!$BA$18),Body!AY$6,IF(AND('Zdroj data'!O39&gt;=Body!$BB$18,'Zdroj data'!O39&lt;=Body!$BD$18),Body!BB$6,IF(AND('Zdroj data'!O39&gt;=Body!$BE$18,'Zdroj data'!O39&lt;=Body!$BG$18),Body!BE$6,IF(AND('Zdroj data'!O39&gt;=Body!$BH$18,'Zdroj data'!O39&lt;=Body!$BJ$18),Body!BH$6,IF(AND('Zdroj data'!O39&gt;=Body!$BK$18,'Zdroj data'!O39&lt;=Body!$BM$18),Body!$BK$6,IF(AND('Zdroj data'!O39&gt;=Body!$BN$18,'Zdroj data'!O39&lt;=Body!$BP$18),Body!BN$6,IF(AND('Zdroj data'!O39&gt;=Body!$BQ$18,'Zdroj data'!O39&lt;=Body!$BS$18),Body!$BQ$6,IF(AND('Zdroj data'!O39&gt;=Body!$BT$18,'Zdroj data'!O39&lt;=Body!$BV$18),Body!$BT$6,IF(AND('Zdroj data'!O39&gt;=Body!$BW$18,'Zdroj data'!O39&lt;=Body!$BY$18),Body!$BW$6,IF('Zdroj data'!O39&gt;=Body!$CB$18,Body!$BZ$6," ")))))))))),IF(AND('Zdroj data'!BG39="ST",'Zdroj data'!AM39=Body!$AX$19),IF(AND('Zdroj data'!O39&gt;=Body!$AY$19,'Zdroj data'!O39&lt;=Body!$BA$19),Body!$AY$6,IF(AND('Zdroj data'!O39&gt;=Body!$BB$19,'Zdroj data'!O39&lt;=Body!$BD$19),Body!$BB$6,IF(AND('Zdroj data'!O39&gt;=Body!$BE$19,'Zdroj data'!O39&lt;=Body!$BG$19),Body!$BE$6,IF(AND('Zdroj data'!O39&gt;=Body!$BH$19,'Zdroj data'!O39&lt;=Body!$BJ$19),Body!$BH$6,IF(AND('Zdroj data'!O39&gt;=Body!$BK$19,'Zdroj data'!O39&lt;=Body!$BM$19),Body!$BK$6,IF(AND('Zdroj data'!O39&gt;=Body!$BN$19,'Zdroj data'!O39&lt;=Body!$BP$19),Body!$BN$6,IF(AND('Zdroj data'!O39&gt;=Body!$BQ$19,'Zdroj data'!O39&lt;=Body!$BS$19),Body!$BQ$6,IF(AND('Zdroj data'!O39&gt;=Body!$BT$19,'Zdroj data'!O43&lt;=Body!$BV$19),Body!$BT$6,IF(AND('Zdroj data'!O39&gt;=Body!$BW$19,'Zdroj data'!O39&lt;=Body!$BY$19),Body!$BW$6,IF('Zdroj data'!O39&gt;=Body!$CB$19,Body!$BZ$6," ")))))))))),IF(AND('Zdroj data'!BG39="T",'Zdroj data'!AM39=Body!$AX$20),IF(AND('Zdroj data'!O39&gt;=Body!$AY$20,'Zdroj data'!O39&lt;=Body!$BA$20),Body!$AY$6,IF(AND('Zdroj data'!O39&gt;=Body!$BB$20,'Zdroj data'!O39&lt;=Body!$BD$20),Body!$BB$6,IF(AND('Zdroj data'!O39&gt;=Body!$BE$20,'Zdroj data'!O39&lt;=Body!$BG$20),Body!$BE$6,IF(AND('Zdroj data'!O39&gt;=Body!$BH$20,'Zdroj data'!O39&lt;=Body!$BJ$20),Body!$BH$6,IF(AND('Zdroj data'!O39&gt;=Body!$BK$20,'Zdroj data'!O39&lt;=Body!$BM$20),Body!$BK$6,IF(AND('Zdroj data'!O39&gt;=Body!$BN$20,'Zdroj data'!O39&lt;=Body!$BP$20),Body!$BN$6,IF(AND('Zdroj data'!O39&gt;=Body!$BQ$20,'Zdroj data'!O39&lt;=Body!$BS$20),Body!$BQ$6,IF(AND('Zdroj data'!O39&gt;=Body!$BT$20,'Zdroj data'!O39&lt;=Body!#REF!),Body!$BT$6,IF(AND('Zdroj data'!O39&gt;=Body!$BW$20,'Zdroj data'!O39&lt;=Body!$BY$20),Body!$BW$6,IF('Zdroj data'!O39&gt;=Body!$CB$20,Body!$BZ$6," "))))))))))," ")))</f>
        <v xml:space="preserve"> </v>
      </c>
      <c r="AI39" s="264" t="str">
        <f>IF(AND('Zdroj data'!$BG39="L",'Zdroj data'!$AM39=Body!$AX$18),IF(AND(Tabulka1[[#This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data'!$BG39="ST",'Zdroj data'!$AM39=Body!$AX$19),IF(AND(Tabulka1[[#This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data'!$BG39="T",'Zdroj data'!$AM39=Body!$AX$20),IF(AND(Tabulka1[[#This Row],[K2O_60]]&gt;=Body!$AY$20,'Zdroj data'!O39&lt;=Body!$BA$20),Body!$AY$6,IF(AND(Tabulka1[[#This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39" s="265">
        <f t="shared" si="10"/>
        <v>5.3333333333333375</v>
      </c>
      <c r="AK39" s="264">
        <f t="shared" si="3"/>
        <v>26.048675925675852</v>
      </c>
      <c r="AL39" s="264">
        <f t="shared" si="4"/>
        <v>25.651183536855861</v>
      </c>
      <c r="AM39" s="264">
        <f t="shared" si="5"/>
        <v>62.171141712436025</v>
      </c>
      <c r="AN39" s="264">
        <f t="shared" si="6"/>
        <v>71.542982833790006</v>
      </c>
      <c r="AO39" s="265">
        <f t="shared" si="11"/>
        <v>88.219817638111877</v>
      </c>
      <c r="AP39" s="265">
        <f t="shared" si="12"/>
        <v>97.19416637064586</v>
      </c>
      <c r="AQ39" s="318"/>
      <c r="AR39" s="338">
        <f t="shared" si="7"/>
        <v>190.74731734209107</v>
      </c>
      <c r="AS39" s="318"/>
      <c r="AT39" s="138"/>
      <c r="AU39" s="138"/>
      <c r="AW39" s="108" t="s">
        <v>883</v>
      </c>
      <c r="AX39" s="108" t="s">
        <v>882</v>
      </c>
      <c r="AY39" s="108" t="s">
        <v>884</v>
      </c>
      <c r="AZ39" s="108"/>
      <c r="BA39" s="109"/>
      <c r="BB39" s="109"/>
      <c r="BE39" s="9" t="s">
        <v>867</v>
      </c>
      <c r="BH39"/>
    </row>
    <row r="40" spans="1:80" ht="15.5" x14ac:dyDescent="0.35">
      <c r="A40" s="270">
        <v>1066</v>
      </c>
      <c r="B40" s="156" t="s">
        <v>534</v>
      </c>
      <c r="C40" s="250" t="str">
        <f>VLOOKUP(B40,'Zdroj hloubka okresy'!$A$2:$D$171,2,FALSE)</f>
        <v>Pribram</v>
      </c>
      <c r="D40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40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40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40" s="264">
        <f>IF(AND(Tabulka1[[#This Row],[hum_60]]&gt;AY49,Tabulka1[[#This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40" s="264">
        <f>IF(Tabulka1[[#This Row],[kv.ek.]]=Body!$AX$13,IF(AND('Zdroj data'!M40&gt;=Body!$AY$13,'Zdroj data'!M40&lt;=Body!$BA$13),Body!$AY$6,IF(AND('Zdroj data'!M40&gt;=Body!$BB$13,'Zdroj data'!M40&lt;=Body!$BD$13),Body!$BB$6,IF(AND('Zdroj data'!M40&gt;=Body!$BE$13,'Zdroj data'!M40&lt;=Body!$BG$13),Body!$BE$6,IF(AND('Zdroj data'!M40&gt;=Body!$BH$13,'Zdroj data'!M40&lt;=Body!$BJ$13),Body!$BH$6,IF(AND('Zdroj data'!M40&gt;=Body!$BK$13,'Zdroj data'!M40&lt;=Body!$BM$13),Body!$BK$6,IF(AND('Zdroj data'!M40&gt;=Body!$BN$13,'Zdroj data'!M40&lt;=Body!$BP$13),Body!$BN$6,IF(AND('Zdroj data'!M40&gt;=Body!$BQ$13,'Zdroj data'!M40&lt;=Body!$BS$13),Body!$BQ$6,IF(AND('Zdroj data'!M40&gt;=Body!$BT$13,'Zdroj data'!M40&lt;=Body!$BV$13),Body!$BT$6,IF(AND('Zdroj data'!M40&gt;=Body!$BW$13,'Zdroj data'!M40&lt;=Body!$BY$13),Body!$BW$6,IF('Zdroj data'!M40&gt;=Body!$CB$13,Body!$BZ$6,"")))))))))),IF(Tabulka1[[#This Row],[kv.ek.]]=Body!$AX$14,IF(AND('Zdroj data'!N40&gt;=Body!$AY$14,'Zdroj data'!N40&lt;=Body!$BA$14),Body!$AY$6,IF(AND('Zdroj data'!N40&gt;=Body!$BB$14,'Zdroj data'!N40&lt;=Body!$BD$14),Body!$BB$6,IF(AND('Zdroj data'!N40&gt;=Body!$BE$14,'Zdroj data'!N40&lt;=Body!$BG$14),Body!$BE$6,IF(AND('Zdroj data'!N40&gt;=Body!$BH$14,'Zdroj data'!N40&lt;=Body!$BJ$14),Body!$BH$6,IF(AND('Zdroj data'!N40&gt;=Body!$BK$14,'Zdroj data'!N40&lt;=Body!$BM$14),Body!$BK$6,IF(AND('Zdroj data'!N40&gt;=Body!$BN$14,'Zdroj data'!N40&lt;=Body!$BP$14),Body!$BN$6,IF(AND('Zdroj data'!N40&gt;=Body!$BQ$14,'Zdroj data'!N40&lt;=Body!$BS$14),Body!$BQ$6,IF(AND('Zdroj data'!N40&gt;=Body!$BT$14,'Zdroj data'!N40&lt;=Body!$BV$14),Body!$BT$6,IF(AND('Zdroj data'!N40&gt;=Body!$BW$14,'Zdroj data'!N40&lt;=Body!$BY$14),Body!$BW$6,IF('Zdroj data'!N40&gt;=Body!$CB$14,Body!$BZ$6,"")))))))))),""))</f>
        <v>1</v>
      </c>
      <c r="I40" s="264">
        <f>IF(Tabulka1[[#This Row],[kv.ek.]]=Body!$AX$13,IF(AND('Zdroj data'!N40&gt;=Body!$AY$13,'Zdroj data'!N40&lt;=Body!$BA$13),Body!$AY$6,IF(AND('Zdroj data'!N40&gt;=Body!$BB$13,'Zdroj data'!N40&lt;=Body!$BD$13),Body!$BB$6,IF(AND('Zdroj data'!N40&gt;=Body!$BE$13,'Zdroj data'!N40&lt;=Body!$BG$13),Body!$BE$6,IF(AND('Zdroj data'!N40&gt;=Body!$BH$13,'Zdroj data'!N40&lt;=Body!$BJ$13),Body!$BH$6,IF(AND('Zdroj data'!N40&gt;=Body!$BK$13,'Zdroj data'!N40&lt;=Body!$BM$13),Body!$BK$6,IF(AND('Zdroj data'!N40&gt;=Body!$BN$13,'Zdroj data'!N40&lt;=Body!$BP$13),Body!$BN$6,IF(AND('Zdroj data'!N40&gt;=Body!$BQ$13,'Zdroj data'!N40&lt;=Body!$BS$13),Body!$BQ$6,IF(AND('Zdroj data'!N40&gt;=Body!$BT$13,'Zdroj data'!N40&lt;=Body!$BV$13),Body!$BT$6,IF(AND('Zdroj data'!N40&gt;=Body!$BW$13,'Zdroj data'!N40&lt;=Body!$BY$13),Body!$BW$6,IF('Zdroj data'!N40&gt;=Body!$CB$13,Body!$BZ$6," ")))))))))),IF(Tabulka1[[#This Row],[kv.ek.]]=Body!$AX$14,IF(AND('Zdroj data'!O40&gt;=Body!$AY$14,'Zdroj data'!O40&lt;=Body!$BA$14),Body!$AY$6,IF(AND('Zdroj data'!O40&gt;=Body!$BB$14,'Zdroj data'!O40&lt;=Body!$BD$14),Body!$BB$6,IF(AND('Zdroj data'!O40&gt;=Body!$BE$14,'Zdroj data'!O40&lt;=Body!$BG$14),Body!$BE$6,IF(AND('Zdroj data'!O40&gt;=Body!$BH$14,'Zdroj data'!O40&lt;=Body!$BJ$14),Body!$BH$6,IF(AND('Zdroj data'!O40&gt;=Body!$BK$14,'Zdroj data'!O40&lt;=Body!$BM$14),Body!$BK$6,IF(AND('Zdroj data'!O40&gt;=Body!$BN$14,'Zdroj data'!O40&lt;=Body!$BP$14),Body!$BN$6,IF(AND('Zdroj data'!O40&gt;=Body!$BQ$14,'Zdroj data'!O40&lt;=Body!$BS$14),Body!$BQ$6,IF(AND('Zdroj data'!O40&gt;=Body!$BT$14,'Zdroj data'!O40&lt;=Body!$BV$14),Body!$BT$6,IF(AND('Zdroj data'!O40&gt;=Body!$BW$14,'Zdroj data'!O40&lt;=Body!$BY$14),Body!$BW$6,IF('Zdroj data'!O40&gt;=Body!$CB$14,Body!$BZ$6," "))))))))))," "))</f>
        <v>1</v>
      </c>
      <c r="J40" s="264">
        <f>IF(AF40=" ",AH40,AF40)</f>
        <v>1</v>
      </c>
      <c r="K40" s="264">
        <f t="shared" si="9"/>
        <v>1</v>
      </c>
      <c r="L40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2</v>
      </c>
      <c r="M40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2</v>
      </c>
      <c r="N40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4</v>
      </c>
      <c r="O40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5</v>
      </c>
      <c r="P40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40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2</v>
      </c>
      <c r="R40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2</v>
      </c>
      <c r="S40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4</v>
      </c>
      <c r="T40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4</v>
      </c>
      <c r="U40" s="264">
        <f>IF('Zdroj data'!BB40=Body!$AY$25,Body!$AY$22,IF('Zdroj data'!BB40=Body!$BB$25,Body!$BB$22,IF('Zdroj data'!BB40=Body!$BE$25,Body!$BE$22,IF('Zdroj data'!BB40=Body!$BH$25,Body!$BH$22,IF('Zdroj data'!BB40=Body!BK$25,Body!$BK$22,IF('Zdroj data'!BB40=Body!$BN$25,Body!$BN$22,IF('Zdroj data'!BB40=Body!$BQ$25,Body!$BQ$22,IF('Zdroj data'!BB40=Body!$BT$25,Body!$BT$22,IF('Zdroj data'!BB40=Body!$BW$25,Body!$BW$22,IF('Zdroj data'!BB40=Body!$BZ$25,Body!$BZ$22," "))))))))))</f>
        <v>5</v>
      </c>
      <c r="V40" s="264">
        <f>IF(AND('Zdroj data'!BO40&gt;Body!$AY$27,'Zdroj data'!BO40&lt;=Body!$BA$27),Body!$AY$22,IF(AND('Zdroj data'!BO40&gt;=Body!$BB$27,'Zdroj data'!BO40&lt;=Body!$BD$27),Body!$BB$22,IF(AND('Zdroj data'!BO40&gt;=Body!$BE$27,'Zdroj data'!BO40&lt;=Body!$BG$27),Body!$BE$22,IF(AND('Zdroj data'!BO40&gt;=Body!$BH$27,'Zdroj data'!BO40&lt;=Body!$BJ$27),Body!$BH$22,IF(AND('Zdroj data'!BO40&gt;=Body!$BK$27,'Zdroj data'!BO40&lt;=Body!$BM$27),Body!$BK$22,IF(AND('Zdroj data'!BO40&gt;=Body!$BN$27,'Zdroj data'!BO40&lt;=Body!$BP$27),Body!$BN$22,IF(AND('Zdroj data'!BO40&gt;=Body!$BQ$27,'Zdroj data'!BO40&lt;=Body!$BS$27),Body!$BQ$22,IF(AND('Zdroj data'!BO40&gt;=Body!$BT$27,'Zdroj data'!BO40&lt;=Body!$BV$27),Body!$BT$22,IF(AND('Zdroj data'!BO40&gt;=Body!$BW$27,'Zdroj data'!BO40&lt;=Body!$BY$27),Body!$BW$22,IF('Zdroj data'!BO40&gt;=Body!$CB$27,$BZ$22," "))))))))))</f>
        <v>6</v>
      </c>
      <c r="W40" s="264">
        <f>IF(AND('Zdroj data'!BP40&gt;Body!$AY$27,'Zdroj data'!BP40&lt;=Body!$BA$27),Body!$AY$22,IF(AND('Zdroj data'!BP40&gt;=Body!$BB$27,'Zdroj data'!BP40&lt;=Body!$BD$27),Body!$BB$22,IF(AND('Zdroj data'!BP40&gt;=Body!$BE$27,'Zdroj data'!BP40&lt;=Body!$BG$27),Body!$BE$22,IF(AND('Zdroj data'!BP40&gt;=Body!$BH$27,'Zdroj data'!BP40&lt;=Body!$BJ$27),Body!$BH$22,IF(AND('Zdroj data'!BP40&gt;=Body!$BK$27,'Zdroj data'!BP40&lt;=Body!$BM$27),Body!$BK$22,IF(AND('Zdroj data'!BP40&gt;=Body!$BN$27,'Zdroj data'!BP40&lt;=Body!$BP$27),Body!$BN$22,IF(AND('Zdroj data'!BP40&gt;=Body!$BQ$27,'Zdroj data'!BP40&lt;=Body!$BS$27),Body!$BQ$22,IF(AND('Zdroj data'!BP40&gt;=Body!$BT$27,'Zdroj data'!BP40&lt;=Body!$BV$27),Body!$BT$22,IF(AND('Zdroj data'!BP40&gt;=Body!$BW$27,'Zdroj data'!BP40&lt;=Body!$BY$27),Body!$BW$22,IF('Zdroj data'!BP40&gt;=Body!$CB$27,$BZ$22," "))))))))))</f>
        <v>6</v>
      </c>
      <c r="X40" s="264">
        <f>IF('Zdroj data'!BA40=Body!$BB$28,$BB$22,IF('Zdroj data'!BA40=Body!$BE$28,$BE$22,IF(OR('Zdroj data'!BA40=Body!$BK$28,'Zdroj data'!BA40=Body!$BL$28,'Zdroj data'!BA40=Body!$BM$28),$BK$22,IF(OR('Zdroj data'!BA40=Body!$BT$28,'Zdroj data'!BA40=Body!$BV$28),$BT$22,IF(OR('Zdroj data'!BA40=Body!$BW$28,'Zdroj data'!BA40=Body!$BY$28),$BW$22,IF('Zdroj data'!BA40=Body!$BZ$28,$BZ$22," "))))))</f>
        <v>9</v>
      </c>
      <c r="Y40" s="264">
        <f>IF('Zdroj data'!AZ40=Body!$BZ$29,Body!$BZ$22,IF(OR('Zdroj data'!AZ40=$BT$29,'Zdroj data'!AZ40=$BU$29,'Zdroj data'!AZ40=$BV$29),$BT$22,IF(OR('Zdroj data'!AZ40=$BK$29,'Zdroj data'!AZ40=$BM$29),$BK$22,IF(OR('Zdroj data'!AZ40=$BE$29,'Zdroj data'!AZ40=$BG$29),$BE$22,IF(OR('Zdroj data'!AZ40=$AY$29,'Zdroj data'!AZ40=$BA$29),$AY$22," ")))))</f>
        <v>8</v>
      </c>
      <c r="Z40" s="264">
        <f>IF(AND('Zdroj data'!BF40="T",(OR('Zdroj data'!AZ40=Body!$AW$45,'Zdroj data'!AZ40=Body!$AW$46,'Zdroj data'!AZ40=Body!$AW$47,'Zdroj data'!AZ40=Body!$AW$48))),Body!$AY$22,IF(AND('Zdroj data'!BF40="T",(OR('Zdroj data'!AZ40=$AW$49,'Zdroj data'!AZ40=$AW$50,'Zdroj data'!AZ40=$AW$51,'Zdroj data'!AZ40=$AW$52))),$BZ$22,IF(AND(OR('Zdroj data'!BF40="VT",'Zdroj data'!BF40="T",'Zdroj data'!BF40="CH"),(OR('Zdroj data'!AZ40=$AW$43,'Zdroj data'!AZ40=$AW$44,))),$BZ$22,IF(AND('Zdroj data'!BF40="CH",(OR('Zdroj data'!AZ40=$AW$49,'Zdroj data'!AZ40=$AW$50,'Zdroj data'!AZ40=$AW$51,'Zdroj data'!AZ40=$AW$52))),$AY$22,IF(AND('Zdroj data'!BF40="CH",(OR('Zdroj data'!AZ40=$AW$45,'Zdroj data'!AZ40=$AW$46,'Zdroj data'!AZ40=$AW$47,'Zdroj data'!AZ40=$AW$48))),$BZ$22," ")))))</f>
        <v>10</v>
      </c>
      <c r="AA40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40" s="264">
        <f>IF(Tabulka1[[#This Row],[kv.ek.]]=Body!$BK$35,Body!$BK$34,IF(Tabulka1[[#This Row],[kv.ek.]]=Body!$BZ$35,Body!$BZ$34," "))</f>
        <v>5</v>
      </c>
      <c r="AC40" s="264" t="str">
        <f>IF(AND('Zdroj data'!BF40="T",(OR('Zdroj data'!AZ40=Body!$AW$45,'Zdroj data'!AZ40=Body!$AW$46,'Zdroj data'!AZ40=Body!$AW$47,'Zdroj data'!AZ40=Body!$AW$48))),Body!$AY$22,IF(AND('Zdroj data'!BF40="T",(OR('Zdroj data'!AZ40=$AW$49,'Zdroj data'!AZ40=$AW$50,'Zdroj data'!AZ40=$AW$51,'Zdroj data'!AZ40=$AW$52))),$BZ$22," "))</f>
        <v xml:space="preserve"> </v>
      </c>
      <c r="AD40" s="264">
        <f>IF(AND(OR('Zdroj data'!BF40="VT",'Zdroj data'!BF40="T",'Zdroj data'!BF40="CH"),(OR('Zdroj data'!AZ40=$AW$43,'Zdroj data'!AZ40=$AW$44,))),$BZ$22," ")</f>
        <v>10</v>
      </c>
      <c r="AE40" s="264" t="str">
        <f>IF(AND('Zdroj data'!BF40="CH",(OR('Zdroj data'!AZ40=$AW$49,'Zdroj data'!AZ40=$AW$50,'Zdroj data'!AZ40=$AW$51,'Zdroj data'!AZ40=$AW$52))),$AY$22,IF(AND('Zdroj data'!BF40="CH",(OR('Zdroj data'!AZ40=$AW$45,'Zdroj data'!AZ40=$AW$46,'Zdroj data'!AZ40=$AW$47,'Zdroj data'!AZ40=$AW$48))),$BZ$22," "))</f>
        <v xml:space="preserve"> </v>
      </c>
      <c r="AF40" s="264">
        <f>IF(AND('Zdroj data'!BG40="L",'Zdroj data'!AM40=Body!$AX$15),IF(AND('Zdroj data'!O40&gt;=Body!$AY$15,'Zdroj data'!O40&lt;=Body!$BA$15),Body!AY$6,IF(AND('Zdroj data'!O40&gt;=Body!$BB$15,'Zdroj data'!O40&lt;=Body!$BD$15),Body!BB$6,IF(AND('Zdroj data'!O40&gt;=Body!$BE$15,'Zdroj data'!O40&lt;=Body!$BG$15),Body!BE$6,IF(AND('Zdroj data'!O40&gt;=Body!$BH$15,'Zdroj data'!O40&lt;=Body!$BJ$15),Body!BH$6,IF(AND('Zdroj data'!O40&gt;=Body!$BK$15,'Zdroj data'!O40&lt;=Body!$BM$15),Body!BK$6,IF(AND('Zdroj data'!O40&gt;=Body!$BN$15,'Zdroj data'!O40&lt;=Body!$BP$15),Body!$BN$6,IF(AND('Zdroj data'!O40&gt;=Body!$BQ$15,'Zdroj data'!O40&lt;=Body!$BS$15),Body!$BQ$6,IF(AND('Zdroj data'!O40&gt;=Body!$BT$15,'Zdroj data'!O40&lt;=Body!$BV$15),Body!BT$6,IF(AND('Zdroj data'!O40&gt;=Body!$BW$15,'Zdroj data'!O40&lt;=Body!$BY$15),Body!$BW$6,IF('Zdroj data'!O40&gt;=Body!$CB$15,Body!$BZ$6," ")))))))))),IF(AND('Zdroj data'!BG40="ST",'Zdroj data'!AM40=Body!$AX$16),IF(AND('Zdroj data'!O40&gt;=Body!$AY$16,'Zdroj data'!O40&lt;=Body!$BA$16),Body!$AY$6,IF(AND('Zdroj data'!O40&gt;=Body!$BB$16,'Zdroj data'!O40&lt;=Body!$BD$16),Body!$BB$6,IF(AND('Zdroj data'!O40&gt;=Body!$BE$16,'Zdroj data'!O40&lt;=Body!$BG$16),Body!$BE$6,IF(AND('Zdroj data'!O40&gt;=Body!$BH$16,'Zdroj data'!O40&lt;=Body!$BJ$16),Body!$BH$6,IF(AND('Zdroj data'!O40&gt;=Body!$BK$16,'Zdroj data'!O40&lt;=Body!$BM$16),Body!$BK$6,IF(AND('Zdroj data'!O40&gt;=Body!$BN$16,'Zdroj data'!O40&lt;=Body!$BP$16),Body!$BN$6,IF(AND('Zdroj data'!O40&gt;=Body!$BQ$16,'Zdroj data'!O40&lt;=Body!$BS$16),Body!$BQ$6,IF(AND('Zdroj data'!O40&gt;=Body!$BT$16,'Zdroj data'!O40&lt;=Body!$BV$16),Body!$BT$6,IF(AND('Zdroj data'!O40&gt;=Body!$BW$16,'Zdroj data'!O40&lt;=Body!$BY$16),Body!$BW$6,IF('Zdroj data'!O40&gt;=Body!$CB$16,Body!$BZ$6," ")))))))))),IF(AND('Zdroj data'!BG40="T",'Zdroj data'!AM40=Body!$AX$17),IF(AND('Zdroj data'!O40&gt;=Body!$AY$17,'Zdroj data'!O40&lt;=Body!$BA$17),Body!$AY$6,IF(AND('Zdroj data'!O40&gt;=Body!$BB$17,'Zdroj data'!O40&lt;=Body!$BD$17),Body!$BB$6,IF(AND('Zdroj data'!O40&gt;=Body!$BE$17,'Zdroj data'!O40&lt;=Body!$BG$17),Body!$BE$6,IF(AND('Zdroj data'!O40&gt;=Body!$BH$17,'Zdroj data'!O40&lt;=Body!#REF!),Body!$BH$6,IF(AND('Zdroj data'!O40&gt;=Body!$BK$17,'Zdroj data'!O40&lt;=Body!$BM$17),Body!$BK$6,IF(AND('Zdroj data'!O40&gt;=Body!$BN$17,'Zdroj data'!O40&lt;=Body!$BP$17),Body!$BN$6,IF(AND('Zdroj data'!O40&gt;=Body!$BQ$17,'Zdroj data'!O40&lt;=Body!$BS$17),Body!$BQ$6,IF(AND('Zdroj data'!O40&gt;=Body!$BT$17,'Zdroj data'!O40&lt;=Body!$BV$17),Body!$BT$6,IF(AND('Zdroj data'!O40&gt;=Body!$BW$17,'Zdroj data'!O40&lt;=Body!$BY$17),Body!$BW$6,IF('Zdroj data'!O40&gt;=Body!$CB$17,Body!$BZ$6," "))))))))))," ")))</f>
        <v>1</v>
      </c>
      <c r="AG40" s="264">
        <f>IF(AND('Zdroj data'!$BG40="L",'Zdroj data'!$AM40=Body!$AX$15),IF(AND(Tabulka1[[#This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data'!$BG40="ST",'Zdroj data'!$AM40=Body!$AX$16),IF(AND(Tabulka1[[#This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data'!$BG40="T",'Zdroj data'!$AM40=Body!$AX$17),IF(AND(Tabulka1[[#This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40" s="264" t="str">
        <f>IF(AND('Zdroj data'!BG40="L",'Zdroj data'!AM40=Body!$AX$18),IF(AND('Zdroj data'!O40&gt;=Body!$AY$18,'Zdroj data'!O40&lt;=Body!$BA$18),Body!AY$6,IF(AND('Zdroj data'!O40&gt;=Body!$BB$18,'Zdroj data'!O40&lt;=Body!$BD$18),Body!BB$6,IF(AND('Zdroj data'!O40&gt;=Body!$BE$18,'Zdroj data'!O40&lt;=Body!$BG$18),Body!BE$6,IF(AND('Zdroj data'!O40&gt;=Body!$BH$18,'Zdroj data'!O40&lt;=Body!$BJ$18),Body!BH$6,IF(AND('Zdroj data'!O40&gt;=Body!$BK$18,'Zdroj data'!O40&lt;=Body!$BM$18),Body!$BK$6,IF(AND('Zdroj data'!O40&gt;=Body!$BN$18,'Zdroj data'!O40&lt;=Body!$BP$18),Body!BN$6,IF(AND('Zdroj data'!O40&gt;=Body!$BQ$18,'Zdroj data'!O40&lt;=Body!$BS$18),Body!$BQ$6,IF(AND('Zdroj data'!O40&gt;=Body!$BT$18,'Zdroj data'!O40&lt;=Body!$BV$18),Body!$BT$6,IF(AND('Zdroj data'!O40&gt;=Body!$BW$18,'Zdroj data'!O40&lt;=Body!$BY$18),Body!$BW$6,IF('Zdroj data'!O40&gt;=Body!$CB$18,Body!$BZ$6," ")))))))))),IF(AND('Zdroj data'!BG40="ST",'Zdroj data'!AM40=Body!$AX$19),IF(AND('Zdroj data'!O40&gt;=Body!$AY$19,'Zdroj data'!O40&lt;=Body!$BA$19),Body!$AY$6,IF(AND('Zdroj data'!O40&gt;=Body!$BB$19,'Zdroj data'!O40&lt;=Body!$BD$19),Body!$BB$6,IF(AND('Zdroj data'!O40&gt;=Body!$BE$19,'Zdroj data'!O40&lt;=Body!$BG$19),Body!$BE$6,IF(AND('Zdroj data'!O40&gt;=Body!$BH$19,'Zdroj data'!O40&lt;=Body!$BJ$19),Body!$BH$6,IF(AND('Zdroj data'!O40&gt;=Body!$BK$19,'Zdroj data'!O40&lt;=Body!$BM$19),Body!$BK$6,IF(AND('Zdroj data'!O40&gt;=Body!$BN$19,'Zdroj data'!O40&lt;=Body!$BP$19),Body!$BN$6,IF(AND('Zdroj data'!O40&gt;=Body!$BQ$19,'Zdroj data'!O40&lt;=Body!$BS$19),Body!$BQ$6,IF(AND('Zdroj data'!O40&gt;=Body!$BT$19,'Zdroj data'!O44&lt;=Body!$BV$19),Body!$BT$6,IF(AND('Zdroj data'!O40&gt;=Body!$BW$19,'Zdroj data'!O40&lt;=Body!$BY$19),Body!$BW$6,IF('Zdroj data'!O40&gt;=Body!$CB$19,Body!$BZ$6," ")))))))))),IF(AND('Zdroj data'!BG40="T",'Zdroj data'!AM40=Body!$AX$20),IF(AND('Zdroj data'!O40&gt;=Body!$AY$20,'Zdroj data'!O40&lt;=Body!$BA$20),Body!$AY$6,IF(AND('Zdroj data'!O40&gt;=Body!$BB$20,'Zdroj data'!O40&lt;=Body!$BD$20),Body!$BB$6,IF(AND('Zdroj data'!O40&gt;=Body!$BE$20,'Zdroj data'!O40&lt;=Body!$BG$20),Body!$BE$6,IF(AND('Zdroj data'!O40&gt;=Body!$BH$20,'Zdroj data'!O40&lt;=Body!$BJ$20),Body!$BH$6,IF(AND('Zdroj data'!O40&gt;=Body!$BK$20,'Zdroj data'!O40&lt;=Body!$BM$20),Body!$BK$6,IF(AND('Zdroj data'!O40&gt;=Body!$BN$20,'Zdroj data'!O40&lt;=Body!$BP$20),Body!$BN$6,IF(AND('Zdroj data'!O40&gt;=Body!$BQ$20,'Zdroj data'!O40&lt;=Body!$BS$20),Body!$BQ$6,IF(AND('Zdroj data'!O40&gt;=Body!$BT$20,'Zdroj data'!O40&lt;=Body!#REF!),Body!$BT$6,IF(AND('Zdroj data'!O40&gt;=Body!$BW$20,'Zdroj data'!O40&lt;=Body!$BY$20),Body!$BW$6,IF('Zdroj data'!O40&gt;=Body!$CB$20,Body!$BZ$6," "))))))))))," ")))</f>
        <v xml:space="preserve"> </v>
      </c>
      <c r="AI40" s="264" t="str">
        <f>IF(AND('Zdroj data'!$BG40="L",'Zdroj data'!$AM40=Body!$AX$18),IF(AND(Tabulka1[[#This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data'!$BG40="ST",'Zdroj data'!$AM40=Body!$AX$19),IF(AND(Tabulka1[[#This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data'!$BG40="T",'Zdroj data'!$AM40=Body!$AX$20),IF(AND(Tabulka1[[#This Row],[K2O_60]]&gt;=Body!$AY$20,'Zdroj data'!O40&lt;=Body!$BA$20),Body!$AY$6,IF(AND(Tabulka1[[#This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40" s="265">
        <f t="shared" si="10"/>
        <v>5.3333333333333375</v>
      </c>
      <c r="AK40" s="264">
        <f t="shared" si="3"/>
        <v>19.078427328119872</v>
      </c>
      <c r="AL40" s="264">
        <f t="shared" si="4"/>
        <v>18.344191163671962</v>
      </c>
      <c r="AM40" s="264">
        <f t="shared" si="5"/>
        <v>49.472872024436654</v>
      </c>
      <c r="AN40" s="264">
        <f t="shared" si="6"/>
        <v>49.472872024436654</v>
      </c>
      <c r="AO40" s="265">
        <f t="shared" si="11"/>
        <v>68.551299352556526</v>
      </c>
      <c r="AP40" s="265">
        <f t="shared" si="12"/>
        <v>67.817063188108619</v>
      </c>
      <c r="AQ40" s="318"/>
      <c r="AR40" s="338">
        <f t="shared" si="7"/>
        <v>141.70169587399849</v>
      </c>
      <c r="AS40" s="318"/>
      <c r="AT40" s="138"/>
      <c r="AU40" s="138"/>
      <c r="AW40" s="106" t="s">
        <v>888</v>
      </c>
      <c r="AX40" s="106" t="s">
        <v>885</v>
      </c>
      <c r="AY40" s="106" t="s">
        <v>887</v>
      </c>
      <c r="AZ40" s="106"/>
      <c r="BA40" s="106" t="s">
        <v>886</v>
      </c>
      <c r="BB40" s="107"/>
      <c r="BH40"/>
    </row>
    <row r="41" spans="1:80" ht="15.5" x14ac:dyDescent="0.35">
      <c r="A41" s="270">
        <v>1069</v>
      </c>
      <c r="B41" s="156" t="s">
        <v>128</v>
      </c>
      <c r="C41" s="250" t="str">
        <f>VLOOKUP(B41,'Zdroj hloubka okresy'!$A$2:$D$171,2,FALSE)</f>
        <v>Pribram</v>
      </c>
      <c r="D41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10</v>
      </c>
      <c r="E41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10</v>
      </c>
      <c r="F41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7</v>
      </c>
      <c r="G41" s="264">
        <f>IF(AND(Tabulka1[[#This Row],[hum_60]]&gt;AY50,Tabulka1[[#This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4</v>
      </c>
      <c r="H41" s="264">
        <f>IF(Tabulka1[[#This Row],[kv.ek.]]=Body!$AX$13,IF(AND('Zdroj data'!M41&gt;=Body!$AY$13,'Zdroj data'!M41&lt;=Body!$BA$13),Body!$AY$6,IF(AND('Zdroj data'!M41&gt;=Body!$BB$13,'Zdroj data'!M41&lt;=Body!$BD$13),Body!$BB$6,IF(AND('Zdroj data'!M41&gt;=Body!$BE$13,'Zdroj data'!M41&lt;=Body!$BG$13),Body!$BE$6,IF(AND('Zdroj data'!M41&gt;=Body!$BH$13,'Zdroj data'!M41&lt;=Body!$BJ$13),Body!$BH$6,IF(AND('Zdroj data'!M41&gt;=Body!$BK$13,'Zdroj data'!M41&lt;=Body!$BM$13),Body!$BK$6,IF(AND('Zdroj data'!M41&gt;=Body!$BN$13,'Zdroj data'!M41&lt;=Body!$BP$13),Body!$BN$6,IF(AND('Zdroj data'!M41&gt;=Body!$BQ$13,'Zdroj data'!M41&lt;=Body!$BS$13),Body!$BQ$6,IF(AND('Zdroj data'!M41&gt;=Body!$BT$13,'Zdroj data'!M41&lt;=Body!$BV$13),Body!$BT$6,IF(AND('Zdroj data'!M41&gt;=Body!$BW$13,'Zdroj data'!M41&lt;=Body!$BY$13),Body!$BW$6,IF('Zdroj data'!M41&gt;=Body!$CB$13,Body!$BZ$6,"")))))))))),IF(Tabulka1[[#This Row],[kv.ek.]]=Body!$AX$14,IF(AND('Zdroj data'!N41&gt;=Body!$AY$14,'Zdroj data'!N41&lt;=Body!$BA$14),Body!$AY$6,IF(AND('Zdroj data'!N41&gt;=Body!$BB$14,'Zdroj data'!N41&lt;=Body!$BD$14),Body!$BB$6,IF(AND('Zdroj data'!N41&gt;=Body!$BE$14,'Zdroj data'!N41&lt;=Body!$BG$14),Body!$BE$6,IF(AND('Zdroj data'!N41&gt;=Body!$BH$14,'Zdroj data'!N41&lt;=Body!$BJ$14),Body!$BH$6,IF(AND('Zdroj data'!N41&gt;=Body!$BK$14,'Zdroj data'!N41&lt;=Body!$BM$14),Body!$BK$6,IF(AND('Zdroj data'!N41&gt;=Body!$BN$14,'Zdroj data'!N41&lt;=Body!$BP$14),Body!$BN$6,IF(AND('Zdroj data'!N41&gt;=Body!$BQ$14,'Zdroj data'!N41&lt;=Body!$BS$14),Body!$BQ$6,IF(AND('Zdroj data'!N41&gt;=Body!$BT$14,'Zdroj data'!N41&lt;=Body!$BV$14),Body!$BT$6,IF(AND('Zdroj data'!N41&gt;=Body!$BW$14,'Zdroj data'!N41&lt;=Body!$BY$14),Body!$BW$6,IF('Zdroj data'!N41&gt;=Body!$CB$14,Body!$BZ$6,"")))))))))),""))</f>
        <v>1</v>
      </c>
      <c r="I41" s="264">
        <f>IF(Tabulka1[[#This Row],[kv.ek.]]=Body!$AX$13,IF(AND('Zdroj data'!N41&gt;=Body!$AY$13,'Zdroj data'!N41&lt;=Body!$BA$13),Body!$AY$6,IF(AND('Zdroj data'!N41&gt;=Body!$BB$13,'Zdroj data'!N41&lt;=Body!$BD$13),Body!$BB$6,IF(AND('Zdroj data'!N41&gt;=Body!$BE$13,'Zdroj data'!N41&lt;=Body!$BG$13),Body!$BE$6,IF(AND('Zdroj data'!N41&gt;=Body!$BH$13,'Zdroj data'!N41&lt;=Body!$BJ$13),Body!$BH$6,IF(AND('Zdroj data'!N41&gt;=Body!$BK$13,'Zdroj data'!N41&lt;=Body!$BM$13),Body!$BK$6,IF(AND('Zdroj data'!N41&gt;=Body!$BN$13,'Zdroj data'!N41&lt;=Body!$BP$13),Body!$BN$6,IF(AND('Zdroj data'!N41&gt;=Body!$BQ$13,'Zdroj data'!N41&lt;=Body!$BS$13),Body!$BQ$6,IF(AND('Zdroj data'!N41&gt;=Body!$BT$13,'Zdroj data'!N41&lt;=Body!$BV$13),Body!$BT$6,IF(AND('Zdroj data'!N41&gt;=Body!$BW$13,'Zdroj data'!N41&lt;=Body!$BY$13),Body!$BW$6,IF('Zdroj data'!N41&gt;=Body!$CB$13,Body!$BZ$6," ")))))))))),IF(Tabulka1[[#This Row],[kv.ek.]]=Body!$AX$14,IF(AND('Zdroj data'!O41&gt;=Body!$AY$14,'Zdroj data'!O41&lt;=Body!$BA$14),Body!$AY$6,IF(AND('Zdroj data'!O41&gt;=Body!$BB$14,'Zdroj data'!O41&lt;=Body!$BD$14),Body!$BB$6,IF(AND('Zdroj data'!O41&gt;=Body!$BE$14,'Zdroj data'!O41&lt;=Body!$BG$14),Body!$BE$6,IF(AND('Zdroj data'!O41&gt;=Body!$BH$14,'Zdroj data'!O41&lt;=Body!$BJ$14),Body!$BH$6,IF(AND('Zdroj data'!O41&gt;=Body!$BK$14,'Zdroj data'!O41&lt;=Body!$BM$14),Body!$BK$6,IF(AND('Zdroj data'!O41&gt;=Body!$BN$14,'Zdroj data'!O41&lt;=Body!$BP$14),Body!$BN$6,IF(AND('Zdroj data'!O41&gt;=Body!$BQ$14,'Zdroj data'!O41&lt;=Body!$BS$14),Body!$BQ$6,IF(AND('Zdroj data'!O41&gt;=Body!$BT$14,'Zdroj data'!O41&lt;=Body!$BV$14),Body!$BT$6,IF(AND('Zdroj data'!O41&gt;=Body!$BW$14,'Zdroj data'!O41&lt;=Body!$BY$14),Body!$BW$6,IF('Zdroj data'!O41&gt;=Body!$CB$14,Body!$BZ$6," "))))))))))," "))</f>
        <v>1</v>
      </c>
      <c r="J41" s="264">
        <f t="shared" si="8"/>
        <v>1</v>
      </c>
      <c r="K41" s="264">
        <f t="shared" si="9"/>
        <v>1</v>
      </c>
      <c r="L41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7</v>
      </c>
      <c r="M41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6</v>
      </c>
      <c r="N41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41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41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41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41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41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41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41" s="264">
        <f>IF('Zdroj data'!BB41=Body!$AY$25,Body!$AY$22,IF('Zdroj data'!BB41=Body!$BB$25,Body!$BB$22,IF('Zdroj data'!BB41=Body!$BE$25,Body!$BE$22,IF('Zdroj data'!BB41=Body!$BH$25,Body!$BH$22,IF('Zdroj data'!BB41=Body!BK$25,Body!$BK$22,IF('Zdroj data'!BB41=Body!$BN$25,Body!$BN$22,IF('Zdroj data'!BB41=Body!$BQ$25,Body!$BQ$22,IF('Zdroj data'!BB41=Body!$BT$25,Body!$BT$22,IF('Zdroj data'!BB41=Body!$BW$25,Body!$BW$22,IF('Zdroj data'!BB41=Body!$BZ$25,Body!$BZ$22," "))))))))))</f>
        <v>5</v>
      </c>
      <c r="V41" s="264">
        <f>IF(AND('Zdroj data'!BO41&gt;Body!$AY$27,'Zdroj data'!BO41&lt;=Body!$BA$27),Body!$AY$22,IF(AND('Zdroj data'!BO41&gt;=Body!$BB$27,'Zdroj data'!BO41&lt;=Body!$BD$27),Body!$BB$22,IF(AND('Zdroj data'!BO41&gt;=Body!$BE$27,'Zdroj data'!BO41&lt;=Body!$BG$27),Body!$BE$22,IF(AND('Zdroj data'!BO41&gt;=Body!$BH$27,'Zdroj data'!BO41&lt;=Body!$BJ$27),Body!$BH$22,IF(AND('Zdroj data'!BO41&gt;=Body!$BK$27,'Zdroj data'!BO41&lt;=Body!$BM$27),Body!$BK$22,IF(AND('Zdroj data'!BO41&gt;=Body!$BN$27,'Zdroj data'!BO41&lt;=Body!$BP$27),Body!$BN$22,IF(AND('Zdroj data'!BO41&gt;=Body!$BQ$27,'Zdroj data'!BO41&lt;=Body!$BS$27),Body!$BQ$22,IF(AND('Zdroj data'!BO41&gt;=Body!$BT$27,'Zdroj data'!BO41&lt;=Body!$BV$27),Body!$BT$22,IF(AND('Zdroj data'!BO41&gt;=Body!$BW$27,'Zdroj data'!BO41&lt;=Body!$BY$27),Body!$BW$22,IF('Zdroj data'!BO41&gt;=Body!$CB$27,$BZ$22," "))))))))))</f>
        <v>6</v>
      </c>
      <c r="W41" s="264">
        <f>IF(AND('Zdroj data'!BP41&gt;Body!$AY$27,'Zdroj data'!BP41&lt;=Body!$BA$27),Body!$AY$22,IF(AND('Zdroj data'!BP41&gt;=Body!$BB$27,'Zdroj data'!BP41&lt;=Body!$BD$27),Body!$BB$22,IF(AND('Zdroj data'!BP41&gt;=Body!$BE$27,'Zdroj data'!BP41&lt;=Body!$BG$27),Body!$BE$22,IF(AND('Zdroj data'!BP41&gt;=Body!$BH$27,'Zdroj data'!BP41&lt;=Body!$BJ$27),Body!$BH$22,IF(AND('Zdroj data'!BP41&gt;=Body!$BK$27,'Zdroj data'!BP41&lt;=Body!$BM$27),Body!$BK$22,IF(AND('Zdroj data'!BP41&gt;=Body!$BN$27,'Zdroj data'!BP41&lt;=Body!$BP$27),Body!$BN$22,IF(AND('Zdroj data'!BP41&gt;=Body!$BQ$27,'Zdroj data'!BP41&lt;=Body!$BS$27),Body!$BQ$22,IF(AND('Zdroj data'!BP41&gt;=Body!$BT$27,'Zdroj data'!BP41&lt;=Body!$BV$27),Body!$BT$22,IF(AND('Zdroj data'!BP41&gt;=Body!$BW$27,'Zdroj data'!BP41&lt;=Body!$BY$27),Body!$BW$22,IF('Zdroj data'!BP41&gt;=Body!$CB$27,$BZ$22," "))))))))))</f>
        <v>10</v>
      </c>
      <c r="X41" s="264">
        <f>IF('Zdroj data'!BA41=Body!$BB$28,$BB$22,IF('Zdroj data'!BA41=Body!$BE$28,$BE$22,IF(OR('Zdroj data'!BA41=Body!$BK$28,'Zdroj data'!BA41=Body!$BL$28,'Zdroj data'!BA41=Body!$BM$28),$BK$22,IF(OR('Zdroj data'!BA41=Body!$BT$28,'Zdroj data'!BA41=Body!$BV$28),$BT$22,IF(OR('Zdroj data'!BA41=Body!$BW$28,'Zdroj data'!BA41=Body!$BY$28),$BW$22,IF('Zdroj data'!BA41=Body!$BZ$28,$BZ$22," "))))))</f>
        <v>9</v>
      </c>
      <c r="Y41" s="264">
        <f>IF('Zdroj data'!AZ41=Body!$BZ$29,Body!$BZ$22,IF(OR('Zdroj data'!AZ41=$BT$29,'Zdroj data'!AZ41=$BU$29,'Zdroj data'!AZ41=$BV$29),$BT$22,IF(OR('Zdroj data'!AZ41=$BK$29,'Zdroj data'!AZ41=$BM$29),$BK$22,IF(OR('Zdroj data'!AZ41=$BE$29,'Zdroj data'!AZ41=$BG$29),$BE$22,IF(OR('Zdroj data'!AZ41=$AY$29,'Zdroj data'!AZ41=$BA$29),$AY$22," ")))))</f>
        <v>10</v>
      </c>
      <c r="Z41" s="264">
        <f>IF(AND('Zdroj data'!BF41="T",(OR('Zdroj data'!AZ41=Body!$AW$45,'Zdroj data'!AZ41=Body!$AW$46,'Zdroj data'!AZ41=Body!$AW$47,'Zdroj data'!AZ41=Body!$AW$48))),Body!$AY$22,IF(AND('Zdroj data'!BF41="T",(OR('Zdroj data'!AZ41=$AW$49,'Zdroj data'!AZ41=$AW$50,'Zdroj data'!AZ41=$AW$51,'Zdroj data'!AZ41=$AW$52))),$BZ$22,IF(AND(OR('Zdroj data'!BF41="VT",'Zdroj data'!BF41="T",'Zdroj data'!BF41="CH"),(OR('Zdroj data'!AZ41=$AW$43,'Zdroj data'!AZ41=$AW$44,))),$BZ$22,IF(AND('Zdroj data'!BF41="CH",(OR('Zdroj data'!AZ41=$AW$49,'Zdroj data'!AZ41=$AW$50,'Zdroj data'!AZ41=$AW$51,'Zdroj data'!AZ41=$AW$52))),$AY$22,IF(AND('Zdroj data'!BF41="CH",(OR('Zdroj data'!AZ41=$AW$45,'Zdroj data'!AZ41=$AW$46,'Zdroj data'!AZ41=$AW$47,'Zdroj data'!AZ41=$AW$48))),$BZ$22," ")))))</f>
        <v>10</v>
      </c>
      <c r="AA41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41" s="264">
        <f>IF(Tabulka1[[#This Row],[kv.ek.]]=Body!$BK$35,Body!$BK$34,IF(Tabulka1[[#This Row],[kv.ek.]]=Body!$BZ$35,Body!$BZ$34," "))</f>
        <v>5</v>
      </c>
      <c r="AC41" s="264" t="str">
        <f>IF(AND('Zdroj data'!BF41="T",(OR('Zdroj data'!AZ41=Body!$AW$45,'Zdroj data'!AZ41=Body!$AW$46,'Zdroj data'!AZ41=Body!$AW$47,'Zdroj data'!AZ41=Body!$AW$48))),Body!$AY$22,IF(AND('Zdroj data'!BF41="T",(OR('Zdroj data'!AZ41=$AW$49,'Zdroj data'!AZ41=$AW$50,'Zdroj data'!AZ41=$AW$51,'Zdroj data'!AZ41=$AW$52))),$BZ$22," "))</f>
        <v xml:space="preserve"> </v>
      </c>
      <c r="AD41" s="264">
        <f>IF(AND(OR('Zdroj data'!BF41="VT",'Zdroj data'!BF41="T",'Zdroj data'!BF41="CH"),(OR('Zdroj data'!AZ41=$AW$43,'Zdroj data'!AZ41=$AW$44,))),$BZ$22," ")</f>
        <v>10</v>
      </c>
      <c r="AE41" s="264" t="str">
        <f>IF(AND('Zdroj data'!BF41="CH",(OR('Zdroj data'!AZ41=$AW$49,'Zdroj data'!AZ41=$AW$50,'Zdroj data'!AZ41=$AW$51,'Zdroj data'!AZ41=$AW$52))),$AY$22,IF(AND('Zdroj data'!BF41="CH",(OR('Zdroj data'!AZ41=$AW$45,'Zdroj data'!AZ41=$AW$46,'Zdroj data'!AZ41=$AW$47,'Zdroj data'!AZ41=$AW$48))),$BZ$22," "))</f>
        <v xml:space="preserve"> </v>
      </c>
      <c r="AF41" s="264">
        <f>IF(AND('Zdroj data'!BG41="L",'Zdroj data'!AM41=Body!$AX$15),IF(AND('Zdroj data'!O41&gt;=Body!$AY$15,'Zdroj data'!O41&lt;=Body!$BA$15),Body!AY$6,IF(AND('Zdroj data'!O41&gt;=Body!$BB$15,'Zdroj data'!O41&lt;=Body!$BD$15),Body!BB$6,IF(AND('Zdroj data'!O41&gt;=Body!$BE$15,'Zdroj data'!O41&lt;=Body!$BG$15),Body!BE$6,IF(AND('Zdroj data'!O41&gt;=Body!$BH$15,'Zdroj data'!O41&lt;=Body!$BJ$15),Body!BH$6,IF(AND('Zdroj data'!O41&gt;=Body!$BK$15,'Zdroj data'!O41&lt;=Body!$BM$15),Body!BK$6,IF(AND('Zdroj data'!O41&gt;=Body!$BN$15,'Zdroj data'!O41&lt;=Body!$BP$15),Body!$BN$6,IF(AND('Zdroj data'!O41&gt;=Body!$BQ$15,'Zdroj data'!O41&lt;=Body!$BS$15),Body!$BQ$6,IF(AND('Zdroj data'!O41&gt;=Body!$BT$15,'Zdroj data'!O41&lt;=Body!$BV$15),Body!BT$6,IF(AND('Zdroj data'!O41&gt;=Body!$BW$15,'Zdroj data'!O41&lt;=Body!$BY$15),Body!$BW$6,IF('Zdroj data'!O41&gt;=Body!$CB$15,Body!$BZ$6," ")))))))))),IF(AND('Zdroj data'!BG41="ST",'Zdroj data'!AM41=Body!$AX$16),IF(AND('Zdroj data'!O41&gt;=Body!$AY$16,'Zdroj data'!O41&lt;=Body!$BA$16),Body!$AY$6,IF(AND('Zdroj data'!O41&gt;=Body!$BB$16,'Zdroj data'!O41&lt;=Body!$BD$16),Body!$BB$6,IF(AND('Zdroj data'!O41&gt;=Body!$BE$16,'Zdroj data'!O41&lt;=Body!$BG$16),Body!$BE$6,IF(AND('Zdroj data'!O41&gt;=Body!$BH$16,'Zdroj data'!O41&lt;=Body!$BJ$16),Body!$BH$6,IF(AND('Zdroj data'!O41&gt;=Body!$BK$16,'Zdroj data'!O41&lt;=Body!$BM$16),Body!$BK$6,IF(AND('Zdroj data'!O41&gt;=Body!$BN$16,'Zdroj data'!O41&lt;=Body!$BP$16),Body!$BN$6,IF(AND('Zdroj data'!O41&gt;=Body!$BQ$16,'Zdroj data'!O41&lt;=Body!$BS$16),Body!$BQ$6,IF(AND('Zdroj data'!O41&gt;=Body!$BT$16,'Zdroj data'!O41&lt;=Body!$BV$16),Body!$BT$6,IF(AND('Zdroj data'!O41&gt;=Body!$BW$16,'Zdroj data'!O41&lt;=Body!$BY$16),Body!$BW$6,IF('Zdroj data'!O41&gt;=Body!$CB$16,Body!$BZ$6," ")))))))))),IF(AND('Zdroj data'!BG41="T",'Zdroj data'!AM41=Body!$AX$17),IF(AND('Zdroj data'!O41&gt;=Body!$AY$17,'Zdroj data'!O41&lt;=Body!$BA$17),Body!$AY$6,IF(AND('Zdroj data'!O41&gt;=Body!$BB$17,'Zdroj data'!O41&lt;=Body!$BD$17),Body!$BB$6,IF(AND('Zdroj data'!O41&gt;=Body!$BE$17,'Zdroj data'!O41&lt;=Body!$BG$17),Body!$BE$6,IF(AND('Zdroj data'!O41&gt;=Body!$BH$17,'Zdroj data'!O41&lt;=Body!#REF!),Body!$BH$6,IF(AND('Zdroj data'!O41&gt;=Body!$BK$17,'Zdroj data'!O41&lt;=Body!$BM$17),Body!$BK$6,IF(AND('Zdroj data'!O41&gt;=Body!$BN$17,'Zdroj data'!O41&lt;=Body!$BP$17),Body!$BN$6,IF(AND('Zdroj data'!O41&gt;=Body!$BQ$17,'Zdroj data'!O41&lt;=Body!$BS$17),Body!$BQ$6,IF(AND('Zdroj data'!O41&gt;=Body!$BT$17,'Zdroj data'!O41&lt;=Body!$BV$17),Body!$BT$6,IF(AND('Zdroj data'!O41&gt;=Body!$BW$17,'Zdroj data'!O41&lt;=Body!$BY$17),Body!$BW$6,IF('Zdroj data'!O41&gt;=Body!$CB$17,Body!$BZ$6," "))))))))))," ")))</f>
        <v>1</v>
      </c>
      <c r="AG41" s="264">
        <f>IF(AND('Zdroj data'!$BG41="L",'Zdroj data'!$AM41=Body!$AX$15),IF(AND(Tabulka1[[#This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data'!$BG41="ST",'Zdroj data'!$AM41=Body!$AX$16),IF(AND(Tabulka1[[#This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data'!$BG41="T",'Zdroj data'!$AM41=Body!$AX$17),IF(AND(Tabulka1[[#This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41" s="264" t="str">
        <f>IF(AND('Zdroj data'!BG41="L",'Zdroj data'!AM41=Body!$AX$18),IF(AND('Zdroj data'!O41&gt;=Body!$AY$18,'Zdroj data'!O41&lt;=Body!$BA$18),Body!AY$6,IF(AND('Zdroj data'!O41&gt;=Body!$BB$18,'Zdroj data'!O41&lt;=Body!$BD$18),Body!BB$6,IF(AND('Zdroj data'!O41&gt;=Body!$BE$18,'Zdroj data'!O41&lt;=Body!$BG$18),Body!BE$6,IF(AND('Zdroj data'!O41&gt;=Body!$BH$18,'Zdroj data'!O41&lt;=Body!$BJ$18),Body!BH$6,IF(AND('Zdroj data'!O41&gt;=Body!$BK$18,'Zdroj data'!O41&lt;=Body!$BM$18),Body!$BK$6,IF(AND('Zdroj data'!O41&gt;=Body!$BN$18,'Zdroj data'!O41&lt;=Body!$BP$18),Body!BN$6,IF(AND('Zdroj data'!O41&gt;=Body!$BQ$18,'Zdroj data'!O41&lt;=Body!$BS$18),Body!$BQ$6,IF(AND('Zdroj data'!O41&gt;=Body!$BT$18,'Zdroj data'!O41&lt;=Body!$BV$18),Body!$BT$6,IF(AND('Zdroj data'!O41&gt;=Body!$BW$18,'Zdroj data'!O41&lt;=Body!$BY$18),Body!$BW$6,IF('Zdroj data'!O41&gt;=Body!$CB$18,Body!$BZ$6," ")))))))))),IF(AND('Zdroj data'!BG41="ST",'Zdroj data'!AM41=Body!$AX$19),IF(AND('Zdroj data'!O41&gt;=Body!$AY$19,'Zdroj data'!O41&lt;=Body!$BA$19),Body!$AY$6,IF(AND('Zdroj data'!O41&gt;=Body!$BB$19,'Zdroj data'!O41&lt;=Body!$BD$19),Body!$BB$6,IF(AND('Zdroj data'!O41&gt;=Body!$BE$19,'Zdroj data'!O41&lt;=Body!$BG$19),Body!$BE$6,IF(AND('Zdroj data'!O41&gt;=Body!$BH$19,'Zdroj data'!O41&lt;=Body!$BJ$19),Body!$BH$6,IF(AND('Zdroj data'!O41&gt;=Body!$BK$19,'Zdroj data'!O41&lt;=Body!$BM$19),Body!$BK$6,IF(AND('Zdroj data'!O41&gt;=Body!$BN$19,'Zdroj data'!O41&lt;=Body!$BP$19),Body!$BN$6,IF(AND('Zdroj data'!O41&gt;=Body!$BQ$19,'Zdroj data'!O41&lt;=Body!$BS$19),Body!$BQ$6,IF(AND('Zdroj data'!O41&gt;=Body!$BT$19,'Zdroj data'!O45&lt;=Body!$BV$19),Body!$BT$6,IF(AND('Zdroj data'!O41&gt;=Body!$BW$19,'Zdroj data'!O41&lt;=Body!$BY$19),Body!$BW$6,IF('Zdroj data'!O41&gt;=Body!$CB$19,Body!$BZ$6," ")))))))))),IF(AND('Zdroj data'!BG41="T",'Zdroj data'!AM41=Body!$AX$20),IF(AND('Zdroj data'!O41&gt;=Body!$AY$20,'Zdroj data'!O41&lt;=Body!$BA$20),Body!$AY$6,IF(AND('Zdroj data'!O41&gt;=Body!$BB$20,'Zdroj data'!O41&lt;=Body!$BD$20),Body!$BB$6,IF(AND('Zdroj data'!O41&gt;=Body!$BE$20,'Zdroj data'!O41&lt;=Body!$BG$20),Body!$BE$6,IF(AND('Zdroj data'!O41&gt;=Body!$BH$20,'Zdroj data'!O41&lt;=Body!$BJ$20),Body!$BH$6,IF(AND('Zdroj data'!O41&gt;=Body!$BK$20,'Zdroj data'!O41&lt;=Body!$BM$20),Body!$BK$6,IF(AND('Zdroj data'!O41&gt;=Body!$BN$20,'Zdroj data'!O41&lt;=Body!$BP$20),Body!$BN$6,IF(AND('Zdroj data'!O41&gt;=Body!$BQ$20,'Zdroj data'!O41&lt;=Body!$BS$20),Body!$BQ$6,IF(AND('Zdroj data'!O41&gt;=Body!$BT$20,'Zdroj data'!O41&lt;=Body!#REF!),Body!$BT$6,IF(AND('Zdroj data'!O41&gt;=Body!$BW$20,'Zdroj data'!O41&lt;=Body!$BY$20),Body!$BW$6,IF('Zdroj data'!O41&gt;=Body!$CB$20,Body!$BZ$6," "))))))))))," ")))</f>
        <v xml:space="preserve"> </v>
      </c>
      <c r="AI41" s="264" t="str">
        <f>IF(AND('Zdroj data'!$BG41="L",'Zdroj data'!$AM41=Body!$AX$18),IF(AND(Tabulka1[[#This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data'!$BG41="ST",'Zdroj data'!$AM41=Body!$AX$19),IF(AND(Tabulka1[[#This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data'!$BG41="T",'Zdroj data'!$AM41=Body!$AX$20),IF(AND(Tabulka1[[#This Row],[K2O_60]]&gt;=Body!$AY$20,'Zdroj data'!O41&lt;=Body!$BA$20),Body!$AY$6,IF(AND(Tabulka1[[#This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41" s="265">
        <f t="shared" si="10"/>
        <v>5.3333333333333375</v>
      </c>
      <c r="AK41" s="264">
        <f t="shared" si="3"/>
        <v>35.422158991167805</v>
      </c>
      <c r="AL41" s="264">
        <f t="shared" si="4"/>
        <v>29.163211384666791</v>
      </c>
      <c r="AM41" s="264">
        <f t="shared" si="5"/>
        <v>66.044716973676799</v>
      </c>
      <c r="AN41" s="264">
        <f t="shared" si="6"/>
        <v>68.309465845408752</v>
      </c>
      <c r="AO41" s="265">
        <f t="shared" si="11"/>
        <v>101.4668759648446</v>
      </c>
      <c r="AP41" s="265">
        <f t="shared" si="12"/>
        <v>97.472677230075547</v>
      </c>
      <c r="AQ41" s="318"/>
      <c r="AR41" s="338">
        <f t="shared" si="7"/>
        <v>204.27288652825351</v>
      </c>
      <c r="AS41" s="318"/>
      <c r="AT41" s="138"/>
      <c r="AU41" s="138"/>
      <c r="BA41"/>
      <c r="BH41"/>
    </row>
    <row r="42" spans="1:80" ht="15.5" x14ac:dyDescent="0.35">
      <c r="A42" s="270">
        <v>1072</v>
      </c>
      <c r="B42" s="156" t="s">
        <v>543</v>
      </c>
      <c r="C42" s="250" t="str">
        <f>VLOOKUP(B42,'Zdroj hloubka okresy'!$A$2:$D$171,2,FALSE)</f>
        <v>Pribram</v>
      </c>
      <c r="D42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42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42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8</v>
      </c>
      <c r="G42" s="264">
        <f>IF(AND(Tabulka1[[#This Row],[hum_60]]&gt;AY51,Tabulka1[[#This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6</v>
      </c>
      <c r="H42" s="264">
        <f>IF(Tabulka1[[#This Row],[kv.ek.]]=Body!$AX$13,IF(AND('Zdroj data'!M42&gt;=Body!$AY$13,'Zdroj data'!M42&lt;=Body!$BA$13),Body!$AY$6,IF(AND('Zdroj data'!M42&gt;=Body!$BB$13,'Zdroj data'!M42&lt;=Body!$BD$13),Body!$BB$6,IF(AND('Zdroj data'!M42&gt;=Body!$BE$13,'Zdroj data'!M42&lt;=Body!$BG$13),Body!$BE$6,IF(AND('Zdroj data'!M42&gt;=Body!$BH$13,'Zdroj data'!M42&lt;=Body!$BJ$13),Body!$BH$6,IF(AND('Zdroj data'!M42&gt;=Body!$BK$13,'Zdroj data'!M42&lt;=Body!$BM$13),Body!$BK$6,IF(AND('Zdroj data'!M42&gt;=Body!$BN$13,'Zdroj data'!M42&lt;=Body!$BP$13),Body!$BN$6,IF(AND('Zdroj data'!M42&gt;=Body!$BQ$13,'Zdroj data'!M42&lt;=Body!$BS$13),Body!$BQ$6,IF(AND('Zdroj data'!M42&gt;=Body!$BT$13,'Zdroj data'!M42&lt;=Body!$BV$13),Body!$BT$6,IF(AND('Zdroj data'!M42&gt;=Body!$BW$13,'Zdroj data'!M42&lt;=Body!$BY$13),Body!$BW$6,IF('Zdroj data'!M42&gt;=Body!$CB$13,Body!$BZ$6,"")))))))))),IF(Tabulka1[[#This Row],[kv.ek.]]=Body!$AX$14,IF(AND('Zdroj data'!N42&gt;=Body!$AY$14,'Zdroj data'!N42&lt;=Body!$BA$14),Body!$AY$6,IF(AND('Zdroj data'!N42&gt;=Body!$BB$14,'Zdroj data'!N42&lt;=Body!$BD$14),Body!$BB$6,IF(AND('Zdroj data'!N42&gt;=Body!$BE$14,'Zdroj data'!N42&lt;=Body!$BG$14),Body!$BE$6,IF(AND('Zdroj data'!N42&gt;=Body!$BH$14,'Zdroj data'!N42&lt;=Body!$BJ$14),Body!$BH$6,IF(AND('Zdroj data'!N42&gt;=Body!$BK$14,'Zdroj data'!N42&lt;=Body!$BM$14),Body!$BK$6,IF(AND('Zdroj data'!N42&gt;=Body!$BN$14,'Zdroj data'!N42&lt;=Body!$BP$14),Body!$BN$6,IF(AND('Zdroj data'!N42&gt;=Body!$BQ$14,'Zdroj data'!N42&lt;=Body!$BS$14),Body!$BQ$6,IF(AND('Zdroj data'!N42&gt;=Body!$BT$14,'Zdroj data'!N42&lt;=Body!$BV$14),Body!$BT$6,IF(AND('Zdroj data'!N42&gt;=Body!$BW$14,'Zdroj data'!N42&lt;=Body!$BY$14),Body!$BW$6,IF('Zdroj data'!N42&gt;=Body!$CB$14,Body!$BZ$6,"")))))))))),""))</f>
        <v>1</v>
      </c>
      <c r="I42" s="264">
        <f>IF(Tabulka1[[#This Row],[kv.ek.]]=Body!$AX$13,IF(AND('Zdroj data'!N42&gt;=Body!$AY$13,'Zdroj data'!N42&lt;=Body!$BA$13),Body!$AY$6,IF(AND('Zdroj data'!N42&gt;=Body!$BB$13,'Zdroj data'!N42&lt;=Body!$BD$13),Body!$BB$6,IF(AND('Zdroj data'!N42&gt;=Body!$BE$13,'Zdroj data'!N42&lt;=Body!$BG$13),Body!$BE$6,IF(AND('Zdroj data'!N42&gt;=Body!$BH$13,'Zdroj data'!N42&lt;=Body!$BJ$13),Body!$BH$6,IF(AND('Zdroj data'!N42&gt;=Body!$BK$13,'Zdroj data'!N42&lt;=Body!$BM$13),Body!$BK$6,IF(AND('Zdroj data'!N42&gt;=Body!$BN$13,'Zdroj data'!N42&lt;=Body!$BP$13),Body!$BN$6,IF(AND('Zdroj data'!N42&gt;=Body!$BQ$13,'Zdroj data'!N42&lt;=Body!$BS$13),Body!$BQ$6,IF(AND('Zdroj data'!N42&gt;=Body!$BT$13,'Zdroj data'!N42&lt;=Body!$BV$13),Body!$BT$6,IF(AND('Zdroj data'!N42&gt;=Body!$BW$13,'Zdroj data'!N42&lt;=Body!$BY$13),Body!$BW$6,IF('Zdroj data'!N42&gt;=Body!$CB$13,Body!$BZ$6," ")))))))))),IF(Tabulka1[[#This Row],[kv.ek.]]=Body!$AX$14,IF(AND('Zdroj data'!O42&gt;=Body!$AY$14,'Zdroj data'!O42&lt;=Body!$BA$14),Body!$AY$6,IF(AND('Zdroj data'!O42&gt;=Body!$BB$14,'Zdroj data'!O42&lt;=Body!$BD$14),Body!$BB$6,IF(AND('Zdroj data'!O42&gt;=Body!$BE$14,'Zdroj data'!O42&lt;=Body!$BG$14),Body!$BE$6,IF(AND('Zdroj data'!O42&gt;=Body!$BH$14,'Zdroj data'!O42&lt;=Body!$BJ$14),Body!$BH$6,IF(AND('Zdroj data'!O42&gt;=Body!$BK$14,'Zdroj data'!O42&lt;=Body!$BM$14),Body!$BK$6,IF(AND('Zdroj data'!O42&gt;=Body!$BN$14,'Zdroj data'!O42&lt;=Body!$BP$14),Body!$BN$6,IF(AND('Zdroj data'!O42&gt;=Body!$BQ$14,'Zdroj data'!O42&lt;=Body!$BS$14),Body!$BQ$6,IF(AND('Zdroj data'!O42&gt;=Body!$BT$14,'Zdroj data'!O42&lt;=Body!$BV$14),Body!$BT$6,IF(AND('Zdroj data'!O42&gt;=Body!$BW$14,'Zdroj data'!O42&lt;=Body!$BY$14),Body!$BW$6,IF('Zdroj data'!O42&gt;=Body!$CB$14,Body!$BZ$6," "))))))))))," "))</f>
        <v>1</v>
      </c>
      <c r="J42" s="264">
        <f t="shared" si="8"/>
        <v>1</v>
      </c>
      <c r="K42" s="264">
        <f t="shared" si="9"/>
        <v>1</v>
      </c>
      <c r="L42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6</v>
      </c>
      <c r="M42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42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42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42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42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42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42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42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42" s="264">
        <f>IF('Zdroj data'!BB42=Body!$AY$25,Body!$AY$22,IF('Zdroj data'!BB42=Body!$BB$25,Body!$BB$22,IF('Zdroj data'!BB42=Body!$BE$25,Body!$BE$22,IF('Zdroj data'!BB42=Body!$BH$25,Body!$BH$22,IF('Zdroj data'!BB42=Body!BK$25,Body!$BK$22,IF('Zdroj data'!BB42=Body!$BN$25,Body!$BN$22,IF('Zdroj data'!BB42=Body!$BQ$25,Body!$BQ$22,IF('Zdroj data'!BB42=Body!$BT$25,Body!$BT$22,IF('Zdroj data'!BB42=Body!$BW$25,Body!$BW$22,IF('Zdroj data'!BB42=Body!$BZ$25,Body!$BZ$22," "))))))))))</f>
        <v>5</v>
      </c>
      <c r="V42" s="264">
        <f>IF(AND('Zdroj data'!BO42&gt;Body!$AY$27,'Zdroj data'!BO42&lt;=Body!$BA$27),Body!$AY$22,IF(AND('Zdroj data'!BO42&gt;=Body!$BB$27,'Zdroj data'!BO42&lt;=Body!$BD$27),Body!$BB$22,IF(AND('Zdroj data'!BO42&gt;=Body!$BE$27,'Zdroj data'!BO42&lt;=Body!$BG$27),Body!$BE$22,IF(AND('Zdroj data'!BO42&gt;=Body!$BH$27,'Zdroj data'!BO42&lt;=Body!$BJ$27),Body!$BH$22,IF(AND('Zdroj data'!BO42&gt;=Body!$BK$27,'Zdroj data'!BO42&lt;=Body!$BM$27),Body!$BK$22,IF(AND('Zdroj data'!BO42&gt;=Body!$BN$27,'Zdroj data'!BO42&lt;=Body!$BP$27),Body!$BN$22,IF(AND('Zdroj data'!BO42&gt;=Body!$BQ$27,'Zdroj data'!BO42&lt;=Body!$BS$27),Body!$BQ$22,IF(AND('Zdroj data'!BO42&gt;=Body!$BT$27,'Zdroj data'!BO42&lt;=Body!$BV$27),Body!$BT$22,IF(AND('Zdroj data'!BO42&gt;=Body!$BW$27,'Zdroj data'!BO42&lt;=Body!$BY$27),Body!$BW$22,IF('Zdroj data'!BO42&gt;=Body!$CB$27,$BZ$22," "))))))))))</f>
        <v>6</v>
      </c>
      <c r="W42" s="264">
        <f>IF(AND('Zdroj data'!BP42&gt;Body!$AY$27,'Zdroj data'!BP42&lt;=Body!$BA$27),Body!$AY$22,IF(AND('Zdroj data'!BP42&gt;=Body!$BB$27,'Zdroj data'!BP42&lt;=Body!$BD$27),Body!$BB$22,IF(AND('Zdroj data'!BP42&gt;=Body!$BE$27,'Zdroj data'!BP42&lt;=Body!$BG$27),Body!$BE$22,IF(AND('Zdroj data'!BP42&gt;=Body!$BH$27,'Zdroj data'!BP42&lt;=Body!$BJ$27),Body!$BH$22,IF(AND('Zdroj data'!BP42&gt;=Body!$BK$27,'Zdroj data'!BP42&lt;=Body!$BM$27),Body!$BK$22,IF(AND('Zdroj data'!BP42&gt;=Body!$BN$27,'Zdroj data'!BP42&lt;=Body!$BP$27),Body!$BN$22,IF(AND('Zdroj data'!BP42&gt;=Body!$BQ$27,'Zdroj data'!BP42&lt;=Body!$BS$27),Body!$BQ$22,IF(AND('Zdroj data'!BP42&gt;=Body!$BT$27,'Zdroj data'!BP42&lt;=Body!$BV$27),Body!$BT$22,IF(AND('Zdroj data'!BP42&gt;=Body!$BW$27,'Zdroj data'!BP42&lt;=Body!$BY$27),Body!$BW$22,IF('Zdroj data'!BP42&gt;=Body!$CB$27,$BZ$22," "))))))))))</f>
        <v>10</v>
      </c>
      <c r="X42" s="264">
        <f>IF('Zdroj data'!BA42=Body!$BB$28,$BB$22,IF('Zdroj data'!BA42=Body!$BE$28,$BE$22,IF(OR('Zdroj data'!BA42=Body!$BK$28,'Zdroj data'!BA42=Body!$BL$28,'Zdroj data'!BA42=Body!$BM$28),$BK$22,IF(OR('Zdroj data'!BA42=Body!$BT$28,'Zdroj data'!BA42=Body!$BV$28),$BT$22,IF(OR('Zdroj data'!BA42=Body!$BW$28,'Zdroj data'!BA42=Body!$BY$28),$BW$22,IF('Zdroj data'!BA42=Body!$BZ$28,$BZ$22," "))))))</f>
        <v>9</v>
      </c>
      <c r="Y42" s="264">
        <f>IF('Zdroj data'!AZ42=Body!$BZ$29,Body!$BZ$22,IF(OR('Zdroj data'!AZ42=$BT$29,'Zdroj data'!AZ42=$BU$29,'Zdroj data'!AZ42=$BV$29),$BT$22,IF(OR('Zdroj data'!AZ42=$BK$29,'Zdroj data'!AZ42=$BM$29),$BK$22,IF(OR('Zdroj data'!AZ42=$BE$29,'Zdroj data'!AZ42=$BG$29),$BE$22,IF(OR('Zdroj data'!AZ42=$AY$29,'Zdroj data'!AZ42=$BA$29),$AY$22," ")))))</f>
        <v>10</v>
      </c>
      <c r="Z42" s="264">
        <f>IF(AND('Zdroj data'!BF42="T",(OR('Zdroj data'!AZ42=Body!$AW$45,'Zdroj data'!AZ42=Body!$AW$46,'Zdroj data'!AZ42=Body!$AW$47,'Zdroj data'!AZ42=Body!$AW$48))),Body!$AY$22,IF(AND('Zdroj data'!BF42="T",(OR('Zdroj data'!AZ42=$AW$49,'Zdroj data'!AZ42=$AW$50,'Zdroj data'!AZ42=$AW$51,'Zdroj data'!AZ42=$AW$52))),$BZ$22,IF(AND(OR('Zdroj data'!BF42="VT",'Zdroj data'!BF42="T",'Zdroj data'!BF42="CH"),(OR('Zdroj data'!AZ42=$AW$43,'Zdroj data'!AZ42=$AW$44,))),$BZ$22,IF(AND('Zdroj data'!BF42="CH",(OR('Zdroj data'!AZ42=$AW$49,'Zdroj data'!AZ42=$AW$50,'Zdroj data'!AZ42=$AW$51,'Zdroj data'!AZ42=$AW$52))),$AY$22,IF(AND('Zdroj data'!BF42="CH",(OR('Zdroj data'!AZ42=$AW$45,'Zdroj data'!AZ42=$AW$46,'Zdroj data'!AZ42=$AW$47,'Zdroj data'!AZ42=$AW$48))),$BZ$22," ")))))</f>
        <v>10</v>
      </c>
      <c r="AA42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42" s="264">
        <f>IF(Tabulka1[[#This Row],[kv.ek.]]=Body!$BK$35,Body!$BK$34,IF(Tabulka1[[#This Row],[kv.ek.]]=Body!$BZ$35,Body!$BZ$34," "))</f>
        <v>5</v>
      </c>
      <c r="AC42" s="264" t="str">
        <f>IF(AND('Zdroj data'!BF42="T",(OR('Zdroj data'!AZ42=Body!$AW$45,'Zdroj data'!AZ42=Body!$AW$46,'Zdroj data'!AZ42=Body!$AW$47,'Zdroj data'!AZ42=Body!$AW$48))),Body!$AY$22,IF(AND('Zdroj data'!BF42="T",(OR('Zdroj data'!AZ42=$AW$49,'Zdroj data'!AZ42=$AW$50,'Zdroj data'!AZ42=$AW$51,'Zdroj data'!AZ42=$AW$52))),$BZ$22," "))</f>
        <v xml:space="preserve"> </v>
      </c>
      <c r="AD42" s="264">
        <f>IF(AND(OR('Zdroj data'!BF42="VT",'Zdroj data'!BF42="T",'Zdroj data'!BF42="CH"),(OR('Zdroj data'!AZ42=$AW$43,'Zdroj data'!AZ42=$AW$44,))),$BZ$22," ")</f>
        <v>10</v>
      </c>
      <c r="AE42" s="264" t="str">
        <f>IF(AND('Zdroj data'!BF42="CH",(OR('Zdroj data'!AZ42=$AW$49,'Zdroj data'!AZ42=$AW$50,'Zdroj data'!AZ42=$AW$51,'Zdroj data'!AZ42=$AW$52))),$AY$22,IF(AND('Zdroj data'!BF42="CH",(OR('Zdroj data'!AZ42=$AW$45,'Zdroj data'!AZ42=$AW$46,'Zdroj data'!AZ42=$AW$47,'Zdroj data'!AZ42=$AW$48))),$BZ$22," "))</f>
        <v xml:space="preserve"> </v>
      </c>
      <c r="AF42" s="264">
        <f>IF(AND('Zdroj data'!BG42="L",'Zdroj data'!AM42=Body!$AX$15),IF(AND('Zdroj data'!O42&gt;=Body!$AY$15,'Zdroj data'!O42&lt;=Body!$BA$15),Body!AY$6,IF(AND('Zdroj data'!O42&gt;=Body!$BB$15,'Zdroj data'!O42&lt;=Body!$BD$15),Body!BB$6,IF(AND('Zdroj data'!O42&gt;=Body!$BE$15,'Zdroj data'!O42&lt;=Body!$BG$15),Body!BE$6,IF(AND('Zdroj data'!O42&gt;=Body!$BH$15,'Zdroj data'!O42&lt;=Body!$BJ$15),Body!BH$6,IF(AND('Zdroj data'!O42&gt;=Body!$BK$15,'Zdroj data'!O42&lt;=Body!$BM$15),Body!BK$6,IF(AND('Zdroj data'!O42&gt;=Body!$BN$15,'Zdroj data'!O42&lt;=Body!$BP$15),Body!$BN$6,IF(AND('Zdroj data'!O42&gt;=Body!$BQ$15,'Zdroj data'!O42&lt;=Body!$BS$15),Body!$BQ$6,IF(AND('Zdroj data'!O42&gt;=Body!$BT$15,'Zdroj data'!O42&lt;=Body!$BV$15),Body!BT$6,IF(AND('Zdroj data'!O42&gt;=Body!$BW$15,'Zdroj data'!O42&lt;=Body!$BY$15),Body!$BW$6,IF('Zdroj data'!O42&gt;=Body!$CB$15,Body!$BZ$6," ")))))))))),IF(AND('Zdroj data'!BG42="ST",'Zdroj data'!AM42=Body!$AX$16),IF(AND('Zdroj data'!O42&gt;=Body!$AY$16,'Zdroj data'!O42&lt;=Body!$BA$16),Body!$AY$6,IF(AND('Zdroj data'!O42&gt;=Body!$BB$16,'Zdroj data'!O42&lt;=Body!$BD$16),Body!$BB$6,IF(AND('Zdroj data'!O42&gt;=Body!$BE$16,'Zdroj data'!O42&lt;=Body!$BG$16),Body!$BE$6,IF(AND('Zdroj data'!O42&gt;=Body!$BH$16,'Zdroj data'!O42&lt;=Body!$BJ$16),Body!$BH$6,IF(AND('Zdroj data'!O42&gt;=Body!$BK$16,'Zdroj data'!O42&lt;=Body!$BM$16),Body!$BK$6,IF(AND('Zdroj data'!O42&gt;=Body!$BN$16,'Zdroj data'!O42&lt;=Body!$BP$16),Body!$BN$6,IF(AND('Zdroj data'!O42&gt;=Body!$BQ$16,'Zdroj data'!O42&lt;=Body!$BS$16),Body!$BQ$6,IF(AND('Zdroj data'!O42&gt;=Body!$BT$16,'Zdroj data'!O42&lt;=Body!$BV$16),Body!$BT$6,IF(AND('Zdroj data'!O42&gt;=Body!$BW$16,'Zdroj data'!O42&lt;=Body!$BY$16),Body!$BW$6,IF('Zdroj data'!O42&gt;=Body!$CB$16,Body!$BZ$6," ")))))))))),IF(AND('Zdroj data'!BG42="T",'Zdroj data'!AM42=Body!$AX$17),IF(AND('Zdroj data'!O42&gt;=Body!$AY$17,'Zdroj data'!O42&lt;=Body!$BA$17),Body!$AY$6,IF(AND('Zdroj data'!O42&gt;=Body!$BB$17,'Zdroj data'!O42&lt;=Body!$BD$17),Body!$BB$6,IF(AND('Zdroj data'!O42&gt;=Body!$BE$17,'Zdroj data'!O42&lt;=Body!$BG$17),Body!$BE$6,IF(AND('Zdroj data'!O42&gt;=Body!$BH$17,'Zdroj data'!O42&lt;=Body!#REF!),Body!$BH$6,IF(AND('Zdroj data'!O42&gt;=Body!$BK$17,'Zdroj data'!O42&lt;=Body!$BM$17),Body!$BK$6,IF(AND('Zdroj data'!O42&gt;=Body!$BN$17,'Zdroj data'!O42&lt;=Body!$BP$17),Body!$BN$6,IF(AND('Zdroj data'!O42&gt;=Body!$BQ$17,'Zdroj data'!O42&lt;=Body!$BS$17),Body!$BQ$6,IF(AND('Zdroj data'!O42&gt;=Body!$BT$17,'Zdroj data'!O42&lt;=Body!$BV$17),Body!$BT$6,IF(AND('Zdroj data'!O42&gt;=Body!$BW$17,'Zdroj data'!O42&lt;=Body!$BY$17),Body!$BW$6,IF('Zdroj data'!O42&gt;=Body!$CB$17,Body!$BZ$6," "))))))))))," ")))</f>
        <v>1</v>
      </c>
      <c r="AG42" s="264">
        <f>IF(AND('Zdroj data'!$BG42="L",'Zdroj data'!$AM42=Body!$AX$15),IF(AND(Tabulka1[[#This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data'!$BG42="ST",'Zdroj data'!$AM42=Body!$AX$16),IF(AND(Tabulka1[[#This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data'!$BG42="T",'Zdroj data'!$AM42=Body!$AX$17),IF(AND(Tabulka1[[#This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42" s="264" t="str">
        <f>IF(AND('Zdroj data'!BG42="L",'Zdroj data'!AM42=Body!$AX$18),IF(AND('Zdroj data'!O42&gt;=Body!$AY$18,'Zdroj data'!O42&lt;=Body!$BA$18),Body!AY$6,IF(AND('Zdroj data'!O42&gt;=Body!$BB$18,'Zdroj data'!O42&lt;=Body!$BD$18),Body!BB$6,IF(AND('Zdroj data'!O42&gt;=Body!$BE$18,'Zdroj data'!O42&lt;=Body!$BG$18),Body!BE$6,IF(AND('Zdroj data'!O42&gt;=Body!$BH$18,'Zdroj data'!O42&lt;=Body!$BJ$18),Body!BH$6,IF(AND('Zdroj data'!O42&gt;=Body!$BK$18,'Zdroj data'!O42&lt;=Body!$BM$18),Body!$BK$6,IF(AND('Zdroj data'!O42&gt;=Body!$BN$18,'Zdroj data'!O42&lt;=Body!$BP$18),Body!BN$6,IF(AND('Zdroj data'!O42&gt;=Body!$BQ$18,'Zdroj data'!O42&lt;=Body!$BS$18),Body!$BQ$6,IF(AND('Zdroj data'!O42&gt;=Body!$BT$18,'Zdroj data'!O42&lt;=Body!$BV$18),Body!$BT$6,IF(AND('Zdroj data'!O42&gt;=Body!$BW$18,'Zdroj data'!O42&lt;=Body!$BY$18),Body!$BW$6,IF('Zdroj data'!O42&gt;=Body!$CB$18,Body!$BZ$6," ")))))))))),IF(AND('Zdroj data'!BG42="ST",'Zdroj data'!AM42=Body!$AX$19),IF(AND('Zdroj data'!O42&gt;=Body!$AY$19,'Zdroj data'!O42&lt;=Body!$BA$19),Body!$AY$6,IF(AND('Zdroj data'!O42&gt;=Body!$BB$19,'Zdroj data'!O42&lt;=Body!$BD$19),Body!$BB$6,IF(AND('Zdroj data'!O42&gt;=Body!$BE$19,'Zdroj data'!O42&lt;=Body!$BG$19),Body!$BE$6,IF(AND('Zdroj data'!O42&gt;=Body!$BH$19,'Zdroj data'!O42&lt;=Body!$BJ$19),Body!$BH$6,IF(AND('Zdroj data'!O42&gt;=Body!$BK$19,'Zdroj data'!O42&lt;=Body!$BM$19),Body!$BK$6,IF(AND('Zdroj data'!O42&gt;=Body!$BN$19,'Zdroj data'!O42&lt;=Body!$BP$19),Body!$BN$6,IF(AND('Zdroj data'!O42&gt;=Body!$BQ$19,'Zdroj data'!O42&lt;=Body!$BS$19),Body!$BQ$6,IF(AND('Zdroj data'!O42&gt;=Body!$BT$19,'Zdroj data'!O46&lt;=Body!$BV$19),Body!$BT$6,IF(AND('Zdroj data'!O42&gt;=Body!$BW$19,'Zdroj data'!O42&lt;=Body!$BY$19),Body!$BW$6,IF('Zdroj data'!O42&gt;=Body!$CB$19,Body!$BZ$6," ")))))))))),IF(AND('Zdroj data'!BG42="T",'Zdroj data'!AM42=Body!$AX$20),IF(AND('Zdroj data'!O42&gt;=Body!$AY$20,'Zdroj data'!O42&lt;=Body!$BA$20),Body!$AY$6,IF(AND('Zdroj data'!O42&gt;=Body!$BB$20,'Zdroj data'!O42&lt;=Body!$BD$20),Body!$BB$6,IF(AND('Zdroj data'!O42&gt;=Body!$BE$20,'Zdroj data'!O42&lt;=Body!$BG$20),Body!$BE$6,IF(AND('Zdroj data'!O42&gt;=Body!$BH$20,'Zdroj data'!O42&lt;=Body!$BJ$20),Body!$BH$6,IF(AND('Zdroj data'!O42&gt;=Body!$BK$20,'Zdroj data'!O42&lt;=Body!$BM$20),Body!$BK$6,IF(AND('Zdroj data'!O42&gt;=Body!$BN$20,'Zdroj data'!O42&lt;=Body!$BP$20),Body!$BN$6,IF(AND('Zdroj data'!O42&gt;=Body!$BQ$20,'Zdroj data'!O42&lt;=Body!$BS$20),Body!$BQ$6,IF(AND('Zdroj data'!O42&gt;=Body!$BT$20,'Zdroj data'!O42&lt;=Body!#REF!),Body!$BT$6,IF(AND('Zdroj data'!O42&gt;=Body!$BW$20,'Zdroj data'!O42&lt;=Body!$BY$20),Body!$BW$6,IF('Zdroj data'!O42&gt;=Body!$CB$20,Body!$BZ$6," "))))))))))," ")))</f>
        <v xml:space="preserve"> </v>
      </c>
      <c r="AI42" s="264" t="str">
        <f>IF(AND('Zdroj data'!$BG42="L",'Zdroj data'!$AM42=Body!$AX$18),IF(AND(Tabulka1[[#This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data'!$BG42="ST",'Zdroj data'!$AM42=Body!$AX$19),IF(AND(Tabulka1[[#This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data'!$BG42="T",'Zdroj data'!$AM42=Body!$AX$20),IF(AND(Tabulka1[[#This Row],[K2O_60]]&gt;=Body!$AY$20,'Zdroj data'!O42&lt;=Body!$BA$20),Body!$AY$6,IF(AND(Tabulka1[[#This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42" s="265">
        <f t="shared" si="10"/>
        <v>8.0000000000000071</v>
      </c>
      <c r="AK42" s="264">
        <f t="shared" si="3"/>
        <v>33.361622843129503</v>
      </c>
      <c r="AL42" s="264">
        <f t="shared" si="4"/>
        <v>29.772464193687309</v>
      </c>
      <c r="AM42" s="264">
        <f t="shared" si="5"/>
        <v>66.044716973676799</v>
      </c>
      <c r="AN42" s="264">
        <f t="shared" si="6"/>
        <v>72.223089802484736</v>
      </c>
      <c r="AO42" s="265">
        <f t="shared" si="11"/>
        <v>99.406339816806309</v>
      </c>
      <c r="AP42" s="265">
        <f t="shared" si="12"/>
        <v>101.99555399617205</v>
      </c>
      <c r="AQ42" s="318"/>
      <c r="AR42" s="338">
        <f t="shared" si="7"/>
        <v>209.40189381297836</v>
      </c>
      <c r="AS42" s="318"/>
      <c r="AT42" s="138"/>
      <c r="AU42" s="138"/>
      <c r="BA42"/>
      <c r="BH42"/>
    </row>
    <row r="43" spans="1:80" ht="15.5" x14ac:dyDescent="0.35">
      <c r="A43" s="270">
        <v>1075</v>
      </c>
      <c r="B43" s="156" t="s">
        <v>561</v>
      </c>
      <c r="C43" s="250" t="str">
        <f>VLOOKUP(B43,'Zdroj hloubka okresy'!$A$2:$D$171,2,FALSE)</f>
        <v>Pribram</v>
      </c>
      <c r="D43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10</v>
      </c>
      <c r="E43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43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43" s="264">
        <f>IF(AND(Tabulka1[[#This Row],[hum_60]]&gt;AY52,Tabulka1[[#This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43" s="264">
        <f>IF(Tabulka1[[#This Row],[kv.ek.]]=Body!$AX$13,IF(AND('Zdroj data'!M43&gt;=Body!$AY$13,'Zdroj data'!M43&lt;=Body!$BA$13),Body!$AY$6,IF(AND('Zdroj data'!M43&gt;=Body!$BB$13,'Zdroj data'!M43&lt;=Body!$BD$13),Body!$BB$6,IF(AND('Zdroj data'!M43&gt;=Body!$BE$13,'Zdroj data'!M43&lt;=Body!$BG$13),Body!$BE$6,IF(AND('Zdroj data'!M43&gt;=Body!$BH$13,'Zdroj data'!M43&lt;=Body!$BJ$13),Body!$BH$6,IF(AND('Zdroj data'!M43&gt;=Body!$BK$13,'Zdroj data'!M43&lt;=Body!$BM$13),Body!$BK$6,IF(AND('Zdroj data'!M43&gt;=Body!$BN$13,'Zdroj data'!M43&lt;=Body!$BP$13),Body!$BN$6,IF(AND('Zdroj data'!M43&gt;=Body!$BQ$13,'Zdroj data'!M43&lt;=Body!$BS$13),Body!$BQ$6,IF(AND('Zdroj data'!M43&gt;=Body!$BT$13,'Zdroj data'!M43&lt;=Body!$BV$13),Body!$BT$6,IF(AND('Zdroj data'!M43&gt;=Body!$BW$13,'Zdroj data'!M43&lt;=Body!$BY$13),Body!$BW$6,IF('Zdroj data'!M43&gt;=Body!$CB$13,Body!$BZ$6,"")))))))))),IF(Tabulka1[[#This Row],[kv.ek.]]=Body!$AX$14,IF(AND('Zdroj data'!N43&gt;=Body!$AY$14,'Zdroj data'!N43&lt;=Body!$BA$14),Body!$AY$6,IF(AND('Zdroj data'!N43&gt;=Body!$BB$14,'Zdroj data'!N43&lt;=Body!$BD$14),Body!$BB$6,IF(AND('Zdroj data'!N43&gt;=Body!$BE$14,'Zdroj data'!N43&lt;=Body!$BG$14),Body!$BE$6,IF(AND('Zdroj data'!N43&gt;=Body!$BH$14,'Zdroj data'!N43&lt;=Body!$BJ$14),Body!$BH$6,IF(AND('Zdroj data'!N43&gt;=Body!$BK$14,'Zdroj data'!N43&lt;=Body!$BM$14),Body!$BK$6,IF(AND('Zdroj data'!N43&gt;=Body!$BN$14,'Zdroj data'!N43&lt;=Body!$BP$14),Body!$BN$6,IF(AND('Zdroj data'!N43&gt;=Body!$BQ$14,'Zdroj data'!N43&lt;=Body!$BS$14),Body!$BQ$6,IF(AND('Zdroj data'!N43&gt;=Body!$BT$14,'Zdroj data'!N43&lt;=Body!$BV$14),Body!$BT$6,IF(AND('Zdroj data'!N43&gt;=Body!$BW$14,'Zdroj data'!N43&lt;=Body!$BY$14),Body!$BW$6,IF('Zdroj data'!N43&gt;=Body!$CB$14,Body!$BZ$6,"")))))))))),""))</f>
        <v>1</v>
      </c>
      <c r="I43" s="264">
        <f>IF(Tabulka1[[#This Row],[kv.ek.]]=Body!$AX$13,IF(AND('Zdroj data'!N43&gt;=Body!$AY$13,'Zdroj data'!N43&lt;=Body!$BA$13),Body!$AY$6,IF(AND('Zdroj data'!N43&gt;=Body!$BB$13,'Zdroj data'!N43&lt;=Body!$BD$13),Body!$BB$6,IF(AND('Zdroj data'!N43&gt;=Body!$BE$13,'Zdroj data'!N43&lt;=Body!$BG$13),Body!$BE$6,IF(AND('Zdroj data'!N43&gt;=Body!$BH$13,'Zdroj data'!N43&lt;=Body!$BJ$13),Body!$BH$6,IF(AND('Zdroj data'!N43&gt;=Body!$BK$13,'Zdroj data'!N43&lt;=Body!$BM$13),Body!$BK$6,IF(AND('Zdroj data'!N43&gt;=Body!$BN$13,'Zdroj data'!N43&lt;=Body!$BP$13),Body!$BN$6,IF(AND('Zdroj data'!N43&gt;=Body!$BQ$13,'Zdroj data'!N43&lt;=Body!$BS$13),Body!$BQ$6,IF(AND('Zdroj data'!N43&gt;=Body!$BT$13,'Zdroj data'!N43&lt;=Body!$BV$13),Body!$BT$6,IF(AND('Zdroj data'!N43&gt;=Body!$BW$13,'Zdroj data'!N43&lt;=Body!$BY$13),Body!$BW$6,IF('Zdroj data'!N43&gt;=Body!$CB$13,Body!$BZ$6," ")))))))))),IF(Tabulka1[[#This Row],[kv.ek.]]=Body!$AX$14,IF(AND('Zdroj data'!O43&gt;=Body!$AY$14,'Zdroj data'!O43&lt;=Body!$BA$14),Body!$AY$6,IF(AND('Zdroj data'!O43&gt;=Body!$BB$14,'Zdroj data'!O43&lt;=Body!$BD$14),Body!$BB$6,IF(AND('Zdroj data'!O43&gt;=Body!$BE$14,'Zdroj data'!O43&lt;=Body!$BG$14),Body!$BE$6,IF(AND('Zdroj data'!O43&gt;=Body!$BH$14,'Zdroj data'!O43&lt;=Body!$BJ$14),Body!$BH$6,IF(AND('Zdroj data'!O43&gt;=Body!$BK$14,'Zdroj data'!O43&lt;=Body!$BM$14),Body!$BK$6,IF(AND('Zdroj data'!O43&gt;=Body!$BN$14,'Zdroj data'!O43&lt;=Body!$BP$14),Body!$BN$6,IF(AND('Zdroj data'!O43&gt;=Body!$BQ$14,'Zdroj data'!O43&lt;=Body!$BS$14),Body!$BQ$6,IF(AND('Zdroj data'!O43&gt;=Body!$BT$14,'Zdroj data'!O43&lt;=Body!$BV$14),Body!$BT$6,IF(AND('Zdroj data'!O43&gt;=Body!$BW$14,'Zdroj data'!O43&lt;=Body!$BY$14),Body!$BW$6,IF('Zdroj data'!O43&gt;=Body!$CB$14,Body!$BZ$6," "))))))))))," "))</f>
        <v>1</v>
      </c>
      <c r="J43" s="264">
        <f t="shared" si="8"/>
        <v>1</v>
      </c>
      <c r="K43" s="264">
        <f t="shared" si="9"/>
        <v>1</v>
      </c>
      <c r="L43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2</v>
      </c>
      <c r="M43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43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9</v>
      </c>
      <c r="O43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43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43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43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43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43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43" s="264">
        <f>IF('Zdroj data'!BB43=Body!$AY$25,Body!$AY$22,IF('Zdroj data'!BB43=Body!$BB$25,Body!$BB$22,IF('Zdroj data'!BB43=Body!$BE$25,Body!$BE$22,IF('Zdroj data'!BB43=Body!$BH$25,Body!$BH$22,IF('Zdroj data'!BB43=Body!BK$25,Body!$BK$22,IF('Zdroj data'!BB43=Body!$BN$25,Body!$BN$22,IF('Zdroj data'!BB43=Body!$BQ$25,Body!$BQ$22,IF('Zdroj data'!BB43=Body!$BT$25,Body!$BT$22,IF('Zdroj data'!BB43=Body!$BW$25,Body!$BW$22,IF('Zdroj data'!BB43=Body!$BZ$25,Body!$BZ$22," "))))))))))</f>
        <v>5</v>
      </c>
      <c r="V43" s="264">
        <f>IF(AND('Zdroj data'!BO43&gt;Body!$AY$27,'Zdroj data'!BO43&lt;=Body!$BA$27),Body!$AY$22,IF(AND('Zdroj data'!BO43&gt;=Body!$BB$27,'Zdroj data'!BO43&lt;=Body!$BD$27),Body!$BB$22,IF(AND('Zdroj data'!BO43&gt;=Body!$BE$27,'Zdroj data'!BO43&lt;=Body!$BG$27),Body!$BE$22,IF(AND('Zdroj data'!BO43&gt;=Body!$BH$27,'Zdroj data'!BO43&lt;=Body!$BJ$27),Body!$BH$22,IF(AND('Zdroj data'!BO43&gt;=Body!$BK$27,'Zdroj data'!BO43&lt;=Body!$BM$27),Body!$BK$22,IF(AND('Zdroj data'!BO43&gt;=Body!$BN$27,'Zdroj data'!BO43&lt;=Body!$BP$27),Body!$BN$22,IF(AND('Zdroj data'!BO43&gt;=Body!$BQ$27,'Zdroj data'!BO43&lt;=Body!$BS$27),Body!$BQ$22,IF(AND('Zdroj data'!BO43&gt;=Body!$BT$27,'Zdroj data'!BO43&lt;=Body!$BV$27),Body!$BT$22,IF(AND('Zdroj data'!BO43&gt;=Body!$BW$27,'Zdroj data'!BO43&lt;=Body!$BY$27),Body!$BW$22,IF('Zdroj data'!BO43&gt;=Body!$CB$27,$BZ$22," "))))))))))</f>
        <v>6</v>
      </c>
      <c r="W43" s="264">
        <f>IF(AND('Zdroj data'!BP43&gt;Body!$AY$27,'Zdroj data'!BP43&lt;=Body!$BA$27),Body!$AY$22,IF(AND('Zdroj data'!BP43&gt;=Body!$BB$27,'Zdroj data'!BP43&lt;=Body!$BD$27),Body!$BB$22,IF(AND('Zdroj data'!BP43&gt;=Body!$BE$27,'Zdroj data'!BP43&lt;=Body!$BG$27),Body!$BE$22,IF(AND('Zdroj data'!BP43&gt;=Body!$BH$27,'Zdroj data'!BP43&lt;=Body!$BJ$27),Body!$BH$22,IF(AND('Zdroj data'!BP43&gt;=Body!$BK$27,'Zdroj data'!BP43&lt;=Body!$BM$27),Body!$BK$22,IF(AND('Zdroj data'!BP43&gt;=Body!$BN$27,'Zdroj data'!BP43&lt;=Body!$BP$27),Body!$BN$22,IF(AND('Zdroj data'!BP43&gt;=Body!$BQ$27,'Zdroj data'!BP43&lt;=Body!$BS$27),Body!$BQ$22,IF(AND('Zdroj data'!BP43&gt;=Body!$BT$27,'Zdroj data'!BP43&lt;=Body!$BV$27),Body!$BT$22,IF(AND('Zdroj data'!BP43&gt;=Body!$BW$27,'Zdroj data'!BP43&lt;=Body!$BY$27),Body!$BW$22,IF('Zdroj data'!BP43&gt;=Body!$CB$27,$BZ$22," "))))))))))</f>
        <v>6</v>
      </c>
      <c r="X43" s="264">
        <f>IF('Zdroj data'!BA43=Body!$BB$28,$BB$22,IF('Zdroj data'!BA43=Body!$BE$28,$BE$22,IF(OR('Zdroj data'!BA43=Body!$BK$28,'Zdroj data'!BA43=Body!$BL$28,'Zdroj data'!BA43=Body!$BM$28),$BK$22,IF(OR('Zdroj data'!BA43=Body!$BT$28,'Zdroj data'!BA43=Body!$BV$28),$BT$22,IF(OR('Zdroj data'!BA43=Body!$BW$28,'Zdroj data'!BA43=Body!$BY$28),$BW$22,IF('Zdroj data'!BA43=Body!$BZ$28,$BZ$22," "))))))</f>
        <v>10</v>
      </c>
      <c r="Y43" s="264">
        <f>IF('Zdroj data'!AZ43=Body!$BZ$29,Body!$BZ$22,IF(OR('Zdroj data'!AZ43=$BT$29,'Zdroj data'!AZ43=$BU$29,'Zdroj data'!AZ43=$BV$29),$BT$22,IF(OR('Zdroj data'!AZ43=$BK$29,'Zdroj data'!AZ43=$BM$29),$BK$22,IF(OR('Zdroj data'!AZ43=$BE$29,'Zdroj data'!AZ43=$BG$29),$BE$22,IF(OR('Zdroj data'!AZ43=$AY$29,'Zdroj data'!AZ43=$BA$29),$AY$22," ")))))</f>
        <v>10</v>
      </c>
      <c r="Z43" s="264">
        <f>IF(AND('Zdroj data'!BF43="T",(OR('Zdroj data'!AZ43=Body!$AW$45,'Zdroj data'!AZ43=Body!$AW$46,'Zdroj data'!AZ43=Body!$AW$47,'Zdroj data'!AZ43=Body!$AW$48))),Body!$AY$22,IF(AND('Zdroj data'!BF43="T",(OR('Zdroj data'!AZ43=$AW$49,'Zdroj data'!AZ43=$AW$50,'Zdroj data'!AZ43=$AW$51,'Zdroj data'!AZ43=$AW$52))),$BZ$22,IF(AND(OR('Zdroj data'!BF43="VT",'Zdroj data'!BF43="T",'Zdroj data'!BF43="CH"),(OR('Zdroj data'!AZ43=$AW$43,'Zdroj data'!AZ43=$AW$44,))),$BZ$22,IF(AND('Zdroj data'!BF43="CH",(OR('Zdroj data'!AZ43=$AW$49,'Zdroj data'!AZ43=$AW$50,'Zdroj data'!AZ43=$AW$51,'Zdroj data'!AZ43=$AW$52))),$AY$22,IF(AND('Zdroj data'!BF43="CH",(OR('Zdroj data'!AZ43=$AW$45,'Zdroj data'!AZ43=$AW$46,'Zdroj data'!AZ43=$AW$47,'Zdroj data'!AZ43=$AW$48))),$BZ$22," ")))))</f>
        <v>10</v>
      </c>
      <c r="AA43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</v>
      </c>
      <c r="AB43" s="264">
        <f>IF(Tabulka1[[#This Row],[kv.ek.]]=Body!$BK$35,Body!$BK$34,IF(Tabulka1[[#This Row],[kv.ek.]]=Body!$BZ$35,Body!$BZ$34," "))</f>
        <v>5</v>
      </c>
      <c r="AC43" s="264" t="str">
        <f>IF(AND('Zdroj data'!BF43="T",(OR('Zdroj data'!AZ43=Body!$AW$45,'Zdroj data'!AZ43=Body!$AW$46,'Zdroj data'!AZ43=Body!$AW$47,'Zdroj data'!AZ43=Body!$AW$48))),Body!$AY$22,IF(AND('Zdroj data'!BF43="T",(OR('Zdroj data'!AZ43=$AW$49,'Zdroj data'!AZ43=$AW$50,'Zdroj data'!AZ43=$AW$51,'Zdroj data'!AZ43=$AW$52))),$BZ$22," "))</f>
        <v xml:space="preserve"> </v>
      </c>
      <c r="AD43" s="264">
        <f>IF(AND(OR('Zdroj data'!BF43="VT",'Zdroj data'!BF43="T",'Zdroj data'!BF43="CH"),(OR('Zdroj data'!AZ43=$AW$43,'Zdroj data'!AZ43=$AW$44,))),$BZ$22," ")</f>
        <v>10</v>
      </c>
      <c r="AE43" s="264" t="str">
        <f>IF(AND('Zdroj data'!BF43="CH",(OR('Zdroj data'!AZ43=$AW$49,'Zdroj data'!AZ43=$AW$50,'Zdroj data'!AZ43=$AW$51,'Zdroj data'!AZ43=$AW$52))),$AY$22,IF(AND('Zdroj data'!BF43="CH",(OR('Zdroj data'!AZ43=$AW$45,'Zdroj data'!AZ43=$AW$46,'Zdroj data'!AZ43=$AW$47,'Zdroj data'!AZ43=$AW$48))),$BZ$22," "))</f>
        <v xml:space="preserve"> </v>
      </c>
      <c r="AF43" s="264">
        <f>IF(AND('Zdroj data'!BG43="L",'Zdroj data'!AM43=Body!$AX$15),IF(AND('Zdroj data'!O43&gt;=Body!$AY$15,'Zdroj data'!O43&lt;=Body!$BA$15),Body!AY$6,IF(AND('Zdroj data'!O43&gt;=Body!$BB$15,'Zdroj data'!O43&lt;=Body!$BD$15),Body!BB$6,IF(AND('Zdroj data'!O43&gt;=Body!$BE$15,'Zdroj data'!O43&lt;=Body!$BG$15),Body!BE$6,IF(AND('Zdroj data'!O43&gt;=Body!$BH$15,'Zdroj data'!O43&lt;=Body!$BJ$15),Body!BH$6,IF(AND('Zdroj data'!O43&gt;=Body!$BK$15,'Zdroj data'!O43&lt;=Body!$BM$15),Body!BK$6,IF(AND('Zdroj data'!O43&gt;=Body!$BN$15,'Zdroj data'!O43&lt;=Body!$BP$15),Body!$BN$6,IF(AND('Zdroj data'!O43&gt;=Body!$BQ$15,'Zdroj data'!O43&lt;=Body!$BS$15),Body!$BQ$6,IF(AND('Zdroj data'!O43&gt;=Body!$BT$15,'Zdroj data'!O43&lt;=Body!$BV$15),Body!BT$6,IF(AND('Zdroj data'!O43&gt;=Body!$BW$15,'Zdroj data'!O43&lt;=Body!$BY$15),Body!$BW$6,IF('Zdroj data'!O43&gt;=Body!$CB$15,Body!$BZ$6," ")))))))))),IF(AND('Zdroj data'!BG43="ST",'Zdroj data'!AM43=Body!$AX$16),IF(AND('Zdroj data'!O43&gt;=Body!$AY$16,'Zdroj data'!O43&lt;=Body!$BA$16),Body!$AY$6,IF(AND('Zdroj data'!O43&gt;=Body!$BB$16,'Zdroj data'!O43&lt;=Body!$BD$16),Body!$BB$6,IF(AND('Zdroj data'!O43&gt;=Body!$BE$16,'Zdroj data'!O43&lt;=Body!$BG$16),Body!$BE$6,IF(AND('Zdroj data'!O43&gt;=Body!$BH$16,'Zdroj data'!O43&lt;=Body!$BJ$16),Body!$BH$6,IF(AND('Zdroj data'!O43&gt;=Body!$BK$16,'Zdroj data'!O43&lt;=Body!$BM$16),Body!$BK$6,IF(AND('Zdroj data'!O43&gt;=Body!$BN$16,'Zdroj data'!O43&lt;=Body!$BP$16),Body!$BN$6,IF(AND('Zdroj data'!O43&gt;=Body!$BQ$16,'Zdroj data'!O43&lt;=Body!$BS$16),Body!$BQ$6,IF(AND('Zdroj data'!O43&gt;=Body!$BT$16,'Zdroj data'!O43&lt;=Body!$BV$16),Body!$BT$6,IF(AND('Zdroj data'!O43&gt;=Body!$BW$16,'Zdroj data'!O43&lt;=Body!$BY$16),Body!$BW$6,IF('Zdroj data'!O43&gt;=Body!$CB$16,Body!$BZ$6," ")))))))))),IF(AND('Zdroj data'!BG43="T",'Zdroj data'!AM43=Body!$AX$17),IF(AND('Zdroj data'!O43&gt;=Body!$AY$17,'Zdroj data'!O43&lt;=Body!$BA$17),Body!$AY$6,IF(AND('Zdroj data'!O43&gt;=Body!$BB$17,'Zdroj data'!O43&lt;=Body!$BD$17),Body!$BB$6,IF(AND('Zdroj data'!O43&gt;=Body!$BE$17,'Zdroj data'!O43&lt;=Body!$BG$17),Body!$BE$6,IF(AND('Zdroj data'!O43&gt;=Body!$BH$17,'Zdroj data'!O43&lt;=Body!#REF!),Body!$BH$6,IF(AND('Zdroj data'!O43&gt;=Body!$BK$17,'Zdroj data'!O43&lt;=Body!$BM$17),Body!$BK$6,IF(AND('Zdroj data'!O43&gt;=Body!$BN$17,'Zdroj data'!O43&lt;=Body!$BP$17),Body!$BN$6,IF(AND('Zdroj data'!O43&gt;=Body!$BQ$17,'Zdroj data'!O43&lt;=Body!$BS$17),Body!$BQ$6,IF(AND('Zdroj data'!O43&gt;=Body!$BT$17,'Zdroj data'!O43&lt;=Body!$BV$17),Body!$BT$6,IF(AND('Zdroj data'!O43&gt;=Body!$BW$17,'Zdroj data'!O43&lt;=Body!$BY$17),Body!$BW$6,IF('Zdroj data'!O43&gt;=Body!$CB$17,Body!$BZ$6," "))))))))))," ")))</f>
        <v>1</v>
      </c>
      <c r="AG43" s="264">
        <f>IF(AND('Zdroj data'!$BG43="L",'Zdroj data'!$AM43=Body!$AX$15),IF(AND(Tabulka1[[#This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data'!$BG43="ST",'Zdroj data'!$AM43=Body!$AX$16),IF(AND(Tabulka1[[#This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data'!$BG43="T",'Zdroj data'!$AM43=Body!$AX$17),IF(AND(Tabulka1[[#This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43" s="264" t="str">
        <f>IF(AND('Zdroj data'!BG43="L",'Zdroj data'!AM43=Body!$AX$18),IF(AND('Zdroj data'!O43&gt;=Body!$AY$18,'Zdroj data'!O43&lt;=Body!$BA$18),Body!AY$6,IF(AND('Zdroj data'!O43&gt;=Body!$BB$18,'Zdroj data'!O43&lt;=Body!$BD$18),Body!BB$6,IF(AND('Zdroj data'!O43&gt;=Body!$BE$18,'Zdroj data'!O43&lt;=Body!$BG$18),Body!BE$6,IF(AND('Zdroj data'!O43&gt;=Body!$BH$18,'Zdroj data'!O43&lt;=Body!$BJ$18),Body!BH$6,IF(AND('Zdroj data'!O43&gt;=Body!$BK$18,'Zdroj data'!O43&lt;=Body!$BM$18),Body!$BK$6,IF(AND('Zdroj data'!O43&gt;=Body!$BN$18,'Zdroj data'!O43&lt;=Body!$BP$18),Body!BN$6,IF(AND('Zdroj data'!O43&gt;=Body!$BQ$18,'Zdroj data'!O43&lt;=Body!$BS$18),Body!$BQ$6,IF(AND('Zdroj data'!O43&gt;=Body!$BT$18,'Zdroj data'!O43&lt;=Body!$BV$18),Body!$BT$6,IF(AND('Zdroj data'!O43&gt;=Body!$BW$18,'Zdroj data'!O43&lt;=Body!$BY$18),Body!$BW$6,IF('Zdroj data'!O43&gt;=Body!$CB$18,Body!$BZ$6," ")))))))))),IF(AND('Zdroj data'!BG43="ST",'Zdroj data'!AM43=Body!$AX$19),IF(AND('Zdroj data'!O43&gt;=Body!$AY$19,'Zdroj data'!O43&lt;=Body!$BA$19),Body!$AY$6,IF(AND('Zdroj data'!O43&gt;=Body!$BB$19,'Zdroj data'!O43&lt;=Body!$BD$19),Body!$BB$6,IF(AND('Zdroj data'!O43&gt;=Body!$BE$19,'Zdroj data'!O43&lt;=Body!$BG$19),Body!$BE$6,IF(AND('Zdroj data'!O43&gt;=Body!$BH$19,'Zdroj data'!O43&lt;=Body!$BJ$19),Body!$BH$6,IF(AND('Zdroj data'!O43&gt;=Body!$BK$19,'Zdroj data'!O43&lt;=Body!$BM$19),Body!$BK$6,IF(AND('Zdroj data'!O43&gt;=Body!$BN$19,'Zdroj data'!O43&lt;=Body!$BP$19),Body!$BN$6,IF(AND('Zdroj data'!O43&gt;=Body!$BQ$19,'Zdroj data'!O43&lt;=Body!$BS$19),Body!$BQ$6,IF(AND('Zdroj data'!O43&gt;=Body!$BT$19,'Zdroj data'!O47&lt;=Body!$BV$19),Body!$BT$6,IF(AND('Zdroj data'!O43&gt;=Body!$BW$19,'Zdroj data'!O43&lt;=Body!$BY$19),Body!$BW$6,IF('Zdroj data'!O43&gt;=Body!$CB$19,Body!$BZ$6," ")))))))))),IF(AND('Zdroj data'!BG43="T",'Zdroj data'!AM43=Body!$AX$20),IF(AND('Zdroj data'!O43&gt;=Body!$AY$20,'Zdroj data'!O43&lt;=Body!$BA$20),Body!$AY$6,IF(AND('Zdroj data'!O43&gt;=Body!$BB$20,'Zdroj data'!O43&lt;=Body!$BD$20),Body!$BB$6,IF(AND('Zdroj data'!O43&gt;=Body!$BE$20,'Zdroj data'!O43&lt;=Body!$BG$20),Body!$BE$6,IF(AND('Zdroj data'!O43&gt;=Body!$BH$20,'Zdroj data'!O43&lt;=Body!$BJ$20),Body!$BH$6,IF(AND('Zdroj data'!O43&gt;=Body!$BK$20,'Zdroj data'!O43&lt;=Body!$BM$20),Body!$BK$6,IF(AND('Zdroj data'!O43&gt;=Body!$BN$20,'Zdroj data'!O43&lt;=Body!$BP$20),Body!$BN$6,IF(AND('Zdroj data'!O43&gt;=Body!$BQ$20,'Zdroj data'!O43&lt;=Body!$BS$20),Body!$BQ$6,IF(AND('Zdroj data'!O43&gt;=Body!$BT$20,'Zdroj data'!O43&lt;=Body!#REF!),Body!$BT$6,IF(AND('Zdroj data'!O43&gt;=Body!$BW$20,'Zdroj data'!O43&lt;=Body!$BY$20),Body!$BW$6,IF('Zdroj data'!O43&gt;=Body!$CB$20,Body!$BZ$6," "))))))))))," ")))</f>
        <v xml:space="preserve"> </v>
      </c>
      <c r="AI43" s="264" t="str">
        <f>IF(AND('Zdroj data'!$BG43="L",'Zdroj data'!$AM43=Body!$AX$18),IF(AND(Tabulka1[[#This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data'!$BG43="ST",'Zdroj data'!$AM43=Body!$AX$19),IF(AND(Tabulka1[[#This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data'!$BG43="T",'Zdroj data'!$AM43=Body!$AX$20),IF(AND(Tabulka1[[#This Row],[K2O_60]]&gt;=Body!$AY$20,'Zdroj data'!O43&lt;=Body!$BA$20),Body!$AY$6,IF(AND(Tabulka1[[#This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43" s="265">
        <f t="shared" si="10"/>
        <v>2.6666666666666687</v>
      </c>
      <c r="AK43" s="264">
        <f t="shared" si="3"/>
        <v>25.108886312347281</v>
      </c>
      <c r="AL43" s="264">
        <f t="shared" si="4"/>
        <v>23.590461837864289</v>
      </c>
      <c r="AM43" s="264">
        <f t="shared" si="5"/>
        <v>66.783773508752944</v>
      </c>
      <c r="AN43" s="264">
        <f t="shared" si="6"/>
        <v>74.611021422904926</v>
      </c>
      <c r="AO43" s="265">
        <f t="shared" si="11"/>
        <v>91.892659821100224</v>
      </c>
      <c r="AP43" s="265">
        <f t="shared" si="12"/>
        <v>98.201483260769209</v>
      </c>
      <c r="AQ43" s="318"/>
      <c r="AR43" s="338">
        <f t="shared" si="7"/>
        <v>192.7608097485361</v>
      </c>
      <c r="AS43" s="318"/>
      <c r="AT43" s="138"/>
      <c r="AU43" s="138"/>
      <c r="AW43" s="9">
        <v>0</v>
      </c>
      <c r="BA43" s="66"/>
      <c r="BB43" s="66"/>
      <c r="BE43" s="66"/>
      <c r="BF43" s="66"/>
      <c r="BG43" s="66"/>
      <c r="BH43" s="66"/>
    </row>
    <row r="44" spans="1:80" ht="15.5" x14ac:dyDescent="0.35">
      <c r="A44" s="270">
        <v>1078</v>
      </c>
      <c r="B44" s="156" t="s">
        <v>127</v>
      </c>
      <c r="C44" s="250" t="str">
        <f>VLOOKUP(B44,'Zdroj hloubka okresy'!$A$2:$D$171,2,FALSE)</f>
        <v>Pribram</v>
      </c>
      <c r="D44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44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7</v>
      </c>
      <c r="F44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8</v>
      </c>
      <c r="G44" s="264">
        <f>IF(AND(Tabulka1[[#This Row],[hum_60]]&gt;AY53,Tabulka1[[#This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6</v>
      </c>
      <c r="H44" s="264">
        <f>IF(Tabulka1[[#This Row],[kv.ek.]]=Body!$AX$13,IF(AND('Zdroj data'!M44&gt;=Body!$AY$13,'Zdroj data'!M44&lt;=Body!$BA$13),Body!$AY$6,IF(AND('Zdroj data'!M44&gt;=Body!$BB$13,'Zdroj data'!M44&lt;=Body!$BD$13),Body!$BB$6,IF(AND('Zdroj data'!M44&gt;=Body!$BE$13,'Zdroj data'!M44&lt;=Body!$BG$13),Body!$BE$6,IF(AND('Zdroj data'!M44&gt;=Body!$BH$13,'Zdroj data'!M44&lt;=Body!$BJ$13),Body!$BH$6,IF(AND('Zdroj data'!M44&gt;=Body!$BK$13,'Zdroj data'!M44&lt;=Body!$BM$13),Body!$BK$6,IF(AND('Zdroj data'!M44&gt;=Body!$BN$13,'Zdroj data'!M44&lt;=Body!$BP$13),Body!$BN$6,IF(AND('Zdroj data'!M44&gt;=Body!$BQ$13,'Zdroj data'!M44&lt;=Body!$BS$13),Body!$BQ$6,IF(AND('Zdroj data'!M44&gt;=Body!$BT$13,'Zdroj data'!M44&lt;=Body!$BV$13),Body!$BT$6,IF(AND('Zdroj data'!M44&gt;=Body!$BW$13,'Zdroj data'!M44&lt;=Body!$BY$13),Body!$BW$6,IF('Zdroj data'!M44&gt;=Body!$CB$13,Body!$BZ$6,"")))))))))),IF(Tabulka1[[#This Row],[kv.ek.]]=Body!$AX$14,IF(AND('Zdroj data'!N44&gt;=Body!$AY$14,'Zdroj data'!N44&lt;=Body!$BA$14),Body!$AY$6,IF(AND('Zdroj data'!N44&gt;=Body!$BB$14,'Zdroj data'!N44&lt;=Body!$BD$14),Body!$BB$6,IF(AND('Zdroj data'!N44&gt;=Body!$BE$14,'Zdroj data'!N44&lt;=Body!$BG$14),Body!$BE$6,IF(AND('Zdroj data'!N44&gt;=Body!$BH$14,'Zdroj data'!N44&lt;=Body!$BJ$14),Body!$BH$6,IF(AND('Zdroj data'!N44&gt;=Body!$BK$14,'Zdroj data'!N44&lt;=Body!$BM$14),Body!$BK$6,IF(AND('Zdroj data'!N44&gt;=Body!$BN$14,'Zdroj data'!N44&lt;=Body!$BP$14),Body!$BN$6,IF(AND('Zdroj data'!N44&gt;=Body!$BQ$14,'Zdroj data'!N44&lt;=Body!$BS$14),Body!$BQ$6,IF(AND('Zdroj data'!N44&gt;=Body!$BT$14,'Zdroj data'!N44&lt;=Body!$BV$14),Body!$BT$6,IF(AND('Zdroj data'!N44&gt;=Body!$BW$14,'Zdroj data'!N44&lt;=Body!$BY$14),Body!$BW$6,IF('Zdroj data'!N44&gt;=Body!$CB$14,Body!$BZ$6,"")))))))))),""))</f>
        <v>1</v>
      </c>
      <c r="I44" s="264">
        <f>IF(Tabulka1[[#This Row],[kv.ek.]]=Body!$AX$13,IF(AND('Zdroj data'!N44&gt;=Body!$AY$13,'Zdroj data'!N44&lt;=Body!$BA$13),Body!$AY$6,IF(AND('Zdroj data'!N44&gt;=Body!$BB$13,'Zdroj data'!N44&lt;=Body!$BD$13),Body!$BB$6,IF(AND('Zdroj data'!N44&gt;=Body!$BE$13,'Zdroj data'!N44&lt;=Body!$BG$13),Body!$BE$6,IF(AND('Zdroj data'!N44&gt;=Body!$BH$13,'Zdroj data'!N44&lt;=Body!$BJ$13),Body!$BH$6,IF(AND('Zdroj data'!N44&gt;=Body!$BK$13,'Zdroj data'!N44&lt;=Body!$BM$13),Body!$BK$6,IF(AND('Zdroj data'!N44&gt;=Body!$BN$13,'Zdroj data'!N44&lt;=Body!$BP$13),Body!$BN$6,IF(AND('Zdroj data'!N44&gt;=Body!$BQ$13,'Zdroj data'!N44&lt;=Body!$BS$13),Body!$BQ$6,IF(AND('Zdroj data'!N44&gt;=Body!$BT$13,'Zdroj data'!N44&lt;=Body!$BV$13),Body!$BT$6,IF(AND('Zdroj data'!N44&gt;=Body!$BW$13,'Zdroj data'!N44&lt;=Body!$BY$13),Body!$BW$6,IF('Zdroj data'!N44&gt;=Body!$CB$13,Body!$BZ$6," ")))))))))),IF(Tabulka1[[#This Row],[kv.ek.]]=Body!$AX$14,IF(AND('Zdroj data'!O44&gt;=Body!$AY$14,'Zdroj data'!O44&lt;=Body!$BA$14),Body!$AY$6,IF(AND('Zdroj data'!O44&gt;=Body!$BB$14,'Zdroj data'!O44&lt;=Body!$BD$14),Body!$BB$6,IF(AND('Zdroj data'!O44&gt;=Body!$BE$14,'Zdroj data'!O44&lt;=Body!$BG$14),Body!$BE$6,IF(AND('Zdroj data'!O44&gt;=Body!$BH$14,'Zdroj data'!O44&lt;=Body!$BJ$14),Body!$BH$6,IF(AND('Zdroj data'!O44&gt;=Body!$BK$14,'Zdroj data'!O44&lt;=Body!$BM$14),Body!$BK$6,IF(AND('Zdroj data'!O44&gt;=Body!$BN$14,'Zdroj data'!O44&lt;=Body!$BP$14),Body!$BN$6,IF(AND('Zdroj data'!O44&gt;=Body!$BQ$14,'Zdroj data'!O44&lt;=Body!$BS$14),Body!$BQ$6,IF(AND('Zdroj data'!O44&gt;=Body!$BT$14,'Zdroj data'!O44&lt;=Body!$BV$14),Body!$BT$6,IF(AND('Zdroj data'!O44&gt;=Body!$BW$14,'Zdroj data'!O44&lt;=Body!$BY$14),Body!$BW$6,IF('Zdroj data'!O44&gt;=Body!$CB$14,Body!$BZ$6," "))))))))))," "))</f>
        <v>1</v>
      </c>
      <c r="J44" s="264">
        <f t="shared" si="8"/>
        <v>3</v>
      </c>
      <c r="K44" s="264">
        <f t="shared" si="9"/>
        <v>1</v>
      </c>
      <c r="L44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9</v>
      </c>
      <c r="M44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8</v>
      </c>
      <c r="N44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44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44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44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44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44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44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44" s="264">
        <f>IF('Zdroj data'!BB44=Body!$AY$25,Body!$AY$22,IF('Zdroj data'!BB44=Body!$BB$25,Body!$BB$22,IF('Zdroj data'!BB44=Body!$BE$25,Body!$BE$22,IF('Zdroj data'!BB44=Body!$BH$25,Body!$BH$22,IF('Zdroj data'!BB44=Body!BK$25,Body!$BK$22,IF('Zdroj data'!BB44=Body!$BN$25,Body!$BN$22,IF('Zdroj data'!BB44=Body!$BQ$25,Body!$BQ$22,IF('Zdroj data'!BB44=Body!$BT$25,Body!$BT$22,IF('Zdroj data'!BB44=Body!$BW$25,Body!$BW$22,IF('Zdroj data'!BB44=Body!$BZ$25,Body!$BZ$22," "))))))))))</f>
        <v>5</v>
      </c>
      <c r="V44" s="264">
        <f>IF(AND('Zdroj data'!BO44&gt;Body!$AY$27,'Zdroj data'!BO44&lt;=Body!$BA$27),Body!$AY$22,IF(AND('Zdroj data'!BO44&gt;=Body!$BB$27,'Zdroj data'!BO44&lt;=Body!$BD$27),Body!$BB$22,IF(AND('Zdroj data'!BO44&gt;=Body!$BE$27,'Zdroj data'!BO44&lt;=Body!$BG$27),Body!$BE$22,IF(AND('Zdroj data'!BO44&gt;=Body!$BH$27,'Zdroj data'!BO44&lt;=Body!$BJ$27),Body!$BH$22,IF(AND('Zdroj data'!BO44&gt;=Body!$BK$27,'Zdroj data'!BO44&lt;=Body!$BM$27),Body!$BK$22,IF(AND('Zdroj data'!BO44&gt;=Body!$BN$27,'Zdroj data'!BO44&lt;=Body!$BP$27),Body!$BN$22,IF(AND('Zdroj data'!BO44&gt;=Body!$BQ$27,'Zdroj data'!BO44&lt;=Body!$BS$27),Body!$BQ$22,IF(AND('Zdroj data'!BO44&gt;=Body!$BT$27,'Zdroj data'!BO44&lt;=Body!$BV$27),Body!$BT$22,IF(AND('Zdroj data'!BO44&gt;=Body!$BW$27,'Zdroj data'!BO44&lt;=Body!$BY$27),Body!$BW$22,IF('Zdroj data'!BO44&gt;=Body!$CB$27,$BZ$22," "))))))))))</f>
        <v>7</v>
      </c>
      <c r="W44" s="264">
        <f>IF(AND('Zdroj data'!BP44&gt;Body!$AY$27,'Zdroj data'!BP44&lt;=Body!$BA$27),Body!$AY$22,IF(AND('Zdroj data'!BP44&gt;=Body!$BB$27,'Zdroj data'!BP44&lt;=Body!$BD$27),Body!$BB$22,IF(AND('Zdroj data'!BP44&gt;=Body!$BE$27,'Zdroj data'!BP44&lt;=Body!$BG$27),Body!$BE$22,IF(AND('Zdroj data'!BP44&gt;=Body!$BH$27,'Zdroj data'!BP44&lt;=Body!$BJ$27),Body!$BH$22,IF(AND('Zdroj data'!BP44&gt;=Body!$BK$27,'Zdroj data'!BP44&lt;=Body!$BM$27),Body!$BK$22,IF(AND('Zdroj data'!BP44&gt;=Body!$BN$27,'Zdroj data'!BP44&lt;=Body!$BP$27),Body!$BN$22,IF(AND('Zdroj data'!BP44&gt;=Body!$BQ$27,'Zdroj data'!BP44&lt;=Body!$BS$27),Body!$BQ$22,IF(AND('Zdroj data'!BP44&gt;=Body!$BT$27,'Zdroj data'!BP44&lt;=Body!$BV$27),Body!$BT$22,IF(AND('Zdroj data'!BP44&gt;=Body!$BW$27,'Zdroj data'!BP44&lt;=Body!$BY$27),Body!$BW$22,IF('Zdroj data'!BP44&gt;=Body!$CB$27,$BZ$22," "))))))))))</f>
        <v>6</v>
      </c>
      <c r="X44" s="264">
        <f>IF('Zdroj data'!BA44=Body!$BB$28,$BB$22,IF('Zdroj data'!BA44=Body!$BE$28,$BE$22,IF(OR('Zdroj data'!BA44=Body!$BK$28,'Zdroj data'!BA44=Body!$BL$28,'Zdroj data'!BA44=Body!$BM$28),$BK$22,IF(OR('Zdroj data'!BA44=Body!$BT$28,'Zdroj data'!BA44=Body!$BV$28),$BT$22,IF(OR('Zdroj data'!BA44=Body!$BW$28,'Zdroj data'!BA44=Body!$BY$28),$BW$22,IF('Zdroj data'!BA44=Body!$BZ$28,$BZ$22," "))))))</f>
        <v>5</v>
      </c>
      <c r="Y44" s="264">
        <f>IF('Zdroj data'!AZ44=Body!$BZ$29,Body!$BZ$22,IF(OR('Zdroj data'!AZ44=$BT$29,'Zdroj data'!AZ44=$BU$29,'Zdroj data'!AZ44=$BV$29),$BT$22,IF(OR('Zdroj data'!AZ44=$BK$29,'Zdroj data'!AZ44=$BM$29),$BK$22,IF(OR('Zdroj data'!AZ44=$BE$29,'Zdroj data'!AZ44=$BG$29),$BE$22,IF(OR('Zdroj data'!AZ44=$AY$29,'Zdroj data'!AZ44=$BA$29),$AY$22," ")))))</f>
        <v>10</v>
      </c>
      <c r="Z44" s="264">
        <f>IF(AND('Zdroj data'!BF44="T",(OR('Zdroj data'!AZ44=Body!$AW$45,'Zdroj data'!AZ44=Body!$AW$46,'Zdroj data'!AZ44=Body!$AW$47,'Zdroj data'!AZ44=Body!$AW$48))),Body!$AY$22,IF(AND('Zdroj data'!BF44="T",(OR('Zdroj data'!AZ44=$AW$49,'Zdroj data'!AZ44=$AW$50,'Zdroj data'!AZ44=$AW$51,'Zdroj data'!AZ44=$AW$52))),$BZ$22,IF(AND(OR('Zdroj data'!BF44="VT",'Zdroj data'!BF44="T",'Zdroj data'!BF44="CH"),(OR('Zdroj data'!AZ44=$AW$43,'Zdroj data'!AZ44=$AW$44,))),$BZ$22,IF(AND('Zdroj data'!BF44="CH",(OR('Zdroj data'!AZ44=$AW$49,'Zdroj data'!AZ44=$AW$50,'Zdroj data'!AZ44=$AW$51,'Zdroj data'!AZ44=$AW$52))),$AY$22,IF(AND('Zdroj data'!BF44="CH",(OR('Zdroj data'!AZ44=$AW$45,'Zdroj data'!AZ44=$AW$46,'Zdroj data'!AZ44=$AW$47,'Zdroj data'!AZ44=$AW$48))),$BZ$22," ")))))</f>
        <v>10</v>
      </c>
      <c r="AA44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44" s="264">
        <f>IF(Tabulka1[[#This Row],[kv.ek.]]=Body!$BK$35,Body!$BK$34,IF(Tabulka1[[#This Row],[kv.ek.]]=Body!$BZ$35,Body!$BZ$34," "))</f>
        <v>5</v>
      </c>
      <c r="AC44" s="264" t="str">
        <f>IF(AND('Zdroj data'!BF44="T",(OR('Zdroj data'!AZ44=Body!$AW$45,'Zdroj data'!AZ44=Body!$AW$46,'Zdroj data'!AZ44=Body!$AW$47,'Zdroj data'!AZ44=Body!$AW$48))),Body!$AY$22,IF(AND('Zdroj data'!BF44="T",(OR('Zdroj data'!AZ44=$AW$49,'Zdroj data'!AZ44=$AW$50,'Zdroj data'!AZ44=$AW$51,'Zdroj data'!AZ44=$AW$52))),$BZ$22," "))</f>
        <v xml:space="preserve"> </v>
      </c>
      <c r="AD44" s="264">
        <f>IF(AND(OR('Zdroj data'!BF44="VT",'Zdroj data'!BF44="T",'Zdroj data'!BF44="CH"),(OR('Zdroj data'!AZ44=$AW$43,'Zdroj data'!AZ44=$AW$44,))),$BZ$22," ")</f>
        <v>10</v>
      </c>
      <c r="AE44" s="264" t="str">
        <f>IF(AND('Zdroj data'!BF44="CH",(OR('Zdroj data'!AZ44=$AW$49,'Zdroj data'!AZ44=$AW$50,'Zdroj data'!AZ44=$AW$51,'Zdroj data'!AZ44=$AW$52))),$AY$22,IF(AND('Zdroj data'!BF44="CH",(OR('Zdroj data'!AZ44=$AW$45,'Zdroj data'!AZ44=$AW$46,'Zdroj data'!AZ44=$AW$47,'Zdroj data'!AZ44=$AW$48))),$BZ$22," "))</f>
        <v xml:space="preserve"> </v>
      </c>
      <c r="AF44" s="264">
        <f>IF(AND('Zdroj data'!BG44="L",'Zdroj data'!AM44=Body!$AX$15),IF(AND('Zdroj data'!O44&gt;=Body!$AY$15,'Zdroj data'!O44&lt;=Body!$BA$15),Body!AY$6,IF(AND('Zdroj data'!O44&gt;=Body!$BB$15,'Zdroj data'!O44&lt;=Body!$BD$15),Body!BB$6,IF(AND('Zdroj data'!O44&gt;=Body!$BE$15,'Zdroj data'!O44&lt;=Body!$BG$15),Body!BE$6,IF(AND('Zdroj data'!O44&gt;=Body!$BH$15,'Zdroj data'!O44&lt;=Body!$BJ$15),Body!BH$6,IF(AND('Zdroj data'!O44&gt;=Body!$BK$15,'Zdroj data'!O44&lt;=Body!$BM$15),Body!BK$6,IF(AND('Zdroj data'!O44&gt;=Body!$BN$15,'Zdroj data'!O44&lt;=Body!$BP$15),Body!$BN$6,IF(AND('Zdroj data'!O44&gt;=Body!$BQ$15,'Zdroj data'!O44&lt;=Body!$BS$15),Body!$BQ$6,IF(AND('Zdroj data'!O44&gt;=Body!$BT$15,'Zdroj data'!O44&lt;=Body!$BV$15),Body!BT$6,IF(AND('Zdroj data'!O44&gt;=Body!$BW$15,'Zdroj data'!O44&lt;=Body!$BY$15),Body!$BW$6,IF('Zdroj data'!O44&gt;=Body!$CB$15,Body!$BZ$6," ")))))))))),IF(AND('Zdroj data'!BG44="ST",'Zdroj data'!AM44=Body!$AX$16),IF(AND('Zdroj data'!O44&gt;=Body!$AY$16,'Zdroj data'!O44&lt;=Body!$BA$16),Body!$AY$6,IF(AND('Zdroj data'!O44&gt;=Body!$BB$16,'Zdroj data'!O44&lt;=Body!$BD$16),Body!$BB$6,IF(AND('Zdroj data'!O44&gt;=Body!$BE$16,'Zdroj data'!O44&lt;=Body!$BG$16),Body!$BE$6,IF(AND('Zdroj data'!O44&gt;=Body!$BH$16,'Zdroj data'!O44&lt;=Body!$BJ$16),Body!$BH$6,IF(AND('Zdroj data'!O44&gt;=Body!$BK$16,'Zdroj data'!O44&lt;=Body!$BM$16),Body!$BK$6,IF(AND('Zdroj data'!O44&gt;=Body!$BN$16,'Zdroj data'!O44&lt;=Body!$BP$16),Body!$BN$6,IF(AND('Zdroj data'!O44&gt;=Body!$BQ$16,'Zdroj data'!O44&lt;=Body!$BS$16),Body!$BQ$6,IF(AND('Zdroj data'!O44&gt;=Body!$BT$16,'Zdroj data'!O44&lt;=Body!$BV$16),Body!$BT$6,IF(AND('Zdroj data'!O44&gt;=Body!$BW$16,'Zdroj data'!O44&lt;=Body!$BY$16),Body!$BW$6,IF('Zdroj data'!O44&gt;=Body!$CB$16,Body!$BZ$6," ")))))))))),IF(AND('Zdroj data'!BG44="T",'Zdroj data'!AM44=Body!$AX$17),IF(AND('Zdroj data'!O44&gt;=Body!$AY$17,'Zdroj data'!O44&lt;=Body!$BA$17),Body!$AY$6,IF(AND('Zdroj data'!O44&gt;=Body!$BB$17,'Zdroj data'!O44&lt;=Body!$BD$17),Body!$BB$6,IF(AND('Zdroj data'!O44&gt;=Body!$BE$17,'Zdroj data'!O44&lt;=Body!$BG$17),Body!$BE$6,IF(AND('Zdroj data'!O44&gt;=Body!$BH$17,'Zdroj data'!O44&lt;=Body!#REF!),Body!$BH$6,IF(AND('Zdroj data'!O44&gt;=Body!$BK$17,'Zdroj data'!O44&lt;=Body!$BM$17),Body!$BK$6,IF(AND('Zdroj data'!O44&gt;=Body!$BN$17,'Zdroj data'!O44&lt;=Body!$BP$17),Body!$BN$6,IF(AND('Zdroj data'!O44&gt;=Body!$BQ$17,'Zdroj data'!O44&lt;=Body!$BS$17),Body!$BQ$6,IF(AND('Zdroj data'!O44&gt;=Body!$BT$17,'Zdroj data'!O44&lt;=Body!$BV$17),Body!$BT$6,IF(AND('Zdroj data'!O44&gt;=Body!$BW$17,'Zdroj data'!O44&lt;=Body!$BY$17),Body!$BW$6,IF('Zdroj data'!O44&gt;=Body!$CB$17,Body!$BZ$6," "))))))))))," ")))</f>
        <v>3</v>
      </c>
      <c r="AG44" s="264">
        <f>IF(AND('Zdroj data'!$BG44="L",'Zdroj data'!$AM44=Body!$AX$15),IF(AND(Tabulka1[[#This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data'!$BG44="ST",'Zdroj data'!$AM44=Body!$AX$16),IF(AND(Tabulka1[[#This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data'!$BG44="T",'Zdroj data'!$AM44=Body!$AX$17),IF(AND(Tabulka1[[#This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44" s="264" t="str">
        <f>IF(AND('Zdroj data'!BG44="L",'Zdroj data'!AM44=Body!$AX$18),IF(AND('Zdroj data'!O44&gt;=Body!$AY$18,'Zdroj data'!O44&lt;=Body!$BA$18),Body!AY$6,IF(AND('Zdroj data'!O44&gt;=Body!$BB$18,'Zdroj data'!O44&lt;=Body!$BD$18),Body!BB$6,IF(AND('Zdroj data'!O44&gt;=Body!$BE$18,'Zdroj data'!O44&lt;=Body!$BG$18),Body!BE$6,IF(AND('Zdroj data'!O44&gt;=Body!$BH$18,'Zdroj data'!O44&lt;=Body!$BJ$18),Body!BH$6,IF(AND('Zdroj data'!O44&gt;=Body!$BK$18,'Zdroj data'!O44&lt;=Body!$BM$18),Body!$BK$6,IF(AND('Zdroj data'!O44&gt;=Body!$BN$18,'Zdroj data'!O44&lt;=Body!$BP$18),Body!BN$6,IF(AND('Zdroj data'!O44&gt;=Body!$BQ$18,'Zdroj data'!O44&lt;=Body!$BS$18),Body!$BQ$6,IF(AND('Zdroj data'!O44&gt;=Body!$BT$18,'Zdroj data'!O44&lt;=Body!$BV$18),Body!$BT$6,IF(AND('Zdroj data'!O44&gt;=Body!$BW$18,'Zdroj data'!O44&lt;=Body!$BY$18),Body!$BW$6,IF('Zdroj data'!O44&gt;=Body!$CB$18,Body!$BZ$6," ")))))))))),IF(AND('Zdroj data'!BG44="ST",'Zdroj data'!AM44=Body!$AX$19),IF(AND('Zdroj data'!O44&gt;=Body!$AY$19,'Zdroj data'!O44&lt;=Body!$BA$19),Body!$AY$6,IF(AND('Zdroj data'!O44&gt;=Body!$BB$19,'Zdroj data'!O44&lt;=Body!$BD$19),Body!$BB$6,IF(AND('Zdroj data'!O44&gt;=Body!$BE$19,'Zdroj data'!O44&lt;=Body!$BG$19),Body!$BE$6,IF(AND('Zdroj data'!O44&gt;=Body!$BH$19,'Zdroj data'!O44&lt;=Body!$BJ$19),Body!$BH$6,IF(AND('Zdroj data'!O44&gt;=Body!$BK$19,'Zdroj data'!O44&lt;=Body!$BM$19),Body!$BK$6,IF(AND('Zdroj data'!O44&gt;=Body!$BN$19,'Zdroj data'!O44&lt;=Body!$BP$19),Body!$BN$6,IF(AND('Zdroj data'!O44&gt;=Body!$BQ$19,'Zdroj data'!O44&lt;=Body!$BS$19),Body!$BQ$6,IF(AND('Zdroj data'!O44&gt;=Body!$BT$19,'Zdroj data'!O48&lt;=Body!$BV$19),Body!$BT$6,IF(AND('Zdroj data'!O44&gt;=Body!$BW$19,'Zdroj data'!O44&lt;=Body!$BY$19),Body!$BW$6,IF('Zdroj data'!O44&gt;=Body!$CB$19,Body!$BZ$6," ")))))))))),IF(AND('Zdroj data'!BG44="T",'Zdroj data'!AM44=Body!$AX$20),IF(AND('Zdroj data'!O44&gt;=Body!$AY$20,'Zdroj data'!O44&lt;=Body!$BA$20),Body!$AY$6,IF(AND('Zdroj data'!O44&gt;=Body!$BB$20,'Zdroj data'!O44&lt;=Body!$BD$20),Body!$BB$6,IF(AND('Zdroj data'!O44&gt;=Body!$BE$20,'Zdroj data'!O44&lt;=Body!$BG$20),Body!$BE$6,IF(AND('Zdroj data'!O44&gt;=Body!$BH$20,'Zdroj data'!O44&lt;=Body!$BJ$20),Body!$BH$6,IF(AND('Zdroj data'!O44&gt;=Body!$BK$20,'Zdroj data'!O44&lt;=Body!$BM$20),Body!$BK$6,IF(AND('Zdroj data'!O44&gt;=Body!$BN$20,'Zdroj data'!O44&lt;=Body!$BP$20),Body!$BN$6,IF(AND('Zdroj data'!O44&gt;=Body!$BQ$20,'Zdroj data'!O44&lt;=Body!$BS$20),Body!$BQ$6,IF(AND('Zdroj data'!O44&gt;=Body!$BT$20,'Zdroj data'!O44&lt;=Body!#REF!),Body!$BT$6,IF(AND('Zdroj data'!O44&gt;=Body!$BW$20,'Zdroj data'!O44&lt;=Body!$BY$20),Body!$BW$6,IF('Zdroj data'!O44&gt;=Body!$CB$20,Body!$BZ$6," "))))))))))," ")))</f>
        <v xml:space="preserve"> </v>
      </c>
      <c r="AI44" s="264" t="str">
        <f>IF(AND('Zdroj data'!$BG44="L",'Zdroj data'!$AM44=Body!$AX$18),IF(AND(Tabulka1[[#This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data'!$BG44="ST",'Zdroj data'!$AM44=Body!$AX$19),IF(AND(Tabulka1[[#This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data'!$BG44="T",'Zdroj data'!$AM44=Body!$AX$20),IF(AND(Tabulka1[[#This Row],[K2O_60]]&gt;=Body!$AY$20,'Zdroj data'!O44&lt;=Body!$BA$20),Body!$AY$6,IF(AND(Tabulka1[[#This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44" s="265">
        <f t="shared" si="10"/>
        <v>14.666666666666682</v>
      </c>
      <c r="AK44" s="264">
        <f t="shared" si="3"/>
        <v>38.426498501550391</v>
      </c>
      <c r="AL44" s="264">
        <f t="shared" si="4"/>
        <v>35.19194187900969</v>
      </c>
      <c r="AM44" s="264">
        <f t="shared" si="5"/>
        <v>60.719460083498205</v>
      </c>
      <c r="AN44" s="264">
        <f t="shared" si="6"/>
        <v>63.088490833372219</v>
      </c>
      <c r="AO44" s="265">
        <f t="shared" si="11"/>
        <v>99.145958585048589</v>
      </c>
      <c r="AP44" s="265">
        <f t="shared" si="12"/>
        <v>98.280432712381909</v>
      </c>
      <c r="AQ44" s="318"/>
      <c r="AR44" s="338">
        <f t="shared" si="7"/>
        <v>212.09305796409717</v>
      </c>
      <c r="AS44" s="318"/>
      <c r="AT44" s="138"/>
      <c r="AU44" s="138"/>
      <c r="AW44" s="9">
        <v>1</v>
      </c>
      <c r="BA44" s="66"/>
      <c r="BB44" s="66"/>
      <c r="BE44" s="66"/>
      <c r="BF44" s="66"/>
      <c r="BG44" s="66"/>
      <c r="BH44" s="66"/>
    </row>
    <row r="45" spans="1:80" ht="15.5" x14ac:dyDescent="0.35">
      <c r="A45" s="270">
        <v>1081</v>
      </c>
      <c r="B45" s="156" t="s">
        <v>564</v>
      </c>
      <c r="C45" s="250" t="str">
        <f>VLOOKUP(B45,'Zdroj hloubka okresy'!$A$2:$D$171,2,FALSE)</f>
        <v>Pribram</v>
      </c>
      <c r="D45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45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45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9</v>
      </c>
      <c r="G45" s="264">
        <f>IF(AND(Tabulka1[[#This Row],[hum_60]]&gt;AY54,Tabulka1[[#This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7</v>
      </c>
      <c r="H45" s="264">
        <f>IF(Tabulka1[[#This Row],[kv.ek.]]=Body!$AX$13,IF(AND('Zdroj data'!M45&gt;=Body!$AY$13,'Zdroj data'!M45&lt;=Body!$BA$13),Body!$AY$6,IF(AND('Zdroj data'!M45&gt;=Body!$BB$13,'Zdroj data'!M45&lt;=Body!$BD$13),Body!$BB$6,IF(AND('Zdroj data'!M45&gt;=Body!$BE$13,'Zdroj data'!M45&lt;=Body!$BG$13),Body!$BE$6,IF(AND('Zdroj data'!M45&gt;=Body!$BH$13,'Zdroj data'!M45&lt;=Body!$BJ$13),Body!$BH$6,IF(AND('Zdroj data'!M45&gt;=Body!$BK$13,'Zdroj data'!M45&lt;=Body!$BM$13),Body!$BK$6,IF(AND('Zdroj data'!M45&gt;=Body!$BN$13,'Zdroj data'!M45&lt;=Body!$BP$13),Body!$BN$6,IF(AND('Zdroj data'!M45&gt;=Body!$BQ$13,'Zdroj data'!M45&lt;=Body!$BS$13),Body!$BQ$6,IF(AND('Zdroj data'!M45&gt;=Body!$BT$13,'Zdroj data'!M45&lt;=Body!$BV$13),Body!$BT$6,IF(AND('Zdroj data'!M45&gt;=Body!$BW$13,'Zdroj data'!M45&lt;=Body!$BY$13),Body!$BW$6,IF('Zdroj data'!M45&gt;=Body!$CB$13,Body!$BZ$6,"")))))))))),IF(Tabulka1[[#This Row],[kv.ek.]]=Body!$AX$14,IF(AND('Zdroj data'!N45&gt;=Body!$AY$14,'Zdroj data'!N45&lt;=Body!$BA$14),Body!$AY$6,IF(AND('Zdroj data'!N45&gt;=Body!$BB$14,'Zdroj data'!N45&lt;=Body!$BD$14),Body!$BB$6,IF(AND('Zdroj data'!N45&gt;=Body!$BE$14,'Zdroj data'!N45&lt;=Body!$BG$14),Body!$BE$6,IF(AND('Zdroj data'!N45&gt;=Body!$BH$14,'Zdroj data'!N45&lt;=Body!$BJ$14),Body!$BH$6,IF(AND('Zdroj data'!N45&gt;=Body!$BK$14,'Zdroj data'!N45&lt;=Body!$BM$14),Body!$BK$6,IF(AND('Zdroj data'!N45&gt;=Body!$BN$14,'Zdroj data'!N45&lt;=Body!$BP$14),Body!$BN$6,IF(AND('Zdroj data'!N45&gt;=Body!$BQ$14,'Zdroj data'!N45&lt;=Body!$BS$14),Body!$BQ$6,IF(AND('Zdroj data'!N45&gt;=Body!$BT$14,'Zdroj data'!N45&lt;=Body!$BV$14),Body!$BT$6,IF(AND('Zdroj data'!N45&gt;=Body!$BW$14,'Zdroj data'!N45&lt;=Body!$BY$14),Body!$BW$6,IF('Zdroj data'!N45&gt;=Body!$CB$14,Body!$BZ$6,"")))))))))),""))</f>
        <v>1</v>
      </c>
      <c r="I45" s="264">
        <f>IF(Tabulka1[[#This Row],[kv.ek.]]=Body!$AX$13,IF(AND('Zdroj data'!N45&gt;=Body!$AY$13,'Zdroj data'!N45&lt;=Body!$BA$13),Body!$AY$6,IF(AND('Zdroj data'!N45&gt;=Body!$BB$13,'Zdroj data'!N45&lt;=Body!$BD$13),Body!$BB$6,IF(AND('Zdroj data'!N45&gt;=Body!$BE$13,'Zdroj data'!N45&lt;=Body!$BG$13),Body!$BE$6,IF(AND('Zdroj data'!N45&gt;=Body!$BH$13,'Zdroj data'!N45&lt;=Body!$BJ$13),Body!$BH$6,IF(AND('Zdroj data'!N45&gt;=Body!$BK$13,'Zdroj data'!N45&lt;=Body!$BM$13),Body!$BK$6,IF(AND('Zdroj data'!N45&gt;=Body!$BN$13,'Zdroj data'!N45&lt;=Body!$BP$13),Body!$BN$6,IF(AND('Zdroj data'!N45&gt;=Body!$BQ$13,'Zdroj data'!N45&lt;=Body!$BS$13),Body!$BQ$6,IF(AND('Zdroj data'!N45&gt;=Body!$BT$13,'Zdroj data'!N45&lt;=Body!$BV$13),Body!$BT$6,IF(AND('Zdroj data'!N45&gt;=Body!$BW$13,'Zdroj data'!N45&lt;=Body!$BY$13),Body!$BW$6,IF('Zdroj data'!N45&gt;=Body!$CB$13,Body!$BZ$6," ")))))))))),IF(Tabulka1[[#This Row],[kv.ek.]]=Body!$AX$14,IF(AND('Zdroj data'!O45&gt;=Body!$AY$14,'Zdroj data'!O45&lt;=Body!$BA$14),Body!$AY$6,IF(AND('Zdroj data'!O45&gt;=Body!$BB$14,'Zdroj data'!O45&lt;=Body!$BD$14),Body!$BB$6,IF(AND('Zdroj data'!O45&gt;=Body!$BE$14,'Zdroj data'!O45&lt;=Body!$BG$14),Body!$BE$6,IF(AND('Zdroj data'!O45&gt;=Body!$BH$14,'Zdroj data'!O45&lt;=Body!$BJ$14),Body!$BH$6,IF(AND('Zdroj data'!O45&gt;=Body!$BK$14,'Zdroj data'!O45&lt;=Body!$BM$14),Body!$BK$6,IF(AND('Zdroj data'!O45&gt;=Body!$BN$14,'Zdroj data'!O45&lt;=Body!$BP$14),Body!$BN$6,IF(AND('Zdroj data'!O45&gt;=Body!$BQ$14,'Zdroj data'!O45&lt;=Body!$BS$14),Body!$BQ$6,IF(AND('Zdroj data'!O45&gt;=Body!$BT$14,'Zdroj data'!O45&lt;=Body!$BV$14),Body!$BT$6,IF(AND('Zdroj data'!O45&gt;=Body!$BW$14,'Zdroj data'!O45&lt;=Body!$BY$14),Body!$BW$6,IF('Zdroj data'!O45&gt;=Body!$CB$14,Body!$BZ$6," "))))))))))," "))</f>
        <v>1</v>
      </c>
      <c r="J45" s="264">
        <f t="shared" si="8"/>
        <v>1</v>
      </c>
      <c r="K45" s="264">
        <f t="shared" si="9"/>
        <v>1</v>
      </c>
      <c r="L45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9</v>
      </c>
      <c r="M45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7</v>
      </c>
      <c r="N45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45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45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45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45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45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45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45" s="264">
        <f>IF('Zdroj data'!BB45=Body!$AY$25,Body!$AY$22,IF('Zdroj data'!BB45=Body!$BB$25,Body!$BB$22,IF('Zdroj data'!BB45=Body!$BE$25,Body!$BE$22,IF('Zdroj data'!BB45=Body!$BH$25,Body!$BH$22,IF('Zdroj data'!BB45=Body!BK$25,Body!$BK$22,IF('Zdroj data'!BB45=Body!$BN$25,Body!$BN$22,IF('Zdroj data'!BB45=Body!$BQ$25,Body!$BQ$22,IF('Zdroj data'!BB45=Body!$BT$25,Body!$BT$22,IF('Zdroj data'!BB45=Body!$BW$25,Body!$BW$22,IF('Zdroj data'!BB45=Body!$BZ$25,Body!$BZ$22," "))))))))))</f>
        <v>5</v>
      </c>
      <c r="V45" s="264">
        <f>IF(AND('Zdroj data'!BO45&gt;Body!$AY$27,'Zdroj data'!BO45&lt;=Body!$BA$27),Body!$AY$22,IF(AND('Zdroj data'!BO45&gt;=Body!$BB$27,'Zdroj data'!BO45&lt;=Body!$BD$27),Body!$BB$22,IF(AND('Zdroj data'!BO45&gt;=Body!$BE$27,'Zdroj data'!BO45&lt;=Body!$BG$27),Body!$BE$22,IF(AND('Zdroj data'!BO45&gt;=Body!$BH$27,'Zdroj data'!BO45&lt;=Body!$BJ$27),Body!$BH$22,IF(AND('Zdroj data'!BO45&gt;=Body!$BK$27,'Zdroj data'!BO45&lt;=Body!$BM$27),Body!$BK$22,IF(AND('Zdroj data'!BO45&gt;=Body!$BN$27,'Zdroj data'!BO45&lt;=Body!$BP$27),Body!$BN$22,IF(AND('Zdroj data'!BO45&gt;=Body!$BQ$27,'Zdroj data'!BO45&lt;=Body!$BS$27),Body!$BQ$22,IF(AND('Zdroj data'!BO45&gt;=Body!$BT$27,'Zdroj data'!BO45&lt;=Body!$BV$27),Body!$BT$22,IF(AND('Zdroj data'!BO45&gt;=Body!$BW$27,'Zdroj data'!BO45&lt;=Body!$BY$27),Body!$BW$22,IF('Zdroj data'!BO45&gt;=Body!$CB$27,$BZ$22," "))))))))))</f>
        <v>6</v>
      </c>
      <c r="W45" s="264">
        <f>IF(AND('Zdroj data'!BP45&gt;Body!$AY$27,'Zdroj data'!BP45&lt;=Body!$BA$27),Body!$AY$22,IF(AND('Zdroj data'!BP45&gt;=Body!$BB$27,'Zdroj data'!BP45&lt;=Body!$BD$27),Body!$BB$22,IF(AND('Zdroj data'!BP45&gt;=Body!$BE$27,'Zdroj data'!BP45&lt;=Body!$BG$27),Body!$BE$22,IF(AND('Zdroj data'!BP45&gt;=Body!$BH$27,'Zdroj data'!BP45&lt;=Body!$BJ$27),Body!$BH$22,IF(AND('Zdroj data'!BP45&gt;=Body!$BK$27,'Zdroj data'!BP45&lt;=Body!$BM$27),Body!$BK$22,IF(AND('Zdroj data'!BP45&gt;=Body!$BN$27,'Zdroj data'!BP45&lt;=Body!$BP$27),Body!$BN$22,IF(AND('Zdroj data'!BP45&gt;=Body!$BQ$27,'Zdroj data'!BP45&lt;=Body!$BS$27),Body!$BQ$22,IF(AND('Zdroj data'!BP45&gt;=Body!$BT$27,'Zdroj data'!BP45&lt;=Body!$BV$27),Body!$BT$22,IF(AND('Zdroj data'!BP45&gt;=Body!$BW$27,'Zdroj data'!BP45&lt;=Body!$BY$27),Body!$BW$22,IF('Zdroj data'!BP45&gt;=Body!$CB$27,$BZ$22," "))))))))))</f>
        <v>5</v>
      </c>
      <c r="X45" s="264">
        <f>IF('Zdroj data'!BA45=Body!$BB$28,$BB$22,IF('Zdroj data'!BA45=Body!$BE$28,$BE$22,IF(OR('Zdroj data'!BA45=Body!$BK$28,'Zdroj data'!BA45=Body!$BL$28,'Zdroj data'!BA45=Body!$BM$28),$BK$22,IF(OR('Zdroj data'!BA45=Body!$BT$28,'Zdroj data'!BA45=Body!$BV$28),$BT$22,IF(OR('Zdroj data'!BA45=Body!$BW$28,'Zdroj data'!BA45=Body!$BY$28),$BW$22,IF('Zdroj data'!BA45=Body!$BZ$28,$BZ$22," "))))))</f>
        <v>9</v>
      </c>
      <c r="Y45" s="264">
        <f>IF('Zdroj data'!AZ45=Body!$BZ$29,Body!$BZ$22,IF(OR('Zdroj data'!AZ45=$BT$29,'Zdroj data'!AZ45=$BU$29,'Zdroj data'!AZ45=$BV$29),$BT$22,IF(OR('Zdroj data'!AZ45=$BK$29,'Zdroj data'!AZ45=$BM$29),$BK$22,IF(OR('Zdroj data'!AZ45=$BE$29,'Zdroj data'!AZ45=$BG$29),$BE$22,IF(OR('Zdroj data'!AZ45=$AY$29,'Zdroj data'!AZ45=$BA$29),$AY$22," ")))))</f>
        <v>8</v>
      </c>
      <c r="Z45" s="264">
        <f>IF(AND('Zdroj data'!BF45="T",(OR('Zdroj data'!AZ45=Body!$AW$45,'Zdroj data'!AZ45=Body!$AW$46,'Zdroj data'!AZ45=Body!$AW$47,'Zdroj data'!AZ45=Body!$AW$48))),Body!$AY$22,IF(AND('Zdroj data'!BF45="T",(OR('Zdroj data'!AZ45=$AW$49,'Zdroj data'!AZ45=$AW$50,'Zdroj data'!AZ45=$AW$51,'Zdroj data'!AZ45=$AW$52))),$BZ$22,IF(AND(OR('Zdroj data'!BF45="VT",'Zdroj data'!BF45="T",'Zdroj data'!BF45="CH"),(OR('Zdroj data'!AZ45=$AW$43,'Zdroj data'!AZ45=$AW$44,))),$BZ$22,IF(AND('Zdroj data'!BF45="CH",(OR('Zdroj data'!AZ45=$AW$49,'Zdroj data'!AZ45=$AW$50,'Zdroj data'!AZ45=$AW$51,'Zdroj data'!AZ45=$AW$52))),$AY$22,IF(AND('Zdroj data'!BF45="CH",(OR('Zdroj data'!AZ45=$AW$45,'Zdroj data'!AZ45=$AW$46,'Zdroj data'!AZ45=$AW$47,'Zdroj data'!AZ45=$AW$48))),$BZ$22," ")))))</f>
        <v>10</v>
      </c>
      <c r="AA45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45" s="264">
        <f>IF(Tabulka1[[#This Row],[kv.ek.]]=Body!$BK$35,Body!$BK$34,IF(Tabulka1[[#This Row],[kv.ek.]]=Body!$BZ$35,Body!$BZ$34," "))</f>
        <v>5</v>
      </c>
      <c r="AC45" s="264" t="str">
        <f>IF(AND('Zdroj data'!BF45="T",(OR('Zdroj data'!AZ45=Body!$AW$45,'Zdroj data'!AZ45=Body!$AW$46,'Zdroj data'!AZ45=Body!$AW$47,'Zdroj data'!AZ45=Body!$AW$48))),Body!$AY$22,IF(AND('Zdroj data'!BF45="T",(OR('Zdroj data'!AZ45=$AW$49,'Zdroj data'!AZ45=$AW$50,'Zdroj data'!AZ45=$AW$51,'Zdroj data'!AZ45=$AW$52))),$BZ$22," "))</f>
        <v xml:space="preserve"> </v>
      </c>
      <c r="AD45" s="264">
        <f>IF(AND(OR('Zdroj data'!BF45="VT",'Zdroj data'!BF45="T",'Zdroj data'!BF45="CH"),(OR('Zdroj data'!AZ45=$AW$43,'Zdroj data'!AZ45=$AW$44,))),$BZ$22," ")</f>
        <v>10</v>
      </c>
      <c r="AE45" s="264" t="str">
        <f>IF(AND('Zdroj data'!BF45="CH",(OR('Zdroj data'!AZ45=$AW$49,'Zdroj data'!AZ45=$AW$50,'Zdroj data'!AZ45=$AW$51,'Zdroj data'!AZ45=$AW$52))),$AY$22,IF(AND('Zdroj data'!BF45="CH",(OR('Zdroj data'!AZ45=$AW$45,'Zdroj data'!AZ45=$AW$46,'Zdroj data'!AZ45=$AW$47,'Zdroj data'!AZ45=$AW$48))),$BZ$22," "))</f>
        <v xml:space="preserve"> </v>
      </c>
      <c r="AF45" s="264">
        <f>IF(AND('Zdroj data'!BG45="L",'Zdroj data'!AM45=Body!$AX$15),IF(AND('Zdroj data'!O45&gt;=Body!$AY$15,'Zdroj data'!O45&lt;=Body!$BA$15),Body!AY$6,IF(AND('Zdroj data'!O45&gt;=Body!$BB$15,'Zdroj data'!O45&lt;=Body!$BD$15),Body!BB$6,IF(AND('Zdroj data'!O45&gt;=Body!$BE$15,'Zdroj data'!O45&lt;=Body!$BG$15),Body!BE$6,IF(AND('Zdroj data'!O45&gt;=Body!$BH$15,'Zdroj data'!O45&lt;=Body!$BJ$15),Body!BH$6,IF(AND('Zdroj data'!O45&gt;=Body!$BK$15,'Zdroj data'!O45&lt;=Body!$BM$15),Body!BK$6,IF(AND('Zdroj data'!O45&gt;=Body!$BN$15,'Zdroj data'!O45&lt;=Body!$BP$15),Body!$BN$6,IF(AND('Zdroj data'!O45&gt;=Body!$BQ$15,'Zdroj data'!O45&lt;=Body!$BS$15),Body!$BQ$6,IF(AND('Zdroj data'!O45&gt;=Body!$BT$15,'Zdroj data'!O45&lt;=Body!$BV$15),Body!BT$6,IF(AND('Zdroj data'!O45&gt;=Body!$BW$15,'Zdroj data'!O45&lt;=Body!$BY$15),Body!$BW$6,IF('Zdroj data'!O45&gt;=Body!$CB$15,Body!$BZ$6," ")))))))))),IF(AND('Zdroj data'!BG45="ST",'Zdroj data'!AM45=Body!$AX$16),IF(AND('Zdroj data'!O45&gt;=Body!$AY$16,'Zdroj data'!O45&lt;=Body!$BA$16),Body!$AY$6,IF(AND('Zdroj data'!O45&gt;=Body!$BB$16,'Zdroj data'!O45&lt;=Body!$BD$16),Body!$BB$6,IF(AND('Zdroj data'!O45&gt;=Body!$BE$16,'Zdroj data'!O45&lt;=Body!$BG$16),Body!$BE$6,IF(AND('Zdroj data'!O45&gt;=Body!$BH$16,'Zdroj data'!O45&lt;=Body!$BJ$16),Body!$BH$6,IF(AND('Zdroj data'!O45&gt;=Body!$BK$16,'Zdroj data'!O45&lt;=Body!$BM$16),Body!$BK$6,IF(AND('Zdroj data'!O45&gt;=Body!$BN$16,'Zdroj data'!O45&lt;=Body!$BP$16),Body!$BN$6,IF(AND('Zdroj data'!O45&gt;=Body!$BQ$16,'Zdroj data'!O45&lt;=Body!$BS$16),Body!$BQ$6,IF(AND('Zdroj data'!O45&gt;=Body!$BT$16,'Zdroj data'!O45&lt;=Body!$BV$16),Body!$BT$6,IF(AND('Zdroj data'!O45&gt;=Body!$BW$16,'Zdroj data'!O45&lt;=Body!$BY$16),Body!$BW$6,IF('Zdroj data'!O45&gt;=Body!$CB$16,Body!$BZ$6," ")))))))))),IF(AND('Zdroj data'!BG45="T",'Zdroj data'!AM45=Body!$AX$17),IF(AND('Zdroj data'!O45&gt;=Body!$AY$17,'Zdroj data'!O45&lt;=Body!$BA$17),Body!$AY$6,IF(AND('Zdroj data'!O45&gt;=Body!$BB$17,'Zdroj data'!O45&lt;=Body!$BD$17),Body!$BB$6,IF(AND('Zdroj data'!O45&gt;=Body!$BE$17,'Zdroj data'!O45&lt;=Body!$BG$17),Body!$BE$6,IF(AND('Zdroj data'!O45&gt;=Body!$BH$17,'Zdroj data'!O45&lt;=Body!#REF!),Body!$BH$6,IF(AND('Zdroj data'!O45&gt;=Body!$BK$17,'Zdroj data'!O45&lt;=Body!$BM$17),Body!$BK$6,IF(AND('Zdroj data'!O45&gt;=Body!$BN$17,'Zdroj data'!O45&lt;=Body!$BP$17),Body!$BN$6,IF(AND('Zdroj data'!O45&gt;=Body!$BQ$17,'Zdroj data'!O45&lt;=Body!$BS$17),Body!$BQ$6,IF(AND('Zdroj data'!O45&gt;=Body!$BT$17,'Zdroj data'!O45&lt;=Body!$BV$17),Body!$BT$6,IF(AND('Zdroj data'!O45&gt;=Body!$BW$17,'Zdroj data'!O45&lt;=Body!$BY$17),Body!$BW$6,IF('Zdroj data'!O45&gt;=Body!$CB$17,Body!$BZ$6," "))))))))))," ")))</f>
        <v>1</v>
      </c>
      <c r="AG45" s="264">
        <f>IF(AND('Zdroj data'!$BG45="L",'Zdroj data'!$AM45=Body!$AX$15),IF(AND(Tabulka1[[#This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data'!$BG45="ST",'Zdroj data'!$AM45=Body!$AX$16),IF(AND(Tabulka1[[#This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data'!$BG45="T",'Zdroj data'!$AM45=Body!$AX$17),IF(AND(Tabulka1[[#This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45" s="264" t="str">
        <f>IF(AND('Zdroj data'!BG45="L",'Zdroj data'!AM45=Body!$AX$18),IF(AND('Zdroj data'!O45&gt;=Body!$AY$18,'Zdroj data'!O45&lt;=Body!$BA$18),Body!AY$6,IF(AND('Zdroj data'!O45&gt;=Body!$BB$18,'Zdroj data'!O45&lt;=Body!$BD$18),Body!BB$6,IF(AND('Zdroj data'!O45&gt;=Body!$BE$18,'Zdroj data'!O45&lt;=Body!$BG$18),Body!BE$6,IF(AND('Zdroj data'!O45&gt;=Body!$BH$18,'Zdroj data'!O45&lt;=Body!$BJ$18),Body!BH$6,IF(AND('Zdroj data'!O45&gt;=Body!$BK$18,'Zdroj data'!O45&lt;=Body!$BM$18),Body!$BK$6,IF(AND('Zdroj data'!O45&gt;=Body!$BN$18,'Zdroj data'!O45&lt;=Body!$BP$18),Body!BN$6,IF(AND('Zdroj data'!O45&gt;=Body!$BQ$18,'Zdroj data'!O45&lt;=Body!$BS$18),Body!$BQ$6,IF(AND('Zdroj data'!O45&gt;=Body!$BT$18,'Zdroj data'!O45&lt;=Body!$BV$18),Body!$BT$6,IF(AND('Zdroj data'!O45&gt;=Body!$BW$18,'Zdroj data'!O45&lt;=Body!$BY$18),Body!$BW$6,IF('Zdroj data'!O45&gt;=Body!$CB$18,Body!$BZ$6," ")))))))))),IF(AND('Zdroj data'!BG45="ST",'Zdroj data'!AM45=Body!$AX$19),IF(AND('Zdroj data'!O45&gt;=Body!$AY$19,'Zdroj data'!O45&lt;=Body!$BA$19),Body!$AY$6,IF(AND('Zdroj data'!O45&gt;=Body!$BB$19,'Zdroj data'!O45&lt;=Body!$BD$19),Body!$BB$6,IF(AND('Zdroj data'!O45&gt;=Body!$BE$19,'Zdroj data'!O45&lt;=Body!$BG$19),Body!$BE$6,IF(AND('Zdroj data'!O45&gt;=Body!$BH$19,'Zdroj data'!O45&lt;=Body!$BJ$19),Body!$BH$6,IF(AND('Zdroj data'!O45&gt;=Body!$BK$19,'Zdroj data'!O45&lt;=Body!$BM$19),Body!$BK$6,IF(AND('Zdroj data'!O45&gt;=Body!$BN$19,'Zdroj data'!O45&lt;=Body!$BP$19),Body!$BN$6,IF(AND('Zdroj data'!O45&gt;=Body!$BQ$19,'Zdroj data'!O45&lt;=Body!$BS$19),Body!$BQ$6,IF(AND('Zdroj data'!O45&gt;=Body!$BT$19,'Zdroj data'!O49&lt;=Body!$BV$19),Body!$BT$6,IF(AND('Zdroj data'!O45&gt;=Body!$BW$19,'Zdroj data'!O45&lt;=Body!$BY$19),Body!$BW$6,IF('Zdroj data'!O45&gt;=Body!$CB$19,Body!$BZ$6," ")))))))))),IF(AND('Zdroj data'!BG45="T",'Zdroj data'!AM45=Body!$AX$20),IF(AND('Zdroj data'!O45&gt;=Body!$AY$20,'Zdroj data'!O45&lt;=Body!$BA$20),Body!$AY$6,IF(AND('Zdroj data'!O45&gt;=Body!$BB$20,'Zdroj data'!O45&lt;=Body!$BD$20),Body!$BB$6,IF(AND('Zdroj data'!O45&gt;=Body!$BE$20,'Zdroj data'!O45&lt;=Body!$BG$20),Body!$BE$6,IF(AND('Zdroj data'!O45&gt;=Body!$BH$20,'Zdroj data'!O45&lt;=Body!$BJ$20),Body!$BH$6,IF(AND('Zdroj data'!O45&gt;=Body!$BK$20,'Zdroj data'!O45&lt;=Body!$BM$20),Body!$BK$6,IF(AND('Zdroj data'!O45&gt;=Body!$BN$20,'Zdroj data'!O45&lt;=Body!$BP$20),Body!$BN$6,IF(AND('Zdroj data'!O45&gt;=Body!$BQ$20,'Zdroj data'!O45&lt;=Body!$BS$20),Body!$BQ$6,IF(AND('Zdroj data'!O45&gt;=Body!$BT$20,'Zdroj data'!O45&lt;=Body!#REF!),Body!$BT$6,IF(AND('Zdroj data'!O45&gt;=Body!$BW$20,'Zdroj data'!O45&lt;=Body!$BY$20),Body!$BW$6,IF('Zdroj data'!O45&gt;=Body!$CB$20,Body!$BZ$6," "))))))))))," ")))</f>
        <v xml:space="preserve"> </v>
      </c>
      <c r="AI45" s="264" t="str">
        <f>IF(AND('Zdroj data'!$BG45="L",'Zdroj data'!$AM45=Body!$AX$18),IF(AND(Tabulka1[[#This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data'!$BG45="ST",'Zdroj data'!$AM45=Body!$AX$19),IF(AND(Tabulka1[[#This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data'!$BG45="T",'Zdroj data'!$AM45=Body!$AX$20),IF(AND(Tabulka1[[#This Row],[K2O_60]]&gt;=Body!$AY$20,'Zdroj data'!O45&lt;=Body!$BA$20),Body!$AY$6,IF(AND(Tabulka1[[#This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45" s="265">
        <f t="shared" si="10"/>
        <v>5.3333333333333375</v>
      </c>
      <c r="AK45" s="264">
        <f t="shared" si="3"/>
        <v>40.720182298783243</v>
      </c>
      <c r="AL45" s="264">
        <f t="shared" si="4"/>
        <v>36.483678219055022</v>
      </c>
      <c r="AM45" s="264">
        <f t="shared" si="5"/>
        <v>61.213743895664614</v>
      </c>
      <c r="AN45" s="264">
        <f t="shared" si="6"/>
        <v>59.669150688462629</v>
      </c>
      <c r="AO45" s="265">
        <f t="shared" si="11"/>
        <v>101.93392619444785</v>
      </c>
      <c r="AP45" s="265">
        <f t="shared" si="12"/>
        <v>96.152828907517659</v>
      </c>
      <c r="AQ45" s="318"/>
      <c r="AR45" s="338">
        <f t="shared" si="7"/>
        <v>203.42008843529885</v>
      </c>
      <c r="AS45" s="318"/>
      <c r="AT45" s="138"/>
      <c r="AU45" s="138"/>
      <c r="AW45" s="129">
        <v>2</v>
      </c>
      <c r="AY45" s="126" t="s">
        <v>890</v>
      </c>
      <c r="AZ45" s="127" t="s">
        <v>896</v>
      </c>
      <c r="BA45" s="66"/>
      <c r="BB45" s="66"/>
      <c r="BE45" s="66"/>
      <c r="BF45" s="66"/>
      <c r="BG45" s="66"/>
      <c r="BH45" s="66"/>
    </row>
    <row r="46" spans="1:80" ht="15.5" x14ac:dyDescent="0.35">
      <c r="A46" s="270">
        <v>1084</v>
      </c>
      <c r="B46" s="156" t="s">
        <v>122</v>
      </c>
      <c r="C46" s="250" t="str">
        <f>VLOOKUP(B46,'Zdroj hloubka okresy'!$A$2:$D$171,2,FALSE)</f>
        <v>Pribram</v>
      </c>
      <c r="D46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2</v>
      </c>
      <c r="E46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1</v>
      </c>
      <c r="F46" s="264" t="str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 xml:space="preserve"> </v>
      </c>
      <c r="G46" s="264" t="str">
        <f>IF(AND(Tabulka1[[#This Row],[hum_60]]&gt;AY55,Tabulka1[[#This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 xml:space="preserve"> </v>
      </c>
      <c r="H46" s="264">
        <f>IF(Tabulka1[[#This Row],[kv.ek.]]=Body!$AX$13,IF(AND('Zdroj data'!M46&gt;=Body!$AY$13,'Zdroj data'!M46&lt;=Body!$BA$13),Body!$AY$6,IF(AND('Zdroj data'!M46&gt;=Body!$BB$13,'Zdroj data'!M46&lt;=Body!$BD$13),Body!$BB$6,IF(AND('Zdroj data'!M46&gt;=Body!$BE$13,'Zdroj data'!M46&lt;=Body!$BG$13),Body!$BE$6,IF(AND('Zdroj data'!M46&gt;=Body!$BH$13,'Zdroj data'!M46&lt;=Body!$BJ$13),Body!$BH$6,IF(AND('Zdroj data'!M46&gt;=Body!$BK$13,'Zdroj data'!M46&lt;=Body!$BM$13),Body!$BK$6,IF(AND('Zdroj data'!M46&gt;=Body!$BN$13,'Zdroj data'!M46&lt;=Body!$BP$13),Body!$BN$6,IF(AND('Zdroj data'!M46&gt;=Body!$BQ$13,'Zdroj data'!M46&lt;=Body!$BS$13),Body!$BQ$6,IF(AND('Zdroj data'!M46&gt;=Body!$BT$13,'Zdroj data'!M46&lt;=Body!$BV$13),Body!$BT$6,IF(AND('Zdroj data'!M46&gt;=Body!$BW$13,'Zdroj data'!M46&lt;=Body!$BY$13),Body!$BW$6,IF('Zdroj data'!M46&gt;=Body!$CB$13,Body!$BZ$6,"")))))))))),IF(Tabulka1[[#This Row],[kv.ek.]]=Body!$AX$14,IF(AND('Zdroj data'!N46&gt;=Body!$AY$14,'Zdroj data'!N46&lt;=Body!$BA$14),Body!$AY$6,IF(AND('Zdroj data'!N46&gt;=Body!$BB$14,'Zdroj data'!N46&lt;=Body!$BD$14),Body!$BB$6,IF(AND('Zdroj data'!N46&gt;=Body!$BE$14,'Zdroj data'!N46&lt;=Body!$BG$14),Body!$BE$6,IF(AND('Zdroj data'!N46&gt;=Body!$BH$14,'Zdroj data'!N46&lt;=Body!$BJ$14),Body!$BH$6,IF(AND('Zdroj data'!N46&gt;=Body!$BK$14,'Zdroj data'!N46&lt;=Body!$BM$14),Body!$BK$6,IF(AND('Zdroj data'!N46&gt;=Body!$BN$14,'Zdroj data'!N46&lt;=Body!$BP$14),Body!$BN$6,IF(AND('Zdroj data'!N46&gt;=Body!$BQ$14,'Zdroj data'!N46&lt;=Body!$BS$14),Body!$BQ$6,IF(AND('Zdroj data'!N46&gt;=Body!$BT$14,'Zdroj data'!N46&lt;=Body!$BV$14),Body!$BT$6,IF(AND('Zdroj data'!N46&gt;=Body!$BW$14,'Zdroj data'!N46&lt;=Body!$BY$14),Body!$BW$6,IF('Zdroj data'!N46&gt;=Body!$CB$14,Body!$BZ$6,"")))))))))),""))</f>
        <v>1</v>
      </c>
      <c r="I46" s="264">
        <f>IF(Tabulka1[[#This Row],[kv.ek.]]=Body!$AX$13,IF(AND('Zdroj data'!N46&gt;=Body!$AY$13,'Zdroj data'!N46&lt;=Body!$BA$13),Body!$AY$6,IF(AND('Zdroj data'!N46&gt;=Body!$BB$13,'Zdroj data'!N46&lt;=Body!$BD$13),Body!$BB$6,IF(AND('Zdroj data'!N46&gt;=Body!$BE$13,'Zdroj data'!N46&lt;=Body!$BG$13),Body!$BE$6,IF(AND('Zdroj data'!N46&gt;=Body!$BH$13,'Zdroj data'!N46&lt;=Body!$BJ$13),Body!$BH$6,IF(AND('Zdroj data'!N46&gt;=Body!$BK$13,'Zdroj data'!N46&lt;=Body!$BM$13),Body!$BK$6,IF(AND('Zdroj data'!N46&gt;=Body!$BN$13,'Zdroj data'!N46&lt;=Body!$BP$13),Body!$BN$6,IF(AND('Zdroj data'!N46&gt;=Body!$BQ$13,'Zdroj data'!N46&lt;=Body!$BS$13),Body!$BQ$6,IF(AND('Zdroj data'!N46&gt;=Body!$BT$13,'Zdroj data'!N46&lt;=Body!$BV$13),Body!$BT$6,IF(AND('Zdroj data'!N46&gt;=Body!$BW$13,'Zdroj data'!N46&lt;=Body!$BY$13),Body!$BW$6,IF('Zdroj data'!N46&gt;=Body!$CB$13,Body!$BZ$6," ")))))))))),IF(Tabulka1[[#This Row],[kv.ek.]]=Body!$AX$14,IF(AND('Zdroj data'!O46&gt;=Body!$AY$14,'Zdroj data'!O46&lt;=Body!$BA$14),Body!$AY$6,IF(AND('Zdroj data'!O46&gt;=Body!$BB$14,'Zdroj data'!O46&lt;=Body!$BD$14),Body!$BB$6,IF(AND('Zdroj data'!O46&gt;=Body!$BE$14,'Zdroj data'!O46&lt;=Body!$BG$14),Body!$BE$6,IF(AND('Zdroj data'!O46&gt;=Body!$BH$14,'Zdroj data'!O46&lt;=Body!$BJ$14),Body!$BH$6,IF(AND('Zdroj data'!O46&gt;=Body!$BK$14,'Zdroj data'!O46&lt;=Body!$BM$14),Body!$BK$6,IF(AND('Zdroj data'!O46&gt;=Body!$BN$14,'Zdroj data'!O46&lt;=Body!$BP$14),Body!$BN$6,IF(AND('Zdroj data'!O46&gt;=Body!$BQ$14,'Zdroj data'!O46&lt;=Body!$BS$14),Body!$BQ$6,IF(AND('Zdroj data'!O46&gt;=Body!$BT$14,'Zdroj data'!O46&lt;=Body!$BV$14),Body!$BT$6,IF(AND('Zdroj data'!O46&gt;=Body!$BW$14,'Zdroj data'!O46&lt;=Body!$BY$14),Body!$BW$6,IF('Zdroj data'!O46&gt;=Body!$CB$14,Body!$BZ$6," "))))))))))," "))</f>
        <v>1</v>
      </c>
      <c r="J46" s="264">
        <f t="shared" si="8"/>
        <v>3</v>
      </c>
      <c r="K46" s="264">
        <f t="shared" si="9"/>
        <v>3</v>
      </c>
      <c r="L46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10</v>
      </c>
      <c r="M46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10</v>
      </c>
      <c r="N46" s="264" t="str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 xml:space="preserve"> </v>
      </c>
      <c r="O46" s="264" t="str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 xml:space="preserve"> </v>
      </c>
      <c r="P46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46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46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46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46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46" s="264">
        <f>IF('Zdroj data'!BB46=Body!$AY$25,Body!$AY$22,IF('Zdroj data'!BB46=Body!$BB$25,Body!$BB$22,IF('Zdroj data'!BB46=Body!$BE$25,Body!$BE$22,IF('Zdroj data'!BB46=Body!$BH$25,Body!$BH$22,IF('Zdroj data'!BB46=Body!BK$25,Body!$BK$22,IF('Zdroj data'!BB46=Body!$BN$25,Body!$BN$22,IF('Zdroj data'!BB46=Body!$BQ$25,Body!$BQ$22,IF('Zdroj data'!BB46=Body!$BT$25,Body!$BT$22,IF('Zdroj data'!BB46=Body!$BW$25,Body!$BW$22,IF('Zdroj data'!BB46=Body!$BZ$25,Body!$BZ$22," "))))))))))</f>
        <v>5</v>
      </c>
      <c r="V46" s="264">
        <f>IF(AND('Zdroj data'!BO46&gt;Body!$AY$27,'Zdroj data'!BO46&lt;=Body!$BA$27),Body!$AY$22,IF(AND('Zdroj data'!BO46&gt;=Body!$BB$27,'Zdroj data'!BO46&lt;=Body!$BD$27),Body!$BB$22,IF(AND('Zdroj data'!BO46&gt;=Body!$BE$27,'Zdroj data'!BO46&lt;=Body!$BG$27),Body!$BE$22,IF(AND('Zdroj data'!BO46&gt;=Body!$BH$27,'Zdroj data'!BO46&lt;=Body!$BJ$27),Body!$BH$22,IF(AND('Zdroj data'!BO46&gt;=Body!$BK$27,'Zdroj data'!BO46&lt;=Body!$BM$27),Body!$BK$22,IF(AND('Zdroj data'!BO46&gt;=Body!$BN$27,'Zdroj data'!BO46&lt;=Body!$BP$27),Body!$BN$22,IF(AND('Zdroj data'!BO46&gt;=Body!$BQ$27,'Zdroj data'!BO46&lt;=Body!$BS$27),Body!$BQ$22,IF(AND('Zdroj data'!BO46&gt;=Body!$BT$27,'Zdroj data'!BO46&lt;=Body!$BV$27),Body!$BT$22,IF(AND('Zdroj data'!BO46&gt;=Body!$BW$27,'Zdroj data'!BO46&lt;=Body!$BY$27),Body!$BW$22,IF('Zdroj data'!BO46&gt;=Body!$CB$27,$BZ$22," "))))))))))</f>
        <v>5</v>
      </c>
      <c r="W46" s="264">
        <f>IF(AND('Zdroj data'!BP46&gt;Body!$AY$27,'Zdroj data'!BP46&lt;=Body!$BA$27),Body!$AY$22,IF(AND('Zdroj data'!BP46&gt;=Body!$BB$27,'Zdroj data'!BP46&lt;=Body!$BD$27),Body!$BB$22,IF(AND('Zdroj data'!BP46&gt;=Body!$BE$27,'Zdroj data'!BP46&lt;=Body!$BG$27),Body!$BE$22,IF(AND('Zdroj data'!BP46&gt;=Body!$BH$27,'Zdroj data'!BP46&lt;=Body!$BJ$27),Body!$BH$22,IF(AND('Zdroj data'!BP46&gt;=Body!$BK$27,'Zdroj data'!BP46&lt;=Body!$BM$27),Body!$BK$22,IF(AND('Zdroj data'!BP46&gt;=Body!$BN$27,'Zdroj data'!BP46&lt;=Body!$BP$27),Body!$BN$22,IF(AND('Zdroj data'!BP46&gt;=Body!$BQ$27,'Zdroj data'!BP46&lt;=Body!$BS$27),Body!$BQ$22,IF(AND('Zdroj data'!BP46&gt;=Body!$BT$27,'Zdroj data'!BP46&lt;=Body!$BV$27),Body!$BT$22,IF(AND('Zdroj data'!BP46&gt;=Body!$BW$27,'Zdroj data'!BP46&lt;=Body!$BY$27),Body!$BW$22,IF('Zdroj data'!BP46&gt;=Body!$CB$27,$BZ$22," "))))))))))</f>
        <v>6</v>
      </c>
      <c r="X46" s="264">
        <f>IF('Zdroj data'!BA46=Body!$BB$28,$BB$22,IF('Zdroj data'!BA46=Body!$BE$28,$BE$22,IF(OR('Zdroj data'!BA46=Body!$BK$28,'Zdroj data'!BA46=Body!$BL$28,'Zdroj data'!BA46=Body!$BM$28),$BK$22,IF(OR('Zdroj data'!BA46=Body!$BT$28,'Zdroj data'!BA46=Body!$BV$28),$BT$22,IF(OR('Zdroj data'!BA46=Body!$BW$28,'Zdroj data'!BA46=Body!$BY$28),$BW$22,IF('Zdroj data'!BA46=Body!$BZ$28,$BZ$22," "))))))</f>
        <v>5</v>
      </c>
      <c r="Y46" s="264">
        <f>IF('Zdroj data'!AZ46=Body!$BZ$29,Body!$BZ$22,IF(OR('Zdroj data'!AZ46=$BT$29,'Zdroj data'!AZ46=$BU$29,'Zdroj data'!AZ46=$BV$29),$BT$22,IF(OR('Zdroj data'!AZ46=$BK$29,'Zdroj data'!AZ46=$BM$29),$BK$22,IF(OR('Zdroj data'!AZ46=$BE$29,'Zdroj data'!AZ46=$BG$29),$BE$22,IF(OR('Zdroj data'!AZ46=$AY$29,'Zdroj data'!AZ46=$BA$29),$AY$22," ")))))</f>
        <v>8</v>
      </c>
      <c r="Z46" s="264">
        <f>IF(AND('Zdroj data'!BF46="T",(OR('Zdroj data'!AZ46=Body!$AW$45,'Zdroj data'!AZ46=Body!$AW$46,'Zdroj data'!AZ46=Body!$AW$47,'Zdroj data'!AZ46=Body!$AW$48))),Body!$AY$22,IF(AND('Zdroj data'!BF46="T",(OR('Zdroj data'!AZ46=$AW$49,'Zdroj data'!AZ46=$AW$50,'Zdroj data'!AZ46=$AW$51,'Zdroj data'!AZ46=$AW$52))),$BZ$22,IF(AND(OR('Zdroj data'!BF46="VT",'Zdroj data'!BF46="T",'Zdroj data'!BF46="CH"),(OR('Zdroj data'!AZ46=$AW$43,'Zdroj data'!AZ46=$AW$44,))),$BZ$22,IF(AND('Zdroj data'!BF46="CH",(OR('Zdroj data'!AZ46=$AW$49,'Zdroj data'!AZ46=$AW$50,'Zdroj data'!AZ46=$AW$51,'Zdroj data'!AZ46=$AW$52))),$AY$22,IF(AND('Zdroj data'!BF46="CH",(OR('Zdroj data'!AZ46=$AW$45,'Zdroj data'!AZ46=$AW$46,'Zdroj data'!AZ46=$AW$47,'Zdroj data'!AZ46=$AW$48))),$BZ$22," ")))))</f>
        <v>10</v>
      </c>
      <c r="AA46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46" s="264">
        <f>IF(Tabulka1[[#This Row],[kv.ek.]]=Body!$BK$35,Body!$BK$34,IF(Tabulka1[[#This Row],[kv.ek.]]=Body!$BZ$35,Body!$BZ$34," "))</f>
        <v>5</v>
      </c>
      <c r="AC46" s="264" t="str">
        <f>IF(AND('Zdroj data'!BF46="T",(OR('Zdroj data'!AZ46=Body!$AW$45,'Zdroj data'!AZ46=Body!$AW$46,'Zdroj data'!AZ46=Body!$AW$47,'Zdroj data'!AZ46=Body!$AW$48))),Body!$AY$22,IF(AND('Zdroj data'!BF46="T",(OR('Zdroj data'!AZ46=$AW$49,'Zdroj data'!AZ46=$AW$50,'Zdroj data'!AZ46=$AW$51,'Zdroj data'!AZ46=$AW$52))),$BZ$22," "))</f>
        <v xml:space="preserve"> </v>
      </c>
      <c r="AD46" s="264">
        <f>IF(AND(OR('Zdroj data'!BF46="VT",'Zdroj data'!BF46="T",'Zdroj data'!BF46="CH"),(OR('Zdroj data'!AZ46=$AW$43,'Zdroj data'!AZ46=$AW$44,))),$BZ$22," ")</f>
        <v>10</v>
      </c>
      <c r="AE46" s="264" t="str">
        <f>IF(AND('Zdroj data'!BF46="CH",(OR('Zdroj data'!AZ46=$AW$49,'Zdroj data'!AZ46=$AW$50,'Zdroj data'!AZ46=$AW$51,'Zdroj data'!AZ46=$AW$52))),$AY$22,IF(AND('Zdroj data'!BF46="CH",(OR('Zdroj data'!AZ46=$AW$45,'Zdroj data'!AZ46=$AW$46,'Zdroj data'!AZ46=$AW$47,'Zdroj data'!AZ46=$AW$48))),$BZ$22," "))</f>
        <v xml:space="preserve"> </v>
      </c>
      <c r="AF46" s="264">
        <f>IF(AND('Zdroj data'!BG46="L",'Zdroj data'!AM46=Body!$AX$15),IF(AND('Zdroj data'!O46&gt;=Body!$AY$15,'Zdroj data'!O46&lt;=Body!$BA$15),Body!AY$6,IF(AND('Zdroj data'!O46&gt;=Body!$BB$15,'Zdroj data'!O46&lt;=Body!$BD$15),Body!BB$6,IF(AND('Zdroj data'!O46&gt;=Body!$BE$15,'Zdroj data'!O46&lt;=Body!$BG$15),Body!BE$6,IF(AND('Zdroj data'!O46&gt;=Body!$BH$15,'Zdroj data'!O46&lt;=Body!$BJ$15),Body!BH$6,IF(AND('Zdroj data'!O46&gt;=Body!$BK$15,'Zdroj data'!O46&lt;=Body!$BM$15),Body!BK$6,IF(AND('Zdroj data'!O46&gt;=Body!$BN$15,'Zdroj data'!O46&lt;=Body!$BP$15),Body!$BN$6,IF(AND('Zdroj data'!O46&gt;=Body!$BQ$15,'Zdroj data'!O46&lt;=Body!$BS$15),Body!$BQ$6,IF(AND('Zdroj data'!O46&gt;=Body!$BT$15,'Zdroj data'!O46&lt;=Body!$BV$15),Body!BT$6,IF(AND('Zdroj data'!O46&gt;=Body!$BW$15,'Zdroj data'!O46&lt;=Body!$BY$15),Body!$BW$6,IF('Zdroj data'!O46&gt;=Body!$CB$15,Body!$BZ$6," ")))))))))),IF(AND('Zdroj data'!BG46="ST",'Zdroj data'!AM46=Body!$AX$16),IF(AND('Zdroj data'!O46&gt;=Body!$AY$16,'Zdroj data'!O46&lt;=Body!$BA$16),Body!$AY$6,IF(AND('Zdroj data'!O46&gt;=Body!$BB$16,'Zdroj data'!O46&lt;=Body!$BD$16),Body!$BB$6,IF(AND('Zdroj data'!O46&gt;=Body!$BE$16,'Zdroj data'!O46&lt;=Body!$BG$16),Body!$BE$6,IF(AND('Zdroj data'!O46&gt;=Body!$BH$16,'Zdroj data'!O46&lt;=Body!$BJ$16),Body!$BH$6,IF(AND('Zdroj data'!O46&gt;=Body!$BK$16,'Zdroj data'!O46&lt;=Body!$BM$16),Body!$BK$6,IF(AND('Zdroj data'!O46&gt;=Body!$BN$16,'Zdroj data'!O46&lt;=Body!$BP$16),Body!$BN$6,IF(AND('Zdroj data'!O46&gt;=Body!$BQ$16,'Zdroj data'!O46&lt;=Body!$BS$16),Body!$BQ$6,IF(AND('Zdroj data'!O46&gt;=Body!$BT$16,'Zdroj data'!O46&lt;=Body!$BV$16),Body!$BT$6,IF(AND('Zdroj data'!O46&gt;=Body!$BW$16,'Zdroj data'!O46&lt;=Body!$BY$16),Body!$BW$6,IF('Zdroj data'!O46&gt;=Body!$CB$16,Body!$BZ$6," ")))))))))),IF(AND('Zdroj data'!BG46="T",'Zdroj data'!AM46=Body!$AX$17),IF(AND('Zdroj data'!O46&gt;=Body!$AY$17,'Zdroj data'!O46&lt;=Body!$BA$17),Body!$AY$6,IF(AND('Zdroj data'!O46&gt;=Body!$BB$17,'Zdroj data'!O46&lt;=Body!$BD$17),Body!$BB$6,IF(AND('Zdroj data'!O46&gt;=Body!$BE$17,'Zdroj data'!O46&lt;=Body!$BG$17),Body!$BE$6,IF(AND('Zdroj data'!O46&gt;=Body!$BH$17,'Zdroj data'!O46&lt;=Body!#REF!),Body!$BH$6,IF(AND('Zdroj data'!O46&gt;=Body!$BK$17,'Zdroj data'!O46&lt;=Body!$BM$17),Body!$BK$6,IF(AND('Zdroj data'!O46&gt;=Body!$BN$17,'Zdroj data'!O46&lt;=Body!$BP$17),Body!$BN$6,IF(AND('Zdroj data'!O46&gt;=Body!$BQ$17,'Zdroj data'!O46&lt;=Body!$BS$17),Body!$BQ$6,IF(AND('Zdroj data'!O46&gt;=Body!$BT$17,'Zdroj data'!O46&lt;=Body!$BV$17),Body!$BT$6,IF(AND('Zdroj data'!O46&gt;=Body!$BW$17,'Zdroj data'!O46&lt;=Body!$BY$17),Body!$BW$6,IF('Zdroj data'!O46&gt;=Body!$CB$17,Body!$BZ$6," "))))))))))," ")))</f>
        <v>3</v>
      </c>
      <c r="AG46" s="264">
        <f>IF(AND('Zdroj data'!$BG46="L",'Zdroj data'!$AM46=Body!$AX$15),IF(AND(Tabulka1[[#This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data'!$BG46="ST",'Zdroj data'!$AM46=Body!$AX$16),IF(AND(Tabulka1[[#This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data'!$BG46="T",'Zdroj data'!$AM46=Body!$AX$17),IF(AND(Tabulka1[[#This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3</v>
      </c>
      <c r="AH46" s="264" t="str">
        <f>IF(AND('Zdroj data'!BG46="L",'Zdroj data'!AM46=Body!$AX$18),IF(AND('Zdroj data'!O46&gt;=Body!$AY$18,'Zdroj data'!O46&lt;=Body!$BA$18),Body!AY$6,IF(AND('Zdroj data'!O46&gt;=Body!$BB$18,'Zdroj data'!O46&lt;=Body!$BD$18),Body!BB$6,IF(AND('Zdroj data'!O46&gt;=Body!$BE$18,'Zdroj data'!O46&lt;=Body!$BG$18),Body!BE$6,IF(AND('Zdroj data'!O46&gt;=Body!$BH$18,'Zdroj data'!O46&lt;=Body!$BJ$18),Body!BH$6,IF(AND('Zdroj data'!O46&gt;=Body!$BK$18,'Zdroj data'!O46&lt;=Body!$BM$18),Body!$BK$6,IF(AND('Zdroj data'!O46&gt;=Body!$BN$18,'Zdroj data'!O46&lt;=Body!$BP$18),Body!BN$6,IF(AND('Zdroj data'!O46&gt;=Body!$BQ$18,'Zdroj data'!O46&lt;=Body!$BS$18),Body!$BQ$6,IF(AND('Zdroj data'!O46&gt;=Body!$BT$18,'Zdroj data'!O46&lt;=Body!$BV$18),Body!$BT$6,IF(AND('Zdroj data'!O46&gt;=Body!$BW$18,'Zdroj data'!O46&lt;=Body!$BY$18),Body!$BW$6,IF('Zdroj data'!O46&gt;=Body!$CB$18,Body!$BZ$6," ")))))))))),IF(AND('Zdroj data'!BG46="ST",'Zdroj data'!AM46=Body!$AX$19),IF(AND('Zdroj data'!O46&gt;=Body!$AY$19,'Zdroj data'!O46&lt;=Body!$BA$19),Body!$AY$6,IF(AND('Zdroj data'!O46&gt;=Body!$BB$19,'Zdroj data'!O46&lt;=Body!$BD$19),Body!$BB$6,IF(AND('Zdroj data'!O46&gt;=Body!$BE$19,'Zdroj data'!O46&lt;=Body!$BG$19),Body!$BE$6,IF(AND('Zdroj data'!O46&gt;=Body!$BH$19,'Zdroj data'!O46&lt;=Body!$BJ$19),Body!$BH$6,IF(AND('Zdroj data'!O46&gt;=Body!$BK$19,'Zdroj data'!O46&lt;=Body!$BM$19),Body!$BK$6,IF(AND('Zdroj data'!O46&gt;=Body!$BN$19,'Zdroj data'!O46&lt;=Body!$BP$19),Body!$BN$6,IF(AND('Zdroj data'!O46&gt;=Body!$BQ$19,'Zdroj data'!O46&lt;=Body!$BS$19),Body!$BQ$6,IF(AND('Zdroj data'!O46&gt;=Body!$BT$19,'Zdroj data'!O50&lt;=Body!$BV$19),Body!$BT$6,IF(AND('Zdroj data'!O46&gt;=Body!$BW$19,'Zdroj data'!O46&lt;=Body!$BY$19),Body!$BW$6,IF('Zdroj data'!O46&gt;=Body!$CB$19,Body!$BZ$6," ")))))))))),IF(AND('Zdroj data'!BG46="T",'Zdroj data'!AM46=Body!$AX$20),IF(AND('Zdroj data'!O46&gt;=Body!$AY$20,'Zdroj data'!O46&lt;=Body!$BA$20),Body!$AY$6,IF(AND('Zdroj data'!O46&gt;=Body!$BB$20,'Zdroj data'!O46&lt;=Body!$BD$20),Body!$BB$6,IF(AND('Zdroj data'!O46&gt;=Body!$BE$20,'Zdroj data'!O46&lt;=Body!$BG$20),Body!$BE$6,IF(AND('Zdroj data'!O46&gt;=Body!$BH$20,'Zdroj data'!O46&lt;=Body!$BJ$20),Body!$BH$6,IF(AND('Zdroj data'!O46&gt;=Body!$BK$20,'Zdroj data'!O46&lt;=Body!$BM$20),Body!$BK$6,IF(AND('Zdroj data'!O46&gt;=Body!$BN$20,'Zdroj data'!O46&lt;=Body!$BP$20),Body!$BN$6,IF(AND('Zdroj data'!O46&gt;=Body!$BQ$20,'Zdroj data'!O46&lt;=Body!$BS$20),Body!$BQ$6,IF(AND('Zdroj data'!O46&gt;=Body!$BT$20,'Zdroj data'!O46&lt;=Body!#REF!),Body!$BT$6,IF(AND('Zdroj data'!O46&gt;=Body!$BW$20,'Zdroj data'!O46&lt;=Body!$BY$20),Body!$BW$6,IF('Zdroj data'!O46&gt;=Body!$CB$20,Body!$BZ$6," "))))))))))," ")))</f>
        <v xml:space="preserve"> </v>
      </c>
      <c r="AI46" s="264" t="str">
        <f>IF(AND('Zdroj data'!$BG46="L",'Zdroj data'!$AM46=Body!$AX$18),IF(AND(Tabulka1[[#This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data'!$BG46="ST",'Zdroj data'!$AM46=Body!$AX$19),IF(AND(Tabulka1[[#This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data'!$BG46="T",'Zdroj data'!$AM46=Body!$AX$20),IF(AND(Tabulka1[[#This Row],[K2O_60]]&gt;=Body!$AY$20,'Zdroj data'!O46&lt;=Body!$BA$20),Body!$AY$6,IF(AND(Tabulka1[[#This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46" s="265">
        <f t="shared" si="10"/>
        <v>14.666666666666682</v>
      </c>
      <c r="AK46" s="410"/>
      <c r="AL46" s="410"/>
      <c r="AM46" s="264">
        <f t="shared" si="5"/>
        <v>56.71292454815805</v>
      </c>
      <c r="AN46" s="264">
        <f t="shared" si="6"/>
        <v>58.257517755360041</v>
      </c>
      <c r="AO46" s="265" t="s">
        <v>867</v>
      </c>
      <c r="AP46" s="265" t="s">
        <v>867</v>
      </c>
      <c r="AQ46" s="318"/>
      <c r="AR46" s="338" t="e">
        <f t="shared" si="7"/>
        <v>#VALUE!</v>
      </c>
      <c r="AS46" s="318"/>
      <c r="AT46" s="138"/>
      <c r="AU46" s="138"/>
      <c r="AW46" s="129">
        <v>4</v>
      </c>
      <c r="AY46" s="125" t="s">
        <v>891</v>
      </c>
      <c r="AZ46" t="s">
        <v>897</v>
      </c>
      <c r="BA46" s="66"/>
      <c r="BB46" s="66"/>
      <c r="BE46" s="66"/>
      <c r="BF46" s="66"/>
      <c r="BG46" s="66"/>
      <c r="BH46" s="66"/>
    </row>
    <row r="47" spans="1:80" ht="15.5" x14ac:dyDescent="0.35">
      <c r="A47" s="270">
        <v>1087</v>
      </c>
      <c r="B47" s="156" t="s">
        <v>555</v>
      </c>
      <c r="C47" s="250" t="str">
        <f>VLOOKUP(B47,'Zdroj hloubka okresy'!$A$2:$D$171,2,FALSE)</f>
        <v>Pribram</v>
      </c>
      <c r="D47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47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7</v>
      </c>
      <c r="F47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8</v>
      </c>
      <c r="G47" s="264">
        <f>IF(AND(Tabulka1[[#This Row],[hum_60]]&gt;AY53,Tabulka1[[#This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6</v>
      </c>
      <c r="H47" s="264">
        <f>IF(Tabulka1[[#This Row],[kv.ek.]]=Body!$AX$13,IF(AND('Zdroj data'!M47&gt;=Body!$AY$13,'Zdroj data'!M47&lt;=Body!$BA$13),Body!$AY$6,IF(AND('Zdroj data'!M47&gt;=Body!$BB$13,'Zdroj data'!M47&lt;=Body!$BD$13),Body!$BB$6,IF(AND('Zdroj data'!M47&gt;=Body!$BE$13,'Zdroj data'!M47&lt;=Body!$BG$13),Body!$BE$6,IF(AND('Zdroj data'!M47&gt;=Body!$BH$13,'Zdroj data'!M47&lt;=Body!$BJ$13),Body!$BH$6,IF(AND('Zdroj data'!M47&gt;=Body!$BK$13,'Zdroj data'!M47&lt;=Body!$BM$13),Body!$BK$6,IF(AND('Zdroj data'!M47&gt;=Body!$BN$13,'Zdroj data'!M47&lt;=Body!$BP$13),Body!$BN$6,IF(AND('Zdroj data'!M47&gt;=Body!$BQ$13,'Zdroj data'!M47&lt;=Body!$BS$13),Body!$BQ$6,IF(AND('Zdroj data'!M47&gt;=Body!$BT$13,'Zdroj data'!M47&lt;=Body!$BV$13),Body!$BT$6,IF(AND('Zdroj data'!M47&gt;=Body!$BW$13,'Zdroj data'!M47&lt;=Body!$BY$13),Body!$BW$6,IF('Zdroj data'!M47&gt;=Body!$CB$13,Body!$BZ$6,"")))))))))),IF(Tabulka1[[#This Row],[kv.ek.]]=Body!$AX$14,IF(AND('Zdroj data'!N47&gt;=Body!$AY$14,'Zdroj data'!N47&lt;=Body!$BA$14),Body!$AY$6,IF(AND('Zdroj data'!N47&gt;=Body!$BB$14,'Zdroj data'!N47&lt;=Body!$BD$14),Body!$BB$6,IF(AND('Zdroj data'!N47&gt;=Body!$BE$14,'Zdroj data'!N47&lt;=Body!$BG$14),Body!$BE$6,IF(AND('Zdroj data'!N47&gt;=Body!$BH$14,'Zdroj data'!N47&lt;=Body!$BJ$14),Body!$BH$6,IF(AND('Zdroj data'!N47&gt;=Body!$BK$14,'Zdroj data'!N47&lt;=Body!$BM$14),Body!$BK$6,IF(AND('Zdroj data'!N47&gt;=Body!$BN$14,'Zdroj data'!N47&lt;=Body!$BP$14),Body!$BN$6,IF(AND('Zdroj data'!N47&gt;=Body!$BQ$14,'Zdroj data'!N47&lt;=Body!$BS$14),Body!$BQ$6,IF(AND('Zdroj data'!N47&gt;=Body!$BT$14,'Zdroj data'!N47&lt;=Body!$BV$14),Body!$BT$6,IF(AND('Zdroj data'!N47&gt;=Body!$BW$14,'Zdroj data'!N47&lt;=Body!$BY$14),Body!$BW$6,IF('Zdroj data'!N47&gt;=Body!$CB$14,Body!$BZ$6,"")))))))))),""))</f>
        <v>2</v>
      </c>
      <c r="I47" s="264">
        <f>IF(Tabulka1[[#This Row],[kv.ek.]]=Body!$AX$13,IF(AND('Zdroj data'!N47&gt;=Body!$AY$13,'Zdroj data'!N47&lt;=Body!$BA$13),Body!$AY$6,IF(AND('Zdroj data'!N47&gt;=Body!$BB$13,'Zdroj data'!N47&lt;=Body!$BD$13),Body!$BB$6,IF(AND('Zdroj data'!N47&gt;=Body!$BE$13,'Zdroj data'!N47&lt;=Body!$BG$13),Body!$BE$6,IF(AND('Zdroj data'!N47&gt;=Body!$BH$13,'Zdroj data'!N47&lt;=Body!$BJ$13),Body!$BH$6,IF(AND('Zdroj data'!N47&gt;=Body!$BK$13,'Zdroj data'!N47&lt;=Body!$BM$13),Body!$BK$6,IF(AND('Zdroj data'!N47&gt;=Body!$BN$13,'Zdroj data'!N47&lt;=Body!$BP$13),Body!$BN$6,IF(AND('Zdroj data'!N47&gt;=Body!$BQ$13,'Zdroj data'!N47&lt;=Body!$BS$13),Body!$BQ$6,IF(AND('Zdroj data'!N47&gt;=Body!$BT$13,'Zdroj data'!N47&lt;=Body!$BV$13),Body!$BT$6,IF(AND('Zdroj data'!N47&gt;=Body!$BW$13,'Zdroj data'!N47&lt;=Body!$BY$13),Body!$BW$6,IF('Zdroj data'!N47&gt;=Body!$CB$13,Body!$BZ$6," ")))))))))),IF(Tabulka1[[#This Row],[kv.ek.]]=Body!$AX$14,IF(AND('Zdroj data'!O47&gt;=Body!$AY$14,'Zdroj data'!O47&lt;=Body!$BA$14),Body!$AY$6,IF(AND('Zdroj data'!O47&gt;=Body!$BB$14,'Zdroj data'!O47&lt;=Body!$BD$14),Body!$BB$6,IF(AND('Zdroj data'!O47&gt;=Body!$BE$14,'Zdroj data'!O47&lt;=Body!$BG$14),Body!$BE$6,IF(AND('Zdroj data'!O47&gt;=Body!$BH$14,'Zdroj data'!O47&lt;=Body!$BJ$14),Body!$BH$6,IF(AND('Zdroj data'!O47&gt;=Body!$BK$14,'Zdroj data'!O47&lt;=Body!$BM$14),Body!$BK$6,IF(AND('Zdroj data'!O47&gt;=Body!$BN$14,'Zdroj data'!O47&lt;=Body!$BP$14),Body!$BN$6,IF(AND('Zdroj data'!O47&gt;=Body!$BQ$14,'Zdroj data'!O47&lt;=Body!$BS$14),Body!$BQ$6,IF(AND('Zdroj data'!O47&gt;=Body!$BT$14,'Zdroj data'!O47&lt;=Body!$BV$14),Body!$BT$6,IF(AND('Zdroj data'!O47&gt;=Body!$BW$14,'Zdroj data'!O47&lt;=Body!$BY$14),Body!$BW$6,IF('Zdroj data'!O47&gt;=Body!$CB$14,Body!$BZ$6," "))))))))))," "))</f>
        <v>8</v>
      </c>
      <c r="J47" s="264">
        <f t="shared" si="8"/>
        <v>3</v>
      </c>
      <c r="K47" s="264">
        <f t="shared" si="9"/>
        <v>2</v>
      </c>
      <c r="L47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8</v>
      </c>
      <c r="M47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8</v>
      </c>
      <c r="N47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47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47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47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47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47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47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47" s="264">
        <f>IF('Zdroj data'!BB47=Body!$AY$25,Body!$AY$22,IF('Zdroj data'!BB47=Body!$BB$25,Body!$BB$22,IF('Zdroj data'!BB47=Body!$BE$25,Body!$BE$22,IF('Zdroj data'!BB47=Body!$BH$25,Body!$BH$22,IF('Zdroj data'!BB47=Body!BK$25,Body!$BK$22,IF('Zdroj data'!BB47=Body!$BN$25,Body!$BN$22,IF('Zdroj data'!BB47=Body!$BQ$25,Body!$BQ$22,IF('Zdroj data'!BB47=Body!$BT$25,Body!$BT$22,IF('Zdroj data'!BB47=Body!$BW$25,Body!$BW$22,IF('Zdroj data'!BB47=Body!$BZ$25,Body!$BZ$22," "))))))))))</f>
        <v>5</v>
      </c>
      <c r="V47" s="264">
        <f>IF(AND('Zdroj data'!BO47&gt;Body!$AY$27,'Zdroj data'!BO47&lt;=Body!$BA$27),Body!$AY$22,IF(AND('Zdroj data'!BO47&gt;=Body!$BB$27,'Zdroj data'!BO47&lt;=Body!$BD$27),Body!$BB$22,IF(AND('Zdroj data'!BO47&gt;=Body!$BE$27,'Zdroj data'!BO47&lt;=Body!$BG$27),Body!$BE$22,IF(AND('Zdroj data'!BO47&gt;=Body!$BH$27,'Zdroj data'!BO47&lt;=Body!$BJ$27),Body!$BH$22,IF(AND('Zdroj data'!BO47&gt;=Body!$BK$27,'Zdroj data'!BO47&lt;=Body!$BM$27),Body!$BK$22,IF(AND('Zdroj data'!BO47&gt;=Body!$BN$27,'Zdroj data'!BO47&lt;=Body!$BP$27),Body!$BN$22,IF(AND('Zdroj data'!BO47&gt;=Body!$BQ$27,'Zdroj data'!BO47&lt;=Body!$BS$27),Body!$BQ$22,IF(AND('Zdroj data'!BO47&gt;=Body!$BT$27,'Zdroj data'!BO47&lt;=Body!$BV$27),Body!$BT$22,IF(AND('Zdroj data'!BO47&gt;=Body!$BW$27,'Zdroj data'!BO47&lt;=Body!$BY$27),Body!$BW$22,IF('Zdroj data'!BO47&gt;=Body!$CB$27,$BZ$22," "))))))))))</f>
        <v>5</v>
      </c>
      <c r="W47" s="264">
        <f>IF(AND('Zdroj data'!BP47&gt;Body!$AY$27,'Zdroj data'!BP47&lt;=Body!$BA$27),Body!$AY$22,IF(AND('Zdroj data'!BP47&gt;=Body!$BB$27,'Zdroj data'!BP47&lt;=Body!$BD$27),Body!$BB$22,IF(AND('Zdroj data'!BP47&gt;=Body!$BE$27,'Zdroj data'!BP47&lt;=Body!$BG$27),Body!$BE$22,IF(AND('Zdroj data'!BP47&gt;=Body!$BH$27,'Zdroj data'!BP47&lt;=Body!$BJ$27),Body!$BH$22,IF(AND('Zdroj data'!BP47&gt;=Body!$BK$27,'Zdroj data'!BP47&lt;=Body!$BM$27),Body!$BK$22,IF(AND('Zdroj data'!BP47&gt;=Body!$BN$27,'Zdroj data'!BP47&lt;=Body!$BP$27),Body!$BN$22,IF(AND('Zdroj data'!BP47&gt;=Body!$BQ$27,'Zdroj data'!BP47&lt;=Body!$BS$27),Body!$BQ$22,IF(AND('Zdroj data'!BP47&gt;=Body!$BT$27,'Zdroj data'!BP47&lt;=Body!$BV$27),Body!$BT$22,IF(AND('Zdroj data'!BP47&gt;=Body!$BW$27,'Zdroj data'!BP47&lt;=Body!$BY$27),Body!$BW$22,IF('Zdroj data'!BP47&gt;=Body!$CB$27,$BZ$22," "))))))))))</f>
        <v>8</v>
      </c>
      <c r="X47" s="264">
        <f>IF('Zdroj data'!BA47=Body!$BB$28,$BB$22,IF('Zdroj data'!BA47=Body!$BE$28,$BE$22,IF(OR('Zdroj data'!BA47=Body!$BK$28,'Zdroj data'!BA47=Body!$BL$28,'Zdroj data'!BA47=Body!$BM$28),$BK$22,IF(OR('Zdroj data'!BA47=Body!$BT$28,'Zdroj data'!BA47=Body!$BV$28),$BT$22,IF(OR('Zdroj data'!BA47=Body!$BW$28,'Zdroj data'!BA47=Body!$BY$28),$BW$22,IF('Zdroj data'!BA47=Body!$BZ$28,$BZ$22," "))))))</f>
        <v>9</v>
      </c>
      <c r="Y47" s="264">
        <f>IF('Zdroj data'!AZ47=Body!$BZ$29,Body!$BZ$22,IF(OR('Zdroj data'!AZ47=$BT$29,'Zdroj data'!AZ47=$BU$29,'Zdroj data'!AZ47=$BV$29),$BT$22,IF(OR('Zdroj data'!AZ47=$BK$29,'Zdroj data'!AZ47=$BM$29),$BK$22,IF(OR('Zdroj data'!AZ47=$BE$29,'Zdroj data'!AZ47=$BG$29),$BE$22,IF(OR('Zdroj data'!AZ47=$AY$29,'Zdroj data'!AZ47=$BA$29),$AY$22," ")))))</f>
        <v>8</v>
      </c>
      <c r="Z47" s="264">
        <f>IF(AND('Zdroj data'!BF47="T",(OR('Zdroj data'!AZ47=Body!$AW$45,'Zdroj data'!AZ47=Body!$AW$46,'Zdroj data'!AZ47=Body!$AW$47,'Zdroj data'!AZ47=Body!$AW$48))),Body!$AY$22,IF(AND('Zdroj data'!BF47="T",(OR('Zdroj data'!AZ47=$AW$49,'Zdroj data'!AZ47=$AW$50,'Zdroj data'!AZ47=$AW$51,'Zdroj data'!AZ47=$AW$52))),$BZ$22,IF(AND(OR('Zdroj data'!BF47="VT",'Zdroj data'!BF47="T",'Zdroj data'!BF47="CH"),(OR('Zdroj data'!AZ47=$AW$43,'Zdroj data'!AZ47=$AW$44,))),$BZ$22,IF(AND('Zdroj data'!BF47="CH",(OR('Zdroj data'!AZ47=$AW$49,'Zdroj data'!AZ47=$AW$50,'Zdroj data'!AZ47=$AW$51,'Zdroj data'!AZ47=$AW$52))),$AY$22,IF(AND('Zdroj data'!BF47="CH",(OR('Zdroj data'!AZ47=$AW$45,'Zdroj data'!AZ47=$AW$46,'Zdroj data'!AZ47=$AW$47,'Zdroj data'!AZ47=$AW$48))),$BZ$22," ")))))</f>
        <v>10</v>
      </c>
      <c r="AA47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47" s="264">
        <f>IF(Tabulka1[[#This Row],[kv.ek.]]=Body!$BK$35,Body!$BK$34,IF(Tabulka1[[#This Row],[kv.ek.]]=Body!$BZ$35,Body!$BZ$34," "))</f>
        <v>10</v>
      </c>
      <c r="AC47" s="264" t="str">
        <f>IF(AND('Zdroj data'!BF47="T",(OR('Zdroj data'!AZ47=Body!$AW$45,'Zdroj data'!AZ47=Body!$AW$46,'Zdroj data'!AZ47=Body!$AW$47,'Zdroj data'!AZ47=Body!$AW$48))),Body!$AY$22,IF(AND('Zdroj data'!BF47="T",(OR('Zdroj data'!AZ47=$AW$49,'Zdroj data'!AZ47=$AW$50,'Zdroj data'!AZ47=$AW$51,'Zdroj data'!AZ47=$AW$52))),$BZ$22," "))</f>
        <v xml:space="preserve"> </v>
      </c>
      <c r="AD47" s="264">
        <f>IF(AND(OR('Zdroj data'!BF47="VT",'Zdroj data'!BF47="T",'Zdroj data'!BF47="CH"),(OR('Zdroj data'!AZ47=$AW$43,'Zdroj data'!AZ47=$AW$44,))),$BZ$22," ")</f>
        <v>10</v>
      </c>
      <c r="AE47" s="264" t="str">
        <f>IF(AND('Zdroj data'!BF47="CH",(OR('Zdroj data'!AZ47=$AW$49,'Zdroj data'!AZ47=$AW$50,'Zdroj data'!AZ47=$AW$51,'Zdroj data'!AZ47=$AW$52))),$AY$22,IF(AND('Zdroj data'!BF47="CH",(OR('Zdroj data'!AZ47=$AW$45,'Zdroj data'!AZ47=$AW$46,'Zdroj data'!AZ47=$AW$47,'Zdroj data'!AZ47=$AW$48))),$BZ$22," "))</f>
        <v xml:space="preserve"> </v>
      </c>
      <c r="AF47" s="264" t="str">
        <f>IF(AND('Zdroj data'!BG47="L",'Zdroj data'!AM47=Body!$AX$15),IF(AND('Zdroj data'!O47&gt;=Body!$AY$15,'Zdroj data'!O47&lt;=Body!$BA$15),Body!AY$6,IF(AND('Zdroj data'!O47&gt;=Body!$BB$15,'Zdroj data'!O47&lt;=Body!$BD$15),Body!BB$6,IF(AND('Zdroj data'!O47&gt;=Body!$BE$15,'Zdroj data'!O47&lt;=Body!$BG$15),Body!BE$6,IF(AND('Zdroj data'!O47&gt;=Body!$BH$15,'Zdroj data'!O47&lt;=Body!$BJ$15),Body!BH$6,IF(AND('Zdroj data'!O47&gt;=Body!$BK$15,'Zdroj data'!O47&lt;=Body!$BM$15),Body!BK$6,IF(AND('Zdroj data'!O47&gt;=Body!$BN$15,'Zdroj data'!O47&lt;=Body!$BP$15),Body!$BN$6,IF(AND('Zdroj data'!O47&gt;=Body!$BQ$15,'Zdroj data'!O47&lt;=Body!$BS$15),Body!$BQ$6,IF(AND('Zdroj data'!O47&gt;=Body!$BT$15,'Zdroj data'!O47&lt;=Body!$BV$15),Body!BT$6,IF(AND('Zdroj data'!O47&gt;=Body!$BW$15,'Zdroj data'!O47&lt;=Body!$BY$15),Body!$BW$6,IF('Zdroj data'!O47&gt;=Body!$CB$15,Body!$BZ$6," ")))))))))),IF(AND('Zdroj data'!BG47="ST",'Zdroj data'!AM47=Body!$AX$16),IF(AND('Zdroj data'!O47&gt;=Body!$AY$16,'Zdroj data'!O47&lt;=Body!$BA$16),Body!$AY$6,IF(AND('Zdroj data'!O47&gt;=Body!$BB$16,'Zdroj data'!O47&lt;=Body!$BD$16),Body!$BB$6,IF(AND('Zdroj data'!O47&gt;=Body!$BE$16,'Zdroj data'!O47&lt;=Body!$BG$16),Body!$BE$6,IF(AND('Zdroj data'!O47&gt;=Body!$BH$16,'Zdroj data'!O47&lt;=Body!$BJ$16),Body!$BH$6,IF(AND('Zdroj data'!O47&gt;=Body!$BK$16,'Zdroj data'!O47&lt;=Body!$BM$16),Body!$BK$6,IF(AND('Zdroj data'!O47&gt;=Body!$BN$16,'Zdroj data'!O47&lt;=Body!$BP$16),Body!$BN$6,IF(AND('Zdroj data'!O47&gt;=Body!$BQ$16,'Zdroj data'!O47&lt;=Body!$BS$16),Body!$BQ$6,IF(AND('Zdroj data'!O47&gt;=Body!$BT$16,'Zdroj data'!O47&lt;=Body!$BV$16),Body!$BT$6,IF(AND('Zdroj data'!O47&gt;=Body!$BW$16,'Zdroj data'!O47&lt;=Body!$BY$16),Body!$BW$6,IF('Zdroj data'!O47&gt;=Body!$CB$16,Body!$BZ$6," ")))))))))),IF(AND('Zdroj data'!BG47="T",'Zdroj data'!AM47=Body!$AX$17),IF(AND('Zdroj data'!O47&gt;=Body!$AY$17,'Zdroj data'!O47&lt;=Body!$BA$17),Body!$AY$6,IF(AND('Zdroj data'!O47&gt;=Body!$BB$17,'Zdroj data'!O47&lt;=Body!$BD$17),Body!$BB$6,IF(AND('Zdroj data'!O47&gt;=Body!$BE$17,'Zdroj data'!O47&lt;=Body!$BG$17),Body!$BE$6,IF(AND('Zdroj data'!O47&gt;=Body!$BH$17,'Zdroj data'!O47&lt;=Body!#REF!),Body!$BH$6,IF(AND('Zdroj data'!O47&gt;=Body!$BK$17,'Zdroj data'!O47&lt;=Body!$BM$17),Body!$BK$6,IF(AND('Zdroj data'!O47&gt;=Body!$BN$17,'Zdroj data'!O47&lt;=Body!$BP$17),Body!$BN$6,IF(AND('Zdroj data'!O47&gt;=Body!$BQ$17,'Zdroj data'!O47&lt;=Body!$BS$17),Body!$BQ$6,IF(AND('Zdroj data'!O47&gt;=Body!$BT$17,'Zdroj data'!O47&lt;=Body!$BV$17),Body!$BT$6,IF(AND('Zdroj data'!O47&gt;=Body!$BW$17,'Zdroj data'!O47&lt;=Body!$BY$17),Body!$BW$6,IF('Zdroj data'!O47&gt;=Body!$CB$17,Body!$BZ$6," "))))))))))," ")))</f>
        <v xml:space="preserve"> </v>
      </c>
      <c r="AG47" s="264" t="str">
        <f>IF(AND('Zdroj data'!$BG47="L",'Zdroj data'!$AM47=Body!$AX$15),IF(AND(Tabulka1[[#This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data'!$BG47="ST",'Zdroj data'!$AM47=Body!$AX$16),IF(AND(Tabulka1[[#This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data'!$BG47="T",'Zdroj data'!$AM47=Body!$AX$17),IF(AND(Tabulka1[[#This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47" s="264">
        <f>IF(AND('Zdroj data'!BG47="L",'Zdroj data'!AM47=Body!$AX$18),IF(AND('Zdroj data'!O47&gt;=Body!$AY$18,'Zdroj data'!O47&lt;=Body!$BA$18),Body!AY$6,IF(AND('Zdroj data'!O47&gt;=Body!$BB$18,'Zdroj data'!O47&lt;=Body!$BD$18),Body!BB$6,IF(AND('Zdroj data'!O47&gt;=Body!$BE$18,'Zdroj data'!O47&lt;=Body!$BG$18),Body!BE$6,IF(AND('Zdroj data'!O47&gt;=Body!$BH$18,'Zdroj data'!O47&lt;=Body!$BJ$18),Body!BH$6,IF(AND('Zdroj data'!O47&gt;=Body!$BK$18,'Zdroj data'!O47&lt;=Body!$BM$18),Body!$BK$6,IF(AND('Zdroj data'!O47&gt;=Body!$BN$18,'Zdroj data'!O47&lt;=Body!$BP$18),Body!BN$6,IF(AND('Zdroj data'!O47&gt;=Body!$BQ$18,'Zdroj data'!O47&lt;=Body!$BS$18),Body!$BQ$6,IF(AND('Zdroj data'!O47&gt;=Body!$BT$18,'Zdroj data'!O47&lt;=Body!$BV$18),Body!$BT$6,IF(AND('Zdroj data'!O47&gt;=Body!$BW$18,'Zdroj data'!O47&lt;=Body!$BY$18),Body!$BW$6,IF('Zdroj data'!O47&gt;=Body!$CB$18,Body!$BZ$6," ")))))))))),IF(AND('Zdroj data'!BG47="ST",'Zdroj data'!AM47=Body!$AX$19),IF(AND('Zdroj data'!O47&gt;=Body!$AY$19,'Zdroj data'!O47&lt;=Body!$BA$19),Body!$AY$6,IF(AND('Zdroj data'!O47&gt;=Body!$BB$19,'Zdroj data'!O47&lt;=Body!$BD$19),Body!$BB$6,IF(AND('Zdroj data'!O47&gt;=Body!$BE$19,'Zdroj data'!O47&lt;=Body!$BG$19),Body!$BE$6,IF(AND('Zdroj data'!O47&gt;=Body!$BH$19,'Zdroj data'!O47&lt;=Body!$BJ$19),Body!$BH$6,IF(AND('Zdroj data'!O47&gt;=Body!$BK$19,'Zdroj data'!O47&lt;=Body!$BM$19),Body!$BK$6,IF(AND('Zdroj data'!O47&gt;=Body!$BN$19,'Zdroj data'!O47&lt;=Body!$BP$19),Body!$BN$6,IF(AND('Zdroj data'!O47&gt;=Body!$BQ$19,'Zdroj data'!O47&lt;=Body!$BS$19),Body!$BQ$6,IF(AND('Zdroj data'!O47&gt;=Body!$BT$19,'Zdroj data'!O51&lt;=Body!$BV$19),Body!$BT$6,IF(AND('Zdroj data'!O47&gt;=Body!$BW$19,'Zdroj data'!O47&lt;=Body!$BY$19),Body!$BW$6,IF('Zdroj data'!O47&gt;=Body!$CB$19,Body!$BZ$6," ")))))))))),IF(AND('Zdroj data'!BG47="T",'Zdroj data'!AM47=Body!$AX$20),IF(AND('Zdroj data'!O47&gt;=Body!$AY$20,'Zdroj data'!O47&lt;=Body!$BA$20),Body!$AY$6,IF(AND('Zdroj data'!O47&gt;=Body!$BB$20,'Zdroj data'!O47&lt;=Body!$BD$20),Body!$BB$6,IF(AND('Zdroj data'!O47&gt;=Body!$BE$20,'Zdroj data'!O47&lt;=Body!$BG$20),Body!$BE$6,IF(AND('Zdroj data'!O47&gt;=Body!$BH$20,'Zdroj data'!O47&lt;=Body!$BJ$20),Body!$BH$6,IF(AND('Zdroj data'!O47&gt;=Body!$BK$20,'Zdroj data'!O47&lt;=Body!$BM$20),Body!$BK$6,IF(AND('Zdroj data'!O47&gt;=Body!$BN$20,'Zdroj data'!O47&lt;=Body!$BP$20),Body!$BN$6,IF(AND('Zdroj data'!O47&gt;=Body!$BQ$20,'Zdroj data'!O47&lt;=Body!$BS$20),Body!$BQ$6,IF(AND('Zdroj data'!O47&gt;=Body!$BT$20,'Zdroj data'!O47&lt;=Body!#REF!),Body!$BT$6,IF(AND('Zdroj data'!O47&gt;=Body!$BW$20,'Zdroj data'!O47&lt;=Body!$BY$20),Body!$BW$6,IF('Zdroj data'!O47&gt;=Body!$CB$20,Body!$BZ$6," "))))))))))," ")))</f>
        <v>3</v>
      </c>
      <c r="AI47" s="264">
        <f>IF(AND('Zdroj data'!$BG47="L",'Zdroj data'!$AM47=Body!$AX$18),IF(AND(Tabulka1[[#This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data'!$BG47="ST",'Zdroj data'!$AM47=Body!$AX$19),IF(AND(Tabulka1[[#This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data'!$BG47="T",'Zdroj data'!$AM47=Body!$AX$20),IF(AND(Tabulka1[[#This Row],[K2O_60]]&gt;=Body!$AY$20,'Zdroj data'!O47&lt;=Body!$BA$20),Body!$AY$6,IF(AND(Tabulka1[[#This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2</v>
      </c>
      <c r="AJ47" s="265">
        <f t="shared" si="10"/>
        <v>9.3333333333333428</v>
      </c>
      <c r="AK47" s="264">
        <f t="shared" si="3"/>
        <v>36.533518455169606</v>
      </c>
      <c r="AL47" s="264">
        <f t="shared" si="4"/>
        <v>34.975801132280587</v>
      </c>
      <c r="AM47" s="264">
        <f t="shared" si="5"/>
        <v>63.58277464553862</v>
      </c>
      <c r="AN47" s="264">
        <f t="shared" si="6"/>
        <v>76.04380218129657</v>
      </c>
      <c r="AO47" s="265">
        <f t="shared" si="11"/>
        <v>100.11629310070822</v>
      </c>
      <c r="AP47" s="265">
        <f t="shared" si="12"/>
        <v>111.01960331357716</v>
      </c>
      <c r="AQ47" s="318"/>
      <c r="AR47" s="338">
        <f t="shared" si="7"/>
        <v>220.46922974761873</v>
      </c>
      <c r="AS47" s="318"/>
      <c r="AT47" s="138"/>
      <c r="AU47" s="138"/>
      <c r="AW47" s="129">
        <v>6</v>
      </c>
      <c r="AX47" s="66"/>
      <c r="AY47" s="66"/>
      <c r="AZ47" s="66"/>
      <c r="BA47" s="66"/>
      <c r="BB47" s="66"/>
      <c r="BE47" s="66"/>
      <c r="BF47" s="66"/>
      <c r="BG47" s="66"/>
      <c r="BH47" s="66"/>
      <c r="BI47" s="66"/>
      <c r="BJ47" s="22"/>
      <c r="BK47" s="22"/>
      <c r="BL47" s="22"/>
      <c r="BM47" s="22"/>
      <c r="BN47" s="22"/>
    </row>
    <row r="48" spans="1:80" ht="15.5" x14ac:dyDescent="0.35">
      <c r="A48" s="270">
        <v>1090</v>
      </c>
      <c r="B48" s="156" t="s">
        <v>126</v>
      </c>
      <c r="C48" s="250" t="str">
        <f>VLOOKUP(B48,'Zdroj hloubka okresy'!$A$2:$D$171,2,FALSE)</f>
        <v>Pribram</v>
      </c>
      <c r="D48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48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48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6</v>
      </c>
      <c r="G48" s="264">
        <f>IF(AND(Tabulka1[[#This Row],[hum_60]]&gt;AY54,Tabulka1[[#This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5</v>
      </c>
      <c r="H48" s="264">
        <f>IF(Tabulka1[[#This Row],[kv.ek.]]=Body!$AX$13,IF(AND('Zdroj data'!M48&gt;=Body!$AY$13,'Zdroj data'!M48&lt;=Body!$BA$13),Body!$AY$6,IF(AND('Zdroj data'!M48&gt;=Body!$BB$13,'Zdroj data'!M48&lt;=Body!$BD$13),Body!$BB$6,IF(AND('Zdroj data'!M48&gt;=Body!$BE$13,'Zdroj data'!M48&lt;=Body!$BG$13),Body!$BE$6,IF(AND('Zdroj data'!M48&gt;=Body!$BH$13,'Zdroj data'!M48&lt;=Body!$BJ$13),Body!$BH$6,IF(AND('Zdroj data'!M48&gt;=Body!$BK$13,'Zdroj data'!M48&lt;=Body!$BM$13),Body!$BK$6,IF(AND('Zdroj data'!M48&gt;=Body!$BN$13,'Zdroj data'!M48&lt;=Body!$BP$13),Body!$BN$6,IF(AND('Zdroj data'!M48&gt;=Body!$BQ$13,'Zdroj data'!M48&lt;=Body!$BS$13),Body!$BQ$6,IF(AND('Zdroj data'!M48&gt;=Body!$BT$13,'Zdroj data'!M48&lt;=Body!$BV$13),Body!$BT$6,IF(AND('Zdroj data'!M48&gt;=Body!$BW$13,'Zdroj data'!M48&lt;=Body!$BY$13),Body!$BW$6,IF('Zdroj data'!M48&gt;=Body!$CB$13,Body!$BZ$6,"")))))))))),IF(Tabulka1[[#This Row],[kv.ek.]]=Body!$AX$14,IF(AND('Zdroj data'!N48&gt;=Body!$AY$14,'Zdroj data'!N48&lt;=Body!$BA$14),Body!$AY$6,IF(AND('Zdroj data'!N48&gt;=Body!$BB$14,'Zdroj data'!N48&lt;=Body!$BD$14),Body!$BB$6,IF(AND('Zdroj data'!N48&gt;=Body!$BE$14,'Zdroj data'!N48&lt;=Body!$BG$14),Body!$BE$6,IF(AND('Zdroj data'!N48&gt;=Body!$BH$14,'Zdroj data'!N48&lt;=Body!$BJ$14),Body!$BH$6,IF(AND('Zdroj data'!N48&gt;=Body!$BK$14,'Zdroj data'!N48&lt;=Body!$BM$14),Body!$BK$6,IF(AND('Zdroj data'!N48&gt;=Body!$BN$14,'Zdroj data'!N48&lt;=Body!$BP$14),Body!$BN$6,IF(AND('Zdroj data'!N48&gt;=Body!$BQ$14,'Zdroj data'!N48&lt;=Body!$BS$14),Body!$BQ$6,IF(AND('Zdroj data'!N48&gt;=Body!$BT$14,'Zdroj data'!N48&lt;=Body!$BV$14),Body!$BT$6,IF(AND('Zdroj data'!N48&gt;=Body!$BW$14,'Zdroj data'!N48&lt;=Body!$BY$14),Body!$BW$6,IF('Zdroj data'!N48&gt;=Body!$CB$14,Body!$BZ$6,"")))))))))),""))</f>
        <v>1</v>
      </c>
      <c r="I48" s="264">
        <f>IF(Tabulka1[[#This Row],[kv.ek.]]=Body!$AX$13,IF(AND('Zdroj data'!N48&gt;=Body!$AY$13,'Zdroj data'!N48&lt;=Body!$BA$13),Body!$AY$6,IF(AND('Zdroj data'!N48&gt;=Body!$BB$13,'Zdroj data'!N48&lt;=Body!$BD$13),Body!$BB$6,IF(AND('Zdroj data'!N48&gt;=Body!$BE$13,'Zdroj data'!N48&lt;=Body!$BG$13),Body!$BE$6,IF(AND('Zdroj data'!N48&gt;=Body!$BH$13,'Zdroj data'!N48&lt;=Body!$BJ$13),Body!$BH$6,IF(AND('Zdroj data'!N48&gt;=Body!$BK$13,'Zdroj data'!N48&lt;=Body!$BM$13),Body!$BK$6,IF(AND('Zdroj data'!N48&gt;=Body!$BN$13,'Zdroj data'!N48&lt;=Body!$BP$13),Body!$BN$6,IF(AND('Zdroj data'!N48&gt;=Body!$BQ$13,'Zdroj data'!N48&lt;=Body!$BS$13),Body!$BQ$6,IF(AND('Zdroj data'!N48&gt;=Body!$BT$13,'Zdroj data'!N48&lt;=Body!$BV$13),Body!$BT$6,IF(AND('Zdroj data'!N48&gt;=Body!$BW$13,'Zdroj data'!N48&lt;=Body!$BY$13),Body!$BW$6,IF('Zdroj data'!N48&gt;=Body!$CB$13,Body!$BZ$6," ")))))))))),IF(Tabulka1[[#This Row],[kv.ek.]]=Body!$AX$14,IF(AND('Zdroj data'!O48&gt;=Body!$AY$14,'Zdroj data'!O48&lt;=Body!$BA$14),Body!$AY$6,IF(AND('Zdroj data'!O48&gt;=Body!$BB$14,'Zdroj data'!O48&lt;=Body!$BD$14),Body!$BB$6,IF(AND('Zdroj data'!O48&gt;=Body!$BE$14,'Zdroj data'!O48&lt;=Body!$BG$14),Body!$BE$6,IF(AND('Zdroj data'!O48&gt;=Body!$BH$14,'Zdroj data'!O48&lt;=Body!$BJ$14),Body!$BH$6,IF(AND('Zdroj data'!O48&gt;=Body!$BK$14,'Zdroj data'!O48&lt;=Body!$BM$14),Body!$BK$6,IF(AND('Zdroj data'!O48&gt;=Body!$BN$14,'Zdroj data'!O48&lt;=Body!$BP$14),Body!$BN$6,IF(AND('Zdroj data'!O48&gt;=Body!$BQ$14,'Zdroj data'!O48&lt;=Body!$BS$14),Body!$BQ$6,IF(AND('Zdroj data'!O48&gt;=Body!$BT$14,'Zdroj data'!O48&lt;=Body!$BV$14),Body!$BT$6,IF(AND('Zdroj data'!O48&gt;=Body!$BW$14,'Zdroj data'!O48&lt;=Body!$BY$14),Body!$BW$6,IF('Zdroj data'!O48&gt;=Body!$CB$14,Body!$BZ$6," "))))))))))," "))</f>
        <v>3</v>
      </c>
      <c r="J48" s="264">
        <f t="shared" si="8"/>
        <v>1</v>
      </c>
      <c r="K48" s="264">
        <f t="shared" si="9"/>
        <v>1</v>
      </c>
      <c r="L48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9</v>
      </c>
      <c r="M48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9</v>
      </c>
      <c r="N48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5</v>
      </c>
      <c r="O48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5</v>
      </c>
      <c r="P48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48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48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48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48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48" s="264">
        <f>IF('Zdroj data'!BB48=Body!$AY$25,Body!$AY$22,IF('Zdroj data'!BB48=Body!$BB$25,Body!$BB$22,IF('Zdroj data'!BB48=Body!$BE$25,Body!$BE$22,IF('Zdroj data'!BB48=Body!$BH$25,Body!$BH$22,IF('Zdroj data'!BB48=Body!BK$25,Body!$BK$22,IF('Zdroj data'!BB48=Body!$BN$25,Body!$BN$22,IF('Zdroj data'!BB48=Body!$BQ$25,Body!$BQ$22,IF('Zdroj data'!BB48=Body!$BT$25,Body!$BT$22,IF('Zdroj data'!BB48=Body!$BW$25,Body!$BW$22,IF('Zdroj data'!BB48=Body!$BZ$25,Body!$BZ$22," "))))))))))</f>
        <v>5</v>
      </c>
      <c r="V48" s="264">
        <f>IF(AND('Zdroj data'!BO48&gt;Body!$AY$27,'Zdroj data'!BO48&lt;=Body!$BA$27),Body!$AY$22,IF(AND('Zdroj data'!BO48&gt;=Body!$BB$27,'Zdroj data'!BO48&lt;=Body!$BD$27),Body!$BB$22,IF(AND('Zdroj data'!BO48&gt;=Body!$BE$27,'Zdroj data'!BO48&lt;=Body!$BG$27),Body!$BE$22,IF(AND('Zdroj data'!BO48&gt;=Body!$BH$27,'Zdroj data'!BO48&lt;=Body!$BJ$27),Body!$BH$22,IF(AND('Zdroj data'!BO48&gt;=Body!$BK$27,'Zdroj data'!BO48&lt;=Body!$BM$27),Body!$BK$22,IF(AND('Zdroj data'!BO48&gt;=Body!$BN$27,'Zdroj data'!BO48&lt;=Body!$BP$27),Body!$BN$22,IF(AND('Zdroj data'!BO48&gt;=Body!$BQ$27,'Zdroj data'!BO48&lt;=Body!$BS$27),Body!$BQ$22,IF(AND('Zdroj data'!BO48&gt;=Body!$BT$27,'Zdroj data'!BO48&lt;=Body!$BV$27),Body!$BT$22,IF(AND('Zdroj data'!BO48&gt;=Body!$BW$27,'Zdroj data'!BO48&lt;=Body!$BY$27),Body!$BW$22,IF('Zdroj data'!BO48&gt;=Body!$CB$27,$BZ$22," "))))))))))</f>
        <v>5</v>
      </c>
      <c r="W48" s="264">
        <f>IF(AND('Zdroj data'!BP48&gt;Body!$AY$27,'Zdroj data'!BP48&lt;=Body!$BA$27),Body!$AY$22,IF(AND('Zdroj data'!BP48&gt;=Body!$BB$27,'Zdroj data'!BP48&lt;=Body!$BD$27),Body!$BB$22,IF(AND('Zdroj data'!BP48&gt;=Body!$BE$27,'Zdroj data'!BP48&lt;=Body!$BG$27),Body!$BE$22,IF(AND('Zdroj data'!BP48&gt;=Body!$BH$27,'Zdroj data'!BP48&lt;=Body!$BJ$27),Body!$BH$22,IF(AND('Zdroj data'!BP48&gt;=Body!$BK$27,'Zdroj data'!BP48&lt;=Body!$BM$27),Body!$BK$22,IF(AND('Zdroj data'!BP48&gt;=Body!$BN$27,'Zdroj data'!BP48&lt;=Body!$BP$27),Body!$BN$22,IF(AND('Zdroj data'!BP48&gt;=Body!$BQ$27,'Zdroj data'!BP48&lt;=Body!$BS$27),Body!$BQ$22,IF(AND('Zdroj data'!BP48&gt;=Body!$BT$27,'Zdroj data'!BP48&lt;=Body!$BV$27),Body!$BT$22,IF(AND('Zdroj data'!BP48&gt;=Body!$BW$27,'Zdroj data'!BP48&lt;=Body!$BY$27),Body!$BW$22,IF('Zdroj data'!BP48&gt;=Body!$CB$27,$BZ$22," "))))))))))</f>
        <v>7</v>
      </c>
      <c r="X48" s="264">
        <f>IF('Zdroj data'!BA48=Body!$BB$28,$BB$22,IF('Zdroj data'!BA48=Body!$BE$28,$BE$22,IF(OR('Zdroj data'!BA48=Body!$BK$28,'Zdroj data'!BA48=Body!$BL$28,'Zdroj data'!BA48=Body!$BM$28),$BK$22,IF(OR('Zdroj data'!BA48=Body!$BT$28,'Zdroj data'!BA48=Body!$BV$28),$BT$22,IF(OR('Zdroj data'!BA48=Body!$BW$28,'Zdroj data'!BA48=Body!$BY$28),$BW$22,IF('Zdroj data'!BA48=Body!$BZ$28,$BZ$22," "))))))</f>
        <v>9</v>
      </c>
      <c r="Y48" s="264">
        <f>IF('Zdroj data'!AZ48=Body!$BZ$29,Body!$BZ$22,IF(OR('Zdroj data'!AZ48=$BT$29,'Zdroj data'!AZ48=$BU$29,'Zdroj data'!AZ48=$BV$29),$BT$22,IF(OR('Zdroj data'!AZ48=$BK$29,'Zdroj data'!AZ48=$BM$29),$BK$22,IF(OR('Zdroj data'!AZ48=$BE$29,'Zdroj data'!AZ48=$BG$29),$BE$22,IF(OR('Zdroj data'!AZ48=$AY$29,'Zdroj data'!AZ48=$BA$29),$AY$22," ")))))</f>
        <v>10</v>
      </c>
      <c r="Z48" s="264">
        <f>IF(AND('Zdroj data'!BF48="T",(OR('Zdroj data'!AZ48=Body!$AW$45,'Zdroj data'!AZ48=Body!$AW$46,'Zdroj data'!AZ48=Body!$AW$47,'Zdroj data'!AZ48=Body!$AW$48))),Body!$AY$22,IF(AND('Zdroj data'!BF48="T",(OR('Zdroj data'!AZ48=$AW$49,'Zdroj data'!AZ48=$AW$50,'Zdroj data'!AZ48=$AW$51,'Zdroj data'!AZ48=$AW$52))),$BZ$22,IF(AND(OR('Zdroj data'!BF48="VT",'Zdroj data'!BF48="T",'Zdroj data'!BF48="CH"),(OR('Zdroj data'!AZ48=$AW$43,'Zdroj data'!AZ48=$AW$44,))),$BZ$22,IF(AND('Zdroj data'!BF48="CH",(OR('Zdroj data'!AZ48=$AW$49,'Zdroj data'!AZ48=$AW$50,'Zdroj data'!AZ48=$AW$51,'Zdroj data'!AZ48=$AW$52))),$AY$22,IF(AND('Zdroj data'!BF48="CH",(OR('Zdroj data'!AZ48=$AW$45,'Zdroj data'!AZ48=$AW$46,'Zdroj data'!AZ48=$AW$47,'Zdroj data'!AZ48=$AW$48))),$BZ$22," ")))))</f>
        <v>10</v>
      </c>
      <c r="AA48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48" s="264">
        <f>IF(Tabulka1[[#This Row],[kv.ek.]]=Body!$BK$35,Body!$BK$34,IF(Tabulka1[[#This Row],[kv.ek.]]=Body!$BZ$35,Body!$BZ$34," "))</f>
        <v>10</v>
      </c>
      <c r="AC48" s="264" t="str">
        <f>IF(AND('Zdroj data'!BF48="T",(OR('Zdroj data'!AZ48=Body!$AW$45,'Zdroj data'!AZ48=Body!$AW$46,'Zdroj data'!AZ48=Body!$AW$47,'Zdroj data'!AZ48=Body!$AW$48))),Body!$AY$22,IF(AND('Zdroj data'!BF48="T",(OR('Zdroj data'!AZ48=$AW$49,'Zdroj data'!AZ48=$AW$50,'Zdroj data'!AZ48=$AW$51,'Zdroj data'!AZ48=$AW$52))),$BZ$22," "))</f>
        <v xml:space="preserve"> </v>
      </c>
      <c r="AD48" s="264">
        <f>IF(AND(OR('Zdroj data'!BF48="VT",'Zdroj data'!BF48="T",'Zdroj data'!BF48="CH"),(OR('Zdroj data'!AZ48=$AW$43,'Zdroj data'!AZ48=$AW$44,))),$BZ$22," ")</f>
        <v>10</v>
      </c>
      <c r="AE48" s="264" t="str">
        <f>IF(AND('Zdroj data'!BF48="CH",(OR('Zdroj data'!AZ48=$AW$49,'Zdroj data'!AZ48=$AW$50,'Zdroj data'!AZ48=$AW$51,'Zdroj data'!AZ48=$AW$52))),$AY$22,IF(AND('Zdroj data'!BF48="CH",(OR('Zdroj data'!AZ48=$AW$45,'Zdroj data'!AZ48=$AW$46,'Zdroj data'!AZ48=$AW$47,'Zdroj data'!AZ48=$AW$48))),$BZ$22," "))</f>
        <v xml:space="preserve"> </v>
      </c>
      <c r="AF48" s="264" t="str">
        <f>IF(AND('Zdroj data'!BG48="L",'Zdroj data'!AM48=Body!$AX$15),IF(AND('Zdroj data'!O48&gt;=Body!$AY$15,'Zdroj data'!O48&lt;=Body!$BA$15),Body!AY$6,IF(AND('Zdroj data'!O48&gt;=Body!$BB$15,'Zdroj data'!O48&lt;=Body!$BD$15),Body!BB$6,IF(AND('Zdroj data'!O48&gt;=Body!$BE$15,'Zdroj data'!O48&lt;=Body!$BG$15),Body!BE$6,IF(AND('Zdroj data'!O48&gt;=Body!$BH$15,'Zdroj data'!O48&lt;=Body!$BJ$15),Body!BH$6,IF(AND('Zdroj data'!O48&gt;=Body!$BK$15,'Zdroj data'!O48&lt;=Body!$BM$15),Body!BK$6,IF(AND('Zdroj data'!O48&gt;=Body!$BN$15,'Zdroj data'!O48&lt;=Body!$BP$15),Body!$BN$6,IF(AND('Zdroj data'!O48&gt;=Body!$BQ$15,'Zdroj data'!O48&lt;=Body!$BS$15),Body!$BQ$6,IF(AND('Zdroj data'!O48&gt;=Body!$BT$15,'Zdroj data'!O48&lt;=Body!$BV$15),Body!BT$6,IF(AND('Zdroj data'!O48&gt;=Body!$BW$15,'Zdroj data'!O48&lt;=Body!$BY$15),Body!$BW$6,IF('Zdroj data'!O48&gt;=Body!$CB$15,Body!$BZ$6," ")))))))))),IF(AND('Zdroj data'!BG48="ST",'Zdroj data'!AM48=Body!$AX$16),IF(AND('Zdroj data'!O48&gt;=Body!$AY$16,'Zdroj data'!O48&lt;=Body!$BA$16),Body!$AY$6,IF(AND('Zdroj data'!O48&gt;=Body!$BB$16,'Zdroj data'!O48&lt;=Body!$BD$16),Body!$BB$6,IF(AND('Zdroj data'!O48&gt;=Body!$BE$16,'Zdroj data'!O48&lt;=Body!$BG$16),Body!$BE$6,IF(AND('Zdroj data'!O48&gt;=Body!$BH$16,'Zdroj data'!O48&lt;=Body!$BJ$16),Body!$BH$6,IF(AND('Zdroj data'!O48&gt;=Body!$BK$16,'Zdroj data'!O48&lt;=Body!$BM$16),Body!$BK$6,IF(AND('Zdroj data'!O48&gt;=Body!$BN$16,'Zdroj data'!O48&lt;=Body!$BP$16),Body!$BN$6,IF(AND('Zdroj data'!O48&gt;=Body!$BQ$16,'Zdroj data'!O48&lt;=Body!$BS$16),Body!$BQ$6,IF(AND('Zdroj data'!O48&gt;=Body!$BT$16,'Zdroj data'!O48&lt;=Body!$BV$16),Body!$BT$6,IF(AND('Zdroj data'!O48&gt;=Body!$BW$16,'Zdroj data'!O48&lt;=Body!$BY$16),Body!$BW$6,IF('Zdroj data'!O48&gt;=Body!$CB$16,Body!$BZ$6," ")))))))))),IF(AND('Zdroj data'!BG48="T",'Zdroj data'!AM48=Body!$AX$17),IF(AND('Zdroj data'!O48&gt;=Body!$AY$17,'Zdroj data'!O48&lt;=Body!$BA$17),Body!$AY$6,IF(AND('Zdroj data'!O48&gt;=Body!$BB$17,'Zdroj data'!O48&lt;=Body!$BD$17),Body!$BB$6,IF(AND('Zdroj data'!O48&gt;=Body!$BE$17,'Zdroj data'!O48&lt;=Body!$BG$17),Body!$BE$6,IF(AND('Zdroj data'!O48&gt;=Body!$BH$17,'Zdroj data'!O48&lt;=Body!#REF!),Body!$BH$6,IF(AND('Zdroj data'!O48&gt;=Body!$BK$17,'Zdroj data'!O48&lt;=Body!$BM$17),Body!$BK$6,IF(AND('Zdroj data'!O48&gt;=Body!$BN$17,'Zdroj data'!O48&lt;=Body!$BP$17),Body!$BN$6,IF(AND('Zdroj data'!O48&gt;=Body!$BQ$17,'Zdroj data'!O48&lt;=Body!$BS$17),Body!$BQ$6,IF(AND('Zdroj data'!O48&gt;=Body!$BT$17,'Zdroj data'!O48&lt;=Body!$BV$17),Body!$BT$6,IF(AND('Zdroj data'!O48&gt;=Body!$BW$17,'Zdroj data'!O48&lt;=Body!$BY$17),Body!$BW$6,IF('Zdroj data'!O48&gt;=Body!$CB$17,Body!$BZ$6," "))))))))))," ")))</f>
        <v xml:space="preserve"> </v>
      </c>
      <c r="AG48" s="264" t="str">
        <f>IF(AND('Zdroj data'!$BG48="L",'Zdroj data'!$AM48=Body!$AX$15),IF(AND(Tabulka1[[#This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data'!$BG48="ST",'Zdroj data'!$AM48=Body!$AX$16),IF(AND(Tabulka1[[#This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data'!$BG48="T",'Zdroj data'!$AM48=Body!$AX$17),IF(AND(Tabulka1[[#This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48" s="264">
        <f>IF(AND('Zdroj data'!BG48="L",'Zdroj data'!AM48=Body!$AX$18),IF(AND('Zdroj data'!O48&gt;=Body!$AY$18,'Zdroj data'!O48&lt;=Body!$BA$18),Body!AY$6,IF(AND('Zdroj data'!O48&gt;=Body!$BB$18,'Zdroj data'!O48&lt;=Body!$BD$18),Body!BB$6,IF(AND('Zdroj data'!O48&gt;=Body!$BE$18,'Zdroj data'!O48&lt;=Body!$BG$18),Body!BE$6,IF(AND('Zdroj data'!O48&gt;=Body!$BH$18,'Zdroj data'!O48&lt;=Body!$BJ$18),Body!BH$6,IF(AND('Zdroj data'!O48&gt;=Body!$BK$18,'Zdroj data'!O48&lt;=Body!$BM$18),Body!$BK$6,IF(AND('Zdroj data'!O48&gt;=Body!$BN$18,'Zdroj data'!O48&lt;=Body!$BP$18),Body!BN$6,IF(AND('Zdroj data'!O48&gt;=Body!$BQ$18,'Zdroj data'!O48&lt;=Body!$BS$18),Body!$BQ$6,IF(AND('Zdroj data'!O48&gt;=Body!$BT$18,'Zdroj data'!O48&lt;=Body!$BV$18),Body!$BT$6,IF(AND('Zdroj data'!O48&gt;=Body!$BW$18,'Zdroj data'!O48&lt;=Body!$BY$18),Body!$BW$6,IF('Zdroj data'!O48&gt;=Body!$CB$18,Body!$BZ$6," ")))))))))),IF(AND('Zdroj data'!BG48="ST",'Zdroj data'!AM48=Body!$AX$19),IF(AND('Zdroj data'!O48&gt;=Body!$AY$19,'Zdroj data'!O48&lt;=Body!$BA$19),Body!$AY$6,IF(AND('Zdroj data'!O48&gt;=Body!$BB$19,'Zdroj data'!O48&lt;=Body!$BD$19),Body!$BB$6,IF(AND('Zdroj data'!O48&gt;=Body!$BE$19,'Zdroj data'!O48&lt;=Body!$BG$19),Body!$BE$6,IF(AND('Zdroj data'!O48&gt;=Body!$BH$19,'Zdroj data'!O48&lt;=Body!$BJ$19),Body!$BH$6,IF(AND('Zdroj data'!O48&gt;=Body!$BK$19,'Zdroj data'!O48&lt;=Body!$BM$19),Body!$BK$6,IF(AND('Zdroj data'!O48&gt;=Body!$BN$19,'Zdroj data'!O48&lt;=Body!$BP$19),Body!$BN$6,IF(AND('Zdroj data'!O48&gt;=Body!$BQ$19,'Zdroj data'!O48&lt;=Body!$BS$19),Body!$BQ$6,IF(AND('Zdroj data'!O48&gt;=Body!$BT$19,'Zdroj data'!O52&lt;=Body!$BV$19),Body!$BT$6,IF(AND('Zdroj data'!O48&gt;=Body!$BW$19,'Zdroj data'!O48&lt;=Body!$BY$19),Body!$BW$6,IF('Zdroj data'!O48&gt;=Body!$CB$19,Body!$BZ$6," ")))))))))),IF(AND('Zdroj data'!BG48="T",'Zdroj data'!AM48=Body!$AX$20),IF(AND('Zdroj data'!O48&gt;=Body!$AY$20,'Zdroj data'!O48&lt;=Body!$BA$20),Body!$AY$6,IF(AND('Zdroj data'!O48&gt;=Body!$BB$20,'Zdroj data'!O48&lt;=Body!$BD$20),Body!$BB$6,IF(AND('Zdroj data'!O48&gt;=Body!$BE$20,'Zdroj data'!O48&lt;=Body!$BG$20),Body!$BE$6,IF(AND('Zdroj data'!O48&gt;=Body!$BH$20,'Zdroj data'!O48&lt;=Body!$BJ$20),Body!$BH$6,IF(AND('Zdroj data'!O48&gt;=Body!$BK$20,'Zdroj data'!O48&lt;=Body!$BM$20),Body!$BK$6,IF(AND('Zdroj data'!O48&gt;=Body!$BN$20,'Zdroj data'!O48&lt;=Body!$BP$20),Body!$BN$6,IF(AND('Zdroj data'!O48&gt;=Body!$BQ$20,'Zdroj data'!O48&lt;=Body!$BS$20),Body!$BQ$6,IF(AND('Zdroj data'!O48&gt;=Body!$BT$20,'Zdroj data'!O48&lt;=Body!#REF!),Body!$BT$6,IF(AND('Zdroj data'!O48&gt;=Body!$BW$20,'Zdroj data'!O48&lt;=Body!$BY$20),Body!$BW$6,IF('Zdroj data'!O48&gt;=Body!$CB$20,Body!$BZ$6," "))))))))))," ")))</f>
        <v>1</v>
      </c>
      <c r="AI48" s="264">
        <f>IF(AND('Zdroj data'!$BG48="L",'Zdroj data'!$AM48=Body!$AX$18),IF(AND(Tabulka1[[#This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data'!$BG48="ST",'Zdroj data'!$AM48=Body!$AX$19),IF(AND(Tabulka1[[#This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data'!$BG48="T",'Zdroj data'!$AM48=Body!$AX$20),IF(AND(Tabulka1[[#This Row],[K2O_60]]&gt;=Body!$AY$20,'Zdroj data'!O48&lt;=Body!$BA$20),Body!$AY$6,IF(AND(Tabulka1[[#This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1</v>
      </c>
      <c r="AJ48" s="265">
        <f t="shared" si="10"/>
        <v>9.3333333333333428</v>
      </c>
      <c r="AK48" s="264">
        <f t="shared" si="3"/>
        <v>31.631138728103977</v>
      </c>
      <c r="AL48" s="264">
        <f t="shared" si="4"/>
        <v>30.216017217696837</v>
      </c>
      <c r="AM48" s="264">
        <f t="shared" si="5"/>
        <v>72.327371680626783</v>
      </c>
      <c r="AN48" s="264">
        <f t="shared" si="6"/>
        <v>71.502934137954767</v>
      </c>
      <c r="AO48" s="265">
        <f t="shared" si="11"/>
        <v>103.95851040873076</v>
      </c>
      <c r="AP48" s="265">
        <f t="shared" si="12"/>
        <v>101.7189513556516</v>
      </c>
      <c r="AQ48" s="318"/>
      <c r="AR48" s="338">
        <f t="shared" si="7"/>
        <v>215.01079509771571</v>
      </c>
      <c r="AS48" s="318"/>
      <c r="AT48" s="138"/>
      <c r="AU48" s="138"/>
      <c r="AW48" s="129">
        <v>8</v>
      </c>
      <c r="AX48" s="66"/>
      <c r="AY48" s="66"/>
      <c r="AZ48" s="66"/>
      <c r="BA48" s="66"/>
      <c r="BB48" s="66"/>
      <c r="BE48" s="66"/>
      <c r="BF48" s="66"/>
      <c r="BG48" s="66"/>
      <c r="BH48" s="66"/>
      <c r="BI48" s="66"/>
      <c r="BJ48" s="272"/>
      <c r="BK48" s="66"/>
      <c r="BL48" s="66"/>
      <c r="BM48" s="66"/>
      <c r="BN48" s="22"/>
    </row>
    <row r="49" spans="1:81" ht="15.5" x14ac:dyDescent="0.35">
      <c r="A49" s="270">
        <v>1093</v>
      </c>
      <c r="B49" s="156" t="s">
        <v>531</v>
      </c>
      <c r="C49" s="250" t="str">
        <f>VLOOKUP(B49,'Zdroj hloubka okresy'!$A$2:$D$171,2,FALSE)</f>
        <v>Pribram</v>
      </c>
      <c r="D49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49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49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8</v>
      </c>
      <c r="G49" s="264">
        <f>IF(AND(Tabulka1[[#This Row],[hum_60]]&gt;AY55,Tabulka1[[#This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5</v>
      </c>
      <c r="H49" s="264">
        <f>IF(Tabulka1[[#This Row],[kv.ek.]]=Body!$AX$13,IF(AND('Zdroj data'!M49&gt;=Body!$AY$13,'Zdroj data'!M49&lt;=Body!$BA$13),Body!$AY$6,IF(AND('Zdroj data'!M49&gt;=Body!$BB$13,'Zdroj data'!M49&lt;=Body!$BD$13),Body!$BB$6,IF(AND('Zdroj data'!M49&gt;=Body!$BE$13,'Zdroj data'!M49&lt;=Body!$BG$13),Body!$BE$6,IF(AND('Zdroj data'!M49&gt;=Body!$BH$13,'Zdroj data'!M49&lt;=Body!$BJ$13),Body!$BH$6,IF(AND('Zdroj data'!M49&gt;=Body!$BK$13,'Zdroj data'!M49&lt;=Body!$BM$13),Body!$BK$6,IF(AND('Zdroj data'!M49&gt;=Body!$BN$13,'Zdroj data'!M49&lt;=Body!$BP$13),Body!$BN$6,IF(AND('Zdroj data'!M49&gt;=Body!$BQ$13,'Zdroj data'!M49&lt;=Body!$BS$13),Body!$BQ$6,IF(AND('Zdroj data'!M49&gt;=Body!$BT$13,'Zdroj data'!M49&lt;=Body!$BV$13),Body!$BT$6,IF(AND('Zdroj data'!M49&gt;=Body!$BW$13,'Zdroj data'!M49&lt;=Body!$BY$13),Body!$BW$6,IF('Zdroj data'!M49&gt;=Body!$CB$13,Body!$BZ$6,"")))))))))),IF(Tabulka1[[#This Row],[kv.ek.]]=Body!$AX$14,IF(AND('Zdroj data'!N49&gt;=Body!$AY$14,'Zdroj data'!N49&lt;=Body!$BA$14),Body!$AY$6,IF(AND('Zdroj data'!N49&gt;=Body!$BB$14,'Zdroj data'!N49&lt;=Body!$BD$14),Body!$BB$6,IF(AND('Zdroj data'!N49&gt;=Body!$BE$14,'Zdroj data'!N49&lt;=Body!$BG$14),Body!$BE$6,IF(AND('Zdroj data'!N49&gt;=Body!$BH$14,'Zdroj data'!N49&lt;=Body!$BJ$14),Body!$BH$6,IF(AND('Zdroj data'!N49&gt;=Body!$BK$14,'Zdroj data'!N49&lt;=Body!$BM$14),Body!$BK$6,IF(AND('Zdroj data'!N49&gt;=Body!$BN$14,'Zdroj data'!N49&lt;=Body!$BP$14),Body!$BN$6,IF(AND('Zdroj data'!N49&gt;=Body!$BQ$14,'Zdroj data'!N49&lt;=Body!$BS$14),Body!$BQ$6,IF(AND('Zdroj data'!N49&gt;=Body!$BT$14,'Zdroj data'!N49&lt;=Body!$BV$14),Body!$BT$6,IF(AND('Zdroj data'!N49&gt;=Body!$BW$14,'Zdroj data'!N49&lt;=Body!$BY$14),Body!$BW$6,IF('Zdroj data'!N49&gt;=Body!$CB$14,Body!$BZ$6,"")))))))))),""))</f>
        <v>1</v>
      </c>
      <c r="I49" s="264">
        <f>IF(Tabulka1[[#This Row],[kv.ek.]]=Body!$AX$13,IF(AND('Zdroj data'!N49&gt;=Body!$AY$13,'Zdroj data'!N49&lt;=Body!$BA$13),Body!$AY$6,IF(AND('Zdroj data'!N49&gt;=Body!$BB$13,'Zdroj data'!N49&lt;=Body!$BD$13),Body!$BB$6,IF(AND('Zdroj data'!N49&gt;=Body!$BE$13,'Zdroj data'!N49&lt;=Body!$BG$13),Body!$BE$6,IF(AND('Zdroj data'!N49&gt;=Body!$BH$13,'Zdroj data'!N49&lt;=Body!$BJ$13),Body!$BH$6,IF(AND('Zdroj data'!N49&gt;=Body!$BK$13,'Zdroj data'!N49&lt;=Body!$BM$13),Body!$BK$6,IF(AND('Zdroj data'!N49&gt;=Body!$BN$13,'Zdroj data'!N49&lt;=Body!$BP$13),Body!$BN$6,IF(AND('Zdroj data'!N49&gt;=Body!$BQ$13,'Zdroj data'!N49&lt;=Body!$BS$13),Body!$BQ$6,IF(AND('Zdroj data'!N49&gt;=Body!$BT$13,'Zdroj data'!N49&lt;=Body!$BV$13),Body!$BT$6,IF(AND('Zdroj data'!N49&gt;=Body!$BW$13,'Zdroj data'!N49&lt;=Body!$BY$13),Body!$BW$6,IF('Zdroj data'!N49&gt;=Body!$CB$13,Body!$BZ$6," ")))))))))),IF(Tabulka1[[#This Row],[kv.ek.]]=Body!$AX$14,IF(AND('Zdroj data'!O49&gt;=Body!$AY$14,'Zdroj data'!O49&lt;=Body!$BA$14),Body!$AY$6,IF(AND('Zdroj data'!O49&gt;=Body!$BB$14,'Zdroj data'!O49&lt;=Body!$BD$14),Body!$BB$6,IF(AND('Zdroj data'!O49&gt;=Body!$BE$14,'Zdroj data'!O49&lt;=Body!$BG$14),Body!$BE$6,IF(AND('Zdroj data'!O49&gt;=Body!$BH$14,'Zdroj data'!O49&lt;=Body!$BJ$14),Body!$BH$6,IF(AND('Zdroj data'!O49&gt;=Body!$BK$14,'Zdroj data'!O49&lt;=Body!$BM$14),Body!$BK$6,IF(AND('Zdroj data'!O49&gt;=Body!$BN$14,'Zdroj data'!O49&lt;=Body!$BP$14),Body!$BN$6,IF(AND('Zdroj data'!O49&gt;=Body!$BQ$14,'Zdroj data'!O49&lt;=Body!$BS$14),Body!$BQ$6,IF(AND('Zdroj data'!O49&gt;=Body!$BT$14,'Zdroj data'!O49&lt;=Body!$BV$14),Body!$BT$6,IF(AND('Zdroj data'!O49&gt;=Body!$BW$14,'Zdroj data'!O49&lt;=Body!$BY$14),Body!$BW$6,IF('Zdroj data'!O49&gt;=Body!$CB$14,Body!$BZ$6," "))))))))))," "))</f>
        <v>3</v>
      </c>
      <c r="J49" s="264">
        <f t="shared" si="8"/>
        <v>1</v>
      </c>
      <c r="K49" s="264">
        <f t="shared" si="9"/>
        <v>1</v>
      </c>
      <c r="L49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8</v>
      </c>
      <c r="M49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6</v>
      </c>
      <c r="N49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49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6</v>
      </c>
      <c r="P49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49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49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49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49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49" s="264">
        <f>IF('Zdroj data'!BB49=Body!$AY$25,Body!$AY$22,IF('Zdroj data'!BB49=Body!$BB$25,Body!$BB$22,IF('Zdroj data'!BB49=Body!$BE$25,Body!$BE$22,IF('Zdroj data'!BB49=Body!$BH$25,Body!$BH$22,IF('Zdroj data'!BB49=Body!BK$25,Body!$BK$22,IF('Zdroj data'!BB49=Body!$BN$25,Body!$BN$22,IF('Zdroj data'!BB49=Body!$BQ$25,Body!$BQ$22,IF('Zdroj data'!BB49=Body!$BT$25,Body!$BT$22,IF('Zdroj data'!BB49=Body!$BW$25,Body!$BW$22,IF('Zdroj data'!BB49=Body!$BZ$25,Body!$BZ$22," "))))))))))</f>
        <v>6</v>
      </c>
      <c r="V49" s="264">
        <f>IF(AND('Zdroj data'!BO49&gt;Body!$AY$27,'Zdroj data'!BO49&lt;=Body!$BA$27),Body!$AY$22,IF(AND('Zdroj data'!BO49&gt;=Body!$BB$27,'Zdroj data'!BO49&lt;=Body!$BD$27),Body!$BB$22,IF(AND('Zdroj data'!BO49&gt;=Body!$BE$27,'Zdroj data'!BO49&lt;=Body!$BG$27),Body!$BE$22,IF(AND('Zdroj data'!BO49&gt;=Body!$BH$27,'Zdroj data'!BO49&lt;=Body!$BJ$27),Body!$BH$22,IF(AND('Zdroj data'!BO49&gt;=Body!$BK$27,'Zdroj data'!BO49&lt;=Body!$BM$27),Body!$BK$22,IF(AND('Zdroj data'!BO49&gt;=Body!$BN$27,'Zdroj data'!BO49&lt;=Body!$BP$27),Body!$BN$22,IF(AND('Zdroj data'!BO49&gt;=Body!$BQ$27,'Zdroj data'!BO49&lt;=Body!$BS$27),Body!$BQ$22,IF(AND('Zdroj data'!BO49&gt;=Body!$BT$27,'Zdroj data'!BO49&lt;=Body!$BV$27),Body!$BT$22,IF(AND('Zdroj data'!BO49&gt;=Body!$BW$27,'Zdroj data'!BO49&lt;=Body!$BY$27),Body!$BW$22,IF('Zdroj data'!BO49&gt;=Body!$CB$27,$BZ$22," "))))))))))</f>
        <v>6</v>
      </c>
      <c r="W49" s="264">
        <f>IF(AND('Zdroj data'!BP49&gt;Body!$AY$27,'Zdroj data'!BP49&lt;=Body!$BA$27),Body!$AY$22,IF(AND('Zdroj data'!BP49&gt;=Body!$BB$27,'Zdroj data'!BP49&lt;=Body!$BD$27),Body!$BB$22,IF(AND('Zdroj data'!BP49&gt;=Body!$BE$27,'Zdroj data'!BP49&lt;=Body!$BG$27),Body!$BE$22,IF(AND('Zdroj data'!BP49&gt;=Body!$BH$27,'Zdroj data'!BP49&lt;=Body!$BJ$27),Body!$BH$22,IF(AND('Zdroj data'!BP49&gt;=Body!$BK$27,'Zdroj data'!BP49&lt;=Body!$BM$27),Body!$BK$22,IF(AND('Zdroj data'!BP49&gt;=Body!$BN$27,'Zdroj data'!BP49&lt;=Body!$BP$27),Body!$BN$22,IF(AND('Zdroj data'!BP49&gt;=Body!$BQ$27,'Zdroj data'!BP49&lt;=Body!$BS$27),Body!$BQ$22,IF(AND('Zdroj data'!BP49&gt;=Body!$BT$27,'Zdroj data'!BP49&lt;=Body!$BV$27),Body!$BT$22,IF(AND('Zdroj data'!BP49&gt;=Body!$BW$27,'Zdroj data'!BP49&lt;=Body!$BY$27),Body!$BW$22,IF('Zdroj data'!BP49&gt;=Body!$CB$27,$BZ$22," "))))))))))</f>
        <v>7</v>
      </c>
      <c r="X49" s="264">
        <f>IF('Zdroj data'!BA49=Body!$BB$28,$BB$22,IF('Zdroj data'!BA49=Body!$BE$28,$BE$22,IF(OR('Zdroj data'!BA49=Body!$BK$28,'Zdroj data'!BA49=Body!$BL$28,'Zdroj data'!BA49=Body!$BM$28),$BK$22,IF(OR('Zdroj data'!BA49=Body!$BT$28,'Zdroj data'!BA49=Body!$BV$28),$BT$22,IF(OR('Zdroj data'!BA49=Body!$BW$28,'Zdroj data'!BA49=Body!$BY$28),$BW$22,IF('Zdroj data'!BA49=Body!$BZ$28,$BZ$22," "))))))</f>
        <v>9</v>
      </c>
      <c r="Y49" s="264">
        <f>IF('Zdroj data'!AZ49=Body!$BZ$29,Body!$BZ$22,IF(OR('Zdroj data'!AZ49=$BT$29,'Zdroj data'!AZ49=$BU$29,'Zdroj data'!AZ49=$BV$29),$BT$22,IF(OR('Zdroj data'!AZ49=$BK$29,'Zdroj data'!AZ49=$BM$29),$BK$22,IF(OR('Zdroj data'!AZ49=$BE$29,'Zdroj data'!AZ49=$BG$29),$BE$22,IF(OR('Zdroj data'!AZ49=$AY$29,'Zdroj data'!AZ49=$BA$29),$AY$22," ")))))</f>
        <v>8</v>
      </c>
      <c r="Z49" s="264">
        <f>IF(AND('Zdroj data'!BF49="T",(OR('Zdroj data'!AZ49=Body!$AW$45,'Zdroj data'!AZ49=Body!$AW$46,'Zdroj data'!AZ49=Body!$AW$47,'Zdroj data'!AZ49=Body!$AW$48))),Body!$AY$22,IF(AND('Zdroj data'!BF49="T",(OR('Zdroj data'!AZ49=$AW$49,'Zdroj data'!AZ49=$AW$50,'Zdroj data'!AZ49=$AW$51,'Zdroj data'!AZ49=$AW$52))),$BZ$22,IF(AND(OR('Zdroj data'!BF49="VT",'Zdroj data'!BF49="T",'Zdroj data'!BF49="CH"),(OR('Zdroj data'!AZ49=$AW$43,'Zdroj data'!AZ49=$AW$44,))),$BZ$22,IF(AND('Zdroj data'!BF49="CH",(OR('Zdroj data'!AZ49=$AW$49,'Zdroj data'!AZ49=$AW$50,'Zdroj data'!AZ49=$AW$51,'Zdroj data'!AZ49=$AW$52))),$AY$22,IF(AND('Zdroj data'!BF49="CH",(OR('Zdroj data'!AZ49=$AW$45,'Zdroj data'!AZ49=$AW$46,'Zdroj data'!AZ49=$AW$47,'Zdroj data'!AZ49=$AW$48))),$BZ$22," ")))))</f>
        <v>10</v>
      </c>
      <c r="AA49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49" s="264">
        <f>IF(Tabulka1[[#This Row],[kv.ek.]]=Body!$BK$35,Body!$BK$34,IF(Tabulka1[[#This Row],[kv.ek.]]=Body!$BZ$35,Body!$BZ$34," "))</f>
        <v>10</v>
      </c>
      <c r="AC49" s="264" t="str">
        <f>IF(AND('Zdroj data'!BF49="T",(OR('Zdroj data'!AZ49=Body!$AW$45,'Zdroj data'!AZ49=Body!$AW$46,'Zdroj data'!AZ49=Body!$AW$47,'Zdroj data'!AZ49=Body!$AW$48))),Body!$AY$22,IF(AND('Zdroj data'!BF49="T",(OR('Zdroj data'!AZ49=$AW$49,'Zdroj data'!AZ49=$AW$50,'Zdroj data'!AZ49=$AW$51,'Zdroj data'!AZ49=$AW$52))),$BZ$22," "))</f>
        <v xml:space="preserve"> </v>
      </c>
      <c r="AD49" s="264">
        <f>IF(AND(OR('Zdroj data'!BF49="VT",'Zdroj data'!BF49="T",'Zdroj data'!BF49="CH"),(OR('Zdroj data'!AZ49=$AW$43,'Zdroj data'!AZ49=$AW$44,))),$BZ$22," ")</f>
        <v>10</v>
      </c>
      <c r="AE49" s="264" t="str">
        <f>IF(AND('Zdroj data'!BF49="CH",(OR('Zdroj data'!AZ49=$AW$49,'Zdroj data'!AZ49=$AW$50,'Zdroj data'!AZ49=$AW$51,'Zdroj data'!AZ49=$AW$52))),$AY$22,IF(AND('Zdroj data'!BF49="CH",(OR('Zdroj data'!AZ49=$AW$45,'Zdroj data'!AZ49=$AW$46,'Zdroj data'!AZ49=$AW$47,'Zdroj data'!AZ49=$AW$48))),$BZ$22," "))</f>
        <v xml:space="preserve"> </v>
      </c>
      <c r="AF49" s="264" t="str">
        <f>IF(AND('Zdroj data'!BG49="L",'Zdroj data'!AM49=Body!$AX$15),IF(AND('Zdroj data'!O49&gt;=Body!$AY$15,'Zdroj data'!O49&lt;=Body!$BA$15),Body!AY$6,IF(AND('Zdroj data'!O49&gt;=Body!$BB$15,'Zdroj data'!O49&lt;=Body!$BD$15),Body!BB$6,IF(AND('Zdroj data'!O49&gt;=Body!$BE$15,'Zdroj data'!O49&lt;=Body!$BG$15),Body!BE$6,IF(AND('Zdroj data'!O49&gt;=Body!$BH$15,'Zdroj data'!O49&lt;=Body!$BJ$15),Body!BH$6,IF(AND('Zdroj data'!O49&gt;=Body!$BK$15,'Zdroj data'!O49&lt;=Body!$BM$15),Body!BK$6,IF(AND('Zdroj data'!O49&gt;=Body!$BN$15,'Zdroj data'!O49&lt;=Body!$BP$15),Body!$BN$6,IF(AND('Zdroj data'!O49&gt;=Body!$BQ$15,'Zdroj data'!O49&lt;=Body!$BS$15),Body!$BQ$6,IF(AND('Zdroj data'!O49&gt;=Body!$BT$15,'Zdroj data'!O49&lt;=Body!$BV$15),Body!BT$6,IF(AND('Zdroj data'!O49&gt;=Body!$BW$15,'Zdroj data'!O49&lt;=Body!$BY$15),Body!$BW$6,IF('Zdroj data'!O49&gt;=Body!$CB$15,Body!$BZ$6," ")))))))))),IF(AND('Zdroj data'!BG49="ST",'Zdroj data'!AM49=Body!$AX$16),IF(AND('Zdroj data'!O49&gt;=Body!$AY$16,'Zdroj data'!O49&lt;=Body!$BA$16),Body!$AY$6,IF(AND('Zdroj data'!O49&gt;=Body!$BB$16,'Zdroj data'!O49&lt;=Body!$BD$16),Body!$BB$6,IF(AND('Zdroj data'!O49&gt;=Body!$BE$16,'Zdroj data'!O49&lt;=Body!$BG$16),Body!$BE$6,IF(AND('Zdroj data'!O49&gt;=Body!$BH$16,'Zdroj data'!O49&lt;=Body!$BJ$16),Body!$BH$6,IF(AND('Zdroj data'!O49&gt;=Body!$BK$16,'Zdroj data'!O49&lt;=Body!$BM$16),Body!$BK$6,IF(AND('Zdroj data'!O49&gt;=Body!$BN$16,'Zdroj data'!O49&lt;=Body!$BP$16),Body!$BN$6,IF(AND('Zdroj data'!O49&gt;=Body!$BQ$16,'Zdroj data'!O49&lt;=Body!$BS$16),Body!$BQ$6,IF(AND('Zdroj data'!O49&gt;=Body!$BT$16,'Zdroj data'!O49&lt;=Body!$BV$16),Body!$BT$6,IF(AND('Zdroj data'!O49&gt;=Body!$BW$16,'Zdroj data'!O49&lt;=Body!$BY$16),Body!$BW$6,IF('Zdroj data'!O49&gt;=Body!$CB$16,Body!$BZ$6," ")))))))))),IF(AND('Zdroj data'!BG49="T",'Zdroj data'!AM49=Body!$AX$17),IF(AND('Zdroj data'!O49&gt;=Body!$AY$17,'Zdroj data'!O49&lt;=Body!$BA$17),Body!$AY$6,IF(AND('Zdroj data'!O49&gt;=Body!$BB$17,'Zdroj data'!O49&lt;=Body!$BD$17),Body!$BB$6,IF(AND('Zdroj data'!O49&gt;=Body!$BE$17,'Zdroj data'!O49&lt;=Body!$BG$17),Body!$BE$6,IF(AND('Zdroj data'!O49&gt;=Body!$BH$17,'Zdroj data'!O49&lt;=Body!#REF!),Body!$BH$6,IF(AND('Zdroj data'!O49&gt;=Body!$BK$17,'Zdroj data'!O49&lt;=Body!$BM$17),Body!$BK$6,IF(AND('Zdroj data'!O49&gt;=Body!$BN$17,'Zdroj data'!O49&lt;=Body!$BP$17),Body!$BN$6,IF(AND('Zdroj data'!O49&gt;=Body!$BQ$17,'Zdroj data'!O49&lt;=Body!$BS$17),Body!$BQ$6,IF(AND('Zdroj data'!O49&gt;=Body!$BT$17,'Zdroj data'!O49&lt;=Body!$BV$17),Body!$BT$6,IF(AND('Zdroj data'!O49&gt;=Body!$BW$17,'Zdroj data'!O49&lt;=Body!$BY$17),Body!$BW$6,IF('Zdroj data'!O49&gt;=Body!$CB$17,Body!$BZ$6," "))))))))))," ")))</f>
        <v xml:space="preserve"> </v>
      </c>
      <c r="AG49" s="264" t="str">
        <f>IF(AND('Zdroj data'!$BG49="L",'Zdroj data'!$AM49=Body!$AX$15),IF(AND(Tabulka1[[#This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data'!$BG49="ST",'Zdroj data'!$AM49=Body!$AX$16),IF(AND(Tabulka1[[#This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data'!$BG49="T",'Zdroj data'!$AM49=Body!$AX$17),IF(AND(Tabulka1[[#This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49" s="264">
        <f>IF(AND('Zdroj data'!BG49="L",'Zdroj data'!AM49=Body!$AX$18),IF(AND('Zdroj data'!O49&gt;=Body!$AY$18,'Zdroj data'!O49&lt;=Body!$BA$18),Body!AY$6,IF(AND('Zdroj data'!O49&gt;=Body!$BB$18,'Zdroj data'!O49&lt;=Body!$BD$18),Body!BB$6,IF(AND('Zdroj data'!O49&gt;=Body!$BE$18,'Zdroj data'!O49&lt;=Body!$BG$18),Body!BE$6,IF(AND('Zdroj data'!O49&gt;=Body!$BH$18,'Zdroj data'!O49&lt;=Body!$BJ$18),Body!BH$6,IF(AND('Zdroj data'!O49&gt;=Body!$BK$18,'Zdroj data'!O49&lt;=Body!$BM$18),Body!$BK$6,IF(AND('Zdroj data'!O49&gt;=Body!$BN$18,'Zdroj data'!O49&lt;=Body!$BP$18),Body!BN$6,IF(AND('Zdroj data'!O49&gt;=Body!$BQ$18,'Zdroj data'!O49&lt;=Body!$BS$18),Body!$BQ$6,IF(AND('Zdroj data'!O49&gt;=Body!$BT$18,'Zdroj data'!O49&lt;=Body!$BV$18),Body!$BT$6,IF(AND('Zdroj data'!O49&gt;=Body!$BW$18,'Zdroj data'!O49&lt;=Body!$BY$18),Body!$BW$6,IF('Zdroj data'!O49&gt;=Body!$CB$18,Body!$BZ$6," ")))))))))),IF(AND('Zdroj data'!BG49="ST",'Zdroj data'!AM49=Body!$AX$19),IF(AND('Zdroj data'!O49&gt;=Body!$AY$19,'Zdroj data'!O49&lt;=Body!$BA$19),Body!$AY$6,IF(AND('Zdroj data'!O49&gt;=Body!$BB$19,'Zdroj data'!O49&lt;=Body!$BD$19),Body!$BB$6,IF(AND('Zdroj data'!O49&gt;=Body!$BE$19,'Zdroj data'!O49&lt;=Body!$BG$19),Body!$BE$6,IF(AND('Zdroj data'!O49&gt;=Body!$BH$19,'Zdroj data'!O49&lt;=Body!$BJ$19),Body!$BH$6,IF(AND('Zdroj data'!O49&gt;=Body!$BK$19,'Zdroj data'!O49&lt;=Body!$BM$19),Body!$BK$6,IF(AND('Zdroj data'!O49&gt;=Body!$BN$19,'Zdroj data'!O49&lt;=Body!$BP$19),Body!$BN$6,IF(AND('Zdroj data'!O49&gt;=Body!$BQ$19,'Zdroj data'!O49&lt;=Body!$BS$19),Body!$BQ$6,IF(AND('Zdroj data'!O49&gt;=Body!$BT$19,'Zdroj data'!#REF!&lt;=Body!$BV$19),Body!$BT$6,IF(AND('Zdroj data'!O49&gt;=Body!$BW$19,'Zdroj data'!O49&lt;=Body!$BY$19),Body!$BW$6,IF('Zdroj data'!O49&gt;=Body!$CB$19,Body!$BZ$6," ")))))))))),IF(AND('Zdroj data'!BG49="T",'Zdroj data'!AM49=Body!$AX$20),IF(AND('Zdroj data'!O49&gt;=Body!$AY$20,'Zdroj data'!O49&lt;=Body!$BA$20),Body!$AY$6,IF(AND('Zdroj data'!O49&gt;=Body!$BB$20,'Zdroj data'!O49&lt;=Body!$BD$20),Body!$BB$6,IF(AND('Zdroj data'!O49&gt;=Body!$BE$20,'Zdroj data'!O49&lt;=Body!$BG$20),Body!$BE$6,IF(AND('Zdroj data'!O49&gt;=Body!$BH$20,'Zdroj data'!O49&lt;=Body!$BJ$20),Body!$BH$6,IF(AND('Zdroj data'!O49&gt;=Body!$BK$20,'Zdroj data'!O49&lt;=Body!$BM$20),Body!$BK$6,IF(AND('Zdroj data'!O49&gt;=Body!$BN$20,'Zdroj data'!O49&lt;=Body!$BP$20),Body!$BN$6,IF(AND('Zdroj data'!O49&gt;=Body!$BQ$20,'Zdroj data'!O49&lt;=Body!$BS$20),Body!$BQ$6,IF(AND('Zdroj data'!O49&gt;=Body!$BT$20,'Zdroj data'!O49&lt;=Body!#REF!),Body!$BT$6,IF(AND('Zdroj data'!O49&gt;=Body!$BW$20,'Zdroj data'!O49&lt;=Body!$BY$20),Body!$BW$6,IF('Zdroj data'!O49&gt;=Body!$CB$20,Body!$BZ$6," "))))))))))," ")))</f>
        <v>1</v>
      </c>
      <c r="AI49" s="264">
        <f>IF(AND('Zdroj data'!$BG49="L",'Zdroj data'!$AM49=Body!$AX$18),IF(AND(Tabulka1[[#This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data'!$BG49="ST",'Zdroj data'!$AM49=Body!$AX$19),IF(AND(Tabulka1[[#This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data'!$BG49="T",'Zdroj data'!$AM49=Body!$AX$20),IF(AND(Tabulka1[[#This Row],[K2O_60]]&gt;=Body!$AY$20,'Zdroj data'!O49&lt;=Body!$BA$20),Body!$AY$6,IF(AND(Tabulka1[[#This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1</v>
      </c>
      <c r="AJ49" s="265">
        <f t="shared" si="10"/>
        <v>16.000000000000014</v>
      </c>
      <c r="AK49" s="264">
        <f t="shared" si="3"/>
        <v>35.524116313615089</v>
      </c>
      <c r="AL49" s="264">
        <f t="shared" si="4"/>
        <v>29.073235825159234</v>
      </c>
      <c r="AM49" s="264">
        <f t="shared" si="5"/>
        <v>75.036736916550026</v>
      </c>
      <c r="AN49" s="264">
        <f t="shared" si="6"/>
        <v>76.581330123751997</v>
      </c>
      <c r="AO49" s="265">
        <f t="shared" si="11"/>
        <v>110.56085323016512</v>
      </c>
      <c r="AP49" s="265">
        <f t="shared" si="12"/>
        <v>105.65456594891123</v>
      </c>
      <c r="AQ49" s="318"/>
      <c r="AR49" s="338">
        <f t="shared" si="7"/>
        <v>232.21541917907638</v>
      </c>
      <c r="AS49" s="318"/>
      <c r="AT49" s="138"/>
      <c r="AU49" s="138"/>
      <c r="AW49" s="130">
        <v>3</v>
      </c>
      <c r="AX49" s="66"/>
      <c r="AY49" s="66"/>
      <c r="AZ49" s="66"/>
      <c r="BA49" s="67"/>
      <c r="BB49" s="67"/>
      <c r="BE49" s="67"/>
      <c r="BF49" s="67"/>
      <c r="BG49" s="67"/>
      <c r="BH49" s="66"/>
      <c r="BI49" s="66"/>
      <c r="BJ49" s="273"/>
      <c r="BK49" s="66"/>
      <c r="BL49" s="66"/>
      <c r="BM49" s="66"/>
      <c r="BN49" s="22"/>
    </row>
    <row r="50" spans="1:81" ht="15.5" x14ac:dyDescent="0.35">
      <c r="A50" s="270">
        <v>1096</v>
      </c>
      <c r="B50" s="156" t="s">
        <v>116</v>
      </c>
      <c r="C50" s="250" t="str">
        <f>VLOOKUP(B50,'Zdroj hloubka okresy'!$A$2:$D$171,2,FALSE)</f>
        <v>Pribram</v>
      </c>
      <c r="D50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50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50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8</v>
      </c>
      <c r="G50" s="264">
        <f>IF(AND(Tabulka1[[#This Row],[hum_60]]&gt;AY56,Tabulka1[[#This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5</v>
      </c>
      <c r="H50" s="264">
        <f>IF(Tabulka1[[#This Row],[kv.ek.]]=Body!$AX$13,IF(AND('Zdroj data'!M50&gt;=Body!$AY$13,'Zdroj data'!M50&lt;=Body!$BA$13),Body!$AY$6,IF(AND('Zdroj data'!M50&gt;=Body!$BB$13,'Zdroj data'!M50&lt;=Body!$BD$13),Body!$BB$6,IF(AND('Zdroj data'!M50&gt;=Body!$BE$13,'Zdroj data'!M50&lt;=Body!$BG$13),Body!$BE$6,IF(AND('Zdroj data'!M50&gt;=Body!$BH$13,'Zdroj data'!M50&lt;=Body!$BJ$13),Body!$BH$6,IF(AND('Zdroj data'!M50&gt;=Body!$BK$13,'Zdroj data'!M50&lt;=Body!$BM$13),Body!$BK$6,IF(AND('Zdroj data'!M50&gt;=Body!$BN$13,'Zdroj data'!M50&lt;=Body!$BP$13),Body!$BN$6,IF(AND('Zdroj data'!M50&gt;=Body!$BQ$13,'Zdroj data'!M50&lt;=Body!$BS$13),Body!$BQ$6,IF(AND('Zdroj data'!M50&gt;=Body!$BT$13,'Zdroj data'!M50&lt;=Body!$BV$13),Body!$BT$6,IF(AND('Zdroj data'!M50&gt;=Body!$BW$13,'Zdroj data'!M50&lt;=Body!$BY$13),Body!$BW$6,IF('Zdroj data'!M50&gt;=Body!$CB$13,Body!$BZ$6,"")))))))))),IF(Tabulka1[[#This Row],[kv.ek.]]=Body!$AX$14,IF(AND('Zdroj data'!N50&gt;=Body!$AY$14,'Zdroj data'!N50&lt;=Body!$BA$14),Body!$AY$6,IF(AND('Zdroj data'!N50&gt;=Body!$BB$14,'Zdroj data'!N50&lt;=Body!$BD$14),Body!$BB$6,IF(AND('Zdroj data'!N50&gt;=Body!$BE$14,'Zdroj data'!N50&lt;=Body!$BG$14),Body!$BE$6,IF(AND('Zdroj data'!N50&gt;=Body!$BH$14,'Zdroj data'!N50&lt;=Body!$BJ$14),Body!$BH$6,IF(AND('Zdroj data'!N50&gt;=Body!$BK$14,'Zdroj data'!N50&lt;=Body!$BM$14),Body!$BK$6,IF(AND('Zdroj data'!N50&gt;=Body!$BN$14,'Zdroj data'!N50&lt;=Body!$BP$14),Body!$BN$6,IF(AND('Zdroj data'!N50&gt;=Body!$BQ$14,'Zdroj data'!N50&lt;=Body!$BS$14),Body!$BQ$6,IF(AND('Zdroj data'!N50&gt;=Body!$BT$14,'Zdroj data'!N50&lt;=Body!$BV$14),Body!$BT$6,IF(AND('Zdroj data'!N50&gt;=Body!$BW$14,'Zdroj data'!N50&lt;=Body!$BY$14),Body!$BW$6,IF('Zdroj data'!N50&gt;=Body!$CB$14,Body!$BZ$6,"")))))))))),""))</f>
        <v>1</v>
      </c>
      <c r="I50" s="264">
        <f>IF(Tabulka1[[#This Row],[kv.ek.]]=Body!$AX$13,IF(AND('Zdroj data'!N50&gt;=Body!$AY$13,'Zdroj data'!N50&lt;=Body!$BA$13),Body!$AY$6,IF(AND('Zdroj data'!N50&gt;=Body!$BB$13,'Zdroj data'!N50&lt;=Body!$BD$13),Body!$BB$6,IF(AND('Zdroj data'!N50&gt;=Body!$BE$13,'Zdroj data'!N50&lt;=Body!$BG$13),Body!$BE$6,IF(AND('Zdroj data'!N50&gt;=Body!$BH$13,'Zdroj data'!N50&lt;=Body!$BJ$13),Body!$BH$6,IF(AND('Zdroj data'!N50&gt;=Body!$BK$13,'Zdroj data'!N50&lt;=Body!$BM$13),Body!$BK$6,IF(AND('Zdroj data'!N50&gt;=Body!$BN$13,'Zdroj data'!N50&lt;=Body!$BP$13),Body!$BN$6,IF(AND('Zdroj data'!N50&gt;=Body!$BQ$13,'Zdroj data'!N50&lt;=Body!$BS$13),Body!$BQ$6,IF(AND('Zdroj data'!N50&gt;=Body!$BT$13,'Zdroj data'!N50&lt;=Body!$BV$13),Body!$BT$6,IF(AND('Zdroj data'!N50&gt;=Body!$BW$13,'Zdroj data'!N50&lt;=Body!$BY$13),Body!$BW$6,IF('Zdroj data'!N50&gt;=Body!$CB$13,Body!$BZ$6," ")))))))))),IF(Tabulka1[[#This Row],[kv.ek.]]=Body!$AX$14,IF(AND('Zdroj data'!O50&gt;=Body!$AY$14,'Zdroj data'!O50&lt;=Body!$BA$14),Body!$AY$6,IF(AND('Zdroj data'!O50&gt;=Body!$BB$14,'Zdroj data'!O50&lt;=Body!$BD$14),Body!$BB$6,IF(AND('Zdroj data'!O50&gt;=Body!$BE$14,'Zdroj data'!O50&lt;=Body!$BG$14),Body!$BE$6,IF(AND('Zdroj data'!O50&gt;=Body!$BH$14,'Zdroj data'!O50&lt;=Body!$BJ$14),Body!$BH$6,IF(AND('Zdroj data'!O50&gt;=Body!$BK$14,'Zdroj data'!O50&lt;=Body!$BM$14),Body!$BK$6,IF(AND('Zdroj data'!O50&gt;=Body!$BN$14,'Zdroj data'!O50&lt;=Body!$BP$14),Body!$BN$6,IF(AND('Zdroj data'!O50&gt;=Body!$BQ$14,'Zdroj data'!O50&lt;=Body!$BS$14),Body!$BQ$6,IF(AND('Zdroj data'!O50&gt;=Body!$BT$14,'Zdroj data'!O50&lt;=Body!$BV$14),Body!$BT$6,IF(AND('Zdroj data'!O50&gt;=Body!$BW$14,'Zdroj data'!O50&lt;=Body!$BY$14),Body!$BW$6,IF('Zdroj data'!O50&gt;=Body!$CB$14,Body!$BZ$6," "))))))))))," "))</f>
        <v>1</v>
      </c>
      <c r="J50" s="264">
        <f t="shared" si="8"/>
        <v>1</v>
      </c>
      <c r="K50" s="264">
        <f t="shared" si="9"/>
        <v>1</v>
      </c>
      <c r="L50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8</v>
      </c>
      <c r="M50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8</v>
      </c>
      <c r="N50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50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50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50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50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50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6</v>
      </c>
      <c r="T50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5</v>
      </c>
      <c r="U50" s="264">
        <f>IF('Zdroj data'!BB50=Body!$AY$25,Body!$AY$22,IF('Zdroj data'!BB50=Body!$BB$25,Body!$BB$22,IF('Zdroj data'!BB50=Body!$BE$25,Body!$BE$22,IF('Zdroj data'!BB50=Body!$BH$25,Body!$BH$22,IF('Zdroj data'!BB50=Body!BK$25,Body!$BK$22,IF('Zdroj data'!BB50=Body!$BN$25,Body!$BN$22,IF('Zdroj data'!BB50=Body!$BQ$25,Body!$BQ$22,IF('Zdroj data'!BB50=Body!$BT$25,Body!$BT$22,IF('Zdroj data'!BB50=Body!$BW$25,Body!$BW$22,IF('Zdroj data'!BB50=Body!$BZ$25,Body!$BZ$22," "))))))))))</f>
        <v>5</v>
      </c>
      <c r="V50" s="264">
        <f>IF(AND('Zdroj data'!BO50&gt;Body!$AY$27,'Zdroj data'!BO50&lt;=Body!$BA$27),Body!$AY$22,IF(AND('Zdroj data'!BO50&gt;=Body!$BB$27,'Zdroj data'!BO50&lt;=Body!$BD$27),Body!$BB$22,IF(AND('Zdroj data'!BO50&gt;=Body!$BE$27,'Zdroj data'!BO50&lt;=Body!$BG$27),Body!$BE$22,IF(AND('Zdroj data'!BO50&gt;=Body!$BH$27,'Zdroj data'!BO50&lt;=Body!$BJ$27),Body!$BH$22,IF(AND('Zdroj data'!BO50&gt;=Body!$BK$27,'Zdroj data'!BO50&lt;=Body!$BM$27),Body!$BK$22,IF(AND('Zdroj data'!BO50&gt;=Body!$BN$27,'Zdroj data'!BO50&lt;=Body!$BP$27),Body!$BN$22,IF(AND('Zdroj data'!BO50&gt;=Body!$BQ$27,'Zdroj data'!BO50&lt;=Body!$BS$27),Body!$BQ$22,IF(AND('Zdroj data'!BO50&gt;=Body!$BT$27,'Zdroj data'!BO50&lt;=Body!$BV$27),Body!$BT$22,IF(AND('Zdroj data'!BO50&gt;=Body!$BW$27,'Zdroj data'!BO50&lt;=Body!$BY$27),Body!$BW$22,IF('Zdroj data'!BO50&gt;=Body!$CB$27,$BZ$22," "))))))))))</f>
        <v>5</v>
      </c>
      <c r="W50" s="264">
        <f>IF(AND('Zdroj data'!BP50&gt;Body!$AY$27,'Zdroj data'!BP50&lt;=Body!$BA$27),Body!$AY$22,IF(AND('Zdroj data'!BP50&gt;=Body!$BB$27,'Zdroj data'!BP50&lt;=Body!$BD$27),Body!$BB$22,IF(AND('Zdroj data'!BP50&gt;=Body!$BE$27,'Zdroj data'!BP50&lt;=Body!$BG$27),Body!$BE$22,IF(AND('Zdroj data'!BP50&gt;=Body!$BH$27,'Zdroj data'!BP50&lt;=Body!$BJ$27),Body!$BH$22,IF(AND('Zdroj data'!BP50&gt;=Body!$BK$27,'Zdroj data'!BP50&lt;=Body!$BM$27),Body!$BK$22,IF(AND('Zdroj data'!BP50&gt;=Body!$BN$27,'Zdroj data'!BP50&lt;=Body!$BP$27),Body!$BN$22,IF(AND('Zdroj data'!BP50&gt;=Body!$BQ$27,'Zdroj data'!BP50&lt;=Body!$BS$27),Body!$BQ$22,IF(AND('Zdroj data'!BP50&gt;=Body!$BT$27,'Zdroj data'!BP50&lt;=Body!$BV$27),Body!$BT$22,IF(AND('Zdroj data'!BP50&gt;=Body!$BW$27,'Zdroj data'!BP50&lt;=Body!$BY$27),Body!$BW$22,IF('Zdroj data'!BP50&gt;=Body!$CB$27,$BZ$22," "))))))))))</f>
        <v>9</v>
      </c>
      <c r="X50" s="264">
        <f>IF('Zdroj data'!BA50=Body!$BB$28,$BB$22,IF('Zdroj data'!BA50=Body!$BE$28,$BE$22,IF(OR('Zdroj data'!BA50=Body!$BK$28,'Zdroj data'!BA50=Body!$BL$28,'Zdroj data'!BA50=Body!$BM$28),$BK$22,IF(OR('Zdroj data'!BA50=Body!$BT$28,'Zdroj data'!BA50=Body!$BV$28),$BT$22,IF(OR('Zdroj data'!BA50=Body!$BW$28,'Zdroj data'!BA50=Body!$BY$28),$BW$22,IF('Zdroj data'!BA50=Body!$BZ$28,$BZ$22," "))))))</f>
        <v>9</v>
      </c>
      <c r="Y50" s="264">
        <f>IF('Zdroj data'!AZ50=Body!$BZ$29,Body!$BZ$22,IF(OR('Zdroj data'!AZ50=$BT$29,'Zdroj data'!AZ50=$BU$29,'Zdroj data'!AZ50=$BV$29),$BT$22,IF(OR('Zdroj data'!AZ50=$BK$29,'Zdroj data'!AZ50=$BM$29),$BK$22,IF(OR('Zdroj data'!AZ50=$BE$29,'Zdroj data'!AZ50=$BG$29),$BE$22,IF(OR('Zdroj data'!AZ50=$AY$29,'Zdroj data'!AZ50=$BA$29),$AY$22," ")))))</f>
        <v>8</v>
      </c>
      <c r="Z50" s="264">
        <f>IF(AND('Zdroj data'!BF50="T",(OR('Zdroj data'!AZ50=Body!$AW$45,'Zdroj data'!AZ50=Body!$AW$46,'Zdroj data'!AZ50=Body!$AW$47,'Zdroj data'!AZ50=Body!$AW$48))),Body!$AY$22,IF(AND('Zdroj data'!BF50="T",(OR('Zdroj data'!AZ50=$AW$49,'Zdroj data'!AZ50=$AW$50,'Zdroj data'!AZ50=$AW$51,'Zdroj data'!AZ50=$AW$52))),$BZ$22,IF(AND(OR('Zdroj data'!BF50="VT",'Zdroj data'!BF50="T",'Zdroj data'!BF50="CH"),(OR('Zdroj data'!AZ50=$AW$43,'Zdroj data'!AZ50=$AW$44,))),$BZ$22,IF(AND('Zdroj data'!BF50="CH",(OR('Zdroj data'!AZ50=$AW$49,'Zdroj data'!AZ50=$AW$50,'Zdroj data'!AZ50=$AW$51,'Zdroj data'!AZ50=$AW$52))),$AY$22,IF(AND('Zdroj data'!BF50="CH",(OR('Zdroj data'!AZ50=$AW$45,'Zdroj data'!AZ50=$AW$46,'Zdroj data'!AZ50=$AW$47,'Zdroj data'!AZ50=$AW$48))),$BZ$22," ")))))</f>
        <v>10</v>
      </c>
      <c r="AA50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50" s="264">
        <f>IF(Tabulka1[[#This Row],[kv.ek.]]=Body!$BK$35,Body!$BK$34,IF(Tabulka1[[#This Row],[kv.ek.]]=Body!$BZ$35,Body!$BZ$34," "))</f>
        <v>5</v>
      </c>
      <c r="AC50" s="264" t="str">
        <f>IF(AND('Zdroj data'!BF50="T",(OR('Zdroj data'!AZ50=Body!$AW$45,'Zdroj data'!AZ50=Body!$AW$46,'Zdroj data'!AZ50=Body!$AW$47,'Zdroj data'!AZ50=Body!$AW$48))),Body!$AY$22,IF(AND('Zdroj data'!BF50="T",(OR('Zdroj data'!AZ50=$AW$49,'Zdroj data'!AZ50=$AW$50,'Zdroj data'!AZ50=$AW$51,'Zdroj data'!AZ50=$AW$52))),$BZ$22," "))</f>
        <v xml:space="preserve"> </v>
      </c>
      <c r="AD50" s="264">
        <f>IF(AND(OR('Zdroj data'!BF50="VT",'Zdroj data'!BF50="T",'Zdroj data'!BF50="CH"),(OR('Zdroj data'!AZ50=$AW$43,'Zdroj data'!AZ50=$AW$44,))),$BZ$22," ")</f>
        <v>10</v>
      </c>
      <c r="AE50" s="264" t="str">
        <f>IF(AND('Zdroj data'!BF50="CH",(OR('Zdroj data'!AZ50=$AW$49,'Zdroj data'!AZ50=$AW$50,'Zdroj data'!AZ50=$AW$51,'Zdroj data'!AZ50=$AW$52))),$AY$22,IF(AND('Zdroj data'!BF50="CH",(OR('Zdroj data'!AZ50=$AW$45,'Zdroj data'!AZ50=$AW$46,'Zdroj data'!AZ50=$AW$47,'Zdroj data'!AZ50=$AW$48))),$BZ$22," "))</f>
        <v xml:space="preserve"> </v>
      </c>
      <c r="AF50" s="264">
        <f>IF(AND('Zdroj data'!BG50="L",'Zdroj data'!AM50=Body!$AX$15),IF(AND('Zdroj data'!O50&gt;=Body!$AY$15,'Zdroj data'!O50&lt;=Body!$BA$15),Body!AY$6,IF(AND('Zdroj data'!O50&gt;=Body!$BB$15,'Zdroj data'!O50&lt;=Body!$BD$15),Body!BB$6,IF(AND('Zdroj data'!O50&gt;=Body!$BE$15,'Zdroj data'!O50&lt;=Body!$BG$15),Body!BE$6,IF(AND('Zdroj data'!O50&gt;=Body!$BH$15,'Zdroj data'!O50&lt;=Body!$BJ$15),Body!BH$6,IF(AND('Zdroj data'!O50&gt;=Body!$BK$15,'Zdroj data'!O50&lt;=Body!$BM$15),Body!BK$6,IF(AND('Zdroj data'!O50&gt;=Body!$BN$15,'Zdroj data'!O50&lt;=Body!$BP$15),Body!$BN$6,IF(AND('Zdroj data'!O50&gt;=Body!$BQ$15,'Zdroj data'!O50&lt;=Body!$BS$15),Body!$BQ$6,IF(AND('Zdroj data'!O50&gt;=Body!$BT$15,'Zdroj data'!O50&lt;=Body!$BV$15),Body!BT$6,IF(AND('Zdroj data'!O50&gt;=Body!$BW$15,'Zdroj data'!O50&lt;=Body!$BY$15),Body!$BW$6,IF('Zdroj data'!O50&gt;=Body!$CB$15,Body!$BZ$6," ")))))))))),IF(AND('Zdroj data'!BG50="ST",'Zdroj data'!AM50=Body!$AX$16),IF(AND('Zdroj data'!O50&gt;=Body!$AY$16,'Zdroj data'!O50&lt;=Body!$BA$16),Body!$AY$6,IF(AND('Zdroj data'!O50&gt;=Body!$BB$16,'Zdroj data'!O50&lt;=Body!$BD$16),Body!$BB$6,IF(AND('Zdroj data'!O50&gt;=Body!$BE$16,'Zdroj data'!O50&lt;=Body!$BG$16),Body!$BE$6,IF(AND('Zdroj data'!O50&gt;=Body!$BH$16,'Zdroj data'!O50&lt;=Body!$BJ$16),Body!$BH$6,IF(AND('Zdroj data'!O50&gt;=Body!$BK$16,'Zdroj data'!O50&lt;=Body!$BM$16),Body!$BK$6,IF(AND('Zdroj data'!O50&gt;=Body!$BN$16,'Zdroj data'!O50&lt;=Body!$BP$16),Body!$BN$6,IF(AND('Zdroj data'!O50&gt;=Body!$BQ$16,'Zdroj data'!O50&lt;=Body!$BS$16),Body!$BQ$6,IF(AND('Zdroj data'!O50&gt;=Body!$BT$16,'Zdroj data'!O50&lt;=Body!$BV$16),Body!$BT$6,IF(AND('Zdroj data'!O50&gt;=Body!$BW$16,'Zdroj data'!O50&lt;=Body!$BY$16),Body!$BW$6,IF('Zdroj data'!O50&gt;=Body!$CB$16,Body!$BZ$6," ")))))))))),IF(AND('Zdroj data'!BG50="T",'Zdroj data'!AM50=Body!$AX$17),IF(AND('Zdroj data'!O50&gt;=Body!$AY$17,'Zdroj data'!O50&lt;=Body!$BA$17),Body!$AY$6,IF(AND('Zdroj data'!O50&gt;=Body!$BB$17,'Zdroj data'!O50&lt;=Body!$BD$17),Body!$BB$6,IF(AND('Zdroj data'!O50&gt;=Body!$BE$17,'Zdroj data'!O50&lt;=Body!$BG$17),Body!$BE$6,IF(AND('Zdroj data'!O50&gt;=Body!$BH$17,'Zdroj data'!O50&lt;=Body!#REF!),Body!$BH$6,IF(AND('Zdroj data'!O50&gt;=Body!$BK$17,'Zdroj data'!O50&lt;=Body!$BM$17),Body!$BK$6,IF(AND('Zdroj data'!O50&gt;=Body!$BN$17,'Zdroj data'!O50&lt;=Body!$BP$17),Body!$BN$6,IF(AND('Zdroj data'!O50&gt;=Body!$BQ$17,'Zdroj data'!O50&lt;=Body!$BS$17),Body!$BQ$6,IF(AND('Zdroj data'!O50&gt;=Body!$BT$17,'Zdroj data'!O50&lt;=Body!$BV$17),Body!$BT$6,IF(AND('Zdroj data'!O50&gt;=Body!$BW$17,'Zdroj data'!O50&lt;=Body!$BY$17),Body!$BW$6,IF('Zdroj data'!O50&gt;=Body!$CB$17,Body!$BZ$6," "))))))))))," ")))</f>
        <v>1</v>
      </c>
      <c r="AG50" s="264">
        <f>IF(AND('Zdroj data'!$BG50="L",'Zdroj data'!$AM50=Body!$AX$15),IF(AND(Tabulka1[[#This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data'!$BG50="ST",'Zdroj data'!$AM50=Body!$AX$16),IF(AND(Tabulka1[[#This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data'!$BG50="T",'Zdroj data'!$AM50=Body!$AX$17),IF(AND(Tabulka1[[#This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50" s="264" t="str">
        <f>IF(AND('Zdroj data'!BG50="L",'Zdroj data'!AM50=Body!$AX$18),IF(AND('Zdroj data'!O50&gt;=Body!$AY$18,'Zdroj data'!O50&lt;=Body!$BA$18),Body!AY$6,IF(AND('Zdroj data'!O50&gt;=Body!$BB$18,'Zdroj data'!O50&lt;=Body!$BD$18),Body!BB$6,IF(AND('Zdroj data'!O50&gt;=Body!$BE$18,'Zdroj data'!O50&lt;=Body!$BG$18),Body!BE$6,IF(AND('Zdroj data'!O50&gt;=Body!$BH$18,'Zdroj data'!O50&lt;=Body!$BJ$18),Body!BH$6,IF(AND('Zdroj data'!O50&gt;=Body!$BK$18,'Zdroj data'!O50&lt;=Body!$BM$18),Body!$BK$6,IF(AND('Zdroj data'!O50&gt;=Body!$BN$18,'Zdroj data'!O50&lt;=Body!$BP$18),Body!BN$6,IF(AND('Zdroj data'!O50&gt;=Body!$BQ$18,'Zdroj data'!O50&lt;=Body!$BS$18),Body!$BQ$6,IF(AND('Zdroj data'!O50&gt;=Body!$BT$18,'Zdroj data'!O50&lt;=Body!$BV$18),Body!$BT$6,IF(AND('Zdroj data'!O50&gt;=Body!$BW$18,'Zdroj data'!O50&lt;=Body!$BY$18),Body!$BW$6,IF('Zdroj data'!O50&gt;=Body!$CB$18,Body!$BZ$6," ")))))))))),IF(AND('Zdroj data'!BG50="ST",'Zdroj data'!AM50=Body!$AX$19),IF(AND('Zdroj data'!O50&gt;=Body!$AY$19,'Zdroj data'!O50&lt;=Body!$BA$19),Body!$AY$6,IF(AND('Zdroj data'!O50&gt;=Body!$BB$19,'Zdroj data'!O50&lt;=Body!$BD$19),Body!$BB$6,IF(AND('Zdroj data'!O50&gt;=Body!$BE$19,'Zdroj data'!O50&lt;=Body!$BG$19),Body!$BE$6,IF(AND('Zdroj data'!O50&gt;=Body!$BH$19,'Zdroj data'!O50&lt;=Body!$BJ$19),Body!$BH$6,IF(AND('Zdroj data'!O50&gt;=Body!$BK$19,'Zdroj data'!O50&lt;=Body!$BM$19),Body!$BK$6,IF(AND('Zdroj data'!O50&gt;=Body!$BN$19,'Zdroj data'!O50&lt;=Body!$BP$19),Body!$BN$6,IF(AND('Zdroj data'!O50&gt;=Body!$BQ$19,'Zdroj data'!O50&lt;=Body!$BS$19),Body!$BQ$6,IF(AND('Zdroj data'!O50&gt;=Body!$BT$19,'Zdroj data'!#REF!&lt;=Body!$BV$19),Body!$BT$6,IF(AND('Zdroj data'!O50&gt;=Body!$BW$19,'Zdroj data'!O50&lt;=Body!$BY$19),Body!$BW$6,IF('Zdroj data'!O50&gt;=Body!$CB$19,Body!$BZ$6," ")))))))))),IF(AND('Zdroj data'!BG50="T",'Zdroj data'!AM50=Body!$AX$20),IF(AND('Zdroj data'!O50&gt;=Body!$AY$20,'Zdroj data'!O50&lt;=Body!$BA$20),Body!$AY$6,IF(AND('Zdroj data'!O50&gt;=Body!$BB$20,'Zdroj data'!O50&lt;=Body!$BD$20),Body!$BB$6,IF(AND('Zdroj data'!O50&gt;=Body!$BE$20,'Zdroj data'!O50&lt;=Body!$BG$20),Body!$BE$6,IF(AND('Zdroj data'!O50&gt;=Body!$BH$20,'Zdroj data'!O50&lt;=Body!$BJ$20),Body!$BH$6,IF(AND('Zdroj data'!O50&gt;=Body!$BK$20,'Zdroj data'!O50&lt;=Body!$BM$20),Body!$BK$6,IF(AND('Zdroj data'!O50&gt;=Body!$BN$20,'Zdroj data'!O50&lt;=Body!$BP$20),Body!$BN$6,IF(AND('Zdroj data'!O50&gt;=Body!$BQ$20,'Zdroj data'!O50&lt;=Body!$BS$20),Body!$BQ$6,IF(AND('Zdroj data'!O50&gt;=Body!$BT$20,'Zdroj data'!O50&lt;=Body!#REF!),Body!$BT$6,IF(AND('Zdroj data'!O50&gt;=Body!$BW$20,'Zdroj data'!O50&lt;=Body!$BY$20),Body!$BW$6,IF('Zdroj data'!O50&gt;=Body!$CB$20,Body!$BZ$6," "))))))))))," ")))</f>
        <v xml:space="preserve"> </v>
      </c>
      <c r="AI50" s="264" t="str">
        <f>IF(AND('Zdroj data'!$BG50="L",'Zdroj data'!$AM50=Body!$AX$18),IF(AND(Tabulka1[[#This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data'!$BG50="ST",'Zdroj data'!$AM50=Body!$AX$19),IF(AND(Tabulka1[[#This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data'!$BG50="T",'Zdroj data'!$AM50=Body!$AX$20),IF(AND(Tabulka1[[#This Row],[K2O_60]]&gt;=Body!$AY$20,'Zdroj data'!O50&lt;=Body!$BA$20),Body!$AY$6,IF(AND(Tabulka1[[#This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50" s="265">
        <f t="shared" si="10"/>
        <v>8.0000000000000071</v>
      </c>
      <c r="AK50" s="264">
        <f t="shared" si="3"/>
        <v>38.607893517321834</v>
      </c>
      <c r="AL50" s="264">
        <f t="shared" si="4"/>
        <v>35.000391845310794</v>
      </c>
      <c r="AM50" s="264">
        <f t="shared" si="5"/>
        <v>55.755526731386645</v>
      </c>
      <c r="AN50" s="264">
        <f t="shared" si="6"/>
        <v>58.020275603118598</v>
      </c>
      <c r="AO50" s="265">
        <f t="shared" si="11"/>
        <v>94.363420248708479</v>
      </c>
      <c r="AP50" s="265">
        <f t="shared" si="12"/>
        <v>93.020667448429393</v>
      </c>
      <c r="AQ50" s="318"/>
      <c r="AR50" s="338">
        <f t="shared" si="7"/>
        <v>195.38408769713789</v>
      </c>
      <c r="AS50" s="318"/>
      <c r="AT50" s="138"/>
      <c r="AU50" s="138"/>
      <c r="AW50" s="130">
        <v>5</v>
      </c>
      <c r="AX50" s="66"/>
      <c r="AY50" s="66"/>
      <c r="AZ50" s="66"/>
      <c r="BA50" s="67"/>
      <c r="BB50" s="67"/>
      <c r="BC50" s="67"/>
      <c r="BD50" s="67"/>
      <c r="BE50" s="67"/>
      <c r="BF50" s="67"/>
      <c r="BG50" s="67"/>
      <c r="BH50" s="66"/>
      <c r="BI50" s="66"/>
      <c r="BJ50" s="273"/>
      <c r="BK50" s="66"/>
      <c r="BL50" s="66"/>
      <c r="BM50" s="66"/>
      <c r="BN50" s="22"/>
    </row>
    <row r="51" spans="1:81" ht="15.5" x14ac:dyDescent="0.35">
      <c r="A51" s="270">
        <v>1099</v>
      </c>
      <c r="B51" s="156" t="s">
        <v>556</v>
      </c>
      <c r="C51" s="250" t="str">
        <f>VLOOKUP(B51,'Zdroj hloubka okresy'!$A$2:$D$171,2,FALSE)</f>
        <v>Pribram</v>
      </c>
      <c r="D51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51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51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8</v>
      </c>
      <c r="G51" s="264">
        <f>IF(AND(Tabulka1[[#This Row],[hum_60]]&gt;AY57,Tabulka1[[#This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6</v>
      </c>
      <c r="H51" s="264">
        <f>IF(Tabulka1[[#This Row],[kv.ek.]]=Body!$AX$13,IF(AND('Zdroj data'!M51&gt;=Body!$AY$13,'Zdroj data'!M51&lt;=Body!$BA$13),Body!$AY$6,IF(AND('Zdroj data'!M51&gt;=Body!$BB$13,'Zdroj data'!M51&lt;=Body!$BD$13),Body!$BB$6,IF(AND('Zdroj data'!M51&gt;=Body!$BE$13,'Zdroj data'!M51&lt;=Body!$BG$13),Body!$BE$6,IF(AND('Zdroj data'!M51&gt;=Body!$BH$13,'Zdroj data'!M51&lt;=Body!$BJ$13),Body!$BH$6,IF(AND('Zdroj data'!M51&gt;=Body!$BK$13,'Zdroj data'!M51&lt;=Body!$BM$13),Body!$BK$6,IF(AND('Zdroj data'!M51&gt;=Body!$BN$13,'Zdroj data'!M51&lt;=Body!$BP$13),Body!$BN$6,IF(AND('Zdroj data'!M51&gt;=Body!$BQ$13,'Zdroj data'!M51&lt;=Body!$BS$13),Body!$BQ$6,IF(AND('Zdroj data'!M51&gt;=Body!$BT$13,'Zdroj data'!M51&lt;=Body!$BV$13),Body!$BT$6,IF(AND('Zdroj data'!M51&gt;=Body!$BW$13,'Zdroj data'!M51&lt;=Body!$BY$13),Body!$BW$6,IF('Zdroj data'!M51&gt;=Body!$CB$13,Body!$BZ$6,"")))))))))),IF(Tabulka1[[#This Row],[kv.ek.]]=Body!$AX$14,IF(AND('Zdroj data'!N51&gt;=Body!$AY$14,'Zdroj data'!N51&lt;=Body!$BA$14),Body!$AY$6,IF(AND('Zdroj data'!N51&gt;=Body!$BB$14,'Zdroj data'!N51&lt;=Body!$BD$14),Body!$BB$6,IF(AND('Zdroj data'!N51&gt;=Body!$BE$14,'Zdroj data'!N51&lt;=Body!$BG$14),Body!$BE$6,IF(AND('Zdroj data'!N51&gt;=Body!$BH$14,'Zdroj data'!N51&lt;=Body!$BJ$14),Body!$BH$6,IF(AND('Zdroj data'!N51&gt;=Body!$BK$14,'Zdroj data'!N51&lt;=Body!$BM$14),Body!$BK$6,IF(AND('Zdroj data'!N51&gt;=Body!$BN$14,'Zdroj data'!N51&lt;=Body!$BP$14),Body!$BN$6,IF(AND('Zdroj data'!N51&gt;=Body!$BQ$14,'Zdroj data'!N51&lt;=Body!$BS$14),Body!$BQ$6,IF(AND('Zdroj data'!N51&gt;=Body!$BT$14,'Zdroj data'!N51&lt;=Body!$BV$14),Body!$BT$6,IF(AND('Zdroj data'!N51&gt;=Body!$BW$14,'Zdroj data'!N51&lt;=Body!$BY$14),Body!$BW$6,IF('Zdroj data'!N51&gt;=Body!$CB$14,Body!$BZ$6,"")))))))))),""))</f>
        <v>1</v>
      </c>
      <c r="I51" s="264">
        <f>IF(Tabulka1[[#This Row],[kv.ek.]]=Body!$AX$13,IF(AND('Zdroj data'!N51&gt;=Body!$AY$13,'Zdroj data'!N51&lt;=Body!$BA$13),Body!$AY$6,IF(AND('Zdroj data'!N51&gt;=Body!$BB$13,'Zdroj data'!N51&lt;=Body!$BD$13),Body!$BB$6,IF(AND('Zdroj data'!N51&gt;=Body!$BE$13,'Zdroj data'!N51&lt;=Body!$BG$13),Body!$BE$6,IF(AND('Zdroj data'!N51&gt;=Body!$BH$13,'Zdroj data'!N51&lt;=Body!$BJ$13),Body!$BH$6,IF(AND('Zdroj data'!N51&gt;=Body!$BK$13,'Zdroj data'!N51&lt;=Body!$BM$13),Body!$BK$6,IF(AND('Zdroj data'!N51&gt;=Body!$BN$13,'Zdroj data'!N51&lt;=Body!$BP$13),Body!$BN$6,IF(AND('Zdroj data'!N51&gt;=Body!$BQ$13,'Zdroj data'!N51&lt;=Body!$BS$13),Body!$BQ$6,IF(AND('Zdroj data'!N51&gt;=Body!$BT$13,'Zdroj data'!N51&lt;=Body!$BV$13),Body!$BT$6,IF(AND('Zdroj data'!N51&gt;=Body!$BW$13,'Zdroj data'!N51&lt;=Body!$BY$13),Body!$BW$6,IF('Zdroj data'!N51&gt;=Body!$CB$13,Body!$BZ$6," ")))))))))),IF(Tabulka1[[#This Row],[kv.ek.]]=Body!$AX$14,IF(AND('Zdroj data'!O51&gt;=Body!$AY$14,'Zdroj data'!O51&lt;=Body!$BA$14),Body!$AY$6,IF(AND('Zdroj data'!O51&gt;=Body!$BB$14,'Zdroj data'!O51&lt;=Body!$BD$14),Body!$BB$6,IF(AND('Zdroj data'!O51&gt;=Body!$BE$14,'Zdroj data'!O51&lt;=Body!$BG$14),Body!$BE$6,IF(AND('Zdroj data'!O51&gt;=Body!$BH$14,'Zdroj data'!O51&lt;=Body!$BJ$14),Body!$BH$6,IF(AND('Zdroj data'!O51&gt;=Body!$BK$14,'Zdroj data'!O51&lt;=Body!$BM$14),Body!$BK$6,IF(AND('Zdroj data'!O51&gt;=Body!$BN$14,'Zdroj data'!O51&lt;=Body!$BP$14),Body!$BN$6,IF(AND('Zdroj data'!O51&gt;=Body!$BQ$14,'Zdroj data'!O51&lt;=Body!$BS$14),Body!$BQ$6,IF(AND('Zdroj data'!O51&gt;=Body!$BT$14,'Zdroj data'!O51&lt;=Body!$BV$14),Body!$BT$6,IF(AND('Zdroj data'!O51&gt;=Body!$BW$14,'Zdroj data'!O51&lt;=Body!$BY$14),Body!$BW$6,IF('Zdroj data'!O51&gt;=Body!$CB$14,Body!$BZ$6," "))))))))))," "))</f>
        <v>7</v>
      </c>
      <c r="J51" s="264">
        <f t="shared" si="8"/>
        <v>2</v>
      </c>
      <c r="K51" s="264">
        <f t="shared" si="9"/>
        <v>2</v>
      </c>
      <c r="L51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9</v>
      </c>
      <c r="M51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8</v>
      </c>
      <c r="N51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51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6</v>
      </c>
      <c r="P51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51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51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51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51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51" s="264">
        <f>IF('Zdroj data'!BB51=Body!$AY$25,Body!$AY$22,IF('Zdroj data'!BB51=Body!$BB$25,Body!$BB$22,IF('Zdroj data'!BB51=Body!$BE$25,Body!$BE$22,IF('Zdroj data'!BB51=Body!$BH$25,Body!$BH$22,IF('Zdroj data'!BB51=Body!BK$25,Body!$BK$22,IF('Zdroj data'!BB51=Body!$BN$25,Body!$BN$22,IF('Zdroj data'!BB51=Body!$BQ$25,Body!$BQ$22,IF('Zdroj data'!BB51=Body!$BT$25,Body!$BT$22,IF('Zdroj data'!BB51=Body!$BW$25,Body!$BW$22,IF('Zdroj data'!BB51=Body!$BZ$25,Body!$BZ$22," "))))))))))</f>
        <v>5</v>
      </c>
      <c r="V51" s="264">
        <f>IF(AND('Zdroj data'!BO51&gt;Body!$AY$27,'Zdroj data'!BO51&lt;=Body!$BA$27),Body!$AY$22,IF(AND('Zdroj data'!BO51&gt;=Body!$BB$27,'Zdroj data'!BO51&lt;=Body!$BD$27),Body!$BB$22,IF(AND('Zdroj data'!BO51&gt;=Body!$BE$27,'Zdroj data'!BO51&lt;=Body!$BG$27),Body!$BE$22,IF(AND('Zdroj data'!BO51&gt;=Body!$BH$27,'Zdroj data'!BO51&lt;=Body!$BJ$27),Body!$BH$22,IF(AND('Zdroj data'!BO51&gt;=Body!$BK$27,'Zdroj data'!BO51&lt;=Body!$BM$27),Body!$BK$22,IF(AND('Zdroj data'!BO51&gt;=Body!$BN$27,'Zdroj data'!BO51&lt;=Body!$BP$27),Body!$BN$22,IF(AND('Zdroj data'!BO51&gt;=Body!$BQ$27,'Zdroj data'!BO51&lt;=Body!$BS$27),Body!$BQ$22,IF(AND('Zdroj data'!BO51&gt;=Body!$BT$27,'Zdroj data'!BO51&lt;=Body!$BV$27),Body!$BT$22,IF(AND('Zdroj data'!BO51&gt;=Body!$BW$27,'Zdroj data'!BO51&lt;=Body!$BY$27),Body!$BW$22,IF('Zdroj data'!BO51&gt;=Body!$CB$27,$BZ$22," "))))))))))</f>
        <v>6</v>
      </c>
      <c r="W51" s="264">
        <f>IF(AND('Zdroj data'!BP51&gt;Body!$AY$27,'Zdroj data'!BP51&lt;=Body!$BA$27),Body!$AY$22,IF(AND('Zdroj data'!BP51&gt;=Body!$BB$27,'Zdroj data'!BP51&lt;=Body!$BD$27),Body!$BB$22,IF(AND('Zdroj data'!BP51&gt;=Body!$BE$27,'Zdroj data'!BP51&lt;=Body!$BG$27),Body!$BE$22,IF(AND('Zdroj data'!BP51&gt;=Body!$BH$27,'Zdroj data'!BP51&lt;=Body!$BJ$27),Body!$BH$22,IF(AND('Zdroj data'!BP51&gt;=Body!$BK$27,'Zdroj data'!BP51&lt;=Body!$BM$27),Body!$BK$22,IF(AND('Zdroj data'!BP51&gt;=Body!$BN$27,'Zdroj data'!BP51&lt;=Body!$BP$27),Body!$BN$22,IF(AND('Zdroj data'!BP51&gt;=Body!$BQ$27,'Zdroj data'!BP51&lt;=Body!$BS$27),Body!$BQ$22,IF(AND('Zdroj data'!BP51&gt;=Body!$BT$27,'Zdroj data'!BP51&lt;=Body!$BV$27),Body!$BT$22,IF(AND('Zdroj data'!BP51&gt;=Body!$BW$27,'Zdroj data'!BP51&lt;=Body!$BY$27),Body!$BW$22,IF('Zdroj data'!BP51&gt;=Body!$CB$27,$BZ$22," "))))))))))</f>
        <v>10</v>
      </c>
      <c r="X51" s="264">
        <f>IF('Zdroj data'!BA51=Body!$BB$28,$BB$22,IF('Zdroj data'!BA51=Body!$BE$28,$BE$22,IF(OR('Zdroj data'!BA51=Body!$BK$28,'Zdroj data'!BA51=Body!$BL$28,'Zdroj data'!BA51=Body!$BM$28),$BK$22,IF(OR('Zdroj data'!BA51=Body!$BT$28,'Zdroj data'!BA51=Body!$BV$28),$BT$22,IF(OR('Zdroj data'!BA51=Body!$BW$28,'Zdroj data'!BA51=Body!$BY$28),$BW$22,IF('Zdroj data'!BA51=Body!$BZ$28,$BZ$22," "))))))</f>
        <v>5</v>
      </c>
      <c r="Y51" s="264">
        <f>IF('Zdroj data'!AZ51=Body!$BZ$29,Body!$BZ$22,IF(OR('Zdroj data'!AZ51=$BT$29,'Zdroj data'!AZ51=$BU$29,'Zdroj data'!AZ51=$BV$29),$BT$22,IF(OR('Zdroj data'!AZ51=$BK$29,'Zdroj data'!AZ51=$BM$29),$BK$22,IF(OR('Zdroj data'!AZ51=$BE$29,'Zdroj data'!AZ51=$BG$29),$BE$22,IF(OR('Zdroj data'!AZ51=$AY$29,'Zdroj data'!AZ51=$BA$29),$AY$22," ")))))</f>
        <v>8</v>
      </c>
      <c r="Z51" s="264">
        <f>IF(AND('Zdroj data'!BF51="T",(OR('Zdroj data'!AZ51=Body!$AW$45,'Zdroj data'!AZ51=Body!$AW$46,'Zdroj data'!AZ51=Body!$AW$47,'Zdroj data'!AZ51=Body!$AW$48))),Body!$AY$22,IF(AND('Zdroj data'!BF51="T",(OR('Zdroj data'!AZ51=$AW$49,'Zdroj data'!AZ51=$AW$50,'Zdroj data'!AZ51=$AW$51,'Zdroj data'!AZ51=$AW$52))),$BZ$22,IF(AND(OR('Zdroj data'!BF51="VT",'Zdroj data'!BF51="T",'Zdroj data'!BF51="CH"),(OR('Zdroj data'!AZ51=$AW$43,'Zdroj data'!AZ51=$AW$44,))),$BZ$22,IF(AND('Zdroj data'!BF51="CH",(OR('Zdroj data'!AZ51=$AW$49,'Zdroj data'!AZ51=$AW$50,'Zdroj data'!AZ51=$AW$51,'Zdroj data'!AZ51=$AW$52))),$AY$22,IF(AND('Zdroj data'!BF51="CH",(OR('Zdroj data'!AZ51=$AW$45,'Zdroj data'!AZ51=$AW$46,'Zdroj data'!AZ51=$AW$47,'Zdroj data'!AZ51=$AW$48))),$BZ$22," ")))))</f>
        <v>10</v>
      </c>
      <c r="AA51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51" s="264">
        <f>IF(Tabulka1[[#This Row],[kv.ek.]]=Body!$BK$35,Body!$BK$34,IF(Tabulka1[[#This Row],[kv.ek.]]=Body!$BZ$35,Body!$BZ$34," "))</f>
        <v>10</v>
      </c>
      <c r="AC51" s="264" t="str">
        <f>IF(AND('Zdroj data'!BF51="T",(OR('Zdroj data'!AZ51=Body!$AW$45,'Zdroj data'!AZ51=Body!$AW$46,'Zdroj data'!AZ51=Body!$AW$47,'Zdroj data'!AZ51=Body!$AW$48))),Body!$AY$22,IF(AND('Zdroj data'!BF51="T",(OR('Zdroj data'!AZ51=$AW$49,'Zdroj data'!AZ51=$AW$50,'Zdroj data'!AZ51=$AW$51,'Zdroj data'!AZ51=$AW$52))),$BZ$22," "))</f>
        <v xml:space="preserve"> </v>
      </c>
      <c r="AD51" s="264">
        <f>IF(AND(OR('Zdroj data'!BF51="VT",'Zdroj data'!BF51="T",'Zdroj data'!BF51="CH"),(OR('Zdroj data'!AZ51=$AW$43,'Zdroj data'!AZ51=$AW$44,))),$BZ$22," ")</f>
        <v>10</v>
      </c>
      <c r="AE51" s="264" t="str">
        <f>IF(AND('Zdroj data'!BF51="CH",(OR('Zdroj data'!AZ51=$AW$49,'Zdroj data'!AZ51=$AW$50,'Zdroj data'!AZ51=$AW$51,'Zdroj data'!AZ51=$AW$52))),$AY$22,IF(AND('Zdroj data'!BF51="CH",(OR('Zdroj data'!AZ51=$AW$45,'Zdroj data'!AZ51=$AW$46,'Zdroj data'!AZ51=$AW$47,'Zdroj data'!AZ51=$AW$48))),$BZ$22," "))</f>
        <v xml:space="preserve"> </v>
      </c>
      <c r="AF51" s="264" t="str">
        <f>IF(AND('Zdroj data'!BG51="L",'Zdroj data'!AM51=Body!$AX$15),IF(AND('Zdroj data'!O51&gt;=Body!$AY$15,'Zdroj data'!O51&lt;=Body!$BA$15),Body!AY$6,IF(AND('Zdroj data'!O51&gt;=Body!$BB$15,'Zdroj data'!O51&lt;=Body!$BD$15),Body!BB$6,IF(AND('Zdroj data'!O51&gt;=Body!$BE$15,'Zdroj data'!O51&lt;=Body!$BG$15),Body!BE$6,IF(AND('Zdroj data'!O51&gt;=Body!$BH$15,'Zdroj data'!O51&lt;=Body!$BJ$15),Body!BH$6,IF(AND('Zdroj data'!O51&gt;=Body!$BK$15,'Zdroj data'!O51&lt;=Body!$BM$15),Body!BK$6,IF(AND('Zdroj data'!O51&gt;=Body!$BN$15,'Zdroj data'!O51&lt;=Body!$BP$15),Body!$BN$6,IF(AND('Zdroj data'!O51&gt;=Body!$BQ$15,'Zdroj data'!O51&lt;=Body!$BS$15),Body!$BQ$6,IF(AND('Zdroj data'!O51&gt;=Body!$BT$15,'Zdroj data'!O51&lt;=Body!$BV$15),Body!BT$6,IF(AND('Zdroj data'!O51&gt;=Body!$BW$15,'Zdroj data'!O51&lt;=Body!$BY$15),Body!$BW$6,IF('Zdroj data'!O51&gt;=Body!$CB$15,Body!$BZ$6," ")))))))))),IF(AND('Zdroj data'!BG51="ST",'Zdroj data'!AM51=Body!$AX$16),IF(AND('Zdroj data'!O51&gt;=Body!$AY$16,'Zdroj data'!O51&lt;=Body!$BA$16),Body!$AY$6,IF(AND('Zdroj data'!O51&gt;=Body!$BB$16,'Zdroj data'!O51&lt;=Body!$BD$16),Body!$BB$6,IF(AND('Zdroj data'!O51&gt;=Body!$BE$16,'Zdroj data'!O51&lt;=Body!$BG$16),Body!$BE$6,IF(AND('Zdroj data'!O51&gt;=Body!$BH$16,'Zdroj data'!O51&lt;=Body!$BJ$16),Body!$BH$6,IF(AND('Zdroj data'!O51&gt;=Body!$BK$16,'Zdroj data'!O51&lt;=Body!$BM$16),Body!$BK$6,IF(AND('Zdroj data'!O51&gt;=Body!$BN$16,'Zdroj data'!O51&lt;=Body!$BP$16),Body!$BN$6,IF(AND('Zdroj data'!O51&gt;=Body!$BQ$16,'Zdroj data'!O51&lt;=Body!$BS$16),Body!$BQ$6,IF(AND('Zdroj data'!O51&gt;=Body!$BT$16,'Zdroj data'!O51&lt;=Body!$BV$16),Body!$BT$6,IF(AND('Zdroj data'!O51&gt;=Body!$BW$16,'Zdroj data'!O51&lt;=Body!$BY$16),Body!$BW$6,IF('Zdroj data'!O51&gt;=Body!$CB$16,Body!$BZ$6," ")))))))))),IF(AND('Zdroj data'!BG51="T",'Zdroj data'!AM51=Body!$AX$17),IF(AND('Zdroj data'!O51&gt;=Body!$AY$17,'Zdroj data'!O51&lt;=Body!$BA$17),Body!$AY$6,IF(AND('Zdroj data'!O51&gt;=Body!$BB$17,'Zdroj data'!O51&lt;=Body!$BD$17),Body!$BB$6,IF(AND('Zdroj data'!O51&gt;=Body!$BE$17,'Zdroj data'!O51&lt;=Body!$BG$17),Body!$BE$6,IF(AND('Zdroj data'!O51&gt;=Body!$BH$17,'Zdroj data'!O51&lt;=Body!#REF!),Body!$BH$6,IF(AND('Zdroj data'!O51&gt;=Body!$BK$17,'Zdroj data'!O51&lt;=Body!$BM$17),Body!$BK$6,IF(AND('Zdroj data'!O51&gt;=Body!$BN$17,'Zdroj data'!O51&lt;=Body!$BP$17),Body!$BN$6,IF(AND('Zdroj data'!O51&gt;=Body!$BQ$17,'Zdroj data'!O51&lt;=Body!$BS$17),Body!$BQ$6,IF(AND('Zdroj data'!O51&gt;=Body!$BT$17,'Zdroj data'!O51&lt;=Body!$BV$17),Body!$BT$6,IF(AND('Zdroj data'!O51&gt;=Body!$BW$17,'Zdroj data'!O51&lt;=Body!$BY$17),Body!$BW$6,IF('Zdroj data'!O51&gt;=Body!$CB$17,Body!$BZ$6," "))))))))))," ")))</f>
        <v xml:space="preserve"> </v>
      </c>
      <c r="AG51" s="264" t="str">
        <f>IF(AND('Zdroj data'!$BG51="L",'Zdroj data'!$AM51=Body!$AX$15),IF(AND(Tabulka1[[#This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data'!$BG51="ST",'Zdroj data'!$AM51=Body!$AX$16),IF(AND(Tabulka1[[#This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data'!$BG51="T",'Zdroj data'!$AM51=Body!$AX$17),IF(AND(Tabulka1[[#This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51" s="264">
        <f>IF(AND('Zdroj data'!BG51="L",'Zdroj data'!AM51=Body!$AX$18),IF(AND('Zdroj data'!O51&gt;=Body!$AY$18,'Zdroj data'!O51&lt;=Body!$BA$18),Body!AY$6,IF(AND('Zdroj data'!O51&gt;=Body!$BB$18,'Zdroj data'!O51&lt;=Body!$BD$18),Body!BB$6,IF(AND('Zdroj data'!O51&gt;=Body!$BE$18,'Zdroj data'!O51&lt;=Body!$BG$18),Body!BE$6,IF(AND('Zdroj data'!O51&gt;=Body!$BH$18,'Zdroj data'!O51&lt;=Body!$BJ$18),Body!BH$6,IF(AND('Zdroj data'!O51&gt;=Body!$BK$18,'Zdroj data'!O51&lt;=Body!$BM$18),Body!$BK$6,IF(AND('Zdroj data'!O51&gt;=Body!$BN$18,'Zdroj data'!O51&lt;=Body!$BP$18),Body!BN$6,IF(AND('Zdroj data'!O51&gt;=Body!$BQ$18,'Zdroj data'!O51&lt;=Body!$BS$18),Body!$BQ$6,IF(AND('Zdroj data'!O51&gt;=Body!$BT$18,'Zdroj data'!O51&lt;=Body!$BV$18),Body!$BT$6,IF(AND('Zdroj data'!O51&gt;=Body!$BW$18,'Zdroj data'!O51&lt;=Body!$BY$18),Body!$BW$6,IF('Zdroj data'!O51&gt;=Body!$CB$18,Body!$BZ$6," ")))))))))),IF(AND('Zdroj data'!BG51="ST",'Zdroj data'!AM51=Body!$AX$19),IF(AND('Zdroj data'!O51&gt;=Body!$AY$19,'Zdroj data'!O51&lt;=Body!$BA$19),Body!$AY$6,IF(AND('Zdroj data'!O51&gt;=Body!$BB$19,'Zdroj data'!O51&lt;=Body!$BD$19),Body!$BB$6,IF(AND('Zdroj data'!O51&gt;=Body!$BE$19,'Zdroj data'!O51&lt;=Body!$BG$19),Body!$BE$6,IF(AND('Zdroj data'!O51&gt;=Body!$BH$19,'Zdroj data'!O51&lt;=Body!$BJ$19),Body!$BH$6,IF(AND('Zdroj data'!O51&gt;=Body!$BK$19,'Zdroj data'!O51&lt;=Body!$BM$19),Body!$BK$6,IF(AND('Zdroj data'!O51&gt;=Body!$BN$19,'Zdroj data'!O51&lt;=Body!$BP$19),Body!$BN$6,IF(AND('Zdroj data'!O51&gt;=Body!$BQ$19,'Zdroj data'!O51&lt;=Body!$BS$19),Body!$BQ$6,IF(AND('Zdroj data'!O51&gt;=Body!$BT$19,'Zdroj data'!#REF!&lt;=Body!$BV$19),Body!$BT$6,IF(AND('Zdroj data'!O51&gt;=Body!$BW$19,'Zdroj data'!O51&lt;=Body!$BY$19),Body!$BW$6,IF('Zdroj data'!O51&gt;=Body!$CB$19,Body!$BZ$6," ")))))))))),IF(AND('Zdroj data'!BG51="T",'Zdroj data'!AM51=Body!$AX$20),IF(AND('Zdroj data'!O51&gt;=Body!$AY$20,'Zdroj data'!O51&lt;=Body!$BA$20),Body!$AY$6,IF(AND('Zdroj data'!O51&gt;=Body!$BB$20,'Zdroj data'!O51&lt;=Body!$BD$20),Body!$BB$6,IF(AND('Zdroj data'!O51&gt;=Body!$BE$20,'Zdroj data'!O51&lt;=Body!$BG$20),Body!$BE$6,IF(AND('Zdroj data'!O51&gt;=Body!$BH$20,'Zdroj data'!O51&lt;=Body!$BJ$20),Body!$BH$6,IF(AND('Zdroj data'!O51&gt;=Body!$BK$20,'Zdroj data'!O51&lt;=Body!$BM$20),Body!$BK$6,IF(AND('Zdroj data'!O51&gt;=Body!$BN$20,'Zdroj data'!O51&lt;=Body!$BP$20),Body!$BN$6,IF(AND('Zdroj data'!O51&gt;=Body!$BQ$20,'Zdroj data'!O51&lt;=Body!$BS$20),Body!$BQ$6,IF(AND('Zdroj data'!O51&gt;=Body!$BT$20,'Zdroj data'!O51&lt;=Body!#REF!),Body!$BT$6,IF(AND('Zdroj data'!O51&gt;=Body!$BW$20,'Zdroj data'!O51&lt;=Body!$BY$20),Body!$BW$6,IF('Zdroj data'!O51&gt;=Body!$CB$20,Body!$BZ$6," "))))))))))," ")))</f>
        <v>2</v>
      </c>
      <c r="AI51" s="264">
        <f>IF(AND('Zdroj data'!$BG51="L",'Zdroj data'!$AM51=Body!$AX$18),IF(AND(Tabulka1[[#This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data'!$BG51="ST",'Zdroj data'!$AM51=Body!$AX$19),IF(AND(Tabulka1[[#This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data'!$BG51="T",'Zdroj data'!$AM51=Body!$AX$20),IF(AND(Tabulka1[[#This Row],[K2O_60]]&gt;=Body!$AY$20,'Zdroj data'!O51&lt;=Body!$BA$20),Body!$AY$6,IF(AND(Tabulka1[[#This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2</v>
      </c>
      <c r="AJ51" s="265">
        <f t="shared" si="10"/>
        <v>16.000000000000014</v>
      </c>
      <c r="AK51" s="264">
        <f t="shared" si="3"/>
        <v>37.838818472477158</v>
      </c>
      <c r="AL51" s="264">
        <f t="shared" si="4"/>
        <v>34.479599573738092</v>
      </c>
      <c r="AM51" s="264">
        <f t="shared" si="5"/>
        <v>62.171141712436025</v>
      </c>
      <c r="AN51" s="264">
        <f t="shared" si="6"/>
        <v>76.176762455395973</v>
      </c>
      <c r="AO51" s="265">
        <f t="shared" si="11"/>
        <v>100.00996018491318</v>
      </c>
      <c r="AP51" s="265">
        <f t="shared" si="12"/>
        <v>110.65636202913407</v>
      </c>
      <c r="AQ51" s="318"/>
      <c r="AR51" s="338">
        <f t="shared" si="7"/>
        <v>226.66632221404728</v>
      </c>
      <c r="AS51" s="318"/>
      <c r="AT51" s="138"/>
      <c r="AU51" s="138"/>
      <c r="AW51" s="130">
        <v>7</v>
      </c>
      <c r="AX51" s="66"/>
      <c r="AY51" s="66"/>
      <c r="AZ51" s="66"/>
      <c r="BA51" s="149"/>
      <c r="BB51" s="149"/>
      <c r="BC51" s="150"/>
      <c r="BD51" s="149"/>
      <c r="BE51" s="150"/>
      <c r="BF51" s="150"/>
      <c r="BG51" s="150"/>
      <c r="BH51" s="150"/>
      <c r="BI51" s="274"/>
      <c r="BJ51" s="273"/>
      <c r="BK51" s="66"/>
      <c r="BL51" s="66"/>
      <c r="BM51" s="66"/>
      <c r="BN51" s="22"/>
      <c r="BO51" s="149"/>
      <c r="BP51" s="149"/>
      <c r="BQ51" s="149"/>
      <c r="BR51" s="151"/>
      <c r="BS51" s="149"/>
      <c r="BT51" s="149"/>
      <c r="BU51" s="151"/>
      <c r="BV51" s="149"/>
      <c r="BW51" s="149"/>
      <c r="BX51" s="151"/>
      <c r="BY51" s="149"/>
      <c r="BZ51" s="149"/>
      <c r="CA51" s="149"/>
      <c r="CB51" s="149"/>
      <c r="CC51" s="135"/>
    </row>
    <row r="52" spans="1:81" ht="15.5" x14ac:dyDescent="0.35">
      <c r="A52" s="270">
        <v>1102</v>
      </c>
      <c r="B52" s="156" t="s">
        <v>112</v>
      </c>
      <c r="C52" s="250" t="str">
        <f>VLOOKUP(B52,'Zdroj hloubka okresy'!$A$2:$D$171,2,FALSE)</f>
        <v>Pribram</v>
      </c>
      <c r="D52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52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52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10</v>
      </c>
      <c r="G52" s="264">
        <f>IF(AND(Tabulka1[[#This Row],[hum_60]]&gt;AY58,Tabulka1[[#This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10</v>
      </c>
      <c r="H52" s="264">
        <f>IF(Tabulka1[[#This Row],[kv.ek.]]=Body!$AX$13,IF(AND('Zdroj data'!M52&gt;=Body!$AY$13,'Zdroj data'!M52&lt;=Body!$BA$13),Body!$AY$6,IF(AND('Zdroj data'!M52&gt;=Body!$BB$13,'Zdroj data'!M52&lt;=Body!$BD$13),Body!$BB$6,IF(AND('Zdroj data'!M52&gt;=Body!$BE$13,'Zdroj data'!M52&lt;=Body!$BG$13),Body!$BE$6,IF(AND('Zdroj data'!M52&gt;=Body!$BH$13,'Zdroj data'!M52&lt;=Body!$BJ$13),Body!$BH$6,IF(AND('Zdroj data'!M52&gt;=Body!$BK$13,'Zdroj data'!M52&lt;=Body!$BM$13),Body!$BK$6,IF(AND('Zdroj data'!M52&gt;=Body!$BN$13,'Zdroj data'!M52&lt;=Body!$BP$13),Body!$BN$6,IF(AND('Zdroj data'!M52&gt;=Body!$BQ$13,'Zdroj data'!M52&lt;=Body!$BS$13),Body!$BQ$6,IF(AND('Zdroj data'!M52&gt;=Body!$BT$13,'Zdroj data'!M52&lt;=Body!$BV$13),Body!$BT$6,IF(AND('Zdroj data'!M52&gt;=Body!$BW$13,'Zdroj data'!M52&lt;=Body!$BY$13),Body!$BW$6,IF('Zdroj data'!M52&gt;=Body!$CB$13,Body!$BZ$6,"")))))))))),IF(Tabulka1[[#This Row],[kv.ek.]]=Body!$AX$14,IF(AND('Zdroj data'!N52&gt;=Body!$AY$14,'Zdroj data'!N52&lt;=Body!$BA$14),Body!$AY$6,IF(AND('Zdroj data'!N52&gt;=Body!$BB$14,'Zdroj data'!N52&lt;=Body!$BD$14),Body!$BB$6,IF(AND('Zdroj data'!N52&gt;=Body!$BE$14,'Zdroj data'!N52&lt;=Body!$BG$14),Body!$BE$6,IF(AND('Zdroj data'!N52&gt;=Body!$BH$14,'Zdroj data'!N52&lt;=Body!$BJ$14),Body!$BH$6,IF(AND('Zdroj data'!N52&gt;=Body!$BK$14,'Zdroj data'!N52&lt;=Body!$BM$14),Body!$BK$6,IF(AND('Zdroj data'!N52&gt;=Body!$BN$14,'Zdroj data'!N52&lt;=Body!$BP$14),Body!$BN$6,IF(AND('Zdroj data'!N52&gt;=Body!$BQ$14,'Zdroj data'!N52&lt;=Body!$BS$14),Body!$BQ$6,IF(AND('Zdroj data'!N52&gt;=Body!$BT$14,'Zdroj data'!N52&lt;=Body!$BV$14),Body!$BT$6,IF(AND('Zdroj data'!N52&gt;=Body!$BW$14,'Zdroj data'!N52&lt;=Body!$BY$14),Body!$BW$6,IF('Zdroj data'!N52&gt;=Body!$CB$14,Body!$BZ$6,"")))))))))),""))</f>
        <v>1</v>
      </c>
      <c r="I52" s="264">
        <f>IF(Tabulka1[[#This Row],[kv.ek.]]=Body!$AX$13,IF(AND('Zdroj data'!N52&gt;=Body!$AY$13,'Zdroj data'!N52&lt;=Body!$BA$13),Body!$AY$6,IF(AND('Zdroj data'!N52&gt;=Body!$BB$13,'Zdroj data'!N52&lt;=Body!$BD$13),Body!$BB$6,IF(AND('Zdroj data'!N52&gt;=Body!$BE$13,'Zdroj data'!N52&lt;=Body!$BG$13),Body!$BE$6,IF(AND('Zdroj data'!N52&gt;=Body!$BH$13,'Zdroj data'!N52&lt;=Body!$BJ$13),Body!$BH$6,IF(AND('Zdroj data'!N52&gt;=Body!$BK$13,'Zdroj data'!N52&lt;=Body!$BM$13),Body!$BK$6,IF(AND('Zdroj data'!N52&gt;=Body!$BN$13,'Zdroj data'!N52&lt;=Body!$BP$13),Body!$BN$6,IF(AND('Zdroj data'!N52&gt;=Body!$BQ$13,'Zdroj data'!N52&lt;=Body!$BS$13),Body!$BQ$6,IF(AND('Zdroj data'!N52&gt;=Body!$BT$13,'Zdroj data'!N52&lt;=Body!$BV$13),Body!$BT$6,IF(AND('Zdroj data'!N52&gt;=Body!$BW$13,'Zdroj data'!N52&lt;=Body!$BY$13),Body!$BW$6,IF('Zdroj data'!N52&gt;=Body!$CB$13,Body!$BZ$6," ")))))))))),IF(Tabulka1[[#This Row],[kv.ek.]]=Body!$AX$14,IF(AND('Zdroj data'!O52&gt;=Body!$AY$14,'Zdroj data'!O52&lt;=Body!$BA$14),Body!$AY$6,IF(AND('Zdroj data'!O52&gt;=Body!$BB$14,'Zdroj data'!O52&lt;=Body!$BD$14),Body!$BB$6,IF(AND('Zdroj data'!O52&gt;=Body!$BE$14,'Zdroj data'!O52&lt;=Body!$BG$14),Body!$BE$6,IF(AND('Zdroj data'!O52&gt;=Body!$BH$14,'Zdroj data'!O52&lt;=Body!$BJ$14),Body!$BH$6,IF(AND('Zdroj data'!O52&gt;=Body!$BK$14,'Zdroj data'!O52&lt;=Body!$BM$14),Body!$BK$6,IF(AND('Zdroj data'!O52&gt;=Body!$BN$14,'Zdroj data'!O52&lt;=Body!$BP$14),Body!$BN$6,IF(AND('Zdroj data'!O52&gt;=Body!$BQ$14,'Zdroj data'!O52&lt;=Body!$BS$14),Body!$BQ$6,IF(AND('Zdroj data'!O52&gt;=Body!$BT$14,'Zdroj data'!O52&lt;=Body!$BV$14),Body!$BT$6,IF(AND('Zdroj data'!O52&gt;=Body!$BW$14,'Zdroj data'!O52&lt;=Body!$BY$14),Body!$BW$6,IF('Zdroj data'!O52&gt;=Body!$CB$14,Body!$BZ$6," "))))))))))," "))</f>
        <v>2</v>
      </c>
      <c r="J52" s="264">
        <f t="shared" si="8"/>
        <v>1</v>
      </c>
      <c r="K52" s="264">
        <f>IF(AG52=" ",AI52,AG52)</f>
        <v>1</v>
      </c>
      <c r="L52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10</v>
      </c>
      <c r="M52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9</v>
      </c>
      <c r="N52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4</v>
      </c>
      <c r="O52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4</v>
      </c>
      <c r="P52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52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2</v>
      </c>
      <c r="R52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52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6</v>
      </c>
      <c r="T52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52" s="264">
        <f>IF('Zdroj data'!BB52=Body!$AY$25,Body!$AY$22,IF('Zdroj data'!BB52=Body!$BB$25,Body!$BB$22,IF('Zdroj data'!BB52=Body!$BE$25,Body!$BE$22,IF('Zdroj data'!BB52=Body!$BH$25,Body!$BH$22,IF('Zdroj data'!BB52=Body!BK$25,Body!$BK$22,IF('Zdroj data'!BB52=Body!$BN$25,Body!$BN$22,IF('Zdroj data'!BB52=Body!$BQ$25,Body!$BQ$22,IF('Zdroj data'!BB52=Body!$BT$25,Body!$BT$22,IF('Zdroj data'!BB52=Body!$BW$25,Body!$BW$22,IF('Zdroj data'!BB52=Body!$BZ$25,Body!$BZ$22," "))))))))))</f>
        <v>5</v>
      </c>
      <c r="V52" s="264">
        <f>IF(AND('Zdroj data'!BO52&gt;Body!$AY$27,'Zdroj data'!BO52&lt;=Body!$BA$27),Body!$AY$22,IF(AND('Zdroj data'!BO52&gt;=Body!$BB$27,'Zdroj data'!BO52&lt;=Body!$BD$27),Body!$BB$22,IF(AND('Zdroj data'!BO52&gt;=Body!$BE$27,'Zdroj data'!BO52&lt;=Body!$BG$27),Body!$BE$22,IF(AND('Zdroj data'!BO52&gt;=Body!$BH$27,'Zdroj data'!BO52&lt;=Body!$BJ$27),Body!$BH$22,IF(AND('Zdroj data'!BO52&gt;=Body!$BK$27,'Zdroj data'!BO52&lt;=Body!$BM$27),Body!$BK$22,IF(AND('Zdroj data'!BO52&gt;=Body!$BN$27,'Zdroj data'!BO52&lt;=Body!$BP$27),Body!$BN$22,IF(AND('Zdroj data'!BO52&gt;=Body!$BQ$27,'Zdroj data'!BO52&lt;=Body!$BS$27),Body!$BQ$22,IF(AND('Zdroj data'!BO52&gt;=Body!$BT$27,'Zdroj data'!BO52&lt;=Body!$BV$27),Body!$BT$22,IF(AND('Zdroj data'!BO52&gt;=Body!$BW$27,'Zdroj data'!BO52&lt;=Body!$BY$27),Body!$BW$22,IF('Zdroj data'!BO52&gt;=Body!$CB$27,$BZ$22," "))))))))))</f>
        <v>4</v>
      </c>
      <c r="W52" s="264">
        <f>IF(AND('Zdroj data'!BP52&gt;Body!$AY$27,'Zdroj data'!BP52&lt;=Body!$BA$27),Body!$AY$22,IF(AND('Zdroj data'!BP52&gt;=Body!$BB$27,'Zdroj data'!BP52&lt;=Body!$BD$27),Body!$BB$22,IF(AND('Zdroj data'!BP52&gt;=Body!$BE$27,'Zdroj data'!BP52&lt;=Body!$BG$27),Body!$BE$22,IF(AND('Zdroj data'!BP52&gt;=Body!$BH$27,'Zdroj data'!BP52&lt;=Body!$BJ$27),Body!$BH$22,IF(AND('Zdroj data'!BP52&gt;=Body!$BK$27,'Zdroj data'!BP52&lt;=Body!$BM$27),Body!$BK$22,IF(AND('Zdroj data'!BP52&gt;=Body!$BN$27,'Zdroj data'!BP52&lt;=Body!$BP$27),Body!$BN$22,IF(AND('Zdroj data'!BP52&gt;=Body!$BQ$27,'Zdroj data'!BP52&lt;=Body!$BS$27),Body!$BQ$22,IF(AND('Zdroj data'!BP52&gt;=Body!$BT$27,'Zdroj data'!BP52&lt;=Body!$BV$27),Body!$BT$22,IF(AND('Zdroj data'!BP52&gt;=Body!$BW$27,'Zdroj data'!BP52&lt;=Body!$BY$27),Body!$BW$22,IF('Zdroj data'!BP52&gt;=Body!$CB$27,$BZ$22," "))))))))))</f>
        <v>6</v>
      </c>
      <c r="X52" s="264">
        <f>IF('Zdroj data'!BA52=Body!$BB$28,$BB$22,IF('Zdroj data'!BA52=Body!$BE$28,$BE$22,IF(OR('Zdroj data'!BA52=Body!$BK$28,'Zdroj data'!BA52=Body!$BL$28,'Zdroj data'!BA52=Body!$BM$28),$BK$22,IF(OR('Zdroj data'!BA52=Body!$BT$28,'Zdroj data'!BA52=Body!$BV$28),$BT$22,IF(OR('Zdroj data'!BA52=Body!$BW$28,'Zdroj data'!BA52=Body!$BY$28),$BW$22,IF('Zdroj data'!BA52=Body!$BZ$28,$BZ$22," "))))))</f>
        <v>9</v>
      </c>
      <c r="Y52" s="264">
        <f>IF('Zdroj data'!AZ52=Body!$BZ$29,Body!$BZ$22,IF(OR('Zdroj data'!AZ52=$BT$29,'Zdroj data'!AZ52=$BU$29,'Zdroj data'!AZ52=$BV$29),$BT$22,IF(OR('Zdroj data'!AZ52=$BK$29,'Zdroj data'!AZ52=$BM$29),$BK$22,IF(OR('Zdroj data'!AZ52=$BE$29,'Zdroj data'!AZ52=$BG$29),$BE$22,IF(OR('Zdroj data'!AZ52=$AY$29,'Zdroj data'!AZ52=$BA$29),$AY$22," ")))))</f>
        <v>8</v>
      </c>
      <c r="Z52" s="264">
        <f>IF(AND('Zdroj data'!BF52="T",(OR('Zdroj data'!AZ52=Body!$AW$45,'Zdroj data'!AZ52=Body!$AW$46,'Zdroj data'!AZ52=Body!$AW$47,'Zdroj data'!AZ52=Body!$AW$48))),Body!$AY$22,IF(AND('Zdroj data'!BF52="T",(OR('Zdroj data'!AZ52=$AW$49,'Zdroj data'!AZ52=$AW$50,'Zdroj data'!AZ52=$AW$51,'Zdroj data'!AZ52=$AW$52))),$BZ$22,IF(AND(OR('Zdroj data'!BF52="VT",'Zdroj data'!BF52="T",'Zdroj data'!BF52="CH"),(OR('Zdroj data'!AZ52=$AW$43,'Zdroj data'!AZ52=$AW$44,))),$BZ$22,IF(AND('Zdroj data'!BF52="CH",(OR('Zdroj data'!AZ52=$AW$49,'Zdroj data'!AZ52=$AW$50,'Zdroj data'!AZ52=$AW$51,'Zdroj data'!AZ52=$AW$52))),$AY$22,IF(AND('Zdroj data'!BF52="CH",(OR('Zdroj data'!AZ52=$AW$45,'Zdroj data'!AZ52=$AW$46,'Zdroj data'!AZ52=$AW$47,'Zdroj data'!AZ52=$AW$48))),$BZ$22," ")))))</f>
        <v>10</v>
      </c>
      <c r="AA52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52" s="264">
        <f>IF(Tabulka1[[#This Row],[kv.ek.]]=Body!$BK$35,Body!$BK$34,IF(Tabulka1[[#This Row],[kv.ek.]]=Body!$BZ$35,Body!$BZ$34," "))</f>
        <v>10</v>
      </c>
      <c r="AC52" s="264" t="str">
        <f>IF(AND('Zdroj data'!BF52="T",(OR('Zdroj data'!AZ52=Body!$AW$45,'Zdroj data'!AZ52=Body!$AW$46,'Zdroj data'!AZ52=Body!$AW$47,'Zdroj data'!AZ52=Body!$AW$48))),Body!$AY$22,IF(AND('Zdroj data'!BF52="T",(OR('Zdroj data'!AZ52=$AW$49,'Zdroj data'!AZ52=$AW$50,'Zdroj data'!AZ52=$AW$51,'Zdroj data'!AZ52=$AW$52))),$BZ$22," "))</f>
        <v xml:space="preserve"> </v>
      </c>
      <c r="AD52" s="264">
        <f>IF(AND(OR('Zdroj data'!BF52="VT",'Zdroj data'!BF52="T",'Zdroj data'!BF52="CH"),(OR('Zdroj data'!AZ52=$AW$43,'Zdroj data'!AZ52=$AW$44,))),$BZ$22," ")</f>
        <v>10</v>
      </c>
      <c r="AE52" s="264" t="str">
        <f>IF(AND('Zdroj data'!BF52="CH",(OR('Zdroj data'!AZ52=$AW$49,'Zdroj data'!AZ52=$AW$50,'Zdroj data'!AZ52=$AW$51,'Zdroj data'!AZ52=$AW$52))),$AY$22,IF(AND('Zdroj data'!BF52="CH",(OR('Zdroj data'!AZ52=$AW$45,'Zdroj data'!AZ52=$AW$46,'Zdroj data'!AZ52=$AW$47,'Zdroj data'!AZ52=$AW$48))),$BZ$22," "))</f>
        <v xml:space="preserve"> </v>
      </c>
      <c r="AF52" s="264" t="str">
        <f>IF(AND('Zdroj data'!BG52="L",'Zdroj data'!AM52=Body!$AX$15),IF(AND('Zdroj data'!O52&gt;=Body!$AY$15,'Zdroj data'!O52&lt;=Body!$BA$15),Body!AY$6,IF(AND('Zdroj data'!O52&gt;=Body!$BB$15,'Zdroj data'!O52&lt;=Body!$BD$15),Body!BB$6,IF(AND('Zdroj data'!O52&gt;=Body!$BE$15,'Zdroj data'!O52&lt;=Body!$BG$15),Body!BE$6,IF(AND('Zdroj data'!O52&gt;=Body!$BH$15,'Zdroj data'!O52&lt;=Body!$BJ$15),Body!BH$6,IF(AND('Zdroj data'!O52&gt;=Body!$BK$15,'Zdroj data'!O52&lt;=Body!$BM$15),Body!BK$6,IF(AND('Zdroj data'!O52&gt;=Body!$BN$15,'Zdroj data'!O52&lt;=Body!$BP$15),Body!$BN$6,IF(AND('Zdroj data'!O52&gt;=Body!$BQ$15,'Zdroj data'!O52&lt;=Body!$BS$15),Body!$BQ$6,IF(AND('Zdroj data'!O52&gt;=Body!$BT$15,'Zdroj data'!O52&lt;=Body!$BV$15),Body!BT$6,IF(AND('Zdroj data'!O52&gt;=Body!$BW$15,'Zdroj data'!O52&lt;=Body!$BY$15),Body!$BW$6,IF('Zdroj data'!O52&gt;=Body!$CB$15,Body!$BZ$6," ")))))))))),IF(AND('Zdroj data'!BG52="ST",'Zdroj data'!AM52=Body!$AX$16),IF(AND('Zdroj data'!O52&gt;=Body!$AY$16,'Zdroj data'!O52&lt;=Body!$BA$16),Body!$AY$6,IF(AND('Zdroj data'!O52&gt;=Body!$BB$16,'Zdroj data'!O52&lt;=Body!$BD$16),Body!$BB$6,IF(AND('Zdroj data'!O52&gt;=Body!$BE$16,'Zdroj data'!O52&lt;=Body!$BG$16),Body!$BE$6,IF(AND('Zdroj data'!O52&gt;=Body!$BH$16,'Zdroj data'!O52&lt;=Body!$BJ$16),Body!$BH$6,IF(AND('Zdroj data'!O52&gt;=Body!$BK$16,'Zdroj data'!O52&lt;=Body!$BM$16),Body!$BK$6,IF(AND('Zdroj data'!O52&gt;=Body!$BN$16,'Zdroj data'!O52&lt;=Body!$BP$16),Body!$BN$6,IF(AND('Zdroj data'!O52&gt;=Body!$BQ$16,'Zdroj data'!O52&lt;=Body!$BS$16),Body!$BQ$6,IF(AND('Zdroj data'!O52&gt;=Body!$BT$16,'Zdroj data'!O52&lt;=Body!$BV$16),Body!$BT$6,IF(AND('Zdroj data'!O52&gt;=Body!$BW$16,'Zdroj data'!O52&lt;=Body!$BY$16),Body!$BW$6,IF('Zdroj data'!O52&gt;=Body!$CB$16,Body!$BZ$6," ")))))))))),IF(AND('Zdroj data'!BG52="T",'Zdroj data'!AM52=Body!$AX$17),IF(AND('Zdroj data'!O52&gt;=Body!$AY$17,'Zdroj data'!O52&lt;=Body!$BA$17),Body!$AY$6,IF(AND('Zdroj data'!O52&gt;=Body!$BB$17,'Zdroj data'!O52&lt;=Body!$BD$17),Body!$BB$6,IF(AND('Zdroj data'!O52&gt;=Body!$BE$17,'Zdroj data'!O52&lt;=Body!$BG$17),Body!$BE$6,IF(AND('Zdroj data'!O52&gt;=Body!$BH$17,'Zdroj data'!O52&lt;=Body!#REF!),Body!$BH$6,IF(AND('Zdroj data'!O52&gt;=Body!$BK$17,'Zdroj data'!O52&lt;=Body!$BM$17),Body!$BK$6,IF(AND('Zdroj data'!O52&gt;=Body!$BN$17,'Zdroj data'!O52&lt;=Body!$BP$17),Body!$BN$6,IF(AND('Zdroj data'!O52&gt;=Body!$BQ$17,'Zdroj data'!O52&lt;=Body!$BS$17),Body!$BQ$6,IF(AND('Zdroj data'!O52&gt;=Body!$BT$17,'Zdroj data'!O52&lt;=Body!$BV$17),Body!$BT$6,IF(AND('Zdroj data'!O52&gt;=Body!$BW$17,'Zdroj data'!O52&lt;=Body!$BY$17),Body!$BW$6,IF('Zdroj data'!O52&gt;=Body!$CB$17,Body!$BZ$6," "))))))))))," ")))</f>
        <v xml:space="preserve"> </v>
      </c>
      <c r="AG52" s="264" t="str">
        <f>IF(AND('Zdroj data'!$BG52="L",'Zdroj data'!$AM52=Body!$AX$15),IF(AND(Tabulka1[[#This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data'!$BG52="ST",'Zdroj data'!$AM52=Body!$AX$16),IF(AND(Tabulka1[[#This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data'!$BG52="T",'Zdroj data'!$AM52=Body!$AX$17),IF(AND(Tabulka1[[#This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52" s="264">
        <f>IF(AND('Zdroj data'!BG52="L",'Zdroj data'!AM52=Body!$AX$18),IF(AND('Zdroj data'!O52&gt;=Body!$AY$18,'Zdroj data'!O52&lt;=Body!$BA$18),Body!AY$6,IF(AND('Zdroj data'!O52&gt;=Body!$BB$18,'Zdroj data'!O52&lt;=Body!$BD$18),Body!BB$6,IF(AND('Zdroj data'!O52&gt;=Body!$BE$18,'Zdroj data'!O52&lt;=Body!$BG$18),Body!BE$6,IF(AND('Zdroj data'!O52&gt;=Body!$BH$18,'Zdroj data'!O52&lt;=Body!$BJ$18),Body!BH$6,IF(AND('Zdroj data'!O52&gt;=Body!$BK$18,'Zdroj data'!O52&lt;=Body!$BM$18),Body!$BK$6,IF(AND('Zdroj data'!O52&gt;=Body!$BN$18,'Zdroj data'!O52&lt;=Body!$BP$18),Body!BN$6,IF(AND('Zdroj data'!O52&gt;=Body!$BQ$18,'Zdroj data'!O52&lt;=Body!$BS$18),Body!$BQ$6,IF(AND('Zdroj data'!O52&gt;=Body!$BT$18,'Zdroj data'!O52&lt;=Body!$BV$18),Body!$BT$6,IF(AND('Zdroj data'!O52&gt;=Body!$BW$18,'Zdroj data'!O52&lt;=Body!$BY$18),Body!$BW$6,IF('Zdroj data'!O52&gt;=Body!$CB$18,Body!$BZ$6," ")))))))))),IF(AND('Zdroj data'!BG52="ST",'Zdroj data'!AM52=Body!$AX$19),IF(AND('Zdroj data'!O52&gt;=Body!$AY$19,'Zdroj data'!O52&lt;=Body!$BA$19),Body!$AY$6,IF(AND('Zdroj data'!O52&gt;=Body!$BB$19,'Zdroj data'!O52&lt;=Body!$BD$19),Body!$BB$6,IF(AND('Zdroj data'!O52&gt;=Body!$BE$19,'Zdroj data'!O52&lt;=Body!$BG$19),Body!$BE$6,IF(AND('Zdroj data'!O52&gt;=Body!$BH$19,'Zdroj data'!O52&lt;=Body!$BJ$19),Body!$BH$6,IF(AND('Zdroj data'!O52&gt;=Body!$BK$19,'Zdroj data'!O52&lt;=Body!$BM$19),Body!$BK$6,IF(AND('Zdroj data'!O52&gt;=Body!$BN$19,'Zdroj data'!O52&lt;=Body!$BP$19),Body!$BN$6,IF(AND('Zdroj data'!O52&gt;=Body!$BQ$19,'Zdroj data'!O52&lt;=Body!$BS$19),Body!$BQ$6,IF(AND('Zdroj data'!O52&gt;=Body!$BT$19,'Zdroj data'!#REF!&lt;=Body!$BV$19),Body!$BT$6,IF(AND('Zdroj data'!O52&gt;=Body!$BW$19,'Zdroj data'!O52&lt;=Body!$BY$19),Body!$BW$6,IF('Zdroj data'!O52&gt;=Body!$CB$19,Body!$BZ$6," ")))))))))),IF(AND('Zdroj data'!BG52="T",'Zdroj data'!AM52=Body!$AX$20),IF(AND('Zdroj data'!O52&gt;=Body!$AY$20,'Zdroj data'!O52&lt;=Body!$BA$20),Body!$AY$6,IF(AND('Zdroj data'!O52&gt;=Body!$BB$20,'Zdroj data'!O52&lt;=Body!$BD$20),Body!$BB$6,IF(AND('Zdroj data'!O52&gt;=Body!$BE$20,'Zdroj data'!O52&lt;=Body!$BG$20),Body!$BE$6,IF(AND('Zdroj data'!O52&gt;=Body!$BH$20,'Zdroj data'!O52&lt;=Body!$BJ$20),Body!$BH$6,IF(AND('Zdroj data'!O52&gt;=Body!$BK$20,'Zdroj data'!O52&lt;=Body!$BM$20),Body!$BK$6,IF(AND('Zdroj data'!O52&gt;=Body!$BN$20,'Zdroj data'!O52&lt;=Body!$BP$20),Body!$BN$6,IF(AND('Zdroj data'!O52&gt;=Body!$BQ$20,'Zdroj data'!O52&lt;=Body!$BS$20),Body!$BQ$6,IF(AND('Zdroj data'!O52&gt;=Body!$BT$20,'Zdroj data'!O52&lt;=Body!#REF!),Body!$BT$6,IF(AND('Zdroj data'!O52&gt;=Body!$BW$20,'Zdroj data'!O52&lt;=Body!$BY$20),Body!$BW$6,IF('Zdroj data'!O52&gt;=Body!$CB$20,Body!$BZ$6," "))))))))))," ")))</f>
        <v>1</v>
      </c>
      <c r="AI52" s="264">
        <f>IF(AND('Zdroj data'!$BG52="L",'Zdroj data'!$AM52=Body!$AX$18),IF(AND(Tabulka1[[#This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data'!$BG52="ST",'Zdroj data'!$AM52=Body!$AX$19),IF(AND(Tabulka1[[#This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data'!$BG52="T",'Zdroj data'!$AM52=Body!$AX$20),IF(AND(Tabulka1[[#This Row],[K2O_60]]&gt;=Body!$AY$20,'Zdroj data'!O52&lt;=Body!$BA$20),Body!$AY$6,IF(AND(Tabulka1[[#This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1</v>
      </c>
      <c r="AJ52" s="265">
        <f t="shared" si="10"/>
        <v>9.3333333333333428</v>
      </c>
      <c r="AK52" s="264">
        <f t="shared" si="3"/>
        <v>36.551674283255934</v>
      </c>
      <c r="AL52" s="264">
        <f t="shared" si="4"/>
        <v>37.336880733018937</v>
      </c>
      <c r="AM52" s="264">
        <f t="shared" si="5"/>
        <v>54.210933524184661</v>
      </c>
      <c r="AN52" s="264">
        <f t="shared" si="6"/>
        <v>61.213743895664614</v>
      </c>
      <c r="AO52" s="265">
        <f t="shared" si="11"/>
        <v>90.762607807440588</v>
      </c>
      <c r="AP52" s="265">
        <f t="shared" si="12"/>
        <v>98.550624628683551</v>
      </c>
      <c r="AQ52" s="318"/>
      <c r="AR52" s="338">
        <f t="shared" si="7"/>
        <v>198.64656576945748</v>
      </c>
      <c r="AS52" s="318"/>
      <c r="AT52" s="138"/>
      <c r="AU52" s="138"/>
      <c r="AW52" s="130">
        <v>9</v>
      </c>
      <c r="AX52" s="67"/>
      <c r="AY52" s="67"/>
      <c r="AZ52" s="67"/>
      <c r="BA52" s="66"/>
      <c r="BB52" s="66"/>
      <c r="BC52" s="66"/>
      <c r="BD52" s="66"/>
      <c r="BE52" s="66"/>
      <c r="BF52" s="66"/>
      <c r="BG52" s="66"/>
      <c r="BH52" s="22"/>
      <c r="BI52" s="66"/>
      <c r="BJ52" s="273"/>
      <c r="BK52" s="66"/>
      <c r="BL52" s="66"/>
      <c r="BM52" s="66"/>
      <c r="BN52" s="22"/>
    </row>
    <row r="53" spans="1:81" ht="15.5" x14ac:dyDescent="0.35">
      <c r="A53" s="270">
        <v>2560</v>
      </c>
      <c r="B53" s="156" t="s">
        <v>586</v>
      </c>
      <c r="C53" s="250" t="str">
        <f>VLOOKUP(B53,'Zdroj hloubka okresy'!$A$2:$D$171,2,FALSE)</f>
        <v>Mlada Boleslav</v>
      </c>
      <c r="D53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7</v>
      </c>
      <c r="E53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10</v>
      </c>
      <c r="F53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53" s="264">
        <f>IF(AND(Tabulka1[[#This Row],[hum_60]]&gt;AY59,Tabulka1[[#This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53" s="264">
        <f>IF(Tabulka1[[#This Row],[kv.ek.]]=Body!$AX$13,IF(AND('Zdroj data'!M53&gt;=Body!$AY$13,'Zdroj data'!M53&lt;=Body!$BA$13),Body!$AY$6,IF(AND('Zdroj data'!M53&gt;=Body!$BB$13,'Zdroj data'!M53&lt;=Body!$BD$13),Body!$BB$6,IF(AND('Zdroj data'!M53&gt;=Body!$BE$13,'Zdroj data'!M53&lt;=Body!$BG$13),Body!$BE$6,IF(AND('Zdroj data'!M53&gt;=Body!$BH$13,'Zdroj data'!M53&lt;=Body!$BJ$13),Body!$BH$6,IF(AND('Zdroj data'!M53&gt;=Body!$BK$13,'Zdroj data'!M53&lt;=Body!$BM$13),Body!$BK$6,IF(AND('Zdroj data'!M53&gt;=Body!$BN$13,'Zdroj data'!M53&lt;=Body!$BP$13),Body!$BN$6,IF(AND('Zdroj data'!M53&gt;=Body!$BQ$13,'Zdroj data'!M53&lt;=Body!$BS$13),Body!$BQ$6,IF(AND('Zdroj data'!M53&gt;=Body!$BT$13,'Zdroj data'!M53&lt;=Body!$BV$13),Body!$BT$6,IF(AND('Zdroj data'!M53&gt;=Body!$BW$13,'Zdroj data'!M53&lt;=Body!$BY$13),Body!$BW$6,IF('Zdroj data'!M53&gt;=Body!$CB$13,Body!$BZ$6,"")))))))))),IF(Tabulka1[[#This Row],[kv.ek.]]=Body!$AX$14,IF(AND('Zdroj data'!N53&gt;=Body!$AY$14,'Zdroj data'!N53&lt;=Body!$BA$14),Body!$AY$6,IF(AND('Zdroj data'!N53&gt;=Body!$BB$14,'Zdroj data'!N53&lt;=Body!$BD$14),Body!$BB$6,IF(AND('Zdroj data'!N53&gt;=Body!$BE$14,'Zdroj data'!N53&lt;=Body!$BG$14),Body!$BE$6,IF(AND('Zdroj data'!N53&gt;=Body!$BH$14,'Zdroj data'!N53&lt;=Body!$BJ$14),Body!$BH$6,IF(AND('Zdroj data'!N53&gt;=Body!$BK$14,'Zdroj data'!N53&lt;=Body!$BM$14),Body!$BK$6,IF(AND('Zdroj data'!N53&gt;=Body!$BN$14,'Zdroj data'!N53&lt;=Body!$BP$14),Body!$BN$6,IF(AND('Zdroj data'!N53&gt;=Body!$BQ$14,'Zdroj data'!N53&lt;=Body!$BS$14),Body!$BQ$6,IF(AND('Zdroj data'!N53&gt;=Body!$BT$14,'Zdroj data'!N53&lt;=Body!$BV$14),Body!$BT$6,IF(AND('Zdroj data'!N53&gt;=Body!$BW$14,'Zdroj data'!N53&lt;=Body!$BY$14),Body!$BW$6,IF('Zdroj data'!N53&gt;=Body!$CB$14,Body!$BZ$6,"")))))))))),""))</f>
        <v>3</v>
      </c>
      <c r="I53" s="264">
        <f>IF(Tabulka1[[#This Row],[kv.ek.]]=Body!$AX$13,IF(AND('Zdroj data'!N53&gt;=Body!$AY$13,'Zdroj data'!N53&lt;=Body!$BA$13),Body!$AY$6,IF(AND('Zdroj data'!N53&gt;=Body!$BB$13,'Zdroj data'!N53&lt;=Body!$BD$13),Body!$BB$6,IF(AND('Zdroj data'!N53&gt;=Body!$BE$13,'Zdroj data'!N53&lt;=Body!$BG$13),Body!$BE$6,IF(AND('Zdroj data'!N53&gt;=Body!$BH$13,'Zdroj data'!N53&lt;=Body!$BJ$13),Body!$BH$6,IF(AND('Zdroj data'!N53&gt;=Body!$BK$13,'Zdroj data'!N53&lt;=Body!$BM$13),Body!$BK$6,IF(AND('Zdroj data'!N53&gt;=Body!$BN$13,'Zdroj data'!N53&lt;=Body!$BP$13),Body!$BN$6,IF(AND('Zdroj data'!N53&gt;=Body!$BQ$13,'Zdroj data'!N53&lt;=Body!$BS$13),Body!$BQ$6,IF(AND('Zdroj data'!N53&gt;=Body!$BT$13,'Zdroj data'!N53&lt;=Body!$BV$13),Body!$BT$6,IF(AND('Zdroj data'!N53&gt;=Body!$BW$13,'Zdroj data'!N53&lt;=Body!$BY$13),Body!$BW$6,IF('Zdroj data'!N53&gt;=Body!$CB$13,Body!$BZ$6," ")))))))))),IF(Tabulka1[[#This Row],[kv.ek.]]=Body!$AX$14,IF(AND('Zdroj data'!O53&gt;=Body!$AY$14,'Zdroj data'!O53&lt;=Body!$BA$14),Body!$AY$6,IF(AND('Zdroj data'!O53&gt;=Body!$BB$14,'Zdroj data'!O53&lt;=Body!$BD$14),Body!$BB$6,IF(AND('Zdroj data'!O53&gt;=Body!$BE$14,'Zdroj data'!O53&lt;=Body!$BG$14),Body!$BE$6,IF(AND('Zdroj data'!O53&gt;=Body!$BH$14,'Zdroj data'!O53&lt;=Body!$BJ$14),Body!$BH$6,IF(AND('Zdroj data'!O53&gt;=Body!$BK$14,'Zdroj data'!O53&lt;=Body!$BM$14),Body!$BK$6,IF(AND('Zdroj data'!O53&gt;=Body!$BN$14,'Zdroj data'!O53&lt;=Body!$BP$14),Body!$BN$6,IF(AND('Zdroj data'!O53&gt;=Body!$BQ$14,'Zdroj data'!O53&lt;=Body!$BS$14),Body!$BQ$6,IF(AND('Zdroj data'!O53&gt;=Body!$BT$14,'Zdroj data'!O53&lt;=Body!$BV$14),Body!$BT$6,IF(AND('Zdroj data'!O53&gt;=Body!$BW$14,'Zdroj data'!O53&lt;=Body!$BY$14),Body!$BW$6,IF('Zdroj data'!O53&gt;=Body!$CB$14,Body!$BZ$6," "))))))))))," "))</f>
        <v>1</v>
      </c>
      <c r="J53" s="264">
        <f t="shared" si="8"/>
        <v>2</v>
      </c>
      <c r="K53" s="264">
        <f t="shared" si="9"/>
        <v>1</v>
      </c>
      <c r="L53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2</v>
      </c>
      <c r="M53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2</v>
      </c>
      <c r="N53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53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53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53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53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53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6</v>
      </c>
      <c r="T53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6</v>
      </c>
      <c r="U53" s="264">
        <f>IF('Zdroj data'!BB53=Body!$AY$25,Body!$AY$22,IF('Zdroj data'!BB53=Body!$BB$25,Body!$BB$22,IF('Zdroj data'!BB53=Body!$BE$25,Body!$BE$22,IF('Zdroj data'!BB53=Body!$BH$25,Body!$BH$22,IF('Zdroj data'!BB53=Body!BK$25,Body!$BK$22,IF('Zdroj data'!BB53=Body!$BN$25,Body!$BN$22,IF('Zdroj data'!BB53=Body!$BQ$25,Body!$BQ$22,IF('Zdroj data'!BB53=Body!$BT$25,Body!$BT$22,IF('Zdroj data'!BB53=Body!$BW$25,Body!$BW$22,IF('Zdroj data'!BB53=Body!$BZ$25,Body!$BZ$22," "))))))))))</f>
        <v>5</v>
      </c>
      <c r="V53" s="264">
        <f>IF(AND('Zdroj data'!BO53&gt;Body!$AY$27,'Zdroj data'!BO53&lt;=Body!$BA$27),Body!$AY$22,IF(AND('Zdroj data'!BO53&gt;=Body!$BB$27,'Zdroj data'!BO53&lt;=Body!$BD$27),Body!$BB$22,IF(AND('Zdroj data'!BO53&gt;=Body!$BE$27,'Zdroj data'!BO53&lt;=Body!$BG$27),Body!$BE$22,IF(AND('Zdroj data'!BO53&gt;=Body!$BH$27,'Zdroj data'!BO53&lt;=Body!$BJ$27),Body!$BH$22,IF(AND('Zdroj data'!BO53&gt;=Body!$BK$27,'Zdroj data'!BO53&lt;=Body!$BM$27),Body!$BK$22,IF(AND('Zdroj data'!BO53&gt;=Body!$BN$27,'Zdroj data'!BO53&lt;=Body!$BP$27),Body!$BN$22,IF(AND('Zdroj data'!BO53&gt;=Body!$BQ$27,'Zdroj data'!BO53&lt;=Body!$BS$27),Body!$BQ$22,IF(AND('Zdroj data'!BO53&gt;=Body!$BT$27,'Zdroj data'!BO53&lt;=Body!$BV$27),Body!$BT$22,IF(AND('Zdroj data'!BO53&gt;=Body!$BW$27,'Zdroj data'!BO53&lt;=Body!$BY$27),Body!$BW$22,IF('Zdroj data'!BO53&gt;=Body!$CB$27,$BZ$22," "))))))))))</f>
        <v>6</v>
      </c>
      <c r="W53" s="264">
        <f>IF(AND('Zdroj data'!BP53&gt;Body!$AY$27,'Zdroj data'!BP53&lt;=Body!$BA$27),Body!$AY$22,IF(AND('Zdroj data'!BP53&gt;=Body!$BB$27,'Zdroj data'!BP53&lt;=Body!$BD$27),Body!$BB$22,IF(AND('Zdroj data'!BP53&gt;=Body!$BE$27,'Zdroj data'!BP53&lt;=Body!$BG$27),Body!$BE$22,IF(AND('Zdroj data'!BP53&gt;=Body!$BH$27,'Zdroj data'!BP53&lt;=Body!$BJ$27),Body!$BH$22,IF(AND('Zdroj data'!BP53&gt;=Body!$BK$27,'Zdroj data'!BP53&lt;=Body!$BM$27),Body!$BK$22,IF(AND('Zdroj data'!BP53&gt;=Body!$BN$27,'Zdroj data'!BP53&lt;=Body!$BP$27),Body!$BN$22,IF(AND('Zdroj data'!BP53&gt;=Body!$BQ$27,'Zdroj data'!BP53&lt;=Body!$BS$27),Body!$BQ$22,IF(AND('Zdroj data'!BP53&gt;=Body!$BT$27,'Zdroj data'!BP53&lt;=Body!$BV$27),Body!$BT$22,IF(AND('Zdroj data'!BP53&gt;=Body!$BW$27,'Zdroj data'!BP53&lt;=Body!$BY$27),Body!$BW$22,IF('Zdroj data'!BP53&gt;=Body!$CB$27,$BZ$22," "))))))))))</f>
        <v>4</v>
      </c>
      <c r="X53" s="264">
        <f>IF('Zdroj data'!BA53=Body!$BB$28,$BB$22,IF('Zdroj data'!BA53=Body!$BE$28,$BE$22,IF(OR('Zdroj data'!BA53=Body!$BK$28,'Zdroj data'!BA53=Body!$BL$28,'Zdroj data'!BA53=Body!$BM$28),$BK$22,IF(OR('Zdroj data'!BA53=Body!$BT$28,'Zdroj data'!BA53=Body!$BV$28),$BT$22,IF(OR('Zdroj data'!BA53=Body!$BW$28,'Zdroj data'!BA53=Body!$BY$28),$BW$22,IF('Zdroj data'!BA53=Body!$BZ$28,$BZ$22," "))))))</f>
        <v>10</v>
      </c>
      <c r="Y53" s="264">
        <f>IF('Zdroj data'!AZ53=Body!$BZ$29,Body!$BZ$22,IF(OR('Zdroj data'!AZ53=$BT$29,'Zdroj data'!AZ53=$BU$29,'Zdroj data'!AZ53=$BV$29),$BT$22,IF(OR('Zdroj data'!AZ53=$BK$29,'Zdroj data'!AZ53=$BM$29),$BK$22,IF(OR('Zdroj data'!AZ53=$BE$29,'Zdroj data'!AZ53=$BG$29),$BE$22,IF(OR('Zdroj data'!AZ53=$AY$29,'Zdroj data'!AZ53=$BA$29),$AY$22," ")))))</f>
        <v>10</v>
      </c>
      <c r="Z53" s="264">
        <f>IF(AND('Zdroj data'!BF53="T",(OR('Zdroj data'!AZ53=Body!$AW$45,'Zdroj data'!AZ53=Body!$AW$46,'Zdroj data'!AZ53=Body!$AW$47,'Zdroj data'!AZ53=Body!$AW$48))),Body!$AY$22,IF(AND('Zdroj data'!BF53="T",(OR('Zdroj data'!AZ53=$AW$49,'Zdroj data'!AZ53=$AW$50,'Zdroj data'!AZ53=$AW$51,'Zdroj data'!AZ53=$AW$52))),$BZ$22,IF(AND(OR('Zdroj data'!BF53="VT",'Zdroj data'!BF53="T",'Zdroj data'!BF53="CH"),(OR('Zdroj data'!AZ53=$AW$43,'Zdroj data'!AZ53=$AW$44,))),$BZ$22,IF(AND('Zdroj data'!BF53="CH",(OR('Zdroj data'!AZ53=$AW$49,'Zdroj data'!AZ53=$AW$50,'Zdroj data'!AZ53=$AW$51,'Zdroj data'!AZ53=$AW$52))),$AY$22,IF(AND('Zdroj data'!BF53="CH",(OR('Zdroj data'!AZ53=$AW$45,'Zdroj data'!AZ53=$AW$46,'Zdroj data'!AZ53=$AW$47,'Zdroj data'!AZ53=$AW$48))),$BZ$22," ")))))</f>
        <v>10</v>
      </c>
      <c r="AA53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53" s="264">
        <f>IF(Tabulka1[[#This Row],[kv.ek.]]=Body!$BK$35,Body!$BK$34,IF(Tabulka1[[#This Row],[kv.ek.]]=Body!$BZ$35,Body!$BZ$34," "))</f>
        <v>5</v>
      </c>
      <c r="AC53" s="264" t="str">
        <f>IF(AND('Zdroj data'!BF53="T",(OR('Zdroj data'!AZ53=Body!$AW$45,'Zdroj data'!AZ53=Body!$AW$46,'Zdroj data'!AZ53=Body!$AW$47,'Zdroj data'!AZ53=Body!$AW$48))),Body!$AY$22,IF(AND('Zdroj data'!BF53="T",(OR('Zdroj data'!AZ53=$AW$49,'Zdroj data'!AZ53=$AW$50,'Zdroj data'!AZ53=$AW$51,'Zdroj data'!AZ53=$AW$52))),$BZ$22," "))</f>
        <v xml:space="preserve"> </v>
      </c>
      <c r="AD53" s="264">
        <f>IF(AND(OR('Zdroj data'!BF53="VT",'Zdroj data'!BF53="T",'Zdroj data'!BF53="CH"),(OR('Zdroj data'!AZ53=$AW$43,'Zdroj data'!AZ53=$AW$44,))),$BZ$22," ")</f>
        <v>10</v>
      </c>
      <c r="AE53" s="264" t="str">
        <f>IF(AND('Zdroj data'!BF53="CH",(OR('Zdroj data'!AZ53=$AW$49,'Zdroj data'!AZ53=$AW$50,'Zdroj data'!AZ53=$AW$51,'Zdroj data'!AZ53=$AW$52))),$AY$22,IF(AND('Zdroj data'!BF53="CH",(OR('Zdroj data'!AZ53=$AW$45,'Zdroj data'!AZ53=$AW$46,'Zdroj data'!AZ53=$AW$47,'Zdroj data'!AZ53=$AW$48))),$BZ$22," "))</f>
        <v xml:space="preserve"> </v>
      </c>
      <c r="AF53" s="264">
        <f>IF(AND('Zdroj data'!BG53="L",'Zdroj data'!AM53=Body!$AX$15),IF(AND('Zdroj data'!O53&gt;=Body!$AY$15,'Zdroj data'!O53&lt;=Body!$BA$15),Body!AY$6,IF(AND('Zdroj data'!O53&gt;=Body!$BB$15,'Zdroj data'!O53&lt;=Body!$BD$15),Body!BB$6,IF(AND('Zdroj data'!O53&gt;=Body!$BE$15,'Zdroj data'!O53&lt;=Body!$BG$15),Body!BE$6,IF(AND('Zdroj data'!O53&gt;=Body!$BH$15,'Zdroj data'!O53&lt;=Body!$BJ$15),Body!BH$6,IF(AND('Zdroj data'!O53&gt;=Body!$BK$15,'Zdroj data'!O53&lt;=Body!$BM$15),Body!BK$6,IF(AND('Zdroj data'!O53&gt;=Body!$BN$15,'Zdroj data'!O53&lt;=Body!$BP$15),Body!$BN$6,IF(AND('Zdroj data'!O53&gt;=Body!$BQ$15,'Zdroj data'!O53&lt;=Body!$BS$15),Body!$BQ$6,IF(AND('Zdroj data'!O53&gt;=Body!$BT$15,'Zdroj data'!O53&lt;=Body!$BV$15),Body!BT$6,IF(AND('Zdroj data'!O53&gt;=Body!$BW$15,'Zdroj data'!O53&lt;=Body!$BY$15),Body!$BW$6,IF('Zdroj data'!O53&gt;=Body!$CB$15,Body!$BZ$6," ")))))))))),IF(AND('Zdroj data'!BG53="ST",'Zdroj data'!AM53=Body!$AX$16),IF(AND('Zdroj data'!O53&gt;=Body!$AY$16,'Zdroj data'!O53&lt;=Body!$BA$16),Body!$AY$6,IF(AND('Zdroj data'!O53&gt;=Body!$BB$16,'Zdroj data'!O53&lt;=Body!$BD$16),Body!$BB$6,IF(AND('Zdroj data'!O53&gt;=Body!$BE$16,'Zdroj data'!O53&lt;=Body!$BG$16),Body!$BE$6,IF(AND('Zdroj data'!O53&gt;=Body!$BH$16,'Zdroj data'!O53&lt;=Body!$BJ$16),Body!$BH$6,IF(AND('Zdroj data'!O53&gt;=Body!$BK$16,'Zdroj data'!O53&lt;=Body!$BM$16),Body!$BK$6,IF(AND('Zdroj data'!O53&gt;=Body!$BN$16,'Zdroj data'!O53&lt;=Body!$BP$16),Body!$BN$6,IF(AND('Zdroj data'!O53&gt;=Body!$BQ$16,'Zdroj data'!O53&lt;=Body!$BS$16),Body!$BQ$6,IF(AND('Zdroj data'!O53&gt;=Body!$BT$16,'Zdroj data'!O53&lt;=Body!$BV$16),Body!$BT$6,IF(AND('Zdroj data'!O53&gt;=Body!$BW$16,'Zdroj data'!O53&lt;=Body!$BY$16),Body!$BW$6,IF('Zdroj data'!O53&gt;=Body!$CB$16,Body!$BZ$6," ")))))))))),IF(AND('Zdroj data'!BG53="T",'Zdroj data'!AM53=Body!$AX$17),IF(AND('Zdroj data'!O53&gt;=Body!$AY$17,'Zdroj data'!O53&lt;=Body!$BA$17),Body!$AY$6,IF(AND('Zdroj data'!O53&gt;=Body!$BB$17,'Zdroj data'!O53&lt;=Body!$BD$17),Body!$BB$6,IF(AND('Zdroj data'!O53&gt;=Body!$BE$17,'Zdroj data'!O53&lt;=Body!$BG$17),Body!$BE$6,IF(AND('Zdroj data'!O53&gt;=Body!$BH$17,'Zdroj data'!O53&lt;=Body!#REF!),Body!$BH$6,IF(AND('Zdroj data'!O53&gt;=Body!$BK$17,'Zdroj data'!O53&lt;=Body!$BM$17),Body!$BK$6,IF(AND('Zdroj data'!O53&gt;=Body!$BN$17,'Zdroj data'!O53&lt;=Body!$BP$17),Body!$BN$6,IF(AND('Zdroj data'!O53&gt;=Body!$BQ$17,'Zdroj data'!O53&lt;=Body!$BS$17),Body!$BQ$6,IF(AND('Zdroj data'!O53&gt;=Body!$BT$17,'Zdroj data'!O53&lt;=Body!$BV$17),Body!$BT$6,IF(AND('Zdroj data'!O53&gt;=Body!$BW$17,'Zdroj data'!O53&lt;=Body!$BY$17),Body!$BW$6,IF('Zdroj data'!O53&gt;=Body!$CB$17,Body!$BZ$6," "))))))))))," ")))</f>
        <v>2</v>
      </c>
      <c r="AG53" s="264">
        <f>IF(AND('Zdroj data'!$BG53="L",'Zdroj data'!$AM53=Body!$AX$15),IF(AND(Tabulka1[[#This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data'!$BG53="ST",'Zdroj data'!$AM53=Body!$AX$16),IF(AND(Tabulka1[[#This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data'!$BG53="T",'Zdroj data'!$AM53=Body!$AX$17),IF(AND(Tabulka1[[#This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53" s="264" t="str">
        <f>IF(AND('Zdroj data'!BG53="L",'Zdroj data'!AM53=Body!$AX$18),IF(AND('Zdroj data'!O53&gt;=Body!$AY$18,'Zdroj data'!O53&lt;=Body!$BA$18),Body!AY$6,IF(AND('Zdroj data'!O53&gt;=Body!$BB$18,'Zdroj data'!O53&lt;=Body!$BD$18),Body!BB$6,IF(AND('Zdroj data'!O53&gt;=Body!$BE$18,'Zdroj data'!O53&lt;=Body!$BG$18),Body!BE$6,IF(AND('Zdroj data'!O53&gt;=Body!$BH$18,'Zdroj data'!O53&lt;=Body!$BJ$18),Body!BH$6,IF(AND('Zdroj data'!O53&gt;=Body!$BK$18,'Zdroj data'!O53&lt;=Body!$BM$18),Body!$BK$6,IF(AND('Zdroj data'!O53&gt;=Body!$BN$18,'Zdroj data'!O53&lt;=Body!$BP$18),Body!BN$6,IF(AND('Zdroj data'!O53&gt;=Body!$BQ$18,'Zdroj data'!O53&lt;=Body!$BS$18),Body!$BQ$6,IF(AND('Zdroj data'!O53&gt;=Body!$BT$18,'Zdroj data'!O53&lt;=Body!$BV$18),Body!$BT$6,IF(AND('Zdroj data'!O53&gt;=Body!$BW$18,'Zdroj data'!O53&lt;=Body!$BY$18),Body!$BW$6,IF('Zdroj data'!O53&gt;=Body!$CB$18,Body!$BZ$6," ")))))))))),IF(AND('Zdroj data'!BG53="ST",'Zdroj data'!AM53=Body!$AX$19),IF(AND('Zdroj data'!O53&gt;=Body!$AY$19,'Zdroj data'!O53&lt;=Body!$BA$19),Body!$AY$6,IF(AND('Zdroj data'!O53&gt;=Body!$BB$19,'Zdroj data'!O53&lt;=Body!$BD$19),Body!$BB$6,IF(AND('Zdroj data'!O53&gt;=Body!$BE$19,'Zdroj data'!O53&lt;=Body!$BG$19),Body!$BE$6,IF(AND('Zdroj data'!O53&gt;=Body!$BH$19,'Zdroj data'!O53&lt;=Body!$BJ$19),Body!$BH$6,IF(AND('Zdroj data'!O53&gt;=Body!$BK$19,'Zdroj data'!O53&lt;=Body!$BM$19),Body!$BK$6,IF(AND('Zdroj data'!O53&gt;=Body!$BN$19,'Zdroj data'!O53&lt;=Body!$BP$19),Body!$BN$6,IF(AND('Zdroj data'!O53&gt;=Body!$BQ$19,'Zdroj data'!O53&lt;=Body!$BS$19),Body!$BQ$6,IF(AND('Zdroj data'!O53&gt;=Body!$BT$19,'Zdroj data'!O57&lt;=Body!$BV$19),Body!$BT$6,IF(AND('Zdroj data'!O53&gt;=Body!$BW$19,'Zdroj data'!O53&lt;=Body!$BY$19),Body!$BW$6,IF('Zdroj data'!O53&gt;=Body!$CB$19,Body!$BZ$6," ")))))))))),IF(AND('Zdroj data'!BG53="T",'Zdroj data'!AM53=Body!$AX$20),IF(AND('Zdroj data'!O53&gt;=Body!$AY$20,'Zdroj data'!O53&lt;=Body!$BA$20),Body!$AY$6,IF(AND('Zdroj data'!O53&gt;=Body!$BB$20,'Zdroj data'!O53&lt;=Body!$BD$20),Body!$BB$6,IF(AND('Zdroj data'!O53&gt;=Body!$BE$20,'Zdroj data'!O53&lt;=Body!$BG$20),Body!$BE$6,IF(AND('Zdroj data'!O53&gt;=Body!$BH$20,'Zdroj data'!O53&lt;=Body!$BJ$20),Body!$BH$6,IF(AND('Zdroj data'!O53&gt;=Body!$BK$20,'Zdroj data'!O53&lt;=Body!$BM$20),Body!$BK$6,IF(AND('Zdroj data'!O53&gt;=Body!$BN$20,'Zdroj data'!O53&lt;=Body!$BP$20),Body!$BN$6,IF(AND('Zdroj data'!O53&gt;=Body!$BQ$20,'Zdroj data'!O53&lt;=Body!$BS$20),Body!$BQ$6,IF(AND('Zdroj data'!O53&gt;=Body!$BT$20,'Zdroj data'!O53&lt;=Body!#REF!),Body!$BT$6,IF(AND('Zdroj data'!O53&gt;=Body!$BW$20,'Zdroj data'!O53&lt;=Body!$BY$20),Body!$BW$6,IF('Zdroj data'!O53&gt;=Body!$CB$20,Body!$BZ$6," "))))))))))," ")))</f>
        <v xml:space="preserve"> </v>
      </c>
      <c r="AI53" s="264" t="str">
        <f>IF(AND('Zdroj data'!$BG53="L",'Zdroj data'!$AM53=Body!$AX$18),IF(AND(Tabulka1[[#This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data'!$BG53="ST",'Zdroj data'!$AM53=Body!$AX$19),IF(AND(Tabulka1[[#This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data'!$BG53="T",'Zdroj data'!$AM53=Body!$AX$20),IF(AND(Tabulka1[[#This Row],[K2O_60]]&gt;=Body!$AY$20,'Zdroj data'!O53&lt;=Body!$BA$20),Body!$AY$6,IF(AND(Tabulka1[[#This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53" s="265">
        <f t="shared" si="10"/>
        <v>14.666666666666682</v>
      </c>
      <c r="AK53" s="264">
        <f t="shared" si="3"/>
        <v>27.011383960580261</v>
      </c>
      <c r="AL53" s="264">
        <f t="shared" si="4"/>
        <v>26.707396108988274</v>
      </c>
      <c r="AM53" s="264">
        <f t="shared" si="5"/>
        <v>58.956525594600961</v>
      </c>
      <c r="AN53" s="264">
        <f t="shared" si="6"/>
        <v>55.867339180196986</v>
      </c>
      <c r="AO53" s="265">
        <f t="shared" si="11"/>
        <v>85.967909555181222</v>
      </c>
      <c r="AP53" s="265">
        <f t="shared" si="12"/>
        <v>82.574735289185256</v>
      </c>
      <c r="AQ53" s="318"/>
      <c r="AR53" s="338">
        <f t="shared" si="7"/>
        <v>183.20931151103315</v>
      </c>
      <c r="AS53" s="318"/>
      <c r="AT53" s="138"/>
      <c r="AU53" s="138"/>
      <c r="BE53" s="22"/>
      <c r="BF53" s="22"/>
      <c r="BG53" s="22"/>
      <c r="BH53" s="22"/>
      <c r="BI53" s="66"/>
      <c r="BJ53" s="22"/>
      <c r="BK53" s="22"/>
      <c r="BL53" s="22"/>
      <c r="BM53" s="22"/>
      <c r="BN53" s="22"/>
    </row>
    <row r="54" spans="1:81" ht="15.5" x14ac:dyDescent="0.35">
      <c r="A54" s="270">
        <v>2566</v>
      </c>
      <c r="B54" s="156" t="s">
        <v>624</v>
      </c>
      <c r="C54" s="250" t="str">
        <f>VLOOKUP(B54,'Zdroj hloubka okresy'!$A$2:$D$171,2,FALSE)</f>
        <v>Mlada Boleslav</v>
      </c>
      <c r="D54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7</v>
      </c>
      <c r="E54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9</v>
      </c>
      <c r="F54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54" s="264">
        <f>IF(AND(Tabulka1[[#This Row],[hum_60]]&gt;AY60,Tabulka1[[#This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54" s="264">
        <f>IF(Tabulka1[[#This Row],[kv.ek.]]=Body!$AX$13,IF(AND('Zdroj data'!M54&gt;=Body!$AY$13,'Zdroj data'!M54&lt;=Body!$BA$13),Body!$AY$6,IF(AND('Zdroj data'!M54&gt;=Body!$BB$13,'Zdroj data'!M54&lt;=Body!$BD$13),Body!$BB$6,IF(AND('Zdroj data'!M54&gt;=Body!$BE$13,'Zdroj data'!M54&lt;=Body!$BG$13),Body!$BE$6,IF(AND('Zdroj data'!M54&gt;=Body!$BH$13,'Zdroj data'!M54&lt;=Body!$BJ$13),Body!$BH$6,IF(AND('Zdroj data'!M54&gt;=Body!$BK$13,'Zdroj data'!M54&lt;=Body!$BM$13),Body!$BK$6,IF(AND('Zdroj data'!M54&gt;=Body!$BN$13,'Zdroj data'!M54&lt;=Body!$BP$13),Body!$BN$6,IF(AND('Zdroj data'!M54&gt;=Body!$BQ$13,'Zdroj data'!M54&lt;=Body!$BS$13),Body!$BQ$6,IF(AND('Zdroj data'!M54&gt;=Body!$BT$13,'Zdroj data'!M54&lt;=Body!$BV$13),Body!$BT$6,IF(AND('Zdroj data'!M54&gt;=Body!$BW$13,'Zdroj data'!M54&lt;=Body!$BY$13),Body!$BW$6,IF('Zdroj data'!M54&gt;=Body!$CB$13,Body!$BZ$6,"")))))))))),IF(Tabulka1[[#This Row],[kv.ek.]]=Body!$AX$14,IF(AND('Zdroj data'!N54&gt;=Body!$AY$14,'Zdroj data'!N54&lt;=Body!$BA$14),Body!$AY$6,IF(AND('Zdroj data'!N54&gt;=Body!$BB$14,'Zdroj data'!N54&lt;=Body!$BD$14),Body!$BB$6,IF(AND('Zdroj data'!N54&gt;=Body!$BE$14,'Zdroj data'!N54&lt;=Body!$BG$14),Body!$BE$6,IF(AND('Zdroj data'!N54&gt;=Body!$BH$14,'Zdroj data'!N54&lt;=Body!$BJ$14),Body!$BH$6,IF(AND('Zdroj data'!N54&gt;=Body!$BK$14,'Zdroj data'!N54&lt;=Body!$BM$14),Body!$BK$6,IF(AND('Zdroj data'!N54&gt;=Body!$BN$14,'Zdroj data'!N54&lt;=Body!$BP$14),Body!$BN$6,IF(AND('Zdroj data'!N54&gt;=Body!$BQ$14,'Zdroj data'!N54&lt;=Body!$BS$14),Body!$BQ$6,IF(AND('Zdroj data'!N54&gt;=Body!$BT$14,'Zdroj data'!N54&lt;=Body!$BV$14),Body!$BT$6,IF(AND('Zdroj data'!N54&gt;=Body!$BW$14,'Zdroj data'!N54&lt;=Body!$BY$14),Body!$BW$6,IF('Zdroj data'!N54&gt;=Body!$CB$14,Body!$BZ$6,"")))))))))),""))</f>
        <v>2</v>
      </c>
      <c r="I54" s="264">
        <f>IF(Tabulka1[[#This Row],[kv.ek.]]=Body!$AX$13,IF(AND('Zdroj data'!N54&gt;=Body!$AY$13,'Zdroj data'!N54&lt;=Body!$BA$13),Body!$AY$6,IF(AND('Zdroj data'!N54&gt;=Body!$BB$13,'Zdroj data'!N54&lt;=Body!$BD$13),Body!$BB$6,IF(AND('Zdroj data'!N54&gt;=Body!$BE$13,'Zdroj data'!N54&lt;=Body!$BG$13),Body!$BE$6,IF(AND('Zdroj data'!N54&gt;=Body!$BH$13,'Zdroj data'!N54&lt;=Body!$BJ$13),Body!$BH$6,IF(AND('Zdroj data'!N54&gt;=Body!$BK$13,'Zdroj data'!N54&lt;=Body!$BM$13),Body!$BK$6,IF(AND('Zdroj data'!N54&gt;=Body!$BN$13,'Zdroj data'!N54&lt;=Body!$BP$13),Body!$BN$6,IF(AND('Zdroj data'!N54&gt;=Body!$BQ$13,'Zdroj data'!N54&lt;=Body!$BS$13),Body!$BQ$6,IF(AND('Zdroj data'!N54&gt;=Body!$BT$13,'Zdroj data'!N54&lt;=Body!$BV$13),Body!$BT$6,IF(AND('Zdroj data'!N54&gt;=Body!$BW$13,'Zdroj data'!N54&lt;=Body!$BY$13),Body!$BW$6,IF('Zdroj data'!N54&gt;=Body!$CB$13,Body!$BZ$6," ")))))))))),IF(Tabulka1[[#This Row],[kv.ek.]]=Body!$AX$14,IF(AND('Zdroj data'!O54&gt;=Body!$AY$14,'Zdroj data'!O54&lt;=Body!$BA$14),Body!$AY$6,IF(AND('Zdroj data'!O54&gt;=Body!$BB$14,'Zdroj data'!O54&lt;=Body!$BD$14),Body!$BB$6,IF(AND('Zdroj data'!O54&gt;=Body!$BE$14,'Zdroj data'!O54&lt;=Body!$BG$14),Body!$BE$6,IF(AND('Zdroj data'!O54&gt;=Body!$BH$14,'Zdroj data'!O54&lt;=Body!$BJ$14),Body!$BH$6,IF(AND('Zdroj data'!O54&gt;=Body!$BK$14,'Zdroj data'!O54&lt;=Body!$BM$14),Body!$BK$6,IF(AND('Zdroj data'!O54&gt;=Body!$BN$14,'Zdroj data'!O54&lt;=Body!$BP$14),Body!$BN$6,IF(AND('Zdroj data'!O54&gt;=Body!$BQ$14,'Zdroj data'!O54&lt;=Body!$BS$14),Body!$BQ$6,IF(AND('Zdroj data'!O54&gt;=Body!$BT$14,'Zdroj data'!O54&lt;=Body!$BV$14),Body!$BT$6,IF(AND('Zdroj data'!O54&gt;=Body!$BW$14,'Zdroj data'!O54&lt;=Body!$BY$14),Body!$BW$6,IF('Zdroj data'!O54&gt;=Body!$CB$14,Body!$BZ$6," "))))))))))," "))</f>
        <v>1</v>
      </c>
      <c r="J54" s="264">
        <f>IF(AF54=" ",AH54,AF54)</f>
        <v>1</v>
      </c>
      <c r="K54" s="264">
        <f t="shared" si="9"/>
        <v>1</v>
      </c>
      <c r="L54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54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54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54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54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54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54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54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54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54" s="264">
        <f>IF('Zdroj data'!BB54=Body!$AY$25,Body!$AY$22,IF('Zdroj data'!BB54=Body!$BB$25,Body!$BB$22,IF('Zdroj data'!BB54=Body!$BE$25,Body!$BE$22,IF('Zdroj data'!BB54=Body!$BH$25,Body!$BH$22,IF('Zdroj data'!BB54=Body!BK$25,Body!$BK$22,IF('Zdroj data'!BB54=Body!$BN$25,Body!$BN$22,IF('Zdroj data'!BB54=Body!$BQ$25,Body!$BQ$22,IF('Zdroj data'!BB54=Body!$BT$25,Body!$BT$22,IF('Zdroj data'!BB54=Body!$BW$25,Body!$BW$22,IF('Zdroj data'!BB54=Body!$BZ$25,Body!$BZ$22," "))))))))))</f>
        <v>7</v>
      </c>
      <c r="V54" s="264">
        <f>IF(AND('Zdroj data'!BO54&gt;Body!$AY$27,'Zdroj data'!BO54&lt;=Body!$BA$27),Body!$AY$22,IF(AND('Zdroj data'!BO54&gt;=Body!$BB$27,'Zdroj data'!BO54&lt;=Body!$BD$27),Body!$BB$22,IF(AND('Zdroj data'!BO54&gt;=Body!$BE$27,'Zdroj data'!BO54&lt;=Body!$BG$27),Body!$BE$22,IF(AND('Zdroj data'!BO54&gt;=Body!$BH$27,'Zdroj data'!BO54&lt;=Body!$BJ$27),Body!$BH$22,IF(AND('Zdroj data'!BO54&gt;=Body!$BK$27,'Zdroj data'!BO54&lt;=Body!$BM$27),Body!$BK$22,IF(AND('Zdroj data'!BO54&gt;=Body!$BN$27,'Zdroj data'!BO54&lt;=Body!$BP$27),Body!$BN$22,IF(AND('Zdroj data'!BO54&gt;=Body!$BQ$27,'Zdroj data'!BO54&lt;=Body!$BS$27),Body!$BQ$22,IF(AND('Zdroj data'!BO54&gt;=Body!$BT$27,'Zdroj data'!BO54&lt;=Body!$BV$27),Body!$BT$22,IF(AND('Zdroj data'!BO54&gt;=Body!$BW$27,'Zdroj data'!BO54&lt;=Body!$BY$27),Body!$BW$22,IF('Zdroj data'!BO54&gt;=Body!$CB$27,$BZ$22," "))))))))))</f>
        <v>8</v>
      </c>
      <c r="W54" s="264">
        <f>IF(AND('Zdroj data'!BP54&gt;Body!$AY$27,'Zdroj data'!BP54&lt;=Body!$BA$27),Body!$AY$22,IF(AND('Zdroj data'!BP54&gt;=Body!$BB$27,'Zdroj data'!BP54&lt;=Body!$BD$27),Body!$BB$22,IF(AND('Zdroj data'!BP54&gt;=Body!$BE$27,'Zdroj data'!BP54&lt;=Body!$BG$27),Body!$BE$22,IF(AND('Zdroj data'!BP54&gt;=Body!$BH$27,'Zdroj data'!BP54&lt;=Body!$BJ$27),Body!$BH$22,IF(AND('Zdroj data'!BP54&gt;=Body!$BK$27,'Zdroj data'!BP54&lt;=Body!$BM$27),Body!$BK$22,IF(AND('Zdroj data'!BP54&gt;=Body!$BN$27,'Zdroj data'!BP54&lt;=Body!$BP$27),Body!$BN$22,IF(AND('Zdroj data'!BP54&gt;=Body!$BQ$27,'Zdroj data'!BP54&lt;=Body!$BS$27),Body!$BQ$22,IF(AND('Zdroj data'!BP54&gt;=Body!$BT$27,'Zdroj data'!BP54&lt;=Body!$BV$27),Body!$BT$22,IF(AND('Zdroj data'!BP54&gt;=Body!$BW$27,'Zdroj data'!BP54&lt;=Body!$BY$27),Body!$BW$22,IF('Zdroj data'!BP54&gt;=Body!$CB$27,$BZ$22," "))))))))))</f>
        <v>5</v>
      </c>
      <c r="X54" s="264">
        <f>IF('Zdroj data'!BA54=Body!$BB$28,$BB$22,IF('Zdroj data'!BA54=Body!$BE$28,$BE$22,IF(OR('Zdroj data'!BA54=Body!$BK$28,'Zdroj data'!BA54=Body!$BL$28,'Zdroj data'!BA54=Body!$BM$28),$BK$22,IF(OR('Zdroj data'!BA54=Body!$BT$28,'Zdroj data'!BA54=Body!$BV$28),$BT$22,IF(OR('Zdroj data'!BA54=Body!$BW$28,'Zdroj data'!BA54=Body!$BY$28),$BW$22,IF('Zdroj data'!BA54=Body!$BZ$28,$BZ$22," "))))))</f>
        <v>10</v>
      </c>
      <c r="Y54" s="264">
        <f>IF('Zdroj data'!AZ54=Body!$BZ$29,Body!$BZ$22,IF(OR('Zdroj data'!AZ54=$BT$29,'Zdroj data'!AZ54=$BU$29,'Zdroj data'!AZ54=$BV$29),$BT$22,IF(OR('Zdroj data'!AZ54=$BK$29,'Zdroj data'!AZ54=$BM$29),$BK$22,IF(OR('Zdroj data'!AZ54=$BE$29,'Zdroj data'!AZ54=$BG$29),$BE$22,IF(OR('Zdroj data'!AZ54=$AY$29,'Zdroj data'!AZ54=$BA$29),$AY$22," ")))))</f>
        <v>10</v>
      </c>
      <c r="Z54" s="264">
        <f>IF(AND('Zdroj data'!BF54="T",(OR('Zdroj data'!AZ54=Body!$AW$45,'Zdroj data'!AZ54=Body!$AW$46,'Zdroj data'!AZ54=Body!$AW$47,'Zdroj data'!AZ54=Body!$AW$48))),Body!$AY$22,IF(AND('Zdroj data'!BF54="T",(OR('Zdroj data'!AZ54=$AW$49,'Zdroj data'!AZ54=$AW$50,'Zdroj data'!AZ54=$AW$51,'Zdroj data'!AZ54=$AW$52))),$BZ$22,IF(AND(OR('Zdroj data'!BF54="VT",'Zdroj data'!BF54="T",'Zdroj data'!BF54="CH"),(OR('Zdroj data'!AZ54=$AW$43,'Zdroj data'!AZ54=$AW$44,))),$BZ$22,IF(AND('Zdroj data'!BF54="CH",(OR('Zdroj data'!AZ54=$AW$49,'Zdroj data'!AZ54=$AW$50,'Zdroj data'!AZ54=$AW$51,'Zdroj data'!AZ54=$AW$52))),$AY$22,IF(AND('Zdroj data'!BF54="CH",(OR('Zdroj data'!AZ54=$AW$45,'Zdroj data'!AZ54=$AW$46,'Zdroj data'!AZ54=$AW$47,'Zdroj data'!AZ54=$AW$48))),$BZ$22," ")))))</f>
        <v>10</v>
      </c>
      <c r="AA54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54" s="264">
        <f>IF(Tabulka1[[#This Row],[kv.ek.]]=Body!$BK$35,Body!$BK$34,IF(Tabulka1[[#This Row],[kv.ek.]]=Body!$BZ$35,Body!$BZ$34," "))</f>
        <v>5</v>
      </c>
      <c r="AC54" s="264" t="str">
        <f>IF(AND('Zdroj data'!BF54="T",(OR('Zdroj data'!AZ54=Body!$AW$45,'Zdroj data'!AZ54=Body!$AW$46,'Zdroj data'!AZ54=Body!$AW$47,'Zdroj data'!AZ54=Body!$AW$48))),Body!$AY$22,IF(AND('Zdroj data'!BF54="T",(OR('Zdroj data'!AZ54=$AW$49,'Zdroj data'!AZ54=$AW$50,'Zdroj data'!AZ54=$AW$51,'Zdroj data'!AZ54=$AW$52))),$BZ$22," "))</f>
        <v xml:space="preserve"> </v>
      </c>
      <c r="AD54" s="264">
        <f>IF(AND(OR('Zdroj data'!BF54="VT",'Zdroj data'!BF54="T",'Zdroj data'!BF54="CH"),(OR('Zdroj data'!AZ54=$AW$43,'Zdroj data'!AZ54=$AW$44,))),$BZ$22," ")</f>
        <v>10</v>
      </c>
      <c r="AE54" s="264" t="str">
        <f>IF(AND('Zdroj data'!BF54="CH",(OR('Zdroj data'!AZ54=$AW$49,'Zdroj data'!AZ54=$AW$50,'Zdroj data'!AZ54=$AW$51,'Zdroj data'!AZ54=$AW$52))),$AY$22,IF(AND('Zdroj data'!BF54="CH",(OR('Zdroj data'!AZ54=$AW$45,'Zdroj data'!AZ54=$AW$46,'Zdroj data'!AZ54=$AW$47,'Zdroj data'!AZ54=$AW$48))),$BZ$22," "))</f>
        <v xml:space="preserve"> </v>
      </c>
      <c r="AF54" s="264">
        <f>IF(AND('Zdroj data'!BG54="L",'Zdroj data'!AM54=Body!$AX$15),IF(AND('Zdroj data'!O54&gt;=Body!$AY$15,'Zdroj data'!O54&lt;=Body!$BA$15),Body!AY$6,IF(AND('Zdroj data'!O54&gt;=Body!$BB$15,'Zdroj data'!O54&lt;=Body!$BD$15),Body!BB$6,IF(AND('Zdroj data'!O54&gt;=Body!$BE$15,'Zdroj data'!O54&lt;=Body!$BG$15),Body!BE$6,IF(AND('Zdroj data'!O54&gt;=Body!$BH$15,'Zdroj data'!O54&lt;=Body!$BJ$15),Body!BH$6,IF(AND('Zdroj data'!O54&gt;=Body!$BK$15,'Zdroj data'!O54&lt;=Body!$BM$15),Body!BK$6,IF(AND('Zdroj data'!O54&gt;=Body!$BN$15,'Zdroj data'!O54&lt;=Body!$BP$15),Body!$BN$6,IF(AND('Zdroj data'!O54&gt;=Body!$BQ$15,'Zdroj data'!O54&lt;=Body!$BS$15),Body!$BQ$6,IF(AND('Zdroj data'!O54&gt;=Body!$BT$15,'Zdroj data'!O54&lt;=Body!$BV$15),Body!BT$6,IF(AND('Zdroj data'!O54&gt;=Body!$BW$15,'Zdroj data'!O54&lt;=Body!$BY$15),Body!$BW$6,IF('Zdroj data'!O54&gt;=Body!$CB$15,Body!$BZ$6," ")))))))))),IF(AND('Zdroj data'!BG54="ST",'Zdroj data'!AM54=Body!$AX$16),IF(AND('Zdroj data'!O54&gt;=Body!$AY$16,'Zdroj data'!O54&lt;=Body!$BA$16),Body!$AY$6,IF(AND('Zdroj data'!O54&gt;=Body!$BB$16,'Zdroj data'!O54&lt;=Body!$BD$16),Body!$BB$6,IF(AND('Zdroj data'!O54&gt;=Body!$BE$16,'Zdroj data'!O54&lt;=Body!$BG$16),Body!$BE$6,IF(AND('Zdroj data'!O54&gt;=Body!$BH$16,'Zdroj data'!O54&lt;=Body!$BJ$16),Body!$BH$6,IF(AND('Zdroj data'!O54&gt;=Body!$BK$16,'Zdroj data'!O54&lt;=Body!$BM$16),Body!$BK$6,IF(AND('Zdroj data'!O54&gt;=Body!$BN$16,'Zdroj data'!O54&lt;=Body!$BP$16),Body!$BN$6,IF(AND('Zdroj data'!O54&gt;=Body!$BQ$16,'Zdroj data'!O54&lt;=Body!$BS$16),Body!$BQ$6,IF(AND('Zdroj data'!O54&gt;=Body!$BT$16,'Zdroj data'!O54&lt;=Body!$BV$16),Body!$BT$6,IF(AND('Zdroj data'!O54&gt;=Body!$BW$16,'Zdroj data'!O54&lt;=Body!$BY$16),Body!$BW$6,IF('Zdroj data'!O54&gt;=Body!$CB$16,Body!$BZ$6," ")))))))))),IF(AND('Zdroj data'!BG54="T",'Zdroj data'!AM54=Body!$AX$17),IF(AND('Zdroj data'!O54&gt;=Body!$AY$17,'Zdroj data'!O54&lt;=Body!$BA$17),Body!$AY$6,IF(AND('Zdroj data'!O54&gt;=Body!$BB$17,'Zdroj data'!O54&lt;=Body!$BD$17),Body!$BB$6,IF(AND('Zdroj data'!O54&gt;=Body!$BE$17,'Zdroj data'!O54&lt;=Body!$BG$17),Body!$BE$6,IF(AND('Zdroj data'!O54&gt;=Body!$BH$17,'Zdroj data'!O54&lt;=Body!#REF!),Body!$BH$6,IF(AND('Zdroj data'!O54&gt;=Body!$BK$17,'Zdroj data'!O54&lt;=Body!$BM$17),Body!$BK$6,IF(AND('Zdroj data'!O54&gt;=Body!$BN$17,'Zdroj data'!O54&lt;=Body!$BP$17),Body!$BN$6,IF(AND('Zdroj data'!O54&gt;=Body!$BQ$17,'Zdroj data'!O54&lt;=Body!$BS$17),Body!$BQ$6,IF(AND('Zdroj data'!O54&gt;=Body!$BT$17,'Zdroj data'!O54&lt;=Body!$BV$17),Body!$BT$6,IF(AND('Zdroj data'!O54&gt;=Body!$BW$17,'Zdroj data'!O54&lt;=Body!$BY$17),Body!$BW$6,IF('Zdroj data'!O54&gt;=Body!$CB$17,Body!$BZ$6," "))))))))))," ")))</f>
        <v>1</v>
      </c>
      <c r="AG54" s="264">
        <f>IF(AND('Zdroj data'!$BG54="L",'Zdroj data'!$AM54=Body!$AX$15),IF(AND(Tabulka1[[#This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data'!$BG54="ST",'Zdroj data'!$AM54=Body!$AX$16),IF(AND(Tabulka1[[#This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data'!$BG54="T",'Zdroj data'!$AM54=Body!$AX$17),IF(AND(Tabulka1[[#This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54" s="264" t="str">
        <f>IF(AND('Zdroj data'!BG54="L",'Zdroj data'!AM54=Body!$AX$18),IF(AND('Zdroj data'!O54&gt;=Body!$AY$18,'Zdroj data'!O54&lt;=Body!$BA$18),Body!AY$6,IF(AND('Zdroj data'!O54&gt;=Body!$BB$18,'Zdroj data'!O54&lt;=Body!$BD$18),Body!BB$6,IF(AND('Zdroj data'!O54&gt;=Body!$BE$18,'Zdroj data'!O54&lt;=Body!$BG$18),Body!BE$6,IF(AND('Zdroj data'!O54&gt;=Body!$BH$18,'Zdroj data'!O54&lt;=Body!$BJ$18),Body!BH$6,IF(AND('Zdroj data'!O54&gt;=Body!$BK$18,'Zdroj data'!O54&lt;=Body!$BM$18),Body!$BK$6,IF(AND('Zdroj data'!O54&gt;=Body!$BN$18,'Zdroj data'!O54&lt;=Body!$BP$18),Body!BN$6,IF(AND('Zdroj data'!O54&gt;=Body!$BQ$18,'Zdroj data'!O54&lt;=Body!$BS$18),Body!$BQ$6,IF(AND('Zdroj data'!O54&gt;=Body!$BT$18,'Zdroj data'!O54&lt;=Body!$BV$18),Body!$BT$6,IF(AND('Zdroj data'!O54&gt;=Body!$BW$18,'Zdroj data'!O54&lt;=Body!$BY$18),Body!$BW$6,IF('Zdroj data'!O54&gt;=Body!$CB$18,Body!$BZ$6," ")))))))))),IF(AND('Zdroj data'!BG54="ST",'Zdroj data'!AM54=Body!$AX$19),IF(AND('Zdroj data'!O54&gt;=Body!$AY$19,'Zdroj data'!O54&lt;=Body!$BA$19),Body!$AY$6,IF(AND('Zdroj data'!O54&gt;=Body!$BB$19,'Zdroj data'!O54&lt;=Body!$BD$19),Body!$BB$6,IF(AND('Zdroj data'!O54&gt;=Body!$BE$19,'Zdroj data'!O54&lt;=Body!$BG$19),Body!$BE$6,IF(AND('Zdroj data'!O54&gt;=Body!$BH$19,'Zdroj data'!O54&lt;=Body!$BJ$19),Body!$BH$6,IF(AND('Zdroj data'!O54&gt;=Body!$BK$19,'Zdroj data'!O54&lt;=Body!$BM$19),Body!$BK$6,IF(AND('Zdroj data'!O54&gt;=Body!$BN$19,'Zdroj data'!O54&lt;=Body!$BP$19),Body!$BN$6,IF(AND('Zdroj data'!O54&gt;=Body!$BQ$19,'Zdroj data'!O54&lt;=Body!$BS$19),Body!$BQ$6,IF(AND('Zdroj data'!O54&gt;=Body!$BT$19,'Zdroj data'!O58&lt;=Body!$BV$19),Body!$BT$6,IF(AND('Zdroj data'!O54&gt;=Body!$BW$19,'Zdroj data'!O54&lt;=Body!$BY$19),Body!$BW$6,IF('Zdroj data'!O54&gt;=Body!$CB$19,Body!$BZ$6," ")))))))))),IF(AND('Zdroj data'!BG54="T",'Zdroj data'!AM54=Body!$AX$20),IF(AND('Zdroj data'!O54&gt;=Body!$AY$20,'Zdroj data'!O54&lt;=Body!$BA$20),Body!$AY$6,IF(AND('Zdroj data'!O54&gt;=Body!$BB$20,'Zdroj data'!O54&lt;=Body!$BD$20),Body!$BB$6,IF(AND('Zdroj data'!O54&gt;=Body!$BE$20,'Zdroj data'!O54&lt;=Body!$BG$20),Body!$BE$6,IF(AND('Zdroj data'!O54&gt;=Body!$BH$20,'Zdroj data'!O54&lt;=Body!$BJ$20),Body!$BH$6,IF(AND('Zdroj data'!O54&gt;=Body!$BK$20,'Zdroj data'!O54&lt;=Body!$BM$20),Body!$BK$6,IF(AND('Zdroj data'!O54&gt;=Body!$BN$20,'Zdroj data'!O54&lt;=Body!$BP$20),Body!$BN$6,IF(AND('Zdroj data'!O54&gt;=Body!$BQ$20,'Zdroj data'!O54&lt;=Body!$BS$20),Body!$BQ$6,IF(AND('Zdroj data'!O54&gt;=Body!$BT$20,'Zdroj data'!O54&lt;=Body!#REF!),Body!$BT$6,IF(AND('Zdroj data'!O54&gt;=Body!$BW$20,'Zdroj data'!O54&lt;=Body!$BY$20),Body!$BW$6,IF('Zdroj data'!O54&gt;=Body!$CB$20,Body!$BZ$6," "))))))))))," ")))</f>
        <v xml:space="preserve"> </v>
      </c>
      <c r="AI54" s="264" t="str">
        <f>IF(AND('Zdroj data'!$BG54="L",'Zdroj data'!$AM54=Body!$AX$18),IF(AND(Tabulka1[[#This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data'!$BG54="ST",'Zdroj data'!$AM54=Body!$AX$19),IF(AND(Tabulka1[[#This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data'!$BG54="T",'Zdroj data'!$AM54=Body!$AX$20),IF(AND(Tabulka1[[#This Row],[K2O_60]]&gt;=Body!$AY$20,'Zdroj data'!O54&lt;=Body!$BA$20),Body!$AY$6,IF(AND(Tabulka1[[#This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54" s="265">
        <f t="shared" si="10"/>
        <v>5.3333333333333375</v>
      </c>
      <c r="AK54" s="264">
        <f t="shared" si="3"/>
        <v>29.766813284214784</v>
      </c>
      <c r="AL54" s="264">
        <f t="shared" si="4"/>
        <v>28.881816096279266</v>
      </c>
      <c r="AM54" s="264">
        <f t="shared" si="5"/>
        <v>74.037202222471763</v>
      </c>
      <c r="AN54" s="264">
        <f t="shared" si="6"/>
        <v>77.230670515017792</v>
      </c>
      <c r="AO54" s="265">
        <f t="shared" si="11"/>
        <v>103.80401550668654</v>
      </c>
      <c r="AP54" s="265">
        <f t="shared" si="12"/>
        <v>106.11248661129706</v>
      </c>
      <c r="AQ54" s="318"/>
      <c r="AR54" s="338">
        <f t="shared" si="7"/>
        <v>215.24983545131695</v>
      </c>
      <c r="AS54" s="318"/>
      <c r="AT54" s="138"/>
      <c r="AU54" s="138"/>
      <c r="AW54" s="325" t="s">
        <v>979</v>
      </c>
      <c r="BE54" s="22"/>
      <c r="BF54" s="22"/>
      <c r="BG54" s="22"/>
      <c r="BH54" s="22"/>
      <c r="BI54" s="66"/>
      <c r="BJ54" s="22"/>
      <c r="BK54" s="22"/>
      <c r="BL54" s="22"/>
      <c r="BM54" s="22"/>
      <c r="BN54" s="22"/>
    </row>
    <row r="55" spans="1:81" ht="15.5" x14ac:dyDescent="0.35">
      <c r="A55" s="270">
        <v>2569</v>
      </c>
      <c r="B55" s="156" t="s">
        <v>638</v>
      </c>
      <c r="C55" s="250" t="str">
        <f>VLOOKUP(B55,'Zdroj hloubka okresy'!$A$2:$D$171,2,FALSE)</f>
        <v>Mlada Boleslav</v>
      </c>
      <c r="D55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55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7</v>
      </c>
      <c r="F55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8</v>
      </c>
      <c r="G55" s="264">
        <f>IF(AND(Tabulka1[[#This Row],[hum_60]]&gt;AY61,Tabulka1[[#This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4</v>
      </c>
      <c r="H55" s="264">
        <f>IF(Tabulka1[[#This Row],[kv.ek.]]=Body!$AX$13,IF(AND('Zdroj data'!M55&gt;=Body!$AY$13,'Zdroj data'!M55&lt;=Body!$BA$13),Body!$AY$6,IF(AND('Zdroj data'!M55&gt;=Body!$BB$13,'Zdroj data'!M55&lt;=Body!$BD$13),Body!$BB$6,IF(AND('Zdroj data'!M55&gt;=Body!$BE$13,'Zdroj data'!M55&lt;=Body!$BG$13),Body!$BE$6,IF(AND('Zdroj data'!M55&gt;=Body!$BH$13,'Zdroj data'!M55&lt;=Body!$BJ$13),Body!$BH$6,IF(AND('Zdroj data'!M55&gt;=Body!$BK$13,'Zdroj data'!M55&lt;=Body!$BM$13),Body!$BK$6,IF(AND('Zdroj data'!M55&gt;=Body!$BN$13,'Zdroj data'!M55&lt;=Body!$BP$13),Body!$BN$6,IF(AND('Zdroj data'!M55&gt;=Body!$BQ$13,'Zdroj data'!M55&lt;=Body!$BS$13),Body!$BQ$6,IF(AND('Zdroj data'!M55&gt;=Body!$BT$13,'Zdroj data'!M55&lt;=Body!$BV$13),Body!$BT$6,IF(AND('Zdroj data'!M55&gt;=Body!$BW$13,'Zdroj data'!M55&lt;=Body!$BY$13),Body!$BW$6,IF('Zdroj data'!M55&gt;=Body!$CB$13,Body!$BZ$6,"")))))))))),IF(Tabulka1[[#This Row],[kv.ek.]]=Body!$AX$14,IF(AND('Zdroj data'!N55&gt;=Body!$AY$14,'Zdroj data'!N55&lt;=Body!$BA$14),Body!$AY$6,IF(AND('Zdroj data'!N55&gt;=Body!$BB$14,'Zdroj data'!N55&lt;=Body!$BD$14),Body!$BB$6,IF(AND('Zdroj data'!N55&gt;=Body!$BE$14,'Zdroj data'!N55&lt;=Body!$BG$14),Body!$BE$6,IF(AND('Zdroj data'!N55&gt;=Body!$BH$14,'Zdroj data'!N55&lt;=Body!$BJ$14),Body!$BH$6,IF(AND('Zdroj data'!N55&gt;=Body!$BK$14,'Zdroj data'!N55&lt;=Body!$BM$14),Body!$BK$6,IF(AND('Zdroj data'!N55&gt;=Body!$BN$14,'Zdroj data'!N55&lt;=Body!$BP$14),Body!$BN$6,IF(AND('Zdroj data'!N55&gt;=Body!$BQ$14,'Zdroj data'!N55&lt;=Body!$BS$14),Body!$BQ$6,IF(AND('Zdroj data'!N55&gt;=Body!$BT$14,'Zdroj data'!N55&lt;=Body!$BV$14),Body!$BT$6,IF(AND('Zdroj data'!N55&gt;=Body!$BW$14,'Zdroj data'!N55&lt;=Body!$BY$14),Body!$BW$6,IF('Zdroj data'!N55&gt;=Body!$CB$14,Body!$BZ$6,"")))))))))),""))</f>
        <v>3</v>
      </c>
      <c r="I55" s="264">
        <f>IF(Tabulka1[[#This Row],[kv.ek.]]=Body!$AX$13,IF(AND('Zdroj data'!N55&gt;=Body!$AY$13,'Zdroj data'!N55&lt;=Body!$BA$13),Body!$AY$6,IF(AND('Zdroj data'!N55&gt;=Body!$BB$13,'Zdroj data'!N55&lt;=Body!$BD$13),Body!$BB$6,IF(AND('Zdroj data'!N55&gt;=Body!$BE$13,'Zdroj data'!N55&lt;=Body!$BG$13),Body!$BE$6,IF(AND('Zdroj data'!N55&gt;=Body!$BH$13,'Zdroj data'!N55&lt;=Body!$BJ$13),Body!$BH$6,IF(AND('Zdroj data'!N55&gt;=Body!$BK$13,'Zdroj data'!N55&lt;=Body!$BM$13),Body!$BK$6,IF(AND('Zdroj data'!N55&gt;=Body!$BN$13,'Zdroj data'!N55&lt;=Body!$BP$13),Body!$BN$6,IF(AND('Zdroj data'!N55&gt;=Body!$BQ$13,'Zdroj data'!N55&lt;=Body!$BS$13),Body!$BQ$6,IF(AND('Zdroj data'!N55&gt;=Body!$BT$13,'Zdroj data'!N55&lt;=Body!$BV$13),Body!$BT$6,IF(AND('Zdroj data'!N55&gt;=Body!$BW$13,'Zdroj data'!N55&lt;=Body!$BY$13),Body!$BW$6,IF('Zdroj data'!N55&gt;=Body!$CB$13,Body!$BZ$6," ")))))))))),IF(Tabulka1[[#This Row],[kv.ek.]]=Body!$AX$14,IF(AND('Zdroj data'!O55&gt;=Body!$AY$14,'Zdroj data'!O55&lt;=Body!$BA$14),Body!$AY$6,IF(AND('Zdroj data'!O55&gt;=Body!$BB$14,'Zdroj data'!O55&lt;=Body!$BD$14),Body!$BB$6,IF(AND('Zdroj data'!O55&gt;=Body!$BE$14,'Zdroj data'!O55&lt;=Body!$BG$14),Body!$BE$6,IF(AND('Zdroj data'!O55&gt;=Body!$BH$14,'Zdroj data'!O55&lt;=Body!$BJ$14),Body!$BH$6,IF(AND('Zdroj data'!O55&gt;=Body!$BK$14,'Zdroj data'!O55&lt;=Body!$BM$14),Body!$BK$6,IF(AND('Zdroj data'!O55&gt;=Body!$BN$14,'Zdroj data'!O55&lt;=Body!$BP$14),Body!$BN$6,IF(AND('Zdroj data'!O55&gt;=Body!$BQ$14,'Zdroj data'!O55&lt;=Body!$BS$14),Body!$BQ$6,IF(AND('Zdroj data'!O55&gt;=Body!$BT$14,'Zdroj data'!O55&lt;=Body!$BV$14),Body!$BT$6,IF(AND('Zdroj data'!O55&gt;=Body!$BW$14,'Zdroj data'!O55&lt;=Body!$BY$14),Body!$BW$6,IF('Zdroj data'!O55&gt;=Body!$CB$14,Body!$BZ$6," "))))))))))," "))</f>
        <v>1</v>
      </c>
      <c r="J55" s="264">
        <f t="shared" si="8"/>
        <v>1</v>
      </c>
      <c r="K55" s="264">
        <f t="shared" si="9"/>
        <v>1</v>
      </c>
      <c r="L55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55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55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55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55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55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55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55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4</v>
      </c>
      <c r="T55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4</v>
      </c>
      <c r="U55" s="264">
        <f>IF('Zdroj data'!BB55=Body!$AY$25,Body!$AY$22,IF('Zdroj data'!BB55=Body!$BB$25,Body!$BB$22,IF('Zdroj data'!BB55=Body!$BE$25,Body!$BE$22,IF('Zdroj data'!BB55=Body!$BH$25,Body!$BH$22,IF('Zdroj data'!BB55=Body!BK$25,Body!$BK$22,IF('Zdroj data'!BB55=Body!$BN$25,Body!$BN$22,IF('Zdroj data'!BB55=Body!$BQ$25,Body!$BQ$22,IF('Zdroj data'!BB55=Body!$BT$25,Body!$BT$22,IF('Zdroj data'!BB55=Body!$BW$25,Body!$BW$22,IF('Zdroj data'!BB55=Body!$BZ$25,Body!$BZ$22," "))))))))))</f>
        <v>7</v>
      </c>
      <c r="V55" s="264">
        <f>IF(AND('Zdroj data'!BO55&gt;Body!$AY$27,'Zdroj data'!BO55&lt;=Body!$BA$27),Body!$AY$22,IF(AND('Zdroj data'!BO55&gt;=Body!$BB$27,'Zdroj data'!BO55&lt;=Body!$BD$27),Body!$BB$22,IF(AND('Zdroj data'!BO55&gt;=Body!$BE$27,'Zdroj data'!BO55&lt;=Body!$BG$27),Body!$BE$22,IF(AND('Zdroj data'!BO55&gt;=Body!$BH$27,'Zdroj data'!BO55&lt;=Body!$BJ$27),Body!$BH$22,IF(AND('Zdroj data'!BO55&gt;=Body!$BK$27,'Zdroj data'!BO55&lt;=Body!$BM$27),Body!$BK$22,IF(AND('Zdroj data'!BO55&gt;=Body!$BN$27,'Zdroj data'!BO55&lt;=Body!$BP$27),Body!$BN$22,IF(AND('Zdroj data'!BO55&gt;=Body!$BQ$27,'Zdroj data'!BO55&lt;=Body!$BS$27),Body!$BQ$22,IF(AND('Zdroj data'!BO55&gt;=Body!$BT$27,'Zdroj data'!BO55&lt;=Body!$BV$27),Body!$BT$22,IF(AND('Zdroj data'!BO55&gt;=Body!$BW$27,'Zdroj data'!BO55&lt;=Body!$BY$27),Body!$BW$22,IF('Zdroj data'!BO55&gt;=Body!$CB$27,$BZ$22," "))))))))))</f>
        <v>6</v>
      </c>
      <c r="W55" s="264">
        <f>IF(AND('Zdroj data'!BP55&gt;Body!$AY$27,'Zdroj data'!BP55&lt;=Body!$BA$27),Body!$AY$22,IF(AND('Zdroj data'!BP55&gt;=Body!$BB$27,'Zdroj data'!BP55&lt;=Body!$BD$27),Body!$BB$22,IF(AND('Zdroj data'!BP55&gt;=Body!$BE$27,'Zdroj data'!BP55&lt;=Body!$BG$27),Body!$BE$22,IF(AND('Zdroj data'!BP55&gt;=Body!$BH$27,'Zdroj data'!BP55&lt;=Body!$BJ$27),Body!$BH$22,IF(AND('Zdroj data'!BP55&gt;=Body!$BK$27,'Zdroj data'!BP55&lt;=Body!$BM$27),Body!$BK$22,IF(AND('Zdroj data'!BP55&gt;=Body!$BN$27,'Zdroj data'!BP55&lt;=Body!$BP$27),Body!$BN$22,IF(AND('Zdroj data'!BP55&gt;=Body!$BQ$27,'Zdroj data'!BP55&lt;=Body!$BS$27),Body!$BQ$22,IF(AND('Zdroj data'!BP55&gt;=Body!$BT$27,'Zdroj data'!BP55&lt;=Body!$BV$27),Body!$BT$22,IF(AND('Zdroj data'!BP55&gt;=Body!$BW$27,'Zdroj data'!BP55&lt;=Body!$BY$27),Body!$BW$22,IF('Zdroj data'!BP55&gt;=Body!$CB$27,$BZ$22," "))))))))))</f>
        <v>6</v>
      </c>
      <c r="X55" s="264">
        <f>IF('Zdroj data'!BA55=Body!$BB$28,$BB$22,IF('Zdroj data'!BA55=Body!$BE$28,$BE$22,IF(OR('Zdroj data'!BA55=Body!$BK$28,'Zdroj data'!BA55=Body!$BL$28,'Zdroj data'!BA55=Body!$BM$28),$BK$22,IF(OR('Zdroj data'!BA55=Body!$BT$28,'Zdroj data'!BA55=Body!$BV$28),$BT$22,IF(OR('Zdroj data'!BA55=Body!$BW$28,'Zdroj data'!BA55=Body!$BY$28),$BW$22,IF('Zdroj data'!BA55=Body!$BZ$28,$BZ$22," "))))))</f>
        <v>10</v>
      </c>
      <c r="Y55" s="264">
        <f>IF('Zdroj data'!AZ55=Body!$BZ$29,Body!$BZ$22,IF(OR('Zdroj data'!AZ55=$BT$29,'Zdroj data'!AZ55=$BU$29,'Zdroj data'!AZ55=$BV$29),$BT$22,IF(OR('Zdroj data'!AZ55=$BK$29,'Zdroj data'!AZ55=$BM$29),$BK$22,IF(OR('Zdroj data'!AZ55=$BE$29,'Zdroj data'!AZ55=$BG$29),$BE$22,IF(OR('Zdroj data'!AZ55=$AY$29,'Zdroj data'!AZ55=$BA$29),$AY$22," ")))))</f>
        <v>10</v>
      </c>
      <c r="Z55" s="264">
        <f>IF(AND('Zdroj data'!BF55="T",(OR('Zdroj data'!AZ55=Body!$AW$45,'Zdroj data'!AZ55=Body!$AW$46,'Zdroj data'!AZ55=Body!$AW$47,'Zdroj data'!AZ55=Body!$AW$48))),Body!$AY$22,IF(AND('Zdroj data'!BF55="T",(OR('Zdroj data'!AZ55=$AW$49,'Zdroj data'!AZ55=$AW$50,'Zdroj data'!AZ55=$AW$51,'Zdroj data'!AZ55=$AW$52))),$BZ$22,IF(AND(OR('Zdroj data'!BF55="VT",'Zdroj data'!BF55="T",'Zdroj data'!BF55="CH"),(OR('Zdroj data'!AZ55=$AW$43,'Zdroj data'!AZ55=$AW$44,))),$BZ$22,IF(AND('Zdroj data'!BF55="CH",(OR('Zdroj data'!AZ55=$AW$49,'Zdroj data'!AZ55=$AW$50,'Zdroj data'!AZ55=$AW$51,'Zdroj data'!AZ55=$AW$52))),$AY$22,IF(AND('Zdroj data'!BF55="CH",(OR('Zdroj data'!AZ55=$AW$45,'Zdroj data'!AZ55=$AW$46,'Zdroj data'!AZ55=$AW$47,'Zdroj data'!AZ55=$AW$48))),$BZ$22," ")))))</f>
        <v>10</v>
      </c>
      <c r="AA55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55" s="264">
        <f>IF(Tabulka1[[#This Row],[kv.ek.]]=Body!$BK$35,Body!$BK$34,IF(Tabulka1[[#This Row],[kv.ek.]]=Body!$BZ$35,Body!$BZ$34," "))</f>
        <v>5</v>
      </c>
      <c r="AC55" s="264" t="str">
        <f>IF(AND('Zdroj data'!BF55="T",(OR('Zdroj data'!AZ55=Body!$AW$45,'Zdroj data'!AZ55=Body!$AW$46,'Zdroj data'!AZ55=Body!$AW$47,'Zdroj data'!AZ55=Body!$AW$48))),Body!$AY$22,IF(AND('Zdroj data'!BF55="T",(OR('Zdroj data'!AZ55=$AW$49,'Zdroj data'!AZ55=$AW$50,'Zdroj data'!AZ55=$AW$51,'Zdroj data'!AZ55=$AW$52))),$BZ$22," "))</f>
        <v xml:space="preserve"> </v>
      </c>
      <c r="AD55" s="264">
        <f>IF(AND(OR('Zdroj data'!BF55="VT",'Zdroj data'!BF55="T",'Zdroj data'!BF55="CH"),(OR('Zdroj data'!AZ55=$AW$43,'Zdroj data'!AZ55=$AW$44,))),$BZ$22," ")</f>
        <v>10</v>
      </c>
      <c r="AE55" s="264" t="str">
        <f>IF(AND('Zdroj data'!BF55="CH",(OR('Zdroj data'!AZ55=$AW$49,'Zdroj data'!AZ55=$AW$50,'Zdroj data'!AZ55=$AW$51,'Zdroj data'!AZ55=$AW$52))),$AY$22,IF(AND('Zdroj data'!BF55="CH",(OR('Zdroj data'!AZ55=$AW$45,'Zdroj data'!AZ55=$AW$46,'Zdroj data'!AZ55=$AW$47,'Zdroj data'!AZ55=$AW$48))),$BZ$22," "))</f>
        <v xml:space="preserve"> </v>
      </c>
      <c r="AF55" s="264">
        <f>IF(AND('Zdroj data'!BG55="L",'Zdroj data'!AM55=Body!$AX$15),IF(AND('Zdroj data'!O55&gt;=Body!$AY$15,'Zdroj data'!O55&lt;=Body!$BA$15),Body!AY$6,IF(AND('Zdroj data'!O55&gt;=Body!$BB$15,'Zdroj data'!O55&lt;=Body!$BD$15),Body!BB$6,IF(AND('Zdroj data'!O55&gt;=Body!$BE$15,'Zdroj data'!O55&lt;=Body!$BG$15),Body!BE$6,IF(AND('Zdroj data'!O55&gt;=Body!$BH$15,'Zdroj data'!O55&lt;=Body!$BJ$15),Body!BH$6,IF(AND('Zdroj data'!O55&gt;=Body!$BK$15,'Zdroj data'!O55&lt;=Body!$BM$15),Body!BK$6,IF(AND('Zdroj data'!O55&gt;=Body!$BN$15,'Zdroj data'!O55&lt;=Body!$BP$15),Body!$BN$6,IF(AND('Zdroj data'!O55&gt;=Body!$BQ$15,'Zdroj data'!O55&lt;=Body!$BS$15),Body!$BQ$6,IF(AND('Zdroj data'!O55&gt;=Body!$BT$15,'Zdroj data'!O55&lt;=Body!$BV$15),Body!BT$6,IF(AND('Zdroj data'!O55&gt;=Body!$BW$15,'Zdroj data'!O55&lt;=Body!$BY$15),Body!$BW$6,IF('Zdroj data'!O55&gt;=Body!$CB$15,Body!$BZ$6," ")))))))))),IF(AND('Zdroj data'!BG55="ST",'Zdroj data'!AM55=Body!$AX$16),IF(AND('Zdroj data'!O55&gt;=Body!$AY$16,'Zdroj data'!O55&lt;=Body!$BA$16),Body!$AY$6,IF(AND('Zdroj data'!O55&gt;=Body!$BB$16,'Zdroj data'!O55&lt;=Body!$BD$16),Body!$BB$6,IF(AND('Zdroj data'!O55&gt;=Body!$BE$16,'Zdroj data'!O55&lt;=Body!$BG$16),Body!$BE$6,IF(AND('Zdroj data'!O55&gt;=Body!$BH$16,'Zdroj data'!O55&lt;=Body!$BJ$16),Body!$BH$6,IF(AND('Zdroj data'!O55&gt;=Body!$BK$16,'Zdroj data'!O55&lt;=Body!$BM$16),Body!$BK$6,IF(AND('Zdroj data'!O55&gt;=Body!$BN$16,'Zdroj data'!O55&lt;=Body!$BP$16),Body!$BN$6,IF(AND('Zdroj data'!O55&gt;=Body!$BQ$16,'Zdroj data'!O55&lt;=Body!$BS$16),Body!$BQ$6,IF(AND('Zdroj data'!O55&gt;=Body!$BT$16,'Zdroj data'!O55&lt;=Body!$BV$16),Body!$BT$6,IF(AND('Zdroj data'!O55&gt;=Body!$BW$16,'Zdroj data'!O55&lt;=Body!$BY$16),Body!$BW$6,IF('Zdroj data'!O55&gt;=Body!$CB$16,Body!$BZ$6," ")))))))))),IF(AND('Zdroj data'!BG55="T",'Zdroj data'!AM55=Body!$AX$17),IF(AND('Zdroj data'!O55&gt;=Body!$AY$17,'Zdroj data'!O55&lt;=Body!$BA$17),Body!$AY$6,IF(AND('Zdroj data'!O55&gt;=Body!$BB$17,'Zdroj data'!O55&lt;=Body!$BD$17),Body!$BB$6,IF(AND('Zdroj data'!O55&gt;=Body!$BE$17,'Zdroj data'!O55&lt;=Body!$BG$17),Body!$BE$6,IF(AND('Zdroj data'!O55&gt;=Body!$BH$17,'Zdroj data'!O55&lt;=Body!#REF!),Body!$BH$6,IF(AND('Zdroj data'!O55&gt;=Body!$BK$17,'Zdroj data'!O55&lt;=Body!$BM$17),Body!$BK$6,IF(AND('Zdroj data'!O55&gt;=Body!$BN$17,'Zdroj data'!O55&lt;=Body!$BP$17),Body!$BN$6,IF(AND('Zdroj data'!O55&gt;=Body!$BQ$17,'Zdroj data'!O55&lt;=Body!$BS$17),Body!$BQ$6,IF(AND('Zdroj data'!O55&gt;=Body!$BT$17,'Zdroj data'!O55&lt;=Body!$BV$17),Body!$BT$6,IF(AND('Zdroj data'!O55&gt;=Body!$BW$17,'Zdroj data'!O55&lt;=Body!$BY$17),Body!$BW$6,IF('Zdroj data'!O55&gt;=Body!$CB$17,Body!$BZ$6," "))))))))))," ")))</f>
        <v>1</v>
      </c>
      <c r="AG55" s="264">
        <f>IF(AND('Zdroj data'!$BG55="L",'Zdroj data'!$AM55=Body!$AX$15),IF(AND(Tabulka1[[#This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data'!$BG55="ST",'Zdroj data'!$AM55=Body!$AX$16),IF(AND(Tabulka1[[#This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data'!$BG55="T",'Zdroj data'!$AM55=Body!$AX$17),IF(AND(Tabulka1[[#This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55" s="264" t="str">
        <f>IF(AND('Zdroj data'!BG55="L",'Zdroj data'!AM55=Body!$AX$18),IF(AND('Zdroj data'!O55&gt;=Body!$AY$18,'Zdroj data'!O55&lt;=Body!$BA$18),Body!AY$6,IF(AND('Zdroj data'!O55&gt;=Body!$BB$18,'Zdroj data'!O55&lt;=Body!$BD$18),Body!BB$6,IF(AND('Zdroj data'!O55&gt;=Body!$BE$18,'Zdroj data'!O55&lt;=Body!$BG$18),Body!BE$6,IF(AND('Zdroj data'!O55&gt;=Body!$BH$18,'Zdroj data'!O55&lt;=Body!$BJ$18),Body!BH$6,IF(AND('Zdroj data'!O55&gt;=Body!$BK$18,'Zdroj data'!O55&lt;=Body!$BM$18),Body!$BK$6,IF(AND('Zdroj data'!O55&gt;=Body!$BN$18,'Zdroj data'!O55&lt;=Body!$BP$18),Body!BN$6,IF(AND('Zdroj data'!O55&gt;=Body!$BQ$18,'Zdroj data'!O55&lt;=Body!$BS$18),Body!$BQ$6,IF(AND('Zdroj data'!O55&gt;=Body!$BT$18,'Zdroj data'!O55&lt;=Body!$BV$18),Body!$BT$6,IF(AND('Zdroj data'!O55&gt;=Body!$BW$18,'Zdroj data'!O55&lt;=Body!$BY$18),Body!$BW$6,IF('Zdroj data'!O55&gt;=Body!$CB$18,Body!$BZ$6," ")))))))))),IF(AND('Zdroj data'!BG55="ST",'Zdroj data'!AM55=Body!$AX$19),IF(AND('Zdroj data'!O55&gt;=Body!$AY$19,'Zdroj data'!O55&lt;=Body!$BA$19),Body!$AY$6,IF(AND('Zdroj data'!O55&gt;=Body!$BB$19,'Zdroj data'!O55&lt;=Body!$BD$19),Body!$BB$6,IF(AND('Zdroj data'!O55&gt;=Body!$BE$19,'Zdroj data'!O55&lt;=Body!$BG$19),Body!$BE$6,IF(AND('Zdroj data'!O55&gt;=Body!$BH$19,'Zdroj data'!O55&lt;=Body!$BJ$19),Body!$BH$6,IF(AND('Zdroj data'!O55&gt;=Body!$BK$19,'Zdroj data'!O55&lt;=Body!$BM$19),Body!$BK$6,IF(AND('Zdroj data'!O55&gt;=Body!$BN$19,'Zdroj data'!O55&lt;=Body!$BP$19),Body!$BN$6,IF(AND('Zdroj data'!O55&gt;=Body!$BQ$19,'Zdroj data'!O55&lt;=Body!$BS$19),Body!$BQ$6,IF(AND('Zdroj data'!O55&gt;=Body!$BT$19,'Zdroj data'!O59&lt;=Body!$BV$19),Body!$BT$6,IF(AND('Zdroj data'!O55&gt;=Body!$BW$19,'Zdroj data'!O55&lt;=Body!$BY$19),Body!$BW$6,IF('Zdroj data'!O55&gt;=Body!$CB$19,Body!$BZ$6," ")))))))))),IF(AND('Zdroj data'!BG55="T",'Zdroj data'!AM55=Body!$AX$20),IF(AND('Zdroj data'!O55&gt;=Body!$AY$20,'Zdroj data'!O55&lt;=Body!$BA$20),Body!$AY$6,IF(AND('Zdroj data'!O55&gt;=Body!$BB$20,'Zdroj data'!O55&lt;=Body!$BD$20),Body!$BB$6,IF(AND('Zdroj data'!O55&gt;=Body!$BE$20,'Zdroj data'!O55&lt;=Body!$BG$20),Body!$BE$6,IF(AND('Zdroj data'!O55&gt;=Body!$BH$20,'Zdroj data'!O55&lt;=Body!$BJ$20),Body!$BH$6,IF(AND('Zdroj data'!O55&gt;=Body!$BK$20,'Zdroj data'!O55&lt;=Body!$BM$20),Body!$BK$6,IF(AND('Zdroj data'!O55&gt;=Body!$BN$20,'Zdroj data'!O55&lt;=Body!$BP$20),Body!$BN$6,IF(AND('Zdroj data'!O55&gt;=Body!$BQ$20,'Zdroj data'!O55&lt;=Body!$BS$20),Body!$BQ$6,IF(AND('Zdroj data'!O55&gt;=Body!$BT$20,'Zdroj data'!O55&lt;=Body!#REF!),Body!$BT$6,IF(AND('Zdroj data'!O55&gt;=Body!$BW$20,'Zdroj data'!O55&lt;=Body!$BY$20),Body!$BW$6,IF('Zdroj data'!O55&gt;=Body!$CB$20,Body!$BZ$6," "))))))))))," ")))</f>
        <v xml:space="preserve"> </v>
      </c>
      <c r="AI55" s="264" t="str">
        <f>IF(AND('Zdroj data'!$BG55="L",'Zdroj data'!$AM55=Body!$AX$18),IF(AND(Tabulka1[[#This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data'!$BG55="ST",'Zdroj data'!$AM55=Body!$AX$19),IF(AND(Tabulka1[[#This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data'!$BG55="T",'Zdroj data'!$AM55=Body!$AX$20),IF(AND(Tabulka1[[#This Row],[K2O_60]]&gt;=Body!$AY$20,'Zdroj data'!O55&lt;=Body!$BA$20),Body!$AY$6,IF(AND(Tabulka1[[#This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55" s="265">
        <f t="shared" si="10"/>
        <v>14.666666666666682</v>
      </c>
      <c r="AK55" s="264">
        <f t="shared" si="3"/>
        <v>36.366709554456641</v>
      </c>
      <c r="AL55" s="264">
        <f t="shared" si="4"/>
        <v>26.210046105898929</v>
      </c>
      <c r="AM55" s="264">
        <f t="shared" si="5"/>
        <v>55.293519979763829</v>
      </c>
      <c r="AN55" s="264">
        <f t="shared" si="6"/>
        <v>55.293519979763829</v>
      </c>
      <c r="AO55" s="265">
        <f t="shared" si="11"/>
        <v>91.660229534220463</v>
      </c>
      <c r="AP55" s="265">
        <f t="shared" si="12"/>
        <v>81.503566085662754</v>
      </c>
      <c r="AQ55" s="318"/>
      <c r="AR55" s="338">
        <f t="shared" si="7"/>
        <v>187.8304622865499</v>
      </c>
      <c r="AS55" s="318"/>
      <c r="AT55" s="138"/>
      <c r="AU55" s="138"/>
      <c r="AW55" s="325" t="s">
        <v>796</v>
      </c>
      <c r="BE55" s="22"/>
      <c r="BF55" s="22"/>
      <c r="BG55" s="22"/>
      <c r="BH55" s="22"/>
      <c r="BI55" s="66"/>
      <c r="BJ55" s="22"/>
      <c r="BK55" s="22"/>
      <c r="BL55" s="22"/>
      <c r="BM55" s="22"/>
      <c r="BN55" s="22"/>
    </row>
    <row r="56" spans="1:81" ht="15.5" x14ac:dyDescent="0.35">
      <c r="A56" s="270">
        <v>2572</v>
      </c>
      <c r="B56" s="156" t="s">
        <v>661</v>
      </c>
      <c r="C56" s="250" t="str">
        <f>VLOOKUP(B56,'Zdroj hloubka okresy'!$A$2:$D$171,2,FALSE)</f>
        <v>Mlada Boleslav</v>
      </c>
      <c r="D56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56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56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56" s="264">
        <f>IF(AND(Tabulka1[[#This Row],[hum_60]]&gt;AY62,Tabulka1[[#This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56" s="264">
        <f>IF(Tabulka1[[#This Row],[kv.ek.]]=Body!$AX$13,IF(AND('Zdroj data'!M56&gt;=Body!$AY$13,'Zdroj data'!M56&lt;=Body!$BA$13),Body!$AY$6,IF(AND('Zdroj data'!M56&gt;=Body!$BB$13,'Zdroj data'!M56&lt;=Body!$BD$13),Body!$BB$6,IF(AND('Zdroj data'!M56&gt;=Body!$BE$13,'Zdroj data'!M56&lt;=Body!$BG$13),Body!$BE$6,IF(AND('Zdroj data'!M56&gt;=Body!$BH$13,'Zdroj data'!M56&lt;=Body!$BJ$13),Body!$BH$6,IF(AND('Zdroj data'!M56&gt;=Body!$BK$13,'Zdroj data'!M56&lt;=Body!$BM$13),Body!$BK$6,IF(AND('Zdroj data'!M56&gt;=Body!$BN$13,'Zdroj data'!M56&lt;=Body!$BP$13),Body!$BN$6,IF(AND('Zdroj data'!M56&gt;=Body!$BQ$13,'Zdroj data'!M56&lt;=Body!$BS$13),Body!$BQ$6,IF(AND('Zdroj data'!M56&gt;=Body!$BT$13,'Zdroj data'!M56&lt;=Body!$BV$13),Body!$BT$6,IF(AND('Zdroj data'!M56&gt;=Body!$BW$13,'Zdroj data'!M56&lt;=Body!$BY$13),Body!$BW$6,IF('Zdroj data'!M56&gt;=Body!$CB$13,Body!$BZ$6," ")))))))))),IF(Tabulka1[[#This Row],[kv.ek.]]=Body!$AX$14,IF(AND('Zdroj data'!N56&gt;=Body!$AY$14,'Zdroj data'!N56&lt;=Body!$BA$14),Body!$AY$6,IF(AND('Zdroj data'!N56&gt;=Body!$BB$14,'Zdroj data'!N56&lt;=Body!$BD$14),Body!$BB$6,IF(AND('Zdroj data'!N56&gt;=Body!$BE$14,'Zdroj data'!N56&lt;=Body!$BG$14),Body!$BE$6,IF(AND('Zdroj data'!N56&gt;=Body!$BH$14,'Zdroj data'!N56&lt;=Body!$BJ$14),Body!$BH$6,IF(AND('Zdroj data'!N56&gt;=Body!$BK$14,'Zdroj data'!N56&lt;=Body!$BM$14),Body!$BK$6,IF(AND('Zdroj data'!N56&gt;=Body!$BN$14,'Zdroj data'!N56&lt;=Body!$BP$14),Body!$BN$6,IF(AND('Zdroj data'!N56&gt;=Body!$BQ$14,'Zdroj data'!N56&lt;=Body!$BS$14),Body!$BQ$6,IF(AND('Zdroj data'!N56&gt;=Body!$BT$14,'Zdroj data'!N56&lt;=Body!$BV$14),Body!$BT$6,IF(AND('Zdroj data'!N56&gt;=Body!$BW$14,'Zdroj data'!N56&lt;=Body!$BY$14),Body!$BW$6,IF('Zdroj data'!N56&gt;=Body!$CB$14,Body!$BZ$6," "))))))))))," "))</f>
        <v>1</v>
      </c>
      <c r="I56" s="264">
        <f>IF(Tabulka1[[#This Row],[kv.ek.]]=Body!$AX$13,IF(AND('Zdroj data'!N56&gt;=Body!$AY$13,'Zdroj data'!N56&lt;=Body!$BA$13),Body!$AY$6,IF(AND('Zdroj data'!N56&gt;=Body!$BB$13,'Zdroj data'!N56&lt;=Body!$BD$13),Body!$BB$6,IF(AND('Zdroj data'!N56&gt;=Body!$BE$13,'Zdroj data'!N56&lt;=Body!$BG$13),Body!$BE$6,IF(AND('Zdroj data'!N56&gt;=Body!$BH$13,'Zdroj data'!N56&lt;=Body!$BJ$13),Body!$BH$6,IF(AND('Zdroj data'!N56&gt;=Body!$BK$13,'Zdroj data'!N56&lt;=Body!$BM$13),Body!$BK$6,IF(AND('Zdroj data'!N56&gt;=Body!$BN$13,'Zdroj data'!N56&lt;=Body!$BP$13),Body!$BN$6,IF(AND('Zdroj data'!N56&gt;=Body!$BQ$13,'Zdroj data'!N56&lt;=Body!$BS$13),Body!$BQ$6,IF(AND('Zdroj data'!N56&gt;=Body!$BT$13,'Zdroj data'!N56&lt;=Body!$BV$13),Body!$BT$6,IF(AND('Zdroj data'!N56&gt;=Body!$BW$13,'Zdroj data'!N56&lt;=Body!$BY$13),Body!$BW$6,IF('Zdroj data'!N56&gt;=Body!$CB$13,Body!$BZ$6," ")))))))))),IF(Tabulka1[[#This Row],[kv.ek.]]=Body!$AX$14,IF(AND('Zdroj data'!O56&gt;=Body!$AY$14,'Zdroj data'!O56&lt;=Body!$BA$14),Body!$AY$6,IF(AND('Zdroj data'!O56&gt;=Body!$BB$14,'Zdroj data'!O56&lt;=Body!$BD$14),Body!$BB$6,IF(AND('Zdroj data'!O56&gt;=Body!$BE$14,'Zdroj data'!O56&lt;=Body!$BG$14),Body!$BE$6,IF(AND('Zdroj data'!O56&gt;=Body!$BH$14,'Zdroj data'!O56&lt;=Body!$BJ$14),Body!$BH$6,IF(AND('Zdroj data'!O56&gt;=Body!$BK$14,'Zdroj data'!O56&lt;=Body!$BM$14),Body!$BK$6,IF(AND('Zdroj data'!O56&gt;=Body!$BN$14,'Zdroj data'!O56&lt;=Body!$BP$14),Body!$BN$6,IF(AND('Zdroj data'!O56&gt;=Body!$BQ$14,'Zdroj data'!O56&lt;=Body!$BS$14),Body!$BQ$6,IF(AND('Zdroj data'!O56&gt;=Body!$BT$14,'Zdroj data'!O56&lt;=Body!$BV$14),Body!$BT$6,IF(AND('Zdroj data'!O56&gt;=Body!$BW$14,'Zdroj data'!O56&lt;=Body!$BY$14),Body!$BW$6,IF('Zdroj data'!O56&gt;=Body!$CB$14,Body!$BZ$6," "))))))))))," "))</f>
        <v>1</v>
      </c>
      <c r="J56" s="264">
        <f t="shared" si="8"/>
        <v>1</v>
      </c>
      <c r="K56" s="264">
        <f t="shared" si="9"/>
        <v>1</v>
      </c>
      <c r="L56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56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56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9</v>
      </c>
      <c r="O56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9</v>
      </c>
      <c r="P56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56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56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56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56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56" s="264">
        <f>IF('Zdroj data'!BB56=Body!$AY$25,Body!$AY$22,IF('Zdroj data'!BB56=Body!$BB$25,Body!$BB$22,IF('Zdroj data'!BB56=Body!$BE$25,Body!$BE$22,IF('Zdroj data'!BB56=Body!$BH$25,Body!$BH$22,IF('Zdroj data'!BB56=Body!BK$25,Body!$BK$22,IF('Zdroj data'!BB56=Body!$BN$25,Body!$BN$22,IF('Zdroj data'!BB56=Body!$BQ$25,Body!$BQ$22,IF('Zdroj data'!BB56=Body!$BT$25,Body!$BT$22,IF('Zdroj data'!BB56=Body!$BW$25,Body!$BW$22,IF('Zdroj data'!BB56=Body!$BZ$25,Body!$BZ$22," "))))))))))</f>
        <v>7</v>
      </c>
      <c r="V56" s="264">
        <f>IF(AND('Zdroj data'!BO56&gt;Body!$AY$27,'Zdroj data'!BO56&lt;=Body!$BA$27),Body!$AY$22,IF(AND('Zdroj data'!BO56&gt;=Body!$BB$27,'Zdroj data'!BO56&lt;=Body!$BD$27),Body!$BB$22,IF(AND('Zdroj data'!BO56&gt;=Body!$BE$27,'Zdroj data'!BO56&lt;=Body!$BG$27),Body!$BE$22,IF(AND('Zdroj data'!BO56&gt;=Body!$BH$27,'Zdroj data'!BO56&lt;=Body!$BJ$27),Body!$BH$22,IF(AND('Zdroj data'!BO56&gt;=Body!$BK$27,'Zdroj data'!BO56&lt;=Body!$BM$27),Body!$BK$22,IF(AND('Zdroj data'!BO56&gt;=Body!$BN$27,'Zdroj data'!BO56&lt;=Body!$BP$27),Body!$BN$22,IF(AND('Zdroj data'!BO56&gt;=Body!$BQ$27,'Zdroj data'!BO56&lt;=Body!$BS$27),Body!$BQ$22,IF(AND('Zdroj data'!BO56&gt;=Body!$BT$27,'Zdroj data'!BO56&lt;=Body!$BV$27),Body!$BT$22,IF(AND('Zdroj data'!BO56&gt;=Body!$BW$27,'Zdroj data'!BO56&lt;=Body!$BY$27),Body!$BW$22,IF('Zdroj data'!BO56&gt;=Body!$CB$27,$BZ$22," "))))))))))</f>
        <v>6</v>
      </c>
      <c r="W56" s="264">
        <f>IF(AND('Zdroj data'!BP56&gt;Body!$AY$27,'Zdroj data'!BP56&lt;=Body!$BA$27),Body!$AY$22,IF(AND('Zdroj data'!BP56&gt;=Body!$BB$27,'Zdroj data'!BP56&lt;=Body!$BD$27),Body!$BB$22,IF(AND('Zdroj data'!BP56&gt;=Body!$BE$27,'Zdroj data'!BP56&lt;=Body!$BG$27),Body!$BE$22,IF(AND('Zdroj data'!BP56&gt;=Body!$BH$27,'Zdroj data'!BP56&lt;=Body!$BJ$27),Body!$BH$22,IF(AND('Zdroj data'!BP56&gt;=Body!$BK$27,'Zdroj data'!BP56&lt;=Body!$BM$27),Body!$BK$22,IF(AND('Zdroj data'!BP56&gt;=Body!$BN$27,'Zdroj data'!BP56&lt;=Body!$BP$27),Body!$BN$22,IF(AND('Zdroj data'!BP56&gt;=Body!$BQ$27,'Zdroj data'!BP56&lt;=Body!$BS$27),Body!$BQ$22,IF(AND('Zdroj data'!BP56&gt;=Body!$BT$27,'Zdroj data'!BP56&lt;=Body!$BV$27),Body!$BT$22,IF(AND('Zdroj data'!BP56&gt;=Body!$BW$27,'Zdroj data'!BP56&lt;=Body!$BY$27),Body!$BW$22,IF('Zdroj data'!BP56&gt;=Body!$CB$27,$BZ$22," "))))))))))</f>
        <v>10</v>
      </c>
      <c r="X56" s="264">
        <f>IF('Zdroj data'!BA56=Body!$BB$28,$BB$22,IF('Zdroj data'!BA56=Body!$BE$28,$BE$22,IF(OR('Zdroj data'!BA56=Body!$BK$28,'Zdroj data'!BA56=Body!$BL$28,'Zdroj data'!BA56=Body!$BM$28),$BK$22,IF(OR('Zdroj data'!BA56=Body!$BT$28,'Zdroj data'!BA56=Body!$BV$28),$BT$22,IF(OR('Zdroj data'!BA56=Body!$BW$28,'Zdroj data'!BA56=Body!$BY$28),$BW$22,IF('Zdroj data'!BA56=Body!$BZ$28,$BZ$22," "))))))</f>
        <v>10</v>
      </c>
      <c r="Y56" s="264">
        <f>IF('Zdroj data'!AZ56=Body!$BZ$29,Body!$BZ$22,IF(OR('Zdroj data'!AZ56=$BT$29,'Zdroj data'!AZ56=$BU$29,'Zdroj data'!AZ56=$BV$29),$BT$22,IF(OR('Zdroj data'!AZ56=$BK$29,'Zdroj data'!AZ56=$BM$29),$BK$22,IF(OR('Zdroj data'!AZ56=$BE$29,'Zdroj data'!AZ56=$BG$29),$BE$22,IF(OR('Zdroj data'!AZ56=$AY$29,'Zdroj data'!AZ56=$BA$29),$AY$22," ")))))</f>
        <v>10</v>
      </c>
      <c r="Z56" s="264">
        <f>IF(AND('Zdroj data'!BF56="T",(OR('Zdroj data'!AZ56=Body!$AW$45,'Zdroj data'!AZ56=Body!$AW$46,'Zdroj data'!AZ56=Body!$AW$47,'Zdroj data'!AZ56=Body!$AW$48))),Body!$AY$22,IF(AND('Zdroj data'!BF56="T",(OR('Zdroj data'!AZ56=$AW$49,'Zdroj data'!AZ56=$AW$50,'Zdroj data'!AZ56=$AW$51,'Zdroj data'!AZ56=$AW$52))),$BZ$22,IF(AND(OR('Zdroj data'!BF56="VT",'Zdroj data'!BF56="T",'Zdroj data'!BF56="CH"),(OR('Zdroj data'!AZ56=$AW$43,'Zdroj data'!AZ56=$AW$44,))),$BZ$22,IF(AND('Zdroj data'!BF56="CH",(OR('Zdroj data'!AZ56=$AW$49,'Zdroj data'!AZ56=$AW$50,'Zdroj data'!AZ56=$AW$51,'Zdroj data'!AZ56=$AW$52))),$AY$22,IF(AND('Zdroj data'!BF56="CH",(OR('Zdroj data'!AZ56=$AW$45,'Zdroj data'!AZ56=$AW$46,'Zdroj data'!AZ56=$AW$47,'Zdroj data'!AZ56=$AW$48))),$BZ$22," ")))))</f>
        <v>10</v>
      </c>
      <c r="AA56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56" s="264">
        <f>IF(Tabulka1[[#This Row],[kv.ek.]]=Body!$BK$35,Body!$BK$34,IF(Tabulka1[[#This Row],[kv.ek.]]=Body!$BZ$35,Body!$BZ$34," "))</f>
        <v>5</v>
      </c>
      <c r="AC56" s="264" t="str">
        <f>IF(AND('Zdroj data'!BF56="T",(OR('Zdroj data'!AZ56=Body!$AW$45,'Zdroj data'!AZ56=Body!$AW$46,'Zdroj data'!AZ56=Body!$AW$47,'Zdroj data'!AZ56=Body!$AW$48))),Body!$AY$22,IF(AND('Zdroj data'!BF56="T",(OR('Zdroj data'!AZ56=$AW$49,'Zdroj data'!AZ56=$AW$50,'Zdroj data'!AZ56=$AW$51,'Zdroj data'!AZ56=$AW$52))),$BZ$22," "))</f>
        <v xml:space="preserve"> </v>
      </c>
      <c r="AD56" s="264">
        <f>IF(AND(OR('Zdroj data'!BF56="VT",'Zdroj data'!BF56="T",'Zdroj data'!BF56="CH"),(OR('Zdroj data'!AZ56=$AW$43,'Zdroj data'!AZ56=$AW$44,))),$BZ$22," ")</f>
        <v>10</v>
      </c>
      <c r="AE56" s="264" t="str">
        <f>IF(AND('Zdroj data'!BF56="CH",(OR('Zdroj data'!AZ56=$AW$49,'Zdroj data'!AZ56=$AW$50,'Zdroj data'!AZ56=$AW$51,'Zdroj data'!AZ56=$AW$52))),$AY$22,IF(AND('Zdroj data'!BF56="CH",(OR('Zdroj data'!AZ56=$AW$45,'Zdroj data'!AZ56=$AW$46,'Zdroj data'!AZ56=$AW$47,'Zdroj data'!AZ56=$AW$48))),$BZ$22," "))</f>
        <v xml:space="preserve"> </v>
      </c>
      <c r="AF56" s="264">
        <f>IF(AND('Zdroj data'!BG56="L",'Zdroj data'!AM56=Body!$AX$15),IF(AND('Zdroj data'!O56&gt;=Body!$AY$15,'Zdroj data'!O56&lt;=Body!$BA$15),Body!AY$6,IF(AND('Zdroj data'!O56&gt;=Body!$BB$15,'Zdroj data'!O56&lt;=Body!$BD$15),Body!BB$6,IF(AND('Zdroj data'!O56&gt;=Body!$BE$15,'Zdroj data'!O56&lt;=Body!$BG$15),Body!BE$6,IF(AND('Zdroj data'!O56&gt;=Body!$BH$15,'Zdroj data'!O56&lt;=Body!$BJ$15),Body!BH$6,IF(AND('Zdroj data'!O56&gt;=Body!$BK$15,'Zdroj data'!O56&lt;=Body!$BM$15),Body!BK$6,IF(AND('Zdroj data'!O56&gt;=Body!$BN$15,'Zdroj data'!O56&lt;=Body!$BP$15),Body!$BN$6,IF(AND('Zdroj data'!O56&gt;=Body!$BQ$15,'Zdroj data'!O56&lt;=Body!$BS$15),Body!$BQ$6,IF(AND('Zdroj data'!O56&gt;=Body!$BT$15,'Zdroj data'!O56&lt;=Body!$BV$15),Body!BT$6,IF(AND('Zdroj data'!O56&gt;=Body!$BW$15,'Zdroj data'!O56&lt;=Body!$BY$15),Body!$BW$6,IF('Zdroj data'!O56&gt;=Body!$CB$15,Body!$BZ$6," ")))))))))),IF(AND('Zdroj data'!BG56="ST",'Zdroj data'!AM56=Body!$AX$16),IF(AND('Zdroj data'!O56&gt;=Body!$AY$16,'Zdroj data'!O56&lt;=Body!$BA$16),Body!$AY$6,IF(AND('Zdroj data'!O56&gt;=Body!$BB$16,'Zdroj data'!O56&lt;=Body!$BD$16),Body!$BB$6,IF(AND('Zdroj data'!O56&gt;=Body!$BE$16,'Zdroj data'!O56&lt;=Body!$BG$16),Body!$BE$6,IF(AND('Zdroj data'!O56&gt;=Body!$BH$16,'Zdroj data'!O56&lt;=Body!$BJ$16),Body!$BH$6,IF(AND('Zdroj data'!O56&gt;=Body!$BK$16,'Zdroj data'!O56&lt;=Body!$BM$16),Body!$BK$6,IF(AND('Zdroj data'!O56&gt;=Body!$BN$16,'Zdroj data'!O56&lt;=Body!$BP$16),Body!$BN$6,IF(AND('Zdroj data'!O56&gt;=Body!$BQ$16,'Zdroj data'!O56&lt;=Body!$BS$16),Body!$BQ$6,IF(AND('Zdroj data'!O56&gt;=Body!$BT$16,'Zdroj data'!O56&lt;=Body!$BV$16),Body!$BT$6,IF(AND('Zdroj data'!O56&gt;=Body!$BW$16,'Zdroj data'!O56&lt;=Body!$BY$16),Body!$BW$6,IF('Zdroj data'!O56&gt;=Body!$CB$16,Body!$BZ$6," ")))))))))),IF(AND('Zdroj data'!BG56="T",'Zdroj data'!AM56=Body!$AX$17),IF(AND('Zdroj data'!O56&gt;=Body!$AY$17,'Zdroj data'!O56&lt;=Body!$BA$17),Body!$AY$6,IF(AND('Zdroj data'!O56&gt;=Body!$BB$17,'Zdroj data'!O56&lt;=Body!$BD$17),Body!$BB$6,IF(AND('Zdroj data'!O56&gt;=Body!$BE$17,'Zdroj data'!O56&lt;=Body!$BG$17),Body!$BE$6,IF(AND('Zdroj data'!O56&gt;=Body!$BH$17,'Zdroj data'!O56&lt;=Body!#REF!),Body!$BH$6,IF(AND('Zdroj data'!O56&gt;=Body!$BK$17,'Zdroj data'!O56&lt;=Body!$BM$17),Body!$BK$6,IF(AND('Zdroj data'!O56&gt;=Body!$BN$17,'Zdroj data'!O56&lt;=Body!$BP$17),Body!$BN$6,IF(AND('Zdroj data'!O56&gt;=Body!$BQ$17,'Zdroj data'!O56&lt;=Body!$BS$17),Body!$BQ$6,IF(AND('Zdroj data'!O56&gt;=Body!$BT$17,'Zdroj data'!O56&lt;=Body!$BV$17),Body!$BT$6,IF(AND('Zdroj data'!O56&gt;=Body!$BW$17,'Zdroj data'!O56&lt;=Body!$BY$17),Body!$BW$6,IF('Zdroj data'!O56&gt;=Body!$CB$17,Body!$BZ$6," "))))))))))," ")))</f>
        <v>1</v>
      </c>
      <c r="AG56" s="264">
        <f>IF(AND('Zdroj data'!$BG56="L",'Zdroj data'!$AM56=Body!$AX$15),IF(AND(Tabulka1[[#This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data'!$BG56="ST",'Zdroj data'!$AM56=Body!$AX$16),IF(AND(Tabulka1[[#This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data'!$BG56="T",'Zdroj data'!$AM56=Body!$AX$17),IF(AND(Tabulka1[[#This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56" s="264" t="str">
        <f>IF(AND('Zdroj data'!BG56="L",'Zdroj data'!AM56=Body!$AX$18),IF(AND('Zdroj data'!O56&gt;=Body!$AY$18,'Zdroj data'!O56&lt;=Body!$BA$18),Body!AY$6,IF(AND('Zdroj data'!O56&gt;=Body!$BB$18,'Zdroj data'!O56&lt;=Body!$BD$18),Body!BB$6,IF(AND('Zdroj data'!O56&gt;=Body!$BE$18,'Zdroj data'!O56&lt;=Body!$BG$18),Body!BE$6,IF(AND('Zdroj data'!O56&gt;=Body!$BH$18,'Zdroj data'!O56&lt;=Body!$BJ$18),Body!BH$6,IF(AND('Zdroj data'!O56&gt;=Body!$BK$18,'Zdroj data'!O56&lt;=Body!$BM$18),Body!$BK$6,IF(AND('Zdroj data'!O56&gt;=Body!$BN$18,'Zdroj data'!O56&lt;=Body!$BP$18),Body!BN$6,IF(AND('Zdroj data'!O56&gt;=Body!$BQ$18,'Zdroj data'!O56&lt;=Body!$BS$18),Body!$BQ$6,IF(AND('Zdroj data'!O56&gt;=Body!$BT$18,'Zdroj data'!O56&lt;=Body!$BV$18),Body!$BT$6,IF(AND('Zdroj data'!O56&gt;=Body!$BW$18,'Zdroj data'!O56&lt;=Body!$BY$18),Body!$BW$6,IF('Zdroj data'!O56&gt;=Body!$CB$18,Body!$BZ$6," ")))))))))),IF(AND('Zdroj data'!BG56="ST",'Zdroj data'!AM56=Body!$AX$19),IF(AND('Zdroj data'!O56&gt;=Body!$AY$19,'Zdroj data'!O56&lt;=Body!$BA$19),Body!$AY$6,IF(AND('Zdroj data'!O56&gt;=Body!$BB$19,'Zdroj data'!O56&lt;=Body!$BD$19),Body!$BB$6,IF(AND('Zdroj data'!O56&gt;=Body!$BE$19,'Zdroj data'!O56&lt;=Body!$BG$19),Body!$BE$6,IF(AND('Zdroj data'!O56&gt;=Body!$BH$19,'Zdroj data'!O56&lt;=Body!$BJ$19),Body!$BH$6,IF(AND('Zdroj data'!O56&gt;=Body!$BK$19,'Zdroj data'!O56&lt;=Body!$BM$19),Body!$BK$6,IF(AND('Zdroj data'!O56&gt;=Body!$BN$19,'Zdroj data'!O56&lt;=Body!$BP$19),Body!$BN$6,IF(AND('Zdroj data'!O56&gt;=Body!$BQ$19,'Zdroj data'!O56&lt;=Body!$BS$19),Body!$BQ$6,IF(AND('Zdroj data'!O56&gt;=Body!$BT$19,'Zdroj data'!O60&lt;=Body!$BV$19),Body!$BT$6,IF(AND('Zdroj data'!O56&gt;=Body!$BW$19,'Zdroj data'!O56&lt;=Body!$BY$19),Body!$BW$6,IF('Zdroj data'!O56&gt;=Body!$CB$19,Body!$BZ$6," ")))))))))),IF(AND('Zdroj data'!BG56="T",'Zdroj data'!AM56=Body!$AX$20),IF(AND('Zdroj data'!O56&gt;=Body!$AY$20,'Zdroj data'!O56&lt;=Body!$BA$20),Body!$AY$6,IF(AND('Zdroj data'!O56&gt;=Body!$BB$20,'Zdroj data'!O56&lt;=Body!$BD$20),Body!$BB$6,IF(AND('Zdroj data'!O56&gt;=Body!$BE$20,'Zdroj data'!O56&lt;=Body!$BG$20),Body!$BE$6,IF(AND('Zdroj data'!O56&gt;=Body!$BH$20,'Zdroj data'!O56&lt;=Body!$BJ$20),Body!$BH$6,IF(AND('Zdroj data'!O56&gt;=Body!$BK$20,'Zdroj data'!O56&lt;=Body!$BM$20),Body!$BK$6,IF(AND('Zdroj data'!O56&gt;=Body!$BN$20,'Zdroj data'!O56&lt;=Body!$BP$20),Body!$BN$6,IF(AND('Zdroj data'!O56&gt;=Body!$BQ$20,'Zdroj data'!O56&lt;=Body!$BS$20),Body!$BQ$6,IF(AND('Zdroj data'!O56&gt;=Body!$BT$20,'Zdroj data'!O56&lt;=Body!#REF!),Body!$BT$6,IF(AND('Zdroj data'!O56&gt;=Body!$BW$20,'Zdroj data'!O56&lt;=Body!$BY$20),Body!$BW$6,IF('Zdroj data'!O56&gt;=Body!$CB$20,Body!$BZ$6," "))))))))))," ")))</f>
        <v xml:space="preserve"> </v>
      </c>
      <c r="AI56" s="264" t="str">
        <f>IF(AND('Zdroj data'!$BG56="L",'Zdroj data'!$AM56=Body!$AX$18),IF(AND(Tabulka1[[#This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data'!$BG56="ST",'Zdroj data'!$AM56=Body!$AX$19),IF(AND(Tabulka1[[#This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data'!$BG56="T",'Zdroj data'!$AM56=Body!$AX$20),IF(AND(Tabulka1[[#This Row],[K2O_60]]&gt;=Body!$AY$20,'Zdroj data'!O56&lt;=Body!$BA$20),Body!$AY$6,IF(AND(Tabulka1[[#This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56" s="265">
        <f t="shared" si="10"/>
        <v>8.0000000000000071</v>
      </c>
      <c r="AK56" s="264">
        <f t="shared" si="3"/>
        <v>25.028664627385858</v>
      </c>
      <c r="AL56" s="264">
        <f t="shared" si="4"/>
        <v>24.38131919709982</v>
      </c>
      <c r="AM56" s="264">
        <f t="shared" si="5"/>
        <v>70.948015808067794</v>
      </c>
      <c r="AN56" s="264">
        <f t="shared" si="6"/>
        <v>77.126388636875731</v>
      </c>
      <c r="AO56" s="265">
        <f t="shared" si="11"/>
        <v>95.976680435453659</v>
      </c>
      <c r="AP56" s="265">
        <f t="shared" si="12"/>
        <v>101.50770783397556</v>
      </c>
      <c r="AQ56" s="318"/>
      <c r="AR56" s="338">
        <f t="shared" si="7"/>
        <v>205.48438826942922</v>
      </c>
      <c r="AS56" s="318"/>
      <c r="AT56" s="138"/>
      <c r="AU56" s="138"/>
    </row>
    <row r="57" spans="1:81" ht="15.5" x14ac:dyDescent="0.35">
      <c r="A57" s="270">
        <v>2575</v>
      </c>
      <c r="B57" s="156" t="s">
        <v>604</v>
      </c>
      <c r="C57" s="250" t="str">
        <f>VLOOKUP(B57,'Zdroj hloubka okresy'!$A$2:$D$171,2,FALSE)</f>
        <v>Mlada Boleslav</v>
      </c>
      <c r="D57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57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3</v>
      </c>
      <c r="F57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8</v>
      </c>
      <c r="G57" s="264">
        <f>IF(AND(Tabulka1[[#This Row],[hum_60]]&gt;AY63,Tabulka1[[#This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8</v>
      </c>
      <c r="H57" s="264">
        <f>IF(Tabulka1[[#This Row],[kv.ek.]]=Body!$AX$13,IF(AND('Zdroj data'!M57&gt;=Body!$AY$13,'Zdroj data'!M57&lt;=Body!$BA$13),Body!$AY$6,IF(AND('Zdroj data'!M57&gt;=Body!$BB$13,'Zdroj data'!M57&lt;=Body!$BD$13),Body!$BB$6,IF(AND('Zdroj data'!M57&gt;=Body!$BE$13,'Zdroj data'!M57&lt;=Body!$BG$13),Body!$BE$6,IF(AND('Zdroj data'!M57&gt;=Body!$BH$13,'Zdroj data'!M57&lt;=Body!$BJ$13),Body!$BH$6,IF(AND('Zdroj data'!M57&gt;=Body!$BK$13,'Zdroj data'!M57&lt;=Body!$BM$13),Body!$BK$6,IF(AND('Zdroj data'!M57&gt;=Body!$BN$13,'Zdroj data'!M57&lt;=Body!$BP$13),Body!$BN$6,IF(AND('Zdroj data'!M57&gt;=Body!$BQ$13,'Zdroj data'!M57&lt;=Body!$BS$13),Body!$BQ$6,IF(AND('Zdroj data'!M57&gt;=Body!$BT$13,'Zdroj data'!M57&lt;=Body!$BV$13),Body!$BT$6,IF(AND('Zdroj data'!M57&gt;=Body!$BW$13,'Zdroj data'!M57&lt;=Body!$BY$13),Body!$BW$6,IF('Zdroj data'!M57&gt;=Body!$CB$13,Body!$BZ$6," ")))))))))),IF(Tabulka1[[#This Row],[kv.ek.]]=Body!$AX$14,IF(AND('Zdroj data'!N57&gt;=Body!$AY$14,'Zdroj data'!N57&lt;=Body!$BA$14),Body!$AY$6,IF(AND('Zdroj data'!N57&gt;=Body!$BB$14,'Zdroj data'!N57&lt;=Body!$BD$14),Body!$BB$6,IF(AND('Zdroj data'!N57&gt;=Body!$BE$14,'Zdroj data'!N57&lt;=Body!$BG$14),Body!$BE$6,IF(AND('Zdroj data'!N57&gt;=Body!$BH$14,'Zdroj data'!N57&lt;=Body!$BJ$14),Body!$BH$6,IF(AND('Zdroj data'!N57&gt;=Body!$BK$14,'Zdroj data'!N57&lt;=Body!$BM$14),Body!$BK$6,IF(AND('Zdroj data'!N57&gt;=Body!$BN$14,'Zdroj data'!N57&lt;=Body!$BP$14),Body!$BN$6,IF(AND('Zdroj data'!N57&gt;=Body!$BQ$14,'Zdroj data'!N57&lt;=Body!$BS$14),Body!$BQ$6,IF(AND('Zdroj data'!N57&gt;=Body!$BT$14,'Zdroj data'!N57&lt;=Body!$BV$14),Body!$BT$6,IF(AND('Zdroj data'!N57&gt;=Body!$BW$14,'Zdroj data'!N57&lt;=Body!$BY$14),Body!$BW$6,IF('Zdroj data'!N57&gt;=Body!$CB$14,Body!$BZ$6," "))))))))))," "))</f>
        <v>3</v>
      </c>
      <c r="I57" s="264">
        <f>IF(Tabulka1[[#This Row],[kv.ek.]]=Body!$AX$13,IF(AND('Zdroj data'!N57&gt;=Body!$AY$13,'Zdroj data'!N57&lt;=Body!$BA$13),Body!$AY$6,IF(AND('Zdroj data'!N57&gt;=Body!$BB$13,'Zdroj data'!N57&lt;=Body!$BD$13),Body!$BB$6,IF(AND('Zdroj data'!N57&gt;=Body!$BE$13,'Zdroj data'!N57&lt;=Body!$BG$13),Body!$BE$6,IF(AND('Zdroj data'!N57&gt;=Body!$BH$13,'Zdroj data'!N57&lt;=Body!$BJ$13),Body!$BH$6,IF(AND('Zdroj data'!N57&gt;=Body!$BK$13,'Zdroj data'!N57&lt;=Body!$BM$13),Body!$BK$6,IF(AND('Zdroj data'!N57&gt;=Body!$BN$13,'Zdroj data'!N57&lt;=Body!$BP$13),Body!$BN$6,IF(AND('Zdroj data'!N57&gt;=Body!$BQ$13,'Zdroj data'!N57&lt;=Body!$BS$13),Body!$BQ$6,IF(AND('Zdroj data'!N57&gt;=Body!$BT$13,'Zdroj data'!N57&lt;=Body!$BV$13),Body!$BT$6,IF(AND('Zdroj data'!N57&gt;=Body!$BW$13,'Zdroj data'!N57&lt;=Body!$BY$13),Body!$BW$6,IF('Zdroj data'!N57&gt;=Body!$CB$13,Body!$BZ$6," ")))))))))),IF(Tabulka1[[#This Row],[kv.ek.]]=Body!$AX$14,IF(AND('Zdroj data'!O57&gt;=Body!$AY$14,'Zdroj data'!O57&lt;=Body!$BA$14),Body!$AY$6,IF(AND('Zdroj data'!O57&gt;=Body!$BB$14,'Zdroj data'!O57&lt;=Body!$BD$14),Body!$BB$6,IF(AND('Zdroj data'!O57&gt;=Body!$BE$14,'Zdroj data'!O57&lt;=Body!$BG$14),Body!$BE$6,IF(AND('Zdroj data'!O57&gt;=Body!$BH$14,'Zdroj data'!O57&lt;=Body!$BJ$14),Body!$BH$6,IF(AND('Zdroj data'!O57&gt;=Body!$BK$14,'Zdroj data'!O57&lt;=Body!$BM$14),Body!$BK$6,IF(AND('Zdroj data'!O57&gt;=Body!$BN$14,'Zdroj data'!O57&lt;=Body!$BP$14),Body!$BN$6,IF(AND('Zdroj data'!O57&gt;=Body!$BQ$14,'Zdroj data'!O57&lt;=Body!$BS$14),Body!$BQ$6,IF(AND('Zdroj data'!O57&gt;=Body!$BT$14,'Zdroj data'!O57&lt;=Body!$BV$14),Body!$BT$6,IF(AND('Zdroj data'!O57&gt;=Body!$BW$14,'Zdroj data'!O57&lt;=Body!$BY$14),Body!$BW$6,IF('Zdroj data'!O57&gt;=Body!$CB$14,Body!$BZ$6," "))))))))))," "))</f>
        <v>1</v>
      </c>
      <c r="J57" s="264">
        <f t="shared" si="8"/>
        <v>3</v>
      </c>
      <c r="K57" s="264">
        <f t="shared" si="9"/>
        <v>2</v>
      </c>
      <c r="L57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10</v>
      </c>
      <c r="M57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10</v>
      </c>
      <c r="N57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57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57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57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9</v>
      </c>
      <c r="R57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9</v>
      </c>
      <c r="S57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4</v>
      </c>
      <c r="T57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3</v>
      </c>
      <c r="U57" s="264">
        <f>IF('Zdroj data'!BB57=Body!$AY$25,Body!$AY$22,IF('Zdroj data'!BB57=Body!$BB$25,Body!$BB$22,IF('Zdroj data'!BB57=Body!$BE$25,Body!$BE$22,IF('Zdroj data'!BB57=Body!$BH$25,Body!$BH$22,IF('Zdroj data'!BB57=Body!BK$25,Body!$BK$22,IF('Zdroj data'!BB57=Body!$BN$25,Body!$BN$22,IF('Zdroj data'!BB57=Body!$BQ$25,Body!$BQ$22,IF('Zdroj data'!BB57=Body!$BT$25,Body!$BT$22,IF('Zdroj data'!BB57=Body!$BW$25,Body!$BW$22,IF('Zdroj data'!BB57=Body!$BZ$25,Body!$BZ$22," "))))))))))</f>
        <v>7</v>
      </c>
      <c r="V57" s="264">
        <f>IF(AND('Zdroj data'!BO57&gt;Body!$AY$27,'Zdroj data'!BO57&lt;=Body!$BA$27),Body!$AY$22,IF(AND('Zdroj data'!BO57&gt;=Body!$BB$27,'Zdroj data'!BO57&lt;=Body!$BD$27),Body!$BB$22,IF(AND('Zdroj data'!BO57&gt;=Body!$BE$27,'Zdroj data'!BO57&lt;=Body!$BG$27),Body!$BE$22,IF(AND('Zdroj data'!BO57&gt;=Body!$BH$27,'Zdroj data'!BO57&lt;=Body!$BJ$27),Body!$BH$22,IF(AND('Zdroj data'!BO57&gt;=Body!$BK$27,'Zdroj data'!BO57&lt;=Body!$BM$27),Body!$BK$22,IF(AND('Zdroj data'!BO57&gt;=Body!$BN$27,'Zdroj data'!BO57&lt;=Body!$BP$27),Body!$BN$22,IF(AND('Zdroj data'!BO57&gt;=Body!$BQ$27,'Zdroj data'!BO57&lt;=Body!$BS$27),Body!$BQ$22,IF(AND('Zdroj data'!BO57&gt;=Body!$BT$27,'Zdroj data'!BO57&lt;=Body!$BV$27),Body!$BT$22,IF(AND('Zdroj data'!BO57&gt;=Body!$BW$27,'Zdroj data'!BO57&lt;=Body!$BY$27),Body!$BW$22,IF('Zdroj data'!BO57&gt;=Body!$CB$27,$BZ$22," "))))))))))</f>
        <v>8</v>
      </c>
      <c r="W57" s="264">
        <f>IF(AND('Zdroj data'!BP57&gt;Body!$AY$27,'Zdroj data'!BP57&lt;=Body!$BA$27),Body!$AY$22,IF(AND('Zdroj data'!BP57&gt;=Body!$BB$27,'Zdroj data'!BP57&lt;=Body!$BD$27),Body!$BB$22,IF(AND('Zdroj data'!BP57&gt;=Body!$BE$27,'Zdroj data'!BP57&lt;=Body!$BG$27),Body!$BE$22,IF(AND('Zdroj data'!BP57&gt;=Body!$BH$27,'Zdroj data'!BP57&lt;=Body!$BJ$27),Body!$BH$22,IF(AND('Zdroj data'!BP57&gt;=Body!$BK$27,'Zdroj data'!BP57&lt;=Body!$BM$27),Body!$BK$22,IF(AND('Zdroj data'!BP57&gt;=Body!$BN$27,'Zdroj data'!BP57&lt;=Body!$BP$27),Body!$BN$22,IF(AND('Zdroj data'!BP57&gt;=Body!$BQ$27,'Zdroj data'!BP57&lt;=Body!$BS$27),Body!$BQ$22,IF(AND('Zdroj data'!BP57&gt;=Body!$BT$27,'Zdroj data'!BP57&lt;=Body!$BV$27),Body!$BT$22,IF(AND('Zdroj data'!BP57&gt;=Body!$BW$27,'Zdroj data'!BP57&lt;=Body!$BY$27),Body!$BW$22,IF('Zdroj data'!BP57&gt;=Body!$CB$27,$BZ$22," "))))))))))</f>
        <v>8</v>
      </c>
      <c r="X57" s="264">
        <f>IF('Zdroj data'!BA57=Body!$BB$28,$BB$22,IF('Zdroj data'!BA57=Body!$BE$28,$BE$22,IF(OR('Zdroj data'!BA57=Body!$BK$28,'Zdroj data'!BA57=Body!$BL$28,'Zdroj data'!BA57=Body!$BM$28),$BK$22,IF(OR('Zdroj data'!BA57=Body!$BT$28,'Zdroj data'!BA57=Body!$BV$28),$BT$22,IF(OR('Zdroj data'!BA57=Body!$BW$28,'Zdroj data'!BA57=Body!$BY$28),$BW$22,IF('Zdroj data'!BA57=Body!$BZ$28,$BZ$22," "))))))</f>
        <v>10</v>
      </c>
      <c r="Y57" s="264">
        <f>IF('Zdroj data'!AZ57=Body!$BZ$29,Body!$BZ$22,IF(OR('Zdroj data'!AZ57=$BT$29,'Zdroj data'!AZ57=$BU$29,'Zdroj data'!AZ57=$BV$29),$BT$22,IF(OR('Zdroj data'!AZ57=$BK$29,'Zdroj data'!AZ57=$BM$29),$BK$22,IF(OR('Zdroj data'!AZ57=$BE$29,'Zdroj data'!AZ57=$BG$29),$BE$22,IF(OR('Zdroj data'!AZ57=$AY$29,'Zdroj data'!AZ57=$BA$29),$AY$22," ")))))</f>
        <v>10</v>
      </c>
      <c r="Z57" s="264">
        <f>IF(AND('Zdroj data'!BF57="T",(OR('Zdroj data'!AZ57=Body!$AW$45,'Zdroj data'!AZ57=Body!$AW$46,'Zdroj data'!AZ57=Body!$AW$47,'Zdroj data'!AZ57=Body!$AW$48))),Body!$AY$22,IF(AND('Zdroj data'!BF57="T",(OR('Zdroj data'!AZ57=$AW$49,'Zdroj data'!AZ57=$AW$50,'Zdroj data'!AZ57=$AW$51,'Zdroj data'!AZ57=$AW$52))),$BZ$22,IF(AND(OR('Zdroj data'!BF57="VT",'Zdroj data'!BF57="T",'Zdroj data'!BF57="CH"),(OR('Zdroj data'!AZ57=$AW$43,'Zdroj data'!AZ57=$AW$44,))),$BZ$22,IF(AND('Zdroj data'!BF57="CH",(OR('Zdroj data'!AZ57=$AW$49,'Zdroj data'!AZ57=$AW$50,'Zdroj data'!AZ57=$AW$51,'Zdroj data'!AZ57=$AW$52))),$AY$22,IF(AND('Zdroj data'!BF57="CH",(OR('Zdroj data'!AZ57=$AW$45,'Zdroj data'!AZ57=$AW$46,'Zdroj data'!AZ57=$AW$47,'Zdroj data'!AZ57=$AW$48))),$BZ$22," ")))))</f>
        <v>10</v>
      </c>
      <c r="AA57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</v>
      </c>
      <c r="AB57" s="264">
        <f>IF(Tabulka1[[#This Row],[kv.ek.]]=Body!$BK$35,Body!$BK$34,IF(Tabulka1[[#This Row],[kv.ek.]]=Body!$BZ$35,Body!$BZ$34," "))</f>
        <v>5</v>
      </c>
      <c r="AC57" s="264" t="str">
        <f>IF(AND('Zdroj data'!BF57="T",(OR('Zdroj data'!AZ57=Body!$AW$45,'Zdroj data'!AZ57=Body!$AW$46,'Zdroj data'!AZ57=Body!$AW$47,'Zdroj data'!AZ57=Body!$AW$48))),Body!$AY$22,IF(AND('Zdroj data'!BF57="T",(OR('Zdroj data'!AZ57=$AW$49,'Zdroj data'!AZ57=$AW$50,'Zdroj data'!AZ57=$AW$51,'Zdroj data'!AZ57=$AW$52))),$BZ$22," "))</f>
        <v xml:space="preserve"> </v>
      </c>
      <c r="AD57" s="264">
        <f>IF(AND(OR('Zdroj data'!BF57="VT",'Zdroj data'!BF57="T",'Zdroj data'!BF57="CH"),(OR('Zdroj data'!AZ57=$AW$43,'Zdroj data'!AZ57=$AW$44,))),$BZ$22," ")</f>
        <v>10</v>
      </c>
      <c r="AE57" s="264" t="str">
        <f>IF(AND('Zdroj data'!BF57="CH",(OR('Zdroj data'!AZ57=$AW$49,'Zdroj data'!AZ57=$AW$50,'Zdroj data'!AZ57=$AW$51,'Zdroj data'!AZ57=$AW$52))),$AY$22,IF(AND('Zdroj data'!BF57="CH",(OR('Zdroj data'!AZ57=$AW$45,'Zdroj data'!AZ57=$AW$46,'Zdroj data'!AZ57=$AW$47,'Zdroj data'!AZ57=$AW$48))),$BZ$22," "))</f>
        <v xml:space="preserve"> </v>
      </c>
      <c r="AF57" s="264">
        <f>IF(AND('Zdroj data'!BG57="L",'Zdroj data'!AM57=Body!$AX$15),IF(AND('Zdroj data'!O57&gt;=Body!$AY$15,'Zdroj data'!O57&lt;=Body!$BA$15),Body!AY$6,IF(AND('Zdroj data'!O57&gt;=Body!$BB$15,'Zdroj data'!O57&lt;=Body!$BD$15),Body!BB$6,IF(AND('Zdroj data'!O57&gt;=Body!$BE$15,'Zdroj data'!O57&lt;=Body!$BG$15),Body!BE$6,IF(AND('Zdroj data'!O57&gt;=Body!$BH$15,'Zdroj data'!O57&lt;=Body!$BJ$15),Body!BH$6,IF(AND('Zdroj data'!O57&gt;=Body!$BK$15,'Zdroj data'!O57&lt;=Body!$BM$15),Body!BK$6,IF(AND('Zdroj data'!O57&gt;=Body!$BN$15,'Zdroj data'!O57&lt;=Body!$BP$15),Body!$BN$6,IF(AND('Zdroj data'!O57&gt;=Body!$BQ$15,'Zdroj data'!O57&lt;=Body!$BS$15),Body!$BQ$6,IF(AND('Zdroj data'!O57&gt;=Body!$BT$15,'Zdroj data'!O57&lt;=Body!$BV$15),Body!BT$6,IF(AND('Zdroj data'!O57&gt;=Body!$BW$15,'Zdroj data'!O57&lt;=Body!$BY$15),Body!$BW$6,IF('Zdroj data'!O57&gt;=Body!$CB$15,Body!$BZ$6," ")))))))))),IF(AND('Zdroj data'!BG57="ST",'Zdroj data'!AM57=Body!$AX$16),IF(AND('Zdroj data'!O57&gt;=Body!$AY$16,'Zdroj data'!O57&lt;=Body!$BA$16),Body!$AY$6,IF(AND('Zdroj data'!O57&gt;=Body!$BB$16,'Zdroj data'!O57&lt;=Body!$BD$16),Body!$BB$6,IF(AND('Zdroj data'!O57&gt;=Body!$BE$16,'Zdroj data'!O57&lt;=Body!$BG$16),Body!$BE$6,IF(AND('Zdroj data'!O57&gt;=Body!$BH$16,'Zdroj data'!O57&lt;=Body!$BJ$16),Body!$BH$6,IF(AND('Zdroj data'!O57&gt;=Body!$BK$16,'Zdroj data'!O57&lt;=Body!$BM$16),Body!$BK$6,IF(AND('Zdroj data'!O57&gt;=Body!$BN$16,'Zdroj data'!O57&lt;=Body!$BP$16),Body!$BN$6,IF(AND('Zdroj data'!O57&gt;=Body!$BQ$16,'Zdroj data'!O57&lt;=Body!$BS$16),Body!$BQ$6,IF(AND('Zdroj data'!O57&gt;=Body!$BT$16,'Zdroj data'!O57&lt;=Body!$BV$16),Body!$BT$6,IF(AND('Zdroj data'!O57&gt;=Body!$BW$16,'Zdroj data'!O57&lt;=Body!$BY$16),Body!$BW$6,IF('Zdroj data'!O57&gt;=Body!$CB$16,Body!$BZ$6," ")))))))))),IF(AND('Zdroj data'!BG57="T",'Zdroj data'!AM57=Body!$AX$17),IF(AND('Zdroj data'!O57&gt;=Body!$AY$17,'Zdroj data'!O57&lt;=Body!$BA$17),Body!$AY$6,IF(AND('Zdroj data'!O57&gt;=Body!$BB$17,'Zdroj data'!O57&lt;=Body!$BD$17),Body!$BB$6,IF(AND('Zdroj data'!O57&gt;=Body!$BE$17,'Zdroj data'!O57&lt;=Body!$BG$17),Body!$BE$6,IF(AND('Zdroj data'!O57&gt;=Body!$BH$17,'Zdroj data'!O57&lt;=Body!#REF!),Body!$BH$6,IF(AND('Zdroj data'!O57&gt;=Body!$BK$17,'Zdroj data'!O57&lt;=Body!$BM$17),Body!$BK$6,IF(AND('Zdroj data'!O57&gt;=Body!$BN$17,'Zdroj data'!O57&lt;=Body!$BP$17),Body!$BN$6,IF(AND('Zdroj data'!O57&gt;=Body!$BQ$17,'Zdroj data'!O57&lt;=Body!$BS$17),Body!$BQ$6,IF(AND('Zdroj data'!O57&gt;=Body!$BT$17,'Zdroj data'!O57&lt;=Body!$BV$17),Body!$BT$6,IF(AND('Zdroj data'!O57&gt;=Body!$BW$17,'Zdroj data'!O57&lt;=Body!$BY$17),Body!$BW$6,IF('Zdroj data'!O57&gt;=Body!$CB$17,Body!$BZ$6," "))))))))))," ")))</f>
        <v>3</v>
      </c>
      <c r="AG57" s="264">
        <f>IF(AND('Zdroj data'!$BG57="L",'Zdroj data'!$AM57=Body!$AX$15),IF(AND(Tabulka1[[#This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data'!$BG57="ST",'Zdroj data'!$AM57=Body!$AX$16),IF(AND(Tabulka1[[#This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data'!$BG57="T",'Zdroj data'!$AM57=Body!$AX$17),IF(AND(Tabulka1[[#This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2</v>
      </c>
      <c r="AH57" s="264" t="str">
        <f>IF(AND('Zdroj data'!BG57="L",'Zdroj data'!AM57=Body!$AX$18),IF(AND('Zdroj data'!O57&gt;=Body!$AY$18,'Zdroj data'!O57&lt;=Body!$BA$18),Body!AY$6,IF(AND('Zdroj data'!O57&gt;=Body!$BB$18,'Zdroj data'!O57&lt;=Body!$BD$18),Body!BB$6,IF(AND('Zdroj data'!O57&gt;=Body!$BE$18,'Zdroj data'!O57&lt;=Body!$BG$18),Body!BE$6,IF(AND('Zdroj data'!O57&gt;=Body!$BH$18,'Zdroj data'!O57&lt;=Body!$BJ$18),Body!BH$6,IF(AND('Zdroj data'!O57&gt;=Body!$BK$18,'Zdroj data'!O57&lt;=Body!$BM$18),Body!$BK$6,IF(AND('Zdroj data'!O57&gt;=Body!$BN$18,'Zdroj data'!O57&lt;=Body!$BP$18),Body!BN$6,IF(AND('Zdroj data'!O57&gt;=Body!$BQ$18,'Zdroj data'!O57&lt;=Body!$BS$18),Body!$BQ$6,IF(AND('Zdroj data'!O57&gt;=Body!$BT$18,'Zdroj data'!O57&lt;=Body!$BV$18),Body!$BT$6,IF(AND('Zdroj data'!O57&gt;=Body!$BW$18,'Zdroj data'!O57&lt;=Body!$BY$18),Body!$BW$6,IF('Zdroj data'!O57&gt;=Body!$CB$18,Body!$BZ$6," ")))))))))),IF(AND('Zdroj data'!BG57="ST",'Zdroj data'!AM57=Body!$AX$19),IF(AND('Zdroj data'!O57&gt;=Body!$AY$19,'Zdroj data'!O57&lt;=Body!$BA$19),Body!$AY$6,IF(AND('Zdroj data'!O57&gt;=Body!$BB$19,'Zdroj data'!O57&lt;=Body!$BD$19),Body!$BB$6,IF(AND('Zdroj data'!O57&gt;=Body!$BE$19,'Zdroj data'!O57&lt;=Body!$BG$19),Body!$BE$6,IF(AND('Zdroj data'!O57&gt;=Body!$BH$19,'Zdroj data'!O57&lt;=Body!$BJ$19),Body!$BH$6,IF(AND('Zdroj data'!O57&gt;=Body!$BK$19,'Zdroj data'!O57&lt;=Body!$BM$19),Body!$BK$6,IF(AND('Zdroj data'!O57&gt;=Body!$BN$19,'Zdroj data'!O57&lt;=Body!$BP$19),Body!$BN$6,IF(AND('Zdroj data'!O57&gt;=Body!$BQ$19,'Zdroj data'!O57&lt;=Body!$BS$19),Body!$BQ$6,IF(AND('Zdroj data'!O57&gt;=Body!$BT$19,'Zdroj data'!O61&lt;=Body!$BV$19),Body!$BT$6,IF(AND('Zdroj data'!O57&gt;=Body!$BW$19,'Zdroj data'!O57&lt;=Body!$BY$19),Body!$BW$6,IF('Zdroj data'!O57&gt;=Body!$CB$19,Body!$BZ$6," ")))))))))),IF(AND('Zdroj data'!BG57="T",'Zdroj data'!AM57=Body!$AX$20),IF(AND('Zdroj data'!O57&gt;=Body!$AY$20,'Zdroj data'!O57&lt;=Body!$BA$20),Body!$AY$6,IF(AND('Zdroj data'!O57&gt;=Body!$BB$20,'Zdroj data'!O57&lt;=Body!$BD$20),Body!$BB$6,IF(AND('Zdroj data'!O57&gt;=Body!$BE$20,'Zdroj data'!O57&lt;=Body!$BG$20),Body!$BE$6,IF(AND('Zdroj data'!O57&gt;=Body!$BH$20,'Zdroj data'!O57&lt;=Body!$BJ$20),Body!$BH$6,IF(AND('Zdroj data'!O57&gt;=Body!$BK$20,'Zdroj data'!O57&lt;=Body!$BM$20),Body!$BK$6,IF(AND('Zdroj data'!O57&gt;=Body!$BN$20,'Zdroj data'!O57&lt;=Body!$BP$20),Body!$BN$6,IF(AND('Zdroj data'!O57&gt;=Body!$BQ$20,'Zdroj data'!O57&lt;=Body!$BS$20),Body!$BQ$6,IF(AND('Zdroj data'!O57&gt;=Body!$BT$20,'Zdroj data'!O57&lt;=Body!#REF!),Body!$BT$6,IF(AND('Zdroj data'!O57&gt;=Body!$BW$20,'Zdroj data'!O57&lt;=Body!$BY$20),Body!$BW$6,IF('Zdroj data'!O57&gt;=Body!$CB$20,Body!$BZ$6," "))))))))))," ")))</f>
        <v xml:space="preserve"> </v>
      </c>
      <c r="AI57" s="264" t="str">
        <f>IF(AND('Zdroj data'!$BG57="L",'Zdroj data'!$AM57=Body!$AX$18),IF(AND(Tabulka1[[#This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data'!$BG57="ST",'Zdroj data'!$AM57=Body!$AX$19),IF(AND(Tabulka1[[#This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data'!$BG57="T",'Zdroj data'!$AM57=Body!$AX$20),IF(AND(Tabulka1[[#This Row],[K2O_60]]&gt;=Body!$AY$20,'Zdroj data'!O57&lt;=Body!$BA$20),Body!$AY$6,IF(AND(Tabulka1[[#This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57" s="265">
        <f t="shared" si="10"/>
        <v>2.6666666666666687</v>
      </c>
      <c r="AK57" s="264">
        <f t="shared" si="3"/>
        <v>45.284989225207944</v>
      </c>
      <c r="AL57" s="264">
        <f t="shared" si="4"/>
        <v>44.298517842591153</v>
      </c>
      <c r="AM57" s="264">
        <f t="shared" si="5"/>
        <v>58.382706394167805</v>
      </c>
      <c r="AN57" s="264">
        <f t="shared" si="6"/>
        <v>54.469082437091807</v>
      </c>
      <c r="AO57" s="265">
        <f t="shared" si="11"/>
        <v>103.66769561937575</v>
      </c>
      <c r="AP57" s="265">
        <f t="shared" si="12"/>
        <v>98.767600279682966</v>
      </c>
      <c r="AQ57" s="318"/>
      <c r="AR57" s="338">
        <f t="shared" si="7"/>
        <v>205.10196256572536</v>
      </c>
      <c r="AS57" s="318"/>
      <c r="AT57" s="138"/>
      <c r="AU57" s="138"/>
    </row>
    <row r="58" spans="1:81" ht="15.5" x14ac:dyDescent="0.35">
      <c r="A58" s="270">
        <v>2578</v>
      </c>
      <c r="B58" s="156" t="s">
        <v>639</v>
      </c>
      <c r="C58" s="250" t="str">
        <f>VLOOKUP(B58,'Zdroj hloubka okresy'!$A$2:$D$171,2,FALSE)</f>
        <v>Mlada Boleslav</v>
      </c>
      <c r="D58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2</v>
      </c>
      <c r="E58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2</v>
      </c>
      <c r="F58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58" s="264">
        <f>IF(AND(Tabulka1[[#This Row],[hum_60]]&gt;AY64,Tabulka1[[#This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58" s="264">
        <f>IF(Tabulka1[[#This Row],[kv.ek.]]=Body!$AX$13,IF(AND('Zdroj data'!M58&gt;=Body!$AY$13,'Zdroj data'!M58&lt;=Body!$BA$13),Body!$AY$6,IF(AND('Zdroj data'!M58&gt;=Body!$BB$13,'Zdroj data'!M58&lt;=Body!$BD$13),Body!$BB$6,IF(AND('Zdroj data'!M58&gt;=Body!$BE$13,'Zdroj data'!M58&lt;=Body!$BG$13),Body!$BE$6,IF(AND('Zdroj data'!M58&gt;=Body!$BH$13,'Zdroj data'!M58&lt;=Body!$BJ$13),Body!$BH$6,IF(AND('Zdroj data'!M58&gt;=Body!$BK$13,'Zdroj data'!M58&lt;=Body!$BM$13),Body!$BK$6,IF(AND('Zdroj data'!M58&gt;=Body!$BN$13,'Zdroj data'!M58&lt;=Body!$BP$13),Body!$BN$6,IF(AND('Zdroj data'!M58&gt;=Body!$BQ$13,'Zdroj data'!M58&lt;=Body!$BS$13),Body!$BQ$6,IF(AND('Zdroj data'!M58&gt;=Body!$BT$13,'Zdroj data'!M58&lt;=Body!$BV$13),Body!$BT$6,IF(AND('Zdroj data'!M58&gt;=Body!$BW$13,'Zdroj data'!M58&lt;=Body!$BY$13),Body!$BW$6,IF('Zdroj data'!M58&gt;=Body!$CB$13,Body!$BZ$6," ")))))))))),IF(Tabulka1[[#This Row],[kv.ek.]]=Body!$AX$14,IF(AND('Zdroj data'!N58&gt;=Body!$AY$14,'Zdroj data'!N58&lt;=Body!$BA$14),Body!$AY$6,IF(AND('Zdroj data'!N58&gt;=Body!$BB$14,'Zdroj data'!N58&lt;=Body!$BD$14),Body!$BB$6,IF(AND('Zdroj data'!N58&gt;=Body!$BE$14,'Zdroj data'!N58&lt;=Body!$BG$14),Body!$BE$6,IF(AND('Zdroj data'!N58&gt;=Body!$BH$14,'Zdroj data'!N58&lt;=Body!$BJ$14),Body!$BH$6,IF(AND('Zdroj data'!N58&gt;=Body!$BK$14,'Zdroj data'!N58&lt;=Body!$BM$14),Body!$BK$6,IF(AND('Zdroj data'!N58&gt;=Body!$BN$14,'Zdroj data'!N58&lt;=Body!$BP$14),Body!$BN$6,IF(AND('Zdroj data'!N58&gt;=Body!$BQ$14,'Zdroj data'!N58&lt;=Body!$BS$14),Body!$BQ$6,IF(AND('Zdroj data'!N58&gt;=Body!$BT$14,'Zdroj data'!N58&lt;=Body!$BV$14),Body!$BT$6,IF(AND('Zdroj data'!N58&gt;=Body!$BW$14,'Zdroj data'!N58&lt;=Body!$BY$14),Body!$BW$6,IF('Zdroj data'!N58&gt;=Body!$CB$14,Body!$BZ$6," "))))))))))," "))</f>
        <v>1</v>
      </c>
      <c r="I58" s="264">
        <f>IF(Tabulka1[[#This Row],[kv.ek.]]=Body!$AX$13,IF(AND('Zdroj data'!N58&gt;=Body!$AY$13,'Zdroj data'!N58&lt;=Body!$BA$13),Body!$AY$6,IF(AND('Zdroj data'!N58&gt;=Body!$BB$13,'Zdroj data'!N58&lt;=Body!$BD$13),Body!$BB$6,IF(AND('Zdroj data'!N58&gt;=Body!$BE$13,'Zdroj data'!N58&lt;=Body!$BG$13),Body!$BE$6,IF(AND('Zdroj data'!N58&gt;=Body!$BH$13,'Zdroj data'!N58&lt;=Body!$BJ$13),Body!$BH$6,IF(AND('Zdroj data'!N58&gt;=Body!$BK$13,'Zdroj data'!N58&lt;=Body!$BM$13),Body!$BK$6,IF(AND('Zdroj data'!N58&gt;=Body!$BN$13,'Zdroj data'!N58&lt;=Body!$BP$13),Body!$BN$6,IF(AND('Zdroj data'!N58&gt;=Body!$BQ$13,'Zdroj data'!N58&lt;=Body!$BS$13),Body!$BQ$6,IF(AND('Zdroj data'!N58&gt;=Body!$BT$13,'Zdroj data'!N58&lt;=Body!$BV$13),Body!$BT$6,IF(AND('Zdroj data'!N58&gt;=Body!$BW$13,'Zdroj data'!N58&lt;=Body!$BY$13),Body!$BW$6,IF('Zdroj data'!N58&gt;=Body!$CB$13,Body!$BZ$6," ")))))))))),IF(Tabulka1[[#This Row],[kv.ek.]]=Body!$AX$14,IF(AND('Zdroj data'!O58&gt;=Body!$AY$14,'Zdroj data'!O58&lt;=Body!$BA$14),Body!$AY$6,IF(AND('Zdroj data'!O58&gt;=Body!$BB$14,'Zdroj data'!O58&lt;=Body!$BD$14),Body!$BB$6,IF(AND('Zdroj data'!O58&gt;=Body!$BE$14,'Zdroj data'!O58&lt;=Body!$BG$14),Body!$BE$6,IF(AND('Zdroj data'!O58&gt;=Body!$BH$14,'Zdroj data'!O58&lt;=Body!$BJ$14),Body!$BH$6,IF(AND('Zdroj data'!O58&gt;=Body!$BK$14,'Zdroj data'!O58&lt;=Body!$BM$14),Body!$BK$6,IF(AND('Zdroj data'!O58&gt;=Body!$BN$14,'Zdroj data'!O58&lt;=Body!$BP$14),Body!$BN$6,IF(AND('Zdroj data'!O58&gt;=Body!$BQ$14,'Zdroj data'!O58&lt;=Body!$BS$14),Body!$BQ$6,IF(AND('Zdroj data'!O58&gt;=Body!$BT$14,'Zdroj data'!O58&lt;=Body!$BV$14),Body!$BT$6,IF(AND('Zdroj data'!O58&gt;=Body!$BW$14,'Zdroj data'!O58&lt;=Body!$BY$14),Body!$BW$6,IF('Zdroj data'!O58&gt;=Body!$CB$14,Body!$BZ$6," "))))))))))," "))</f>
        <v>1</v>
      </c>
      <c r="J58" s="264">
        <f t="shared" si="8"/>
        <v>2</v>
      </c>
      <c r="K58" s="264">
        <f t="shared" si="9"/>
        <v>2</v>
      </c>
      <c r="L58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58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58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58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58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58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58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58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58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58" s="264">
        <f>IF('Zdroj data'!BB58=Body!$AY$25,Body!$AY$22,IF('Zdroj data'!BB58=Body!$BB$25,Body!$BB$22,IF('Zdroj data'!BB58=Body!$BE$25,Body!$BE$22,IF('Zdroj data'!BB58=Body!$BH$25,Body!$BH$22,IF('Zdroj data'!BB58=Body!BK$25,Body!$BK$22,IF('Zdroj data'!BB58=Body!$BN$25,Body!$BN$22,IF('Zdroj data'!BB58=Body!$BQ$25,Body!$BQ$22,IF('Zdroj data'!BB58=Body!$BT$25,Body!$BT$22,IF('Zdroj data'!BB58=Body!$BW$25,Body!$BW$22,IF('Zdroj data'!BB58=Body!$BZ$25,Body!$BZ$22," "))))))))))</f>
        <v>7</v>
      </c>
      <c r="V58" s="264">
        <f>IF(AND('Zdroj data'!BO58&gt;Body!$AY$27,'Zdroj data'!BO58&lt;=Body!$BA$27),Body!$AY$22,IF(AND('Zdroj data'!BO58&gt;=Body!$BB$27,'Zdroj data'!BO58&lt;=Body!$BD$27),Body!$BB$22,IF(AND('Zdroj data'!BO58&gt;=Body!$BE$27,'Zdroj data'!BO58&lt;=Body!$BG$27),Body!$BE$22,IF(AND('Zdroj data'!BO58&gt;=Body!$BH$27,'Zdroj data'!BO58&lt;=Body!$BJ$27),Body!$BH$22,IF(AND('Zdroj data'!BO58&gt;=Body!$BK$27,'Zdroj data'!BO58&lt;=Body!$BM$27),Body!$BK$22,IF(AND('Zdroj data'!BO58&gt;=Body!$BN$27,'Zdroj data'!BO58&lt;=Body!$BP$27),Body!$BN$22,IF(AND('Zdroj data'!BO58&gt;=Body!$BQ$27,'Zdroj data'!BO58&lt;=Body!$BS$27),Body!$BQ$22,IF(AND('Zdroj data'!BO58&gt;=Body!$BT$27,'Zdroj data'!BO58&lt;=Body!$BV$27),Body!$BT$22,IF(AND('Zdroj data'!BO58&gt;=Body!$BW$27,'Zdroj data'!BO58&lt;=Body!$BY$27),Body!$BW$22,IF('Zdroj data'!BO58&gt;=Body!$CB$27,$BZ$22," "))))))))))</f>
        <v>6</v>
      </c>
      <c r="W58" s="264">
        <f>IF(AND('Zdroj data'!BP58&gt;Body!$AY$27,'Zdroj data'!BP58&lt;=Body!$BA$27),Body!$AY$22,IF(AND('Zdroj data'!BP58&gt;=Body!$BB$27,'Zdroj data'!BP58&lt;=Body!$BD$27),Body!$BB$22,IF(AND('Zdroj data'!BP58&gt;=Body!$BE$27,'Zdroj data'!BP58&lt;=Body!$BG$27),Body!$BE$22,IF(AND('Zdroj data'!BP58&gt;=Body!$BH$27,'Zdroj data'!BP58&lt;=Body!$BJ$27),Body!$BH$22,IF(AND('Zdroj data'!BP58&gt;=Body!$BK$27,'Zdroj data'!BP58&lt;=Body!$BM$27),Body!$BK$22,IF(AND('Zdroj data'!BP58&gt;=Body!$BN$27,'Zdroj data'!BP58&lt;=Body!$BP$27),Body!$BN$22,IF(AND('Zdroj data'!BP58&gt;=Body!$BQ$27,'Zdroj data'!BP58&lt;=Body!$BS$27),Body!$BQ$22,IF(AND('Zdroj data'!BP58&gt;=Body!$BT$27,'Zdroj data'!BP58&lt;=Body!$BV$27),Body!$BT$22,IF(AND('Zdroj data'!BP58&gt;=Body!$BW$27,'Zdroj data'!BP58&lt;=Body!$BY$27),Body!$BW$22,IF('Zdroj data'!BP58&gt;=Body!$CB$27,$BZ$22," "))))))))))</f>
        <v>4</v>
      </c>
      <c r="X58" s="264">
        <f>IF('Zdroj data'!BA58=Body!$BB$28,$BB$22,IF('Zdroj data'!BA58=Body!$BE$28,$BE$22,IF(OR('Zdroj data'!BA58=Body!$BK$28,'Zdroj data'!BA58=Body!$BL$28,'Zdroj data'!BA58=Body!$BM$28),$BK$22,IF(OR('Zdroj data'!BA58=Body!$BT$28,'Zdroj data'!BA58=Body!$BV$28),$BT$22,IF(OR('Zdroj data'!BA58=Body!$BW$28,'Zdroj data'!BA58=Body!$BY$28),$BW$22,IF('Zdroj data'!BA58=Body!$BZ$28,$BZ$22," "))))))</f>
        <v>9</v>
      </c>
      <c r="Y58" s="264">
        <f>IF('Zdroj data'!AZ58=Body!$BZ$29,Body!$BZ$22,IF(OR('Zdroj data'!AZ58=$BT$29,'Zdroj data'!AZ58=$BU$29,'Zdroj data'!AZ58=$BV$29),$BT$22,IF(OR('Zdroj data'!AZ58=$BK$29,'Zdroj data'!AZ58=$BM$29),$BK$22,IF(OR('Zdroj data'!AZ58=$BE$29,'Zdroj data'!AZ58=$BG$29),$BE$22,IF(OR('Zdroj data'!AZ58=$AY$29,'Zdroj data'!AZ58=$BA$29),$AY$22," ")))))</f>
        <v>10</v>
      </c>
      <c r="Z58" s="264">
        <f>IF(AND('Zdroj data'!BF58="T",(OR('Zdroj data'!AZ58=Body!$AW$45,'Zdroj data'!AZ58=Body!$AW$46,'Zdroj data'!AZ58=Body!$AW$47,'Zdroj data'!AZ58=Body!$AW$48))),Body!$AY$22,IF(AND('Zdroj data'!BF58="T",(OR('Zdroj data'!AZ58=$AW$49,'Zdroj data'!AZ58=$AW$50,'Zdroj data'!AZ58=$AW$51,'Zdroj data'!AZ58=$AW$52))),$BZ$22,IF(AND(OR('Zdroj data'!BF58="VT",'Zdroj data'!BF58="T",'Zdroj data'!BF58="CH"),(OR('Zdroj data'!AZ58=$AW$43,'Zdroj data'!AZ58=$AW$44,))),$BZ$22,IF(AND('Zdroj data'!BF58="CH",(OR('Zdroj data'!AZ58=$AW$49,'Zdroj data'!AZ58=$AW$50,'Zdroj data'!AZ58=$AW$51,'Zdroj data'!AZ58=$AW$52))),$AY$22,IF(AND('Zdroj data'!BF58="CH",(OR('Zdroj data'!AZ58=$AW$45,'Zdroj data'!AZ58=$AW$46,'Zdroj data'!AZ58=$AW$47,'Zdroj data'!AZ58=$AW$48))),$BZ$22," ")))))</f>
        <v>10</v>
      </c>
      <c r="AA58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58" s="264">
        <f>IF(Tabulka1[[#This Row],[kv.ek.]]=Body!$BK$35,Body!$BK$34,IF(Tabulka1[[#This Row],[kv.ek.]]=Body!$BZ$35,Body!$BZ$34," "))</f>
        <v>5</v>
      </c>
      <c r="AC58" s="264" t="str">
        <f>IF(AND('Zdroj data'!BF58="T",(OR('Zdroj data'!AZ58=Body!$AW$45,'Zdroj data'!AZ58=Body!$AW$46,'Zdroj data'!AZ58=Body!$AW$47,'Zdroj data'!AZ58=Body!$AW$48))),Body!$AY$22,IF(AND('Zdroj data'!BF58="T",(OR('Zdroj data'!AZ58=$AW$49,'Zdroj data'!AZ58=$AW$50,'Zdroj data'!AZ58=$AW$51,'Zdroj data'!AZ58=$AW$52))),$BZ$22," "))</f>
        <v xml:space="preserve"> </v>
      </c>
      <c r="AD58" s="264">
        <f>IF(AND(OR('Zdroj data'!BF58="VT",'Zdroj data'!BF58="T",'Zdroj data'!BF58="CH"),(OR('Zdroj data'!AZ58=$AW$43,'Zdroj data'!AZ58=$AW$44,))),$BZ$22," ")</f>
        <v>10</v>
      </c>
      <c r="AE58" s="264" t="str">
        <f>IF(AND('Zdroj data'!BF58="CH",(OR('Zdroj data'!AZ58=$AW$49,'Zdroj data'!AZ58=$AW$50,'Zdroj data'!AZ58=$AW$51,'Zdroj data'!AZ58=$AW$52))),$AY$22,IF(AND('Zdroj data'!BF58="CH",(OR('Zdroj data'!AZ58=$AW$45,'Zdroj data'!AZ58=$AW$46,'Zdroj data'!AZ58=$AW$47,'Zdroj data'!AZ58=$AW$48))),$BZ$22," "))</f>
        <v xml:space="preserve"> </v>
      </c>
      <c r="AF58" s="264">
        <f>IF(AND('Zdroj data'!BG58="L",'Zdroj data'!AM58=Body!$AX$15),IF(AND('Zdroj data'!O58&gt;=Body!$AY$15,'Zdroj data'!O58&lt;=Body!$BA$15),Body!AY$6,IF(AND('Zdroj data'!O58&gt;=Body!$BB$15,'Zdroj data'!O58&lt;=Body!$BD$15),Body!BB$6,IF(AND('Zdroj data'!O58&gt;=Body!$BE$15,'Zdroj data'!O58&lt;=Body!$BG$15),Body!BE$6,IF(AND('Zdroj data'!O58&gt;=Body!$BH$15,'Zdroj data'!O58&lt;=Body!$BJ$15),Body!BH$6,IF(AND('Zdroj data'!O58&gt;=Body!$BK$15,'Zdroj data'!O58&lt;=Body!$BM$15),Body!BK$6,IF(AND('Zdroj data'!O58&gt;=Body!$BN$15,'Zdroj data'!O58&lt;=Body!$BP$15),Body!$BN$6,IF(AND('Zdroj data'!O58&gt;=Body!$BQ$15,'Zdroj data'!O58&lt;=Body!$BS$15),Body!$BQ$6,IF(AND('Zdroj data'!O58&gt;=Body!$BT$15,'Zdroj data'!O58&lt;=Body!$BV$15),Body!BT$6,IF(AND('Zdroj data'!O58&gt;=Body!$BW$15,'Zdroj data'!O58&lt;=Body!$BY$15),Body!$BW$6,IF('Zdroj data'!O58&gt;=Body!$CB$15,Body!$BZ$6," ")))))))))),IF(AND('Zdroj data'!BG58="ST",'Zdroj data'!AM58=Body!$AX$16),IF(AND('Zdroj data'!O58&gt;=Body!$AY$16,'Zdroj data'!O58&lt;=Body!$BA$16),Body!$AY$6,IF(AND('Zdroj data'!O58&gt;=Body!$BB$16,'Zdroj data'!O58&lt;=Body!$BD$16),Body!$BB$6,IF(AND('Zdroj data'!O58&gt;=Body!$BE$16,'Zdroj data'!O58&lt;=Body!$BG$16),Body!$BE$6,IF(AND('Zdroj data'!O58&gt;=Body!$BH$16,'Zdroj data'!O58&lt;=Body!$BJ$16),Body!$BH$6,IF(AND('Zdroj data'!O58&gt;=Body!$BK$16,'Zdroj data'!O58&lt;=Body!$BM$16),Body!$BK$6,IF(AND('Zdroj data'!O58&gt;=Body!$BN$16,'Zdroj data'!O58&lt;=Body!$BP$16),Body!$BN$6,IF(AND('Zdroj data'!O58&gt;=Body!$BQ$16,'Zdroj data'!O58&lt;=Body!$BS$16),Body!$BQ$6,IF(AND('Zdroj data'!O58&gt;=Body!$BT$16,'Zdroj data'!O58&lt;=Body!$BV$16),Body!$BT$6,IF(AND('Zdroj data'!O58&gt;=Body!$BW$16,'Zdroj data'!O58&lt;=Body!$BY$16),Body!$BW$6,IF('Zdroj data'!O58&gt;=Body!$CB$16,Body!$BZ$6," ")))))))))),IF(AND('Zdroj data'!BG58="T",'Zdroj data'!AM58=Body!$AX$17),IF(AND('Zdroj data'!O58&gt;=Body!$AY$17,'Zdroj data'!O58&lt;=Body!$BA$17),Body!$AY$6,IF(AND('Zdroj data'!O58&gt;=Body!$BB$17,'Zdroj data'!O58&lt;=Body!$BD$17),Body!$BB$6,IF(AND('Zdroj data'!O58&gt;=Body!$BE$17,'Zdroj data'!O58&lt;=Body!$BG$17),Body!$BE$6,IF(AND('Zdroj data'!O58&gt;=Body!$BH$17,'Zdroj data'!O58&lt;=Body!#REF!),Body!$BH$6,IF(AND('Zdroj data'!O58&gt;=Body!$BK$17,'Zdroj data'!O58&lt;=Body!$BM$17),Body!$BK$6,IF(AND('Zdroj data'!O58&gt;=Body!$BN$17,'Zdroj data'!O58&lt;=Body!$BP$17),Body!$BN$6,IF(AND('Zdroj data'!O58&gt;=Body!$BQ$17,'Zdroj data'!O58&lt;=Body!$BS$17),Body!$BQ$6,IF(AND('Zdroj data'!O58&gt;=Body!$BT$17,'Zdroj data'!O58&lt;=Body!$BV$17),Body!$BT$6,IF(AND('Zdroj data'!O58&gt;=Body!$BW$17,'Zdroj data'!O58&lt;=Body!$BY$17),Body!$BW$6,IF('Zdroj data'!O58&gt;=Body!$CB$17,Body!$BZ$6," "))))))))))," ")))</f>
        <v>2</v>
      </c>
      <c r="AG58" s="264">
        <f>IF(AND('Zdroj data'!$BG58="L",'Zdroj data'!$AM58=Body!$AX$15),IF(AND(Tabulka1[[#This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data'!$BG58="ST",'Zdroj data'!$AM58=Body!$AX$16),IF(AND(Tabulka1[[#This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data'!$BG58="T",'Zdroj data'!$AM58=Body!$AX$17),IF(AND(Tabulka1[[#This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2</v>
      </c>
      <c r="AH58" s="264" t="str">
        <f>IF(AND('Zdroj data'!BG58="L",'Zdroj data'!AM58=Body!$AX$18),IF(AND('Zdroj data'!O58&gt;=Body!$AY$18,'Zdroj data'!O58&lt;=Body!$BA$18),Body!AY$6,IF(AND('Zdroj data'!O58&gt;=Body!$BB$18,'Zdroj data'!O58&lt;=Body!$BD$18),Body!BB$6,IF(AND('Zdroj data'!O58&gt;=Body!$BE$18,'Zdroj data'!O58&lt;=Body!$BG$18),Body!BE$6,IF(AND('Zdroj data'!O58&gt;=Body!$BH$18,'Zdroj data'!O58&lt;=Body!$BJ$18),Body!BH$6,IF(AND('Zdroj data'!O58&gt;=Body!$BK$18,'Zdroj data'!O58&lt;=Body!$BM$18),Body!$BK$6,IF(AND('Zdroj data'!O58&gt;=Body!$BN$18,'Zdroj data'!O58&lt;=Body!$BP$18),Body!BN$6,IF(AND('Zdroj data'!O58&gt;=Body!$BQ$18,'Zdroj data'!O58&lt;=Body!$BS$18),Body!$BQ$6,IF(AND('Zdroj data'!O58&gt;=Body!$BT$18,'Zdroj data'!O58&lt;=Body!$BV$18),Body!$BT$6,IF(AND('Zdroj data'!O58&gt;=Body!$BW$18,'Zdroj data'!O58&lt;=Body!$BY$18),Body!$BW$6,IF('Zdroj data'!O58&gt;=Body!$CB$18,Body!$BZ$6," ")))))))))),IF(AND('Zdroj data'!BG58="ST",'Zdroj data'!AM58=Body!$AX$19),IF(AND('Zdroj data'!O58&gt;=Body!$AY$19,'Zdroj data'!O58&lt;=Body!$BA$19),Body!$AY$6,IF(AND('Zdroj data'!O58&gt;=Body!$BB$19,'Zdroj data'!O58&lt;=Body!$BD$19),Body!$BB$6,IF(AND('Zdroj data'!O58&gt;=Body!$BE$19,'Zdroj data'!O58&lt;=Body!$BG$19),Body!$BE$6,IF(AND('Zdroj data'!O58&gt;=Body!$BH$19,'Zdroj data'!O58&lt;=Body!$BJ$19),Body!$BH$6,IF(AND('Zdroj data'!O58&gt;=Body!$BK$19,'Zdroj data'!O58&lt;=Body!$BM$19),Body!$BK$6,IF(AND('Zdroj data'!O58&gt;=Body!$BN$19,'Zdroj data'!O58&lt;=Body!$BP$19),Body!$BN$6,IF(AND('Zdroj data'!O58&gt;=Body!$BQ$19,'Zdroj data'!O58&lt;=Body!$BS$19),Body!$BQ$6,IF(AND('Zdroj data'!O58&gt;=Body!$BT$19,'Zdroj data'!O62&lt;=Body!$BV$19),Body!$BT$6,IF(AND('Zdroj data'!O58&gt;=Body!$BW$19,'Zdroj data'!O58&lt;=Body!$BY$19),Body!$BW$6,IF('Zdroj data'!O58&gt;=Body!$CB$19,Body!$BZ$6," ")))))))))),IF(AND('Zdroj data'!BG58="T",'Zdroj data'!AM58=Body!$AX$20),IF(AND('Zdroj data'!O58&gt;=Body!$AY$20,'Zdroj data'!O58&lt;=Body!$BA$20),Body!$AY$6,IF(AND('Zdroj data'!O58&gt;=Body!$BB$20,'Zdroj data'!O58&lt;=Body!$BD$20),Body!$BB$6,IF(AND('Zdroj data'!O58&gt;=Body!$BE$20,'Zdroj data'!O58&lt;=Body!$BG$20),Body!$BE$6,IF(AND('Zdroj data'!O58&gt;=Body!$BH$20,'Zdroj data'!O58&lt;=Body!$BJ$20),Body!$BH$6,IF(AND('Zdroj data'!O58&gt;=Body!$BK$20,'Zdroj data'!O58&lt;=Body!$BM$20),Body!$BK$6,IF(AND('Zdroj data'!O58&gt;=Body!$BN$20,'Zdroj data'!O58&lt;=Body!$BP$20),Body!$BN$6,IF(AND('Zdroj data'!O58&gt;=Body!$BQ$20,'Zdroj data'!O58&lt;=Body!$BS$20),Body!$BQ$6,IF(AND('Zdroj data'!O58&gt;=Body!$BT$20,'Zdroj data'!O58&lt;=Body!#REF!),Body!$BT$6,IF(AND('Zdroj data'!O58&gt;=Body!$BW$20,'Zdroj data'!O58&lt;=Body!$BY$20),Body!$BW$6,IF('Zdroj data'!O58&gt;=Body!$CB$20,Body!$BZ$6," "))))))))))," ")))</f>
        <v xml:space="preserve"> </v>
      </c>
      <c r="AI58" s="264" t="str">
        <f>IF(AND('Zdroj data'!$BG58="L",'Zdroj data'!$AM58=Body!$AX$18),IF(AND(Tabulka1[[#This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data'!$BG58="ST",'Zdroj data'!$AM58=Body!$AX$19),IF(AND(Tabulka1[[#This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data'!$BG58="T",'Zdroj data'!$AM58=Body!$AX$20),IF(AND(Tabulka1[[#This Row],[K2O_60]]&gt;=Body!$AY$20,'Zdroj data'!O58&lt;=Body!$BA$20),Body!$AY$6,IF(AND(Tabulka1[[#This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58" s="265">
        <f t="shared" si="10"/>
        <v>8.0000000000000071</v>
      </c>
      <c r="AK58" s="264">
        <f t="shared" si="3"/>
        <v>27.522202366889452</v>
      </c>
      <c r="AL58" s="264">
        <f t="shared" si="4"/>
        <v>26.280670715868311</v>
      </c>
      <c r="AM58" s="264">
        <f t="shared" si="5"/>
        <v>66.295335315915651</v>
      </c>
      <c r="AN58" s="264">
        <f t="shared" si="6"/>
        <v>74.947020772739648</v>
      </c>
      <c r="AO58" s="265">
        <f t="shared" si="11"/>
        <v>93.817537682805096</v>
      </c>
      <c r="AP58" s="265">
        <f t="shared" si="12"/>
        <v>101.22769148860796</v>
      </c>
      <c r="AQ58" s="318"/>
      <c r="AR58" s="338">
        <f t="shared" si="7"/>
        <v>203.04522917141304</v>
      </c>
      <c r="AS58" s="318"/>
      <c r="AT58" s="138"/>
      <c r="AU58" s="138"/>
    </row>
    <row r="59" spans="1:81" ht="15.5" x14ac:dyDescent="0.35">
      <c r="A59" s="270">
        <v>2581</v>
      </c>
      <c r="B59" s="156" t="s">
        <v>640</v>
      </c>
      <c r="C59" s="250" t="str">
        <f>VLOOKUP(B59,'Zdroj hloubka okresy'!$A$2:$D$171,2,FALSE)</f>
        <v>Mlada Boleslav</v>
      </c>
      <c r="D59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59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7</v>
      </c>
      <c r="F59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59" s="264">
        <f>IF(AND(Tabulka1[[#This Row],[hum_60]]&gt;AY65,Tabulka1[[#This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59" s="264">
        <f>IF(Tabulka1[[#This Row],[kv.ek.]]=Body!$AX$13,IF(AND('Zdroj data'!M59&gt;=Body!$AY$13,'Zdroj data'!M59&lt;=Body!$BA$13),Body!$AY$6,IF(AND('Zdroj data'!M59&gt;=Body!$BB$13,'Zdroj data'!M59&lt;=Body!$BD$13),Body!$BB$6,IF(AND('Zdroj data'!M59&gt;=Body!$BE$13,'Zdroj data'!M59&lt;=Body!$BG$13),Body!$BE$6,IF(AND('Zdroj data'!M59&gt;=Body!$BH$13,'Zdroj data'!M59&lt;=Body!$BJ$13),Body!$BH$6,IF(AND('Zdroj data'!M59&gt;=Body!$BK$13,'Zdroj data'!M59&lt;=Body!$BM$13),Body!$BK$6,IF(AND('Zdroj data'!M59&gt;=Body!$BN$13,'Zdroj data'!M59&lt;=Body!$BP$13),Body!$BN$6,IF(AND('Zdroj data'!M59&gt;=Body!$BQ$13,'Zdroj data'!M59&lt;=Body!$BS$13),Body!$BQ$6,IF(AND('Zdroj data'!M59&gt;=Body!$BT$13,'Zdroj data'!M59&lt;=Body!$BV$13),Body!$BT$6,IF(AND('Zdroj data'!M59&gt;=Body!$BW$13,'Zdroj data'!M59&lt;=Body!$BY$13),Body!$BW$6,IF('Zdroj data'!M59&gt;=Body!$CB$13,Body!$BZ$6," ")))))))))),IF(Tabulka1[[#This Row],[kv.ek.]]=Body!$AX$14,IF(AND('Zdroj data'!N59&gt;=Body!$AY$14,'Zdroj data'!N59&lt;=Body!$BA$14),Body!$AY$6,IF(AND('Zdroj data'!N59&gt;=Body!$BB$14,'Zdroj data'!N59&lt;=Body!$BD$14),Body!$BB$6,IF(AND('Zdroj data'!N59&gt;=Body!$BE$14,'Zdroj data'!N59&lt;=Body!$BG$14),Body!$BE$6,IF(AND('Zdroj data'!N59&gt;=Body!$BH$14,'Zdroj data'!N59&lt;=Body!$BJ$14),Body!$BH$6,IF(AND('Zdroj data'!N59&gt;=Body!$BK$14,'Zdroj data'!N59&lt;=Body!$BM$14),Body!$BK$6,IF(AND('Zdroj data'!N59&gt;=Body!$BN$14,'Zdroj data'!N59&lt;=Body!$BP$14),Body!$BN$6,IF(AND('Zdroj data'!N59&gt;=Body!$BQ$14,'Zdroj data'!N59&lt;=Body!$BS$14),Body!$BQ$6,IF(AND('Zdroj data'!N59&gt;=Body!$BT$14,'Zdroj data'!N59&lt;=Body!$BV$14),Body!$BT$6,IF(AND('Zdroj data'!N59&gt;=Body!$BW$14,'Zdroj data'!N59&lt;=Body!$BY$14),Body!$BW$6,IF('Zdroj data'!N59&gt;=Body!$CB$14,Body!$BZ$6," "))))))))))," "))</f>
        <v>1</v>
      </c>
      <c r="I59" s="264">
        <f>IF(Tabulka1[[#This Row],[kv.ek.]]=Body!$AX$13,IF(AND('Zdroj data'!N59&gt;=Body!$AY$13,'Zdroj data'!N59&lt;=Body!$BA$13),Body!$AY$6,IF(AND('Zdroj data'!N59&gt;=Body!$BB$13,'Zdroj data'!N59&lt;=Body!$BD$13),Body!$BB$6,IF(AND('Zdroj data'!N59&gt;=Body!$BE$13,'Zdroj data'!N59&lt;=Body!$BG$13),Body!$BE$6,IF(AND('Zdroj data'!N59&gt;=Body!$BH$13,'Zdroj data'!N59&lt;=Body!$BJ$13),Body!$BH$6,IF(AND('Zdroj data'!N59&gt;=Body!$BK$13,'Zdroj data'!N59&lt;=Body!$BM$13),Body!$BK$6,IF(AND('Zdroj data'!N59&gt;=Body!$BN$13,'Zdroj data'!N59&lt;=Body!$BP$13),Body!$BN$6,IF(AND('Zdroj data'!N59&gt;=Body!$BQ$13,'Zdroj data'!N59&lt;=Body!$BS$13),Body!$BQ$6,IF(AND('Zdroj data'!N59&gt;=Body!$BT$13,'Zdroj data'!N59&lt;=Body!$BV$13),Body!$BT$6,IF(AND('Zdroj data'!N59&gt;=Body!$BW$13,'Zdroj data'!N59&lt;=Body!$BY$13),Body!$BW$6,IF('Zdroj data'!N59&gt;=Body!$CB$13,Body!$BZ$6," ")))))))))),IF(Tabulka1[[#This Row],[kv.ek.]]=Body!$AX$14,IF(AND('Zdroj data'!O59&gt;=Body!$AY$14,'Zdroj data'!O59&lt;=Body!$BA$14),Body!$AY$6,IF(AND('Zdroj data'!O59&gt;=Body!$BB$14,'Zdroj data'!O59&lt;=Body!$BD$14),Body!$BB$6,IF(AND('Zdroj data'!O59&gt;=Body!$BE$14,'Zdroj data'!O59&lt;=Body!$BG$14),Body!$BE$6,IF(AND('Zdroj data'!O59&gt;=Body!$BH$14,'Zdroj data'!O59&lt;=Body!$BJ$14),Body!$BH$6,IF(AND('Zdroj data'!O59&gt;=Body!$BK$14,'Zdroj data'!O59&lt;=Body!$BM$14),Body!$BK$6,IF(AND('Zdroj data'!O59&gt;=Body!$BN$14,'Zdroj data'!O59&lt;=Body!$BP$14),Body!$BN$6,IF(AND('Zdroj data'!O59&gt;=Body!$BQ$14,'Zdroj data'!O59&lt;=Body!$BS$14),Body!$BQ$6,IF(AND('Zdroj data'!O59&gt;=Body!$BT$14,'Zdroj data'!O59&lt;=Body!$BV$14),Body!$BT$6,IF(AND('Zdroj data'!O59&gt;=Body!$BW$14,'Zdroj data'!O59&lt;=Body!$BY$14),Body!$BW$6,IF('Zdroj data'!O59&gt;=Body!$CB$14,Body!$BZ$6," "))))))))))," "))</f>
        <v>1</v>
      </c>
      <c r="J59" s="264">
        <f t="shared" si="8"/>
        <v>3</v>
      </c>
      <c r="K59" s="264">
        <f t="shared" si="9"/>
        <v>1</v>
      </c>
      <c r="L59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2</v>
      </c>
      <c r="M59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1</v>
      </c>
      <c r="N59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59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6</v>
      </c>
      <c r="P59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59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59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2</v>
      </c>
      <c r="S59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4</v>
      </c>
      <c r="T59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4</v>
      </c>
      <c r="U59" s="264">
        <f>IF('Zdroj data'!BB59=Body!$AY$25,Body!$AY$22,IF('Zdroj data'!BB59=Body!$BB$25,Body!$BB$22,IF('Zdroj data'!BB59=Body!$BE$25,Body!$BE$22,IF('Zdroj data'!BB59=Body!$BH$25,Body!$BH$22,IF('Zdroj data'!BB59=Body!BK$25,Body!$BK$22,IF('Zdroj data'!BB59=Body!$BN$25,Body!$BN$22,IF('Zdroj data'!BB59=Body!$BQ$25,Body!$BQ$22,IF('Zdroj data'!BB59=Body!$BT$25,Body!$BT$22,IF('Zdroj data'!BB59=Body!$BW$25,Body!$BW$22,IF('Zdroj data'!BB59=Body!$BZ$25,Body!$BZ$22," "))))))))))</f>
        <v>7</v>
      </c>
      <c r="V59" s="264">
        <f>IF(AND('Zdroj data'!BO59&gt;Body!$AY$27,'Zdroj data'!BO59&lt;=Body!$BA$27),Body!$AY$22,IF(AND('Zdroj data'!BO59&gt;=Body!$BB$27,'Zdroj data'!BO59&lt;=Body!$BD$27),Body!$BB$22,IF(AND('Zdroj data'!BO59&gt;=Body!$BE$27,'Zdroj data'!BO59&lt;=Body!$BG$27),Body!$BE$22,IF(AND('Zdroj data'!BO59&gt;=Body!$BH$27,'Zdroj data'!BO59&lt;=Body!$BJ$27),Body!$BH$22,IF(AND('Zdroj data'!BO59&gt;=Body!$BK$27,'Zdroj data'!BO59&lt;=Body!$BM$27),Body!$BK$22,IF(AND('Zdroj data'!BO59&gt;=Body!$BN$27,'Zdroj data'!BO59&lt;=Body!$BP$27),Body!$BN$22,IF(AND('Zdroj data'!BO59&gt;=Body!$BQ$27,'Zdroj data'!BO59&lt;=Body!$BS$27),Body!$BQ$22,IF(AND('Zdroj data'!BO59&gt;=Body!$BT$27,'Zdroj data'!BO59&lt;=Body!$BV$27),Body!$BT$22,IF(AND('Zdroj data'!BO59&gt;=Body!$BW$27,'Zdroj data'!BO59&lt;=Body!$BY$27),Body!$BW$22,IF('Zdroj data'!BO59&gt;=Body!$CB$27,$BZ$22," "))))))))))</f>
        <v>7</v>
      </c>
      <c r="W59" s="264">
        <f>IF(AND('Zdroj data'!BP59&gt;Body!$AY$27,'Zdroj data'!BP59&lt;=Body!$BA$27),Body!$AY$22,IF(AND('Zdroj data'!BP59&gt;=Body!$BB$27,'Zdroj data'!BP59&lt;=Body!$BD$27),Body!$BB$22,IF(AND('Zdroj data'!BP59&gt;=Body!$BE$27,'Zdroj data'!BP59&lt;=Body!$BG$27),Body!$BE$22,IF(AND('Zdroj data'!BP59&gt;=Body!$BH$27,'Zdroj data'!BP59&lt;=Body!$BJ$27),Body!$BH$22,IF(AND('Zdroj data'!BP59&gt;=Body!$BK$27,'Zdroj data'!BP59&lt;=Body!$BM$27),Body!$BK$22,IF(AND('Zdroj data'!BP59&gt;=Body!$BN$27,'Zdroj data'!BP59&lt;=Body!$BP$27),Body!$BN$22,IF(AND('Zdroj data'!BP59&gt;=Body!$BQ$27,'Zdroj data'!BP59&lt;=Body!$BS$27),Body!$BQ$22,IF(AND('Zdroj data'!BP59&gt;=Body!$BT$27,'Zdroj data'!BP59&lt;=Body!$BV$27),Body!$BT$22,IF(AND('Zdroj data'!BP59&gt;=Body!$BW$27,'Zdroj data'!BP59&lt;=Body!$BY$27),Body!$BW$22,IF('Zdroj data'!BP59&gt;=Body!$CB$27,$BZ$22," "))))))))))</f>
        <v>8</v>
      </c>
      <c r="X59" s="264">
        <f>IF('Zdroj data'!BA59=Body!$BB$28,$BB$22,IF('Zdroj data'!BA59=Body!$BE$28,$BE$22,IF(OR('Zdroj data'!BA59=Body!$BK$28,'Zdroj data'!BA59=Body!$BL$28,'Zdroj data'!BA59=Body!$BM$28),$BK$22,IF(OR('Zdroj data'!BA59=Body!$BT$28,'Zdroj data'!BA59=Body!$BV$28),$BT$22,IF(OR('Zdroj data'!BA59=Body!$BW$28,'Zdroj data'!BA59=Body!$BY$28),$BW$22,IF('Zdroj data'!BA59=Body!$BZ$28,$BZ$22," "))))))</f>
        <v>9</v>
      </c>
      <c r="Y59" s="264">
        <f>IF('Zdroj data'!AZ59=Body!$BZ$29,Body!$BZ$22,IF(OR('Zdroj data'!AZ59=$BT$29,'Zdroj data'!AZ59=$BU$29,'Zdroj data'!AZ59=$BV$29),$BT$22,IF(OR('Zdroj data'!AZ59=$BK$29,'Zdroj data'!AZ59=$BM$29),$BK$22,IF(OR('Zdroj data'!AZ59=$BE$29,'Zdroj data'!AZ59=$BG$29),$BE$22,IF(OR('Zdroj data'!AZ59=$AY$29,'Zdroj data'!AZ59=$BA$29),$AY$22," ")))))</f>
        <v>10</v>
      </c>
      <c r="Z59" s="264">
        <f>IF(AND('Zdroj data'!BF59="T",(OR('Zdroj data'!AZ59=Body!$AW$45,'Zdroj data'!AZ59=Body!$AW$46,'Zdroj data'!AZ59=Body!$AW$47,'Zdroj data'!AZ59=Body!$AW$48))),Body!$AY$22,IF(AND('Zdroj data'!BF59="T",(OR('Zdroj data'!AZ59=$AW$49,'Zdroj data'!AZ59=$AW$50,'Zdroj data'!AZ59=$AW$51,'Zdroj data'!AZ59=$AW$52))),$BZ$22,IF(AND(OR('Zdroj data'!BF59="VT",'Zdroj data'!BF59="T",'Zdroj data'!BF59="CH"),(OR('Zdroj data'!AZ59=$AW$43,'Zdroj data'!AZ59=$AW$44,))),$BZ$22,IF(AND('Zdroj data'!BF59="CH",(OR('Zdroj data'!AZ59=$AW$49,'Zdroj data'!AZ59=$AW$50,'Zdroj data'!AZ59=$AW$51,'Zdroj data'!AZ59=$AW$52))),$AY$22,IF(AND('Zdroj data'!BF59="CH",(OR('Zdroj data'!AZ59=$AW$45,'Zdroj data'!AZ59=$AW$46,'Zdroj data'!AZ59=$AW$47,'Zdroj data'!AZ59=$AW$48))),$BZ$22," ")))))</f>
        <v>10</v>
      </c>
      <c r="AA59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59" s="264">
        <f>IF(Tabulka1[[#This Row],[kv.ek.]]=Body!$BK$35,Body!$BK$34,IF(Tabulka1[[#This Row],[kv.ek.]]=Body!$BZ$35,Body!$BZ$34," "))</f>
        <v>5</v>
      </c>
      <c r="AC59" s="264" t="str">
        <f>IF(AND('Zdroj data'!BF59="T",(OR('Zdroj data'!AZ59=Body!$AW$45,'Zdroj data'!AZ59=Body!$AW$46,'Zdroj data'!AZ59=Body!$AW$47,'Zdroj data'!AZ59=Body!$AW$48))),Body!$AY$22,IF(AND('Zdroj data'!BF59="T",(OR('Zdroj data'!AZ59=$AW$49,'Zdroj data'!AZ59=$AW$50,'Zdroj data'!AZ59=$AW$51,'Zdroj data'!AZ59=$AW$52))),$BZ$22," "))</f>
        <v xml:space="preserve"> </v>
      </c>
      <c r="AD59" s="264">
        <f>IF(AND(OR('Zdroj data'!BF59="VT",'Zdroj data'!BF59="T",'Zdroj data'!BF59="CH"),(OR('Zdroj data'!AZ59=$AW$43,'Zdroj data'!AZ59=$AW$44,))),$BZ$22," ")</f>
        <v>10</v>
      </c>
      <c r="AE59" s="264" t="str">
        <f>IF(AND('Zdroj data'!BF59="CH",(OR('Zdroj data'!AZ59=$AW$49,'Zdroj data'!AZ59=$AW$50,'Zdroj data'!AZ59=$AW$51,'Zdroj data'!AZ59=$AW$52))),$AY$22,IF(AND('Zdroj data'!BF59="CH",(OR('Zdroj data'!AZ59=$AW$45,'Zdroj data'!AZ59=$AW$46,'Zdroj data'!AZ59=$AW$47,'Zdroj data'!AZ59=$AW$48))),$BZ$22," "))</f>
        <v xml:space="preserve"> </v>
      </c>
      <c r="AF59" s="264">
        <f>IF(AND('Zdroj data'!BG59="L",'Zdroj data'!AM59=Body!$AX$15),IF(AND('Zdroj data'!O59&gt;=Body!$AY$15,'Zdroj data'!O59&lt;=Body!$BA$15),Body!AY$6,IF(AND('Zdroj data'!O59&gt;=Body!$BB$15,'Zdroj data'!O59&lt;=Body!$BD$15),Body!BB$6,IF(AND('Zdroj data'!O59&gt;=Body!$BE$15,'Zdroj data'!O59&lt;=Body!$BG$15),Body!BE$6,IF(AND('Zdroj data'!O59&gt;=Body!$BH$15,'Zdroj data'!O59&lt;=Body!$BJ$15),Body!BH$6,IF(AND('Zdroj data'!O59&gt;=Body!$BK$15,'Zdroj data'!O59&lt;=Body!$BM$15),Body!BK$6,IF(AND('Zdroj data'!O59&gt;=Body!$BN$15,'Zdroj data'!O59&lt;=Body!$BP$15),Body!$BN$6,IF(AND('Zdroj data'!O59&gt;=Body!$BQ$15,'Zdroj data'!O59&lt;=Body!$BS$15),Body!$BQ$6,IF(AND('Zdroj data'!O59&gt;=Body!$BT$15,'Zdroj data'!O59&lt;=Body!$BV$15),Body!BT$6,IF(AND('Zdroj data'!O59&gt;=Body!$BW$15,'Zdroj data'!O59&lt;=Body!$BY$15),Body!$BW$6,IF('Zdroj data'!O59&gt;=Body!$CB$15,Body!$BZ$6," ")))))))))),IF(AND('Zdroj data'!BG59="ST",'Zdroj data'!AM59=Body!$AX$16),IF(AND('Zdroj data'!O59&gt;=Body!$AY$16,'Zdroj data'!O59&lt;=Body!$BA$16),Body!$AY$6,IF(AND('Zdroj data'!O59&gt;=Body!$BB$16,'Zdroj data'!O59&lt;=Body!$BD$16),Body!$BB$6,IF(AND('Zdroj data'!O59&gt;=Body!$BE$16,'Zdroj data'!O59&lt;=Body!$BG$16),Body!$BE$6,IF(AND('Zdroj data'!O59&gt;=Body!$BH$16,'Zdroj data'!O59&lt;=Body!$BJ$16),Body!$BH$6,IF(AND('Zdroj data'!O59&gt;=Body!$BK$16,'Zdroj data'!O59&lt;=Body!$BM$16),Body!$BK$6,IF(AND('Zdroj data'!O59&gt;=Body!$BN$16,'Zdroj data'!O59&lt;=Body!$BP$16),Body!$BN$6,IF(AND('Zdroj data'!O59&gt;=Body!$BQ$16,'Zdroj data'!O59&lt;=Body!$BS$16),Body!$BQ$6,IF(AND('Zdroj data'!O59&gt;=Body!$BT$16,'Zdroj data'!O59&lt;=Body!$BV$16),Body!$BT$6,IF(AND('Zdroj data'!O59&gt;=Body!$BW$16,'Zdroj data'!O59&lt;=Body!$BY$16),Body!$BW$6,IF('Zdroj data'!O59&gt;=Body!$CB$16,Body!$BZ$6," ")))))))))),IF(AND('Zdroj data'!BG59="T",'Zdroj data'!AM59=Body!$AX$17),IF(AND('Zdroj data'!O59&gt;=Body!$AY$17,'Zdroj data'!O59&lt;=Body!$BA$17),Body!$AY$6,IF(AND('Zdroj data'!O59&gt;=Body!$BB$17,'Zdroj data'!O59&lt;=Body!$BD$17),Body!$BB$6,IF(AND('Zdroj data'!O59&gt;=Body!$BE$17,'Zdroj data'!O59&lt;=Body!$BG$17),Body!$BE$6,IF(AND('Zdroj data'!O59&gt;=Body!$BH$17,'Zdroj data'!O59&lt;=Body!#REF!),Body!$BH$6,IF(AND('Zdroj data'!O59&gt;=Body!$BK$17,'Zdroj data'!O59&lt;=Body!$BM$17),Body!$BK$6,IF(AND('Zdroj data'!O59&gt;=Body!$BN$17,'Zdroj data'!O59&lt;=Body!$BP$17),Body!$BN$6,IF(AND('Zdroj data'!O59&gt;=Body!$BQ$17,'Zdroj data'!O59&lt;=Body!$BS$17),Body!$BQ$6,IF(AND('Zdroj data'!O59&gt;=Body!$BT$17,'Zdroj data'!O59&lt;=Body!$BV$17),Body!$BT$6,IF(AND('Zdroj data'!O59&gt;=Body!$BW$17,'Zdroj data'!O59&lt;=Body!$BY$17),Body!$BW$6,IF('Zdroj data'!O59&gt;=Body!$CB$17,Body!$BZ$6," "))))))))))," ")))</f>
        <v>3</v>
      </c>
      <c r="AG59" s="264">
        <f>IF(AND('Zdroj data'!$BG59="L",'Zdroj data'!$AM59=Body!$AX$15),IF(AND(Tabulka1[[#This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data'!$BG59="ST",'Zdroj data'!$AM59=Body!$AX$16),IF(AND(Tabulka1[[#This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data'!$BG59="T",'Zdroj data'!$AM59=Body!$AX$17),IF(AND(Tabulka1[[#This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59" s="264" t="str">
        <f>IF(AND('Zdroj data'!BG59="L",'Zdroj data'!AM59=Body!$AX$18),IF(AND('Zdroj data'!O59&gt;=Body!$AY$18,'Zdroj data'!O59&lt;=Body!$BA$18),Body!AY$6,IF(AND('Zdroj data'!O59&gt;=Body!$BB$18,'Zdroj data'!O59&lt;=Body!$BD$18),Body!BB$6,IF(AND('Zdroj data'!O59&gt;=Body!$BE$18,'Zdroj data'!O59&lt;=Body!$BG$18),Body!BE$6,IF(AND('Zdroj data'!O59&gt;=Body!$BH$18,'Zdroj data'!O59&lt;=Body!$BJ$18),Body!BH$6,IF(AND('Zdroj data'!O59&gt;=Body!$BK$18,'Zdroj data'!O59&lt;=Body!$BM$18),Body!$BK$6,IF(AND('Zdroj data'!O59&gt;=Body!$BN$18,'Zdroj data'!O59&lt;=Body!$BP$18),Body!BN$6,IF(AND('Zdroj data'!O59&gt;=Body!$BQ$18,'Zdroj data'!O59&lt;=Body!$BS$18),Body!$BQ$6,IF(AND('Zdroj data'!O59&gt;=Body!$BT$18,'Zdroj data'!O59&lt;=Body!$BV$18),Body!$BT$6,IF(AND('Zdroj data'!O59&gt;=Body!$BW$18,'Zdroj data'!O59&lt;=Body!$BY$18),Body!$BW$6,IF('Zdroj data'!O59&gt;=Body!$CB$18,Body!$BZ$6," ")))))))))),IF(AND('Zdroj data'!BG59="ST",'Zdroj data'!AM59=Body!$AX$19),IF(AND('Zdroj data'!O59&gt;=Body!$AY$19,'Zdroj data'!O59&lt;=Body!$BA$19),Body!$AY$6,IF(AND('Zdroj data'!O59&gt;=Body!$BB$19,'Zdroj data'!O59&lt;=Body!$BD$19),Body!$BB$6,IF(AND('Zdroj data'!O59&gt;=Body!$BE$19,'Zdroj data'!O59&lt;=Body!$BG$19),Body!$BE$6,IF(AND('Zdroj data'!O59&gt;=Body!$BH$19,'Zdroj data'!O59&lt;=Body!$BJ$19),Body!$BH$6,IF(AND('Zdroj data'!O59&gt;=Body!$BK$19,'Zdroj data'!O59&lt;=Body!$BM$19),Body!$BK$6,IF(AND('Zdroj data'!O59&gt;=Body!$BN$19,'Zdroj data'!O59&lt;=Body!$BP$19),Body!$BN$6,IF(AND('Zdroj data'!O59&gt;=Body!$BQ$19,'Zdroj data'!O59&lt;=Body!$BS$19),Body!$BQ$6,IF(AND('Zdroj data'!O59&gt;=Body!$BT$19,'Zdroj data'!O63&lt;=Body!$BV$19),Body!$BT$6,IF(AND('Zdroj data'!O59&gt;=Body!$BW$19,'Zdroj data'!O59&lt;=Body!$BY$19),Body!$BW$6,IF('Zdroj data'!O59&gt;=Body!$CB$19,Body!$BZ$6," ")))))))))),IF(AND('Zdroj data'!BG59="T",'Zdroj data'!AM59=Body!$AX$20),IF(AND('Zdroj data'!O59&gt;=Body!$AY$20,'Zdroj data'!O59&lt;=Body!$BA$20),Body!$AY$6,IF(AND('Zdroj data'!O59&gt;=Body!$BB$20,'Zdroj data'!O59&lt;=Body!$BD$20),Body!$BB$6,IF(AND('Zdroj data'!O59&gt;=Body!$BE$20,'Zdroj data'!O59&lt;=Body!$BG$20),Body!$BE$6,IF(AND('Zdroj data'!O59&gt;=Body!$BH$20,'Zdroj data'!O59&lt;=Body!$BJ$20),Body!$BH$6,IF(AND('Zdroj data'!O59&gt;=Body!$BK$20,'Zdroj data'!O59&lt;=Body!$BM$20),Body!$BK$6,IF(AND('Zdroj data'!O59&gt;=Body!$BN$20,'Zdroj data'!O59&lt;=Body!$BP$20),Body!$BN$6,IF(AND('Zdroj data'!O59&gt;=Body!$BQ$20,'Zdroj data'!O59&lt;=Body!$BS$20),Body!$BQ$6,IF(AND('Zdroj data'!O59&gt;=Body!$BT$20,'Zdroj data'!O59&lt;=Body!#REF!),Body!$BT$6,IF(AND('Zdroj data'!O59&gt;=Body!$BW$20,'Zdroj data'!O59&lt;=Body!$BY$20),Body!$BW$6,IF('Zdroj data'!O59&gt;=Body!$CB$20,Body!$BZ$6," "))))))))))," ")))</f>
        <v xml:space="preserve"> </v>
      </c>
      <c r="AI59" s="264" t="str">
        <f>IF(AND('Zdroj data'!$BG59="L",'Zdroj data'!$AM59=Body!$AX$18),IF(AND(Tabulka1[[#This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data'!$BG59="ST",'Zdroj data'!$AM59=Body!$AX$19),IF(AND(Tabulka1[[#This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data'!$BG59="T",'Zdroj data'!$AM59=Body!$AX$20),IF(AND(Tabulka1[[#This Row],[K2O_60]]&gt;=Body!$AY$20,'Zdroj data'!O59&lt;=Body!$BA$20),Body!$AY$6,IF(AND(Tabulka1[[#This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59" s="265">
        <f t="shared" si="10"/>
        <v>14.666666666666682</v>
      </c>
      <c r="AK59" s="264">
        <f t="shared" si="3"/>
        <v>22.943900399215526</v>
      </c>
      <c r="AL59" s="264">
        <f t="shared" si="4"/>
        <v>19.170186623646266</v>
      </c>
      <c r="AM59" s="264">
        <f t="shared" si="5"/>
        <v>56.099056651889669</v>
      </c>
      <c r="AN59" s="264">
        <f t="shared" si="6"/>
        <v>57.64364985909166</v>
      </c>
      <c r="AO59" s="265">
        <f t="shared" si="11"/>
        <v>79.042957051105191</v>
      </c>
      <c r="AP59" s="265">
        <f t="shared" si="12"/>
        <v>76.813836482737926</v>
      </c>
      <c r="AQ59" s="318"/>
      <c r="AR59" s="338">
        <f t="shared" si="7"/>
        <v>170.52346020050982</v>
      </c>
      <c r="AS59" s="318"/>
      <c r="AT59" s="138"/>
      <c r="AU59" s="138"/>
    </row>
    <row r="60" spans="1:81" ht="15.5" x14ac:dyDescent="0.35">
      <c r="A60" s="270">
        <v>2584</v>
      </c>
      <c r="B60" s="156" t="s">
        <v>625</v>
      </c>
      <c r="C60" s="250" t="str">
        <f>VLOOKUP(B60,'Zdroj hloubka okresy'!$A$2:$D$171,2,FALSE)</f>
        <v>Mlada Boleslav</v>
      </c>
      <c r="D60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7</v>
      </c>
      <c r="E60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60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60" s="264">
        <f>IF(AND(Tabulka1[[#This Row],[hum_60]]&gt;AY66,Tabulka1[[#This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60" s="264">
        <f>IF(Tabulka1[[#This Row],[kv.ek.]]=Body!$AX$13,IF(AND('Zdroj data'!M60&gt;=Body!$AY$13,'Zdroj data'!M60&lt;=Body!$BA$13),Body!$AY$6,IF(AND('Zdroj data'!M60&gt;=Body!$BB$13,'Zdroj data'!M60&lt;=Body!$BD$13),Body!$BB$6,IF(AND('Zdroj data'!M60&gt;=Body!$BE$13,'Zdroj data'!M60&lt;=Body!$BG$13),Body!$BE$6,IF(AND('Zdroj data'!M60&gt;=Body!$BH$13,'Zdroj data'!M60&lt;=Body!$BJ$13),Body!$BH$6,IF(AND('Zdroj data'!M60&gt;=Body!$BK$13,'Zdroj data'!M60&lt;=Body!$BM$13),Body!$BK$6,IF(AND('Zdroj data'!M60&gt;=Body!$BN$13,'Zdroj data'!M60&lt;=Body!$BP$13),Body!$BN$6,IF(AND('Zdroj data'!M60&gt;=Body!$BQ$13,'Zdroj data'!M60&lt;=Body!$BS$13),Body!$BQ$6,IF(AND('Zdroj data'!M60&gt;=Body!$BT$13,'Zdroj data'!M60&lt;=Body!$BV$13),Body!$BT$6,IF(AND('Zdroj data'!M60&gt;=Body!$BW$13,'Zdroj data'!M60&lt;=Body!$BY$13),Body!$BW$6,IF('Zdroj data'!M60&gt;=Body!$CB$13,Body!$BZ$6," ")))))))))),IF(Tabulka1[[#This Row],[kv.ek.]]=Body!$AX$14,IF(AND('Zdroj data'!N60&gt;=Body!$AY$14,'Zdroj data'!N60&lt;=Body!$BA$14),Body!$AY$6,IF(AND('Zdroj data'!N60&gt;=Body!$BB$14,'Zdroj data'!N60&lt;=Body!$BD$14),Body!$BB$6,IF(AND('Zdroj data'!N60&gt;=Body!$BE$14,'Zdroj data'!N60&lt;=Body!$BG$14),Body!$BE$6,IF(AND('Zdroj data'!N60&gt;=Body!$BH$14,'Zdroj data'!N60&lt;=Body!$BJ$14),Body!$BH$6,IF(AND('Zdroj data'!N60&gt;=Body!$BK$14,'Zdroj data'!N60&lt;=Body!$BM$14),Body!$BK$6,IF(AND('Zdroj data'!N60&gt;=Body!$BN$14,'Zdroj data'!N60&lt;=Body!$BP$14),Body!$BN$6,IF(AND('Zdroj data'!N60&gt;=Body!$BQ$14,'Zdroj data'!N60&lt;=Body!$BS$14),Body!$BQ$6,IF(AND('Zdroj data'!N60&gt;=Body!$BT$14,'Zdroj data'!N60&lt;=Body!$BV$14),Body!$BT$6,IF(AND('Zdroj data'!N60&gt;=Body!$BW$14,'Zdroj data'!N60&lt;=Body!$BY$14),Body!$BW$6,IF('Zdroj data'!N60&gt;=Body!$CB$14,Body!$BZ$6," "))))))))))," "))</f>
        <v>8</v>
      </c>
      <c r="I60" s="264">
        <f>IF(Tabulka1[[#This Row],[kv.ek.]]=Body!$AX$13,IF(AND('Zdroj data'!N60&gt;=Body!$AY$13,'Zdroj data'!N60&lt;=Body!$BA$13),Body!$AY$6,IF(AND('Zdroj data'!N60&gt;=Body!$BB$13,'Zdroj data'!N60&lt;=Body!$BD$13),Body!$BB$6,IF(AND('Zdroj data'!N60&gt;=Body!$BE$13,'Zdroj data'!N60&lt;=Body!$BG$13),Body!$BE$6,IF(AND('Zdroj data'!N60&gt;=Body!$BH$13,'Zdroj data'!N60&lt;=Body!$BJ$13),Body!$BH$6,IF(AND('Zdroj data'!N60&gt;=Body!$BK$13,'Zdroj data'!N60&lt;=Body!$BM$13),Body!$BK$6,IF(AND('Zdroj data'!N60&gt;=Body!$BN$13,'Zdroj data'!N60&lt;=Body!$BP$13),Body!$BN$6,IF(AND('Zdroj data'!N60&gt;=Body!$BQ$13,'Zdroj data'!N60&lt;=Body!$BS$13),Body!$BQ$6,IF(AND('Zdroj data'!N60&gt;=Body!$BT$13,'Zdroj data'!N60&lt;=Body!$BV$13),Body!$BT$6,IF(AND('Zdroj data'!N60&gt;=Body!$BW$13,'Zdroj data'!N60&lt;=Body!$BY$13),Body!$BW$6,IF('Zdroj data'!N60&gt;=Body!$CB$13,Body!$BZ$6," ")))))))))),IF(Tabulka1[[#This Row],[kv.ek.]]=Body!$AX$14,IF(AND('Zdroj data'!O60&gt;=Body!$AY$14,'Zdroj data'!O60&lt;=Body!$BA$14),Body!$AY$6,IF(AND('Zdroj data'!O60&gt;=Body!$BB$14,'Zdroj data'!O60&lt;=Body!$BD$14),Body!$BB$6,IF(AND('Zdroj data'!O60&gt;=Body!$BE$14,'Zdroj data'!O60&lt;=Body!$BG$14),Body!$BE$6,IF(AND('Zdroj data'!O60&gt;=Body!$BH$14,'Zdroj data'!O60&lt;=Body!$BJ$14),Body!$BH$6,IF(AND('Zdroj data'!O60&gt;=Body!$BK$14,'Zdroj data'!O60&lt;=Body!$BM$14),Body!$BK$6,IF(AND('Zdroj data'!O60&gt;=Body!$BN$14,'Zdroj data'!O60&lt;=Body!$BP$14),Body!$BN$6,IF(AND('Zdroj data'!O60&gt;=Body!$BQ$14,'Zdroj data'!O60&lt;=Body!$BS$14),Body!$BQ$6,IF(AND('Zdroj data'!O60&gt;=Body!$BT$14,'Zdroj data'!O60&lt;=Body!$BV$14),Body!$BT$6,IF(AND('Zdroj data'!O60&gt;=Body!$BW$14,'Zdroj data'!O60&lt;=Body!$BY$14),Body!$BW$6,IF('Zdroj data'!O60&gt;=Body!$CB$14,Body!$BZ$6," "))))))))))," "))</f>
        <v>9</v>
      </c>
      <c r="J60" s="264">
        <f t="shared" si="8"/>
        <v>1</v>
      </c>
      <c r="K60" s="264">
        <f t="shared" si="9"/>
        <v>1</v>
      </c>
      <c r="L60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60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60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9</v>
      </c>
      <c r="O60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60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60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60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60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60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60" s="264">
        <f>IF('Zdroj data'!BB60=Body!$AY$25,Body!$AY$22,IF('Zdroj data'!BB60=Body!$BB$25,Body!$BB$22,IF('Zdroj data'!BB60=Body!$BE$25,Body!$BE$22,IF('Zdroj data'!BB60=Body!$BH$25,Body!$BH$22,IF('Zdroj data'!BB60=Body!BK$25,Body!$BK$22,IF('Zdroj data'!BB60=Body!$BN$25,Body!$BN$22,IF('Zdroj data'!BB60=Body!$BQ$25,Body!$BQ$22,IF('Zdroj data'!BB60=Body!$BT$25,Body!$BT$22,IF('Zdroj data'!BB60=Body!$BW$25,Body!$BW$22,IF('Zdroj data'!BB60=Body!$BZ$25,Body!$BZ$22," "))))))))))</f>
        <v>7</v>
      </c>
      <c r="V60" s="264">
        <f>IF(AND('Zdroj data'!BO60&gt;Body!$AY$27,'Zdroj data'!BO60&lt;=Body!$BA$27),Body!$AY$22,IF(AND('Zdroj data'!BO60&gt;=Body!$BB$27,'Zdroj data'!BO60&lt;=Body!$BD$27),Body!$BB$22,IF(AND('Zdroj data'!BO60&gt;=Body!$BE$27,'Zdroj data'!BO60&lt;=Body!$BG$27),Body!$BE$22,IF(AND('Zdroj data'!BO60&gt;=Body!$BH$27,'Zdroj data'!BO60&lt;=Body!$BJ$27),Body!$BH$22,IF(AND('Zdroj data'!BO60&gt;=Body!$BK$27,'Zdroj data'!BO60&lt;=Body!$BM$27),Body!$BK$22,IF(AND('Zdroj data'!BO60&gt;=Body!$BN$27,'Zdroj data'!BO60&lt;=Body!$BP$27),Body!$BN$22,IF(AND('Zdroj data'!BO60&gt;=Body!$BQ$27,'Zdroj data'!BO60&lt;=Body!$BS$27),Body!$BQ$22,IF(AND('Zdroj data'!BO60&gt;=Body!$BT$27,'Zdroj data'!BO60&lt;=Body!$BV$27),Body!$BT$22,IF(AND('Zdroj data'!BO60&gt;=Body!$BW$27,'Zdroj data'!BO60&lt;=Body!$BY$27),Body!$BW$22,IF('Zdroj data'!BO60&gt;=Body!$CB$27,$BZ$22," "))))))))))</f>
        <v>8</v>
      </c>
      <c r="W60" s="264">
        <f>IF(AND('Zdroj data'!BP60&gt;Body!$AY$27,'Zdroj data'!BP60&lt;=Body!$BA$27),Body!$AY$22,IF(AND('Zdroj data'!BP60&gt;=Body!$BB$27,'Zdroj data'!BP60&lt;=Body!$BD$27),Body!$BB$22,IF(AND('Zdroj data'!BP60&gt;=Body!$BE$27,'Zdroj data'!BP60&lt;=Body!$BG$27),Body!$BE$22,IF(AND('Zdroj data'!BP60&gt;=Body!$BH$27,'Zdroj data'!BP60&lt;=Body!$BJ$27),Body!$BH$22,IF(AND('Zdroj data'!BP60&gt;=Body!$BK$27,'Zdroj data'!BP60&lt;=Body!$BM$27),Body!$BK$22,IF(AND('Zdroj data'!BP60&gt;=Body!$BN$27,'Zdroj data'!BP60&lt;=Body!$BP$27),Body!$BN$22,IF(AND('Zdroj data'!BP60&gt;=Body!$BQ$27,'Zdroj data'!BP60&lt;=Body!$BS$27),Body!$BQ$22,IF(AND('Zdroj data'!BP60&gt;=Body!$BT$27,'Zdroj data'!BP60&lt;=Body!$BV$27),Body!$BT$22,IF(AND('Zdroj data'!BP60&gt;=Body!$BW$27,'Zdroj data'!BP60&lt;=Body!$BY$27),Body!$BW$22,IF('Zdroj data'!BP60&gt;=Body!$CB$27,$BZ$22," "))))))))))</f>
        <v>6</v>
      </c>
      <c r="X60" s="264">
        <f>IF('Zdroj data'!BA60=Body!$BB$28,$BB$22,IF('Zdroj data'!BA60=Body!$BE$28,$BE$22,IF(OR('Zdroj data'!BA60=Body!$BK$28,'Zdroj data'!BA60=Body!$BL$28,'Zdroj data'!BA60=Body!$BM$28),$BK$22,IF(OR('Zdroj data'!BA60=Body!$BT$28,'Zdroj data'!BA60=Body!$BV$28),$BT$22,IF(OR('Zdroj data'!BA60=Body!$BW$28,'Zdroj data'!BA60=Body!$BY$28),$BW$22,IF('Zdroj data'!BA60=Body!$BZ$28,$BZ$22," "))))))</f>
        <v>10</v>
      </c>
      <c r="Y60" s="264">
        <f>IF('Zdroj data'!AZ60=Body!$BZ$29,Body!$BZ$22,IF(OR('Zdroj data'!AZ60=$BT$29,'Zdroj data'!AZ60=$BU$29,'Zdroj data'!AZ60=$BV$29),$BT$22,IF(OR('Zdroj data'!AZ60=$BK$29,'Zdroj data'!AZ60=$BM$29),$BK$22,IF(OR('Zdroj data'!AZ60=$BE$29,'Zdroj data'!AZ60=$BG$29),$BE$22,IF(OR('Zdroj data'!AZ60=$AY$29,'Zdroj data'!AZ60=$BA$29),$AY$22," ")))))</f>
        <v>10</v>
      </c>
      <c r="Z60" s="264">
        <f>IF(AND('Zdroj data'!BF60="T",(OR('Zdroj data'!AZ60=Body!$AW$45,'Zdroj data'!AZ60=Body!$AW$46,'Zdroj data'!AZ60=Body!$AW$47,'Zdroj data'!AZ60=Body!$AW$48))),Body!$AY$22,IF(AND('Zdroj data'!BF60="T",(OR('Zdroj data'!AZ60=$AW$49,'Zdroj data'!AZ60=$AW$50,'Zdroj data'!AZ60=$AW$51,'Zdroj data'!AZ60=$AW$52))),$BZ$22,IF(AND(OR('Zdroj data'!BF60="VT",'Zdroj data'!BF60="T",'Zdroj data'!BF60="CH"),(OR('Zdroj data'!AZ60=$AW$43,'Zdroj data'!AZ60=$AW$44,))),$BZ$22,IF(AND('Zdroj data'!BF60="CH",(OR('Zdroj data'!AZ60=$AW$49,'Zdroj data'!AZ60=$AW$50,'Zdroj data'!AZ60=$AW$51,'Zdroj data'!AZ60=$AW$52))),$AY$22,IF(AND('Zdroj data'!BF60="CH",(OR('Zdroj data'!AZ60=$AW$45,'Zdroj data'!AZ60=$AW$46,'Zdroj data'!AZ60=$AW$47,'Zdroj data'!AZ60=$AW$48))),$BZ$22," ")))))</f>
        <v>10</v>
      </c>
      <c r="AA60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60" s="264">
        <f>IF(Tabulka1[[#This Row],[kv.ek.]]=Body!$BK$35,Body!$BK$34,IF(Tabulka1[[#This Row],[kv.ek.]]=Body!$BZ$35,Body!$BZ$34," "))</f>
        <v>5</v>
      </c>
      <c r="AC60" s="264" t="str">
        <f>IF(AND('Zdroj data'!BF60="T",(OR('Zdroj data'!AZ60=Body!$AW$45,'Zdroj data'!AZ60=Body!$AW$46,'Zdroj data'!AZ60=Body!$AW$47,'Zdroj data'!AZ60=Body!$AW$48))),Body!$AY$22,IF(AND('Zdroj data'!BF60="T",(OR('Zdroj data'!AZ60=$AW$49,'Zdroj data'!AZ60=$AW$50,'Zdroj data'!AZ60=$AW$51,'Zdroj data'!AZ60=$AW$52))),$BZ$22," "))</f>
        <v xml:space="preserve"> </v>
      </c>
      <c r="AD60" s="264">
        <f>IF(AND(OR('Zdroj data'!BF60="VT",'Zdroj data'!BF60="T",'Zdroj data'!BF60="CH"),(OR('Zdroj data'!AZ60=$AW$43,'Zdroj data'!AZ60=$AW$44,))),$BZ$22," ")</f>
        <v>10</v>
      </c>
      <c r="AE60" s="264" t="str">
        <f>IF(AND('Zdroj data'!BF60="CH",(OR('Zdroj data'!AZ60=$AW$49,'Zdroj data'!AZ60=$AW$50,'Zdroj data'!AZ60=$AW$51,'Zdroj data'!AZ60=$AW$52))),$AY$22,IF(AND('Zdroj data'!BF60="CH",(OR('Zdroj data'!AZ60=$AW$45,'Zdroj data'!AZ60=$AW$46,'Zdroj data'!AZ60=$AW$47,'Zdroj data'!AZ60=$AW$48))),$BZ$22," "))</f>
        <v xml:space="preserve"> </v>
      </c>
      <c r="AF60" s="264">
        <f>IF(AND('Zdroj data'!BG60="L",'Zdroj data'!AM60=Body!$AX$15),IF(AND('Zdroj data'!O60&gt;=Body!$AY$15,'Zdroj data'!O60&lt;=Body!$BA$15),Body!AY$6,IF(AND('Zdroj data'!O60&gt;=Body!$BB$15,'Zdroj data'!O60&lt;=Body!$BD$15),Body!BB$6,IF(AND('Zdroj data'!O60&gt;=Body!$BE$15,'Zdroj data'!O60&lt;=Body!$BG$15),Body!BE$6,IF(AND('Zdroj data'!O60&gt;=Body!$BH$15,'Zdroj data'!O60&lt;=Body!$BJ$15),Body!BH$6,IF(AND('Zdroj data'!O60&gt;=Body!$BK$15,'Zdroj data'!O60&lt;=Body!$BM$15),Body!BK$6,IF(AND('Zdroj data'!O60&gt;=Body!$BN$15,'Zdroj data'!O60&lt;=Body!$BP$15),Body!$BN$6,IF(AND('Zdroj data'!O60&gt;=Body!$BQ$15,'Zdroj data'!O60&lt;=Body!$BS$15),Body!$BQ$6,IF(AND('Zdroj data'!O60&gt;=Body!$BT$15,'Zdroj data'!O60&lt;=Body!$BV$15),Body!BT$6,IF(AND('Zdroj data'!O60&gt;=Body!$BW$15,'Zdroj data'!O60&lt;=Body!$BY$15),Body!$BW$6,IF('Zdroj data'!O60&gt;=Body!$CB$15,Body!$BZ$6," ")))))))))),IF(AND('Zdroj data'!BG60="ST",'Zdroj data'!AM60=Body!$AX$16),IF(AND('Zdroj data'!O60&gt;=Body!$AY$16,'Zdroj data'!O60&lt;=Body!$BA$16),Body!$AY$6,IF(AND('Zdroj data'!O60&gt;=Body!$BB$16,'Zdroj data'!O60&lt;=Body!$BD$16),Body!$BB$6,IF(AND('Zdroj data'!O60&gt;=Body!$BE$16,'Zdroj data'!O60&lt;=Body!$BG$16),Body!$BE$6,IF(AND('Zdroj data'!O60&gt;=Body!$BH$16,'Zdroj data'!O60&lt;=Body!$BJ$16),Body!$BH$6,IF(AND('Zdroj data'!O60&gt;=Body!$BK$16,'Zdroj data'!O60&lt;=Body!$BM$16),Body!$BK$6,IF(AND('Zdroj data'!O60&gt;=Body!$BN$16,'Zdroj data'!O60&lt;=Body!$BP$16),Body!$BN$6,IF(AND('Zdroj data'!O60&gt;=Body!$BQ$16,'Zdroj data'!O60&lt;=Body!$BS$16),Body!$BQ$6,IF(AND('Zdroj data'!O60&gt;=Body!$BT$16,'Zdroj data'!O60&lt;=Body!$BV$16),Body!$BT$6,IF(AND('Zdroj data'!O60&gt;=Body!$BW$16,'Zdroj data'!O60&lt;=Body!$BY$16),Body!$BW$6,IF('Zdroj data'!O60&gt;=Body!$CB$16,Body!$BZ$6," ")))))))))),IF(AND('Zdroj data'!BG60="T",'Zdroj data'!AM60=Body!$AX$17),IF(AND('Zdroj data'!O60&gt;=Body!$AY$17,'Zdroj data'!O60&lt;=Body!$BA$17),Body!$AY$6,IF(AND('Zdroj data'!O60&gt;=Body!$BB$17,'Zdroj data'!O60&lt;=Body!$BD$17),Body!$BB$6,IF(AND('Zdroj data'!O60&gt;=Body!$BE$17,'Zdroj data'!O60&lt;=Body!$BG$17),Body!$BE$6,IF(AND('Zdroj data'!O60&gt;=Body!$BH$17,'Zdroj data'!O60&lt;=Body!#REF!),Body!$BH$6,IF(AND('Zdroj data'!O60&gt;=Body!$BK$17,'Zdroj data'!O60&lt;=Body!$BM$17),Body!$BK$6,IF(AND('Zdroj data'!O60&gt;=Body!$BN$17,'Zdroj data'!O60&lt;=Body!$BP$17),Body!$BN$6,IF(AND('Zdroj data'!O60&gt;=Body!$BQ$17,'Zdroj data'!O60&lt;=Body!$BS$17),Body!$BQ$6,IF(AND('Zdroj data'!O60&gt;=Body!$BT$17,'Zdroj data'!O60&lt;=Body!$BV$17),Body!$BT$6,IF(AND('Zdroj data'!O60&gt;=Body!$BW$17,'Zdroj data'!O60&lt;=Body!$BY$17),Body!$BW$6,IF('Zdroj data'!O60&gt;=Body!$CB$17,Body!$BZ$6," "))))))))))," ")))</f>
        <v>1</v>
      </c>
      <c r="AG60" s="264">
        <f>IF(AND('Zdroj data'!$BG60="L",'Zdroj data'!$AM60=Body!$AX$15),IF(AND(Tabulka1[[#This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data'!$BG60="ST",'Zdroj data'!$AM60=Body!$AX$16),IF(AND(Tabulka1[[#This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data'!$BG60="T",'Zdroj data'!$AM60=Body!$AX$17),IF(AND(Tabulka1[[#This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60" s="264" t="str">
        <f>IF(AND('Zdroj data'!BG60="L",'Zdroj data'!AM60=Body!$AX$18),IF(AND('Zdroj data'!O60&gt;=Body!$AY$18,'Zdroj data'!O60&lt;=Body!$BA$18),Body!AY$6,IF(AND('Zdroj data'!O60&gt;=Body!$BB$18,'Zdroj data'!O60&lt;=Body!$BD$18),Body!BB$6,IF(AND('Zdroj data'!O60&gt;=Body!$BE$18,'Zdroj data'!O60&lt;=Body!$BG$18),Body!BE$6,IF(AND('Zdroj data'!O60&gt;=Body!$BH$18,'Zdroj data'!O60&lt;=Body!$BJ$18),Body!BH$6,IF(AND('Zdroj data'!O60&gt;=Body!$BK$18,'Zdroj data'!O60&lt;=Body!$BM$18),Body!$BK$6,IF(AND('Zdroj data'!O60&gt;=Body!$BN$18,'Zdroj data'!O60&lt;=Body!$BP$18),Body!BN$6,IF(AND('Zdroj data'!O60&gt;=Body!$BQ$18,'Zdroj data'!O60&lt;=Body!$BS$18),Body!$BQ$6,IF(AND('Zdroj data'!O60&gt;=Body!$BT$18,'Zdroj data'!O60&lt;=Body!$BV$18),Body!$BT$6,IF(AND('Zdroj data'!O60&gt;=Body!$BW$18,'Zdroj data'!O60&lt;=Body!$BY$18),Body!$BW$6,IF('Zdroj data'!O60&gt;=Body!$CB$18,Body!$BZ$6," ")))))))))),IF(AND('Zdroj data'!BG60="ST",'Zdroj data'!AM60=Body!$AX$19),IF(AND('Zdroj data'!O60&gt;=Body!$AY$19,'Zdroj data'!O60&lt;=Body!$BA$19),Body!$AY$6,IF(AND('Zdroj data'!O60&gt;=Body!$BB$19,'Zdroj data'!O60&lt;=Body!$BD$19),Body!$BB$6,IF(AND('Zdroj data'!O60&gt;=Body!$BE$19,'Zdroj data'!O60&lt;=Body!$BG$19),Body!$BE$6,IF(AND('Zdroj data'!O60&gt;=Body!$BH$19,'Zdroj data'!O60&lt;=Body!$BJ$19),Body!$BH$6,IF(AND('Zdroj data'!O60&gt;=Body!$BK$19,'Zdroj data'!O60&lt;=Body!$BM$19),Body!$BK$6,IF(AND('Zdroj data'!O60&gt;=Body!$BN$19,'Zdroj data'!O60&lt;=Body!$BP$19),Body!$BN$6,IF(AND('Zdroj data'!O60&gt;=Body!$BQ$19,'Zdroj data'!O60&lt;=Body!$BS$19),Body!$BQ$6,IF(AND('Zdroj data'!O60&gt;=Body!$BT$19,'Zdroj data'!O64&lt;=Body!$BV$19),Body!$BT$6,IF(AND('Zdroj data'!O60&gt;=Body!$BW$19,'Zdroj data'!O60&lt;=Body!$BY$19),Body!$BW$6,IF('Zdroj data'!O60&gt;=Body!$CB$19,Body!$BZ$6," ")))))))))),IF(AND('Zdroj data'!BG60="T",'Zdroj data'!AM60=Body!$AX$20),IF(AND('Zdroj data'!O60&gt;=Body!$AY$20,'Zdroj data'!O60&lt;=Body!$BA$20),Body!$AY$6,IF(AND('Zdroj data'!O60&gt;=Body!$BB$20,'Zdroj data'!O60&lt;=Body!$BD$20),Body!$BB$6,IF(AND('Zdroj data'!O60&gt;=Body!$BE$20,'Zdroj data'!O60&lt;=Body!$BG$20),Body!$BE$6,IF(AND('Zdroj data'!O60&gt;=Body!$BH$20,'Zdroj data'!O60&lt;=Body!$BJ$20),Body!$BH$6,IF(AND('Zdroj data'!O60&gt;=Body!$BK$20,'Zdroj data'!O60&lt;=Body!$BM$20),Body!$BK$6,IF(AND('Zdroj data'!O60&gt;=Body!$BN$20,'Zdroj data'!O60&lt;=Body!$BP$20),Body!$BN$6,IF(AND('Zdroj data'!O60&gt;=Body!$BQ$20,'Zdroj data'!O60&lt;=Body!$BS$20),Body!$BQ$6,IF(AND('Zdroj data'!O60&gt;=Body!$BT$20,'Zdroj data'!O60&lt;=Body!#REF!),Body!$BT$6,IF(AND('Zdroj data'!O60&gt;=Body!$BW$20,'Zdroj data'!O60&lt;=Body!$BY$20),Body!$BW$6,IF('Zdroj data'!O60&gt;=Body!$CB$20,Body!$BZ$6," "))))))))))," ")))</f>
        <v xml:space="preserve"> </v>
      </c>
      <c r="AI60" s="264" t="str">
        <f>IF(AND('Zdroj data'!$BG60="L",'Zdroj data'!$AM60=Body!$AX$18),IF(AND(Tabulka1[[#This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data'!$BG60="ST",'Zdroj data'!$AM60=Body!$AX$19),IF(AND(Tabulka1[[#This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data'!$BG60="T",'Zdroj data'!$AM60=Body!$AX$20),IF(AND(Tabulka1[[#This Row],[K2O_60]]&gt;=Body!$AY$20,'Zdroj data'!O60&lt;=Body!$BA$20),Body!$AY$6,IF(AND(Tabulka1[[#This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60" s="265">
        <f t="shared" si="10"/>
        <v>8.0000000000000071</v>
      </c>
      <c r="AK60" s="264">
        <f t="shared" si="3"/>
        <v>29.39608331593562</v>
      </c>
      <c r="AL60" s="264">
        <f t="shared" si="4"/>
        <v>27.147717251016072</v>
      </c>
      <c r="AM60" s="264">
        <f t="shared" si="5"/>
        <v>74.037202222471763</v>
      </c>
      <c r="AN60" s="264">
        <f t="shared" si="6"/>
        <v>78.775263722219762</v>
      </c>
      <c r="AO60" s="265">
        <f t="shared" si="11"/>
        <v>103.43328553840738</v>
      </c>
      <c r="AP60" s="265">
        <f t="shared" si="12"/>
        <v>105.92298097323584</v>
      </c>
      <c r="AQ60" s="318"/>
      <c r="AR60" s="338">
        <f t="shared" si="7"/>
        <v>217.35626651164321</v>
      </c>
      <c r="AS60" s="318"/>
      <c r="AT60" s="138"/>
      <c r="AU60" s="138"/>
    </row>
    <row r="61" spans="1:81" ht="15.5" x14ac:dyDescent="0.35">
      <c r="A61" s="270">
        <v>2587</v>
      </c>
      <c r="B61" s="156" t="s">
        <v>584</v>
      </c>
      <c r="C61" s="250" t="str">
        <f>VLOOKUP(B61,'Zdroj hloubka okresy'!$A$2:$D$171,2,FALSE)</f>
        <v>Mlada Boleslav</v>
      </c>
      <c r="D61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61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61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61" s="264">
        <f>IF(AND(Tabulka1[[#This Row],[hum_60]]&gt;AY67,Tabulka1[[#This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61" s="264">
        <f>IF(Tabulka1[[#This Row],[kv.ek.]]=Body!$AX$13,IF(AND('Zdroj data'!M61&gt;=Body!$AY$13,'Zdroj data'!M61&lt;=Body!$BA$13),Body!$AY$6,IF(AND('Zdroj data'!M61&gt;=Body!$BB$13,'Zdroj data'!M61&lt;=Body!$BD$13),Body!$BB$6,IF(AND('Zdroj data'!M61&gt;=Body!$BE$13,'Zdroj data'!M61&lt;=Body!$BG$13),Body!$BE$6,IF(AND('Zdroj data'!M61&gt;=Body!$BH$13,'Zdroj data'!M61&lt;=Body!$BJ$13),Body!$BH$6,IF(AND('Zdroj data'!M61&gt;=Body!$BK$13,'Zdroj data'!M61&lt;=Body!$BM$13),Body!$BK$6,IF(AND('Zdroj data'!M61&gt;=Body!$BN$13,'Zdroj data'!M61&lt;=Body!$BP$13),Body!$BN$6,IF(AND('Zdroj data'!M61&gt;=Body!$BQ$13,'Zdroj data'!M61&lt;=Body!$BS$13),Body!$BQ$6,IF(AND('Zdroj data'!M61&gt;=Body!$BT$13,'Zdroj data'!M61&lt;=Body!$BV$13),Body!$BT$6,IF(AND('Zdroj data'!M61&gt;=Body!$BW$13,'Zdroj data'!M61&lt;=Body!$BY$13),Body!$BW$6,IF('Zdroj data'!M61&gt;=Body!$CB$13,Body!$BZ$6," ")))))))))),IF(Tabulka1[[#This Row],[kv.ek.]]=Body!$AX$14,IF(AND('Zdroj data'!N61&gt;=Body!$AY$14,'Zdroj data'!N61&lt;=Body!$BA$14),Body!$AY$6,IF(AND('Zdroj data'!N61&gt;=Body!$BB$14,'Zdroj data'!N61&lt;=Body!$BD$14),Body!$BB$6,IF(AND('Zdroj data'!N61&gt;=Body!$BE$14,'Zdroj data'!N61&lt;=Body!$BG$14),Body!$BE$6,IF(AND('Zdroj data'!N61&gt;=Body!$BH$14,'Zdroj data'!N61&lt;=Body!$BJ$14),Body!$BH$6,IF(AND('Zdroj data'!N61&gt;=Body!$BK$14,'Zdroj data'!N61&lt;=Body!$BM$14),Body!$BK$6,IF(AND('Zdroj data'!N61&gt;=Body!$BN$14,'Zdroj data'!N61&lt;=Body!$BP$14),Body!$BN$6,IF(AND('Zdroj data'!N61&gt;=Body!$BQ$14,'Zdroj data'!N61&lt;=Body!$BS$14),Body!$BQ$6,IF(AND('Zdroj data'!N61&gt;=Body!$BT$14,'Zdroj data'!N61&lt;=Body!$BV$14),Body!$BT$6,IF(AND('Zdroj data'!N61&gt;=Body!$BW$14,'Zdroj data'!N61&lt;=Body!$BY$14),Body!$BW$6,IF('Zdroj data'!N61&gt;=Body!$CB$14,Body!$BZ$6," "))))))))))," "))</f>
        <v>6</v>
      </c>
      <c r="I61" s="264">
        <f>IF(Tabulka1[[#This Row],[kv.ek.]]=Body!$AX$13,IF(AND('Zdroj data'!N61&gt;=Body!$AY$13,'Zdroj data'!N61&lt;=Body!$BA$13),Body!$AY$6,IF(AND('Zdroj data'!N61&gt;=Body!$BB$13,'Zdroj data'!N61&lt;=Body!$BD$13),Body!$BB$6,IF(AND('Zdroj data'!N61&gt;=Body!$BE$13,'Zdroj data'!N61&lt;=Body!$BG$13),Body!$BE$6,IF(AND('Zdroj data'!N61&gt;=Body!$BH$13,'Zdroj data'!N61&lt;=Body!$BJ$13),Body!$BH$6,IF(AND('Zdroj data'!N61&gt;=Body!$BK$13,'Zdroj data'!N61&lt;=Body!$BM$13),Body!$BK$6,IF(AND('Zdroj data'!N61&gt;=Body!$BN$13,'Zdroj data'!N61&lt;=Body!$BP$13),Body!$BN$6,IF(AND('Zdroj data'!N61&gt;=Body!$BQ$13,'Zdroj data'!N61&lt;=Body!$BS$13),Body!$BQ$6,IF(AND('Zdroj data'!N61&gt;=Body!$BT$13,'Zdroj data'!N61&lt;=Body!$BV$13),Body!$BT$6,IF(AND('Zdroj data'!N61&gt;=Body!$BW$13,'Zdroj data'!N61&lt;=Body!$BY$13),Body!$BW$6,IF('Zdroj data'!N61&gt;=Body!$CB$13,Body!$BZ$6," ")))))))))),IF(Tabulka1[[#This Row],[kv.ek.]]=Body!$AX$14,IF(AND('Zdroj data'!O61&gt;=Body!$AY$14,'Zdroj data'!O61&lt;=Body!$BA$14),Body!$AY$6,IF(AND('Zdroj data'!O61&gt;=Body!$BB$14,'Zdroj data'!O61&lt;=Body!$BD$14),Body!$BB$6,IF(AND('Zdroj data'!O61&gt;=Body!$BE$14,'Zdroj data'!O61&lt;=Body!$BG$14),Body!$BE$6,IF(AND('Zdroj data'!O61&gt;=Body!$BH$14,'Zdroj data'!O61&lt;=Body!$BJ$14),Body!$BH$6,IF(AND('Zdroj data'!O61&gt;=Body!$BK$14,'Zdroj data'!O61&lt;=Body!$BM$14),Body!$BK$6,IF(AND('Zdroj data'!O61&gt;=Body!$BN$14,'Zdroj data'!O61&lt;=Body!$BP$14),Body!$BN$6,IF(AND('Zdroj data'!O61&gt;=Body!$BQ$14,'Zdroj data'!O61&lt;=Body!$BS$14),Body!$BQ$6,IF(AND('Zdroj data'!O61&gt;=Body!$BT$14,'Zdroj data'!O61&lt;=Body!$BV$14),Body!$BT$6,IF(AND('Zdroj data'!O61&gt;=Body!$BW$14,'Zdroj data'!O61&lt;=Body!$BY$14),Body!$BW$6,IF('Zdroj data'!O61&gt;=Body!$CB$14,Body!$BZ$6," "))))))))))," "))</f>
        <v>4</v>
      </c>
      <c r="J61" s="264">
        <f t="shared" si="8"/>
        <v>2</v>
      </c>
      <c r="K61" s="264">
        <f t="shared" si="9"/>
        <v>1</v>
      </c>
      <c r="L61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61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2</v>
      </c>
      <c r="N61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61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61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61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61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61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61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61" s="264">
        <f>IF('Zdroj data'!BB61=Body!$AY$25,Body!$AY$22,IF('Zdroj data'!BB61=Body!$BB$25,Body!$BB$22,IF('Zdroj data'!BB61=Body!$BE$25,Body!$BE$22,IF('Zdroj data'!BB61=Body!$BH$25,Body!$BH$22,IF('Zdroj data'!BB61=Body!BK$25,Body!$BK$22,IF('Zdroj data'!BB61=Body!$BN$25,Body!$BN$22,IF('Zdroj data'!BB61=Body!$BQ$25,Body!$BQ$22,IF('Zdroj data'!BB61=Body!$BT$25,Body!$BT$22,IF('Zdroj data'!BB61=Body!$BW$25,Body!$BW$22,IF('Zdroj data'!BB61=Body!$BZ$25,Body!$BZ$22," "))))))))))</f>
        <v>7</v>
      </c>
      <c r="V61" s="264">
        <f>IF(AND('Zdroj data'!BO61&gt;Body!$AY$27,'Zdroj data'!BO61&lt;=Body!$BA$27),Body!$AY$22,IF(AND('Zdroj data'!BO61&gt;=Body!$BB$27,'Zdroj data'!BO61&lt;=Body!$BD$27),Body!$BB$22,IF(AND('Zdroj data'!BO61&gt;=Body!$BE$27,'Zdroj data'!BO61&lt;=Body!$BG$27),Body!$BE$22,IF(AND('Zdroj data'!BO61&gt;=Body!$BH$27,'Zdroj data'!BO61&lt;=Body!$BJ$27),Body!$BH$22,IF(AND('Zdroj data'!BO61&gt;=Body!$BK$27,'Zdroj data'!BO61&lt;=Body!$BM$27),Body!$BK$22,IF(AND('Zdroj data'!BO61&gt;=Body!$BN$27,'Zdroj data'!BO61&lt;=Body!$BP$27),Body!$BN$22,IF(AND('Zdroj data'!BO61&gt;=Body!$BQ$27,'Zdroj data'!BO61&lt;=Body!$BS$27),Body!$BQ$22,IF(AND('Zdroj data'!BO61&gt;=Body!$BT$27,'Zdroj data'!BO61&lt;=Body!$BV$27),Body!$BT$22,IF(AND('Zdroj data'!BO61&gt;=Body!$BW$27,'Zdroj data'!BO61&lt;=Body!$BY$27),Body!$BW$22,IF('Zdroj data'!BO61&gt;=Body!$CB$27,$BZ$22," "))))))))))</f>
        <v>6</v>
      </c>
      <c r="W61" s="264">
        <f>IF(AND('Zdroj data'!BP61&gt;Body!$AY$27,'Zdroj data'!BP61&lt;=Body!$BA$27),Body!$AY$22,IF(AND('Zdroj data'!BP61&gt;=Body!$BB$27,'Zdroj data'!BP61&lt;=Body!$BD$27),Body!$BB$22,IF(AND('Zdroj data'!BP61&gt;=Body!$BE$27,'Zdroj data'!BP61&lt;=Body!$BG$27),Body!$BE$22,IF(AND('Zdroj data'!BP61&gt;=Body!$BH$27,'Zdroj data'!BP61&lt;=Body!$BJ$27),Body!$BH$22,IF(AND('Zdroj data'!BP61&gt;=Body!$BK$27,'Zdroj data'!BP61&lt;=Body!$BM$27),Body!$BK$22,IF(AND('Zdroj data'!BP61&gt;=Body!$BN$27,'Zdroj data'!BP61&lt;=Body!$BP$27),Body!$BN$22,IF(AND('Zdroj data'!BP61&gt;=Body!$BQ$27,'Zdroj data'!BP61&lt;=Body!$BS$27),Body!$BQ$22,IF(AND('Zdroj data'!BP61&gt;=Body!$BT$27,'Zdroj data'!BP61&lt;=Body!$BV$27),Body!$BT$22,IF(AND('Zdroj data'!BP61&gt;=Body!$BW$27,'Zdroj data'!BP61&lt;=Body!$BY$27),Body!$BW$22,IF('Zdroj data'!BP61&gt;=Body!$CB$27,$BZ$22," "))))))))))</f>
        <v>7</v>
      </c>
      <c r="X61" s="264">
        <f>IF('Zdroj data'!BA61=Body!$BB$28,$BB$22,IF('Zdroj data'!BA61=Body!$BE$28,$BE$22,IF(OR('Zdroj data'!BA61=Body!$BK$28,'Zdroj data'!BA61=Body!$BL$28,'Zdroj data'!BA61=Body!$BM$28),$BK$22,IF(OR('Zdroj data'!BA61=Body!$BT$28,'Zdroj data'!BA61=Body!$BV$28),$BT$22,IF(OR('Zdroj data'!BA61=Body!$BW$28,'Zdroj data'!BA61=Body!$BY$28),$BW$22,IF('Zdroj data'!BA61=Body!$BZ$28,$BZ$22," "))))))</f>
        <v>10</v>
      </c>
      <c r="Y61" s="264">
        <f>IF('Zdroj data'!AZ61=Body!$BZ$29,Body!$BZ$22,IF(OR('Zdroj data'!AZ61=$BT$29,'Zdroj data'!AZ61=$BU$29,'Zdroj data'!AZ61=$BV$29),$BT$22,IF(OR('Zdroj data'!AZ61=$BK$29,'Zdroj data'!AZ61=$BM$29),$BK$22,IF(OR('Zdroj data'!AZ61=$BE$29,'Zdroj data'!AZ61=$BG$29),$BE$22,IF(OR('Zdroj data'!AZ61=$AY$29,'Zdroj data'!AZ61=$BA$29),$AY$22," ")))))</f>
        <v>10</v>
      </c>
      <c r="Z61" s="264">
        <f>IF(AND('Zdroj data'!BF61="T",(OR('Zdroj data'!AZ61=Body!$AW$45,'Zdroj data'!AZ61=Body!$AW$46,'Zdroj data'!AZ61=Body!$AW$47,'Zdroj data'!AZ61=Body!$AW$48))),Body!$AY$22,IF(AND('Zdroj data'!BF61="T",(OR('Zdroj data'!AZ61=$AW$49,'Zdroj data'!AZ61=$AW$50,'Zdroj data'!AZ61=$AW$51,'Zdroj data'!AZ61=$AW$52))),$BZ$22,IF(AND(OR('Zdroj data'!BF61="VT",'Zdroj data'!BF61="T",'Zdroj data'!BF61="CH"),(OR('Zdroj data'!AZ61=$AW$43,'Zdroj data'!AZ61=$AW$44,))),$BZ$22,IF(AND('Zdroj data'!BF61="CH",(OR('Zdroj data'!AZ61=$AW$49,'Zdroj data'!AZ61=$AW$50,'Zdroj data'!AZ61=$AW$51,'Zdroj data'!AZ61=$AW$52))),$AY$22,IF(AND('Zdroj data'!BF61="CH",(OR('Zdroj data'!AZ61=$AW$45,'Zdroj data'!AZ61=$AW$46,'Zdroj data'!AZ61=$AW$47,'Zdroj data'!AZ61=$AW$48))),$BZ$22," ")))))</f>
        <v>10</v>
      </c>
      <c r="AA61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61" s="264">
        <f>IF(Tabulka1[[#This Row],[kv.ek.]]=Body!$BK$35,Body!$BK$34,IF(Tabulka1[[#This Row],[kv.ek.]]=Body!$BZ$35,Body!$BZ$34," "))</f>
        <v>5</v>
      </c>
      <c r="AC61" s="264" t="str">
        <f>IF(AND('Zdroj data'!BF61="T",(OR('Zdroj data'!AZ61=Body!$AW$45,'Zdroj data'!AZ61=Body!$AW$46,'Zdroj data'!AZ61=Body!$AW$47,'Zdroj data'!AZ61=Body!$AW$48))),Body!$AY$22,IF(AND('Zdroj data'!BF61="T",(OR('Zdroj data'!AZ61=$AW$49,'Zdroj data'!AZ61=$AW$50,'Zdroj data'!AZ61=$AW$51,'Zdroj data'!AZ61=$AW$52))),$BZ$22," "))</f>
        <v xml:space="preserve"> </v>
      </c>
      <c r="AD61" s="264">
        <f>IF(AND(OR('Zdroj data'!BF61="VT",'Zdroj data'!BF61="T",'Zdroj data'!BF61="CH"),(OR('Zdroj data'!AZ61=$AW$43,'Zdroj data'!AZ61=$AW$44,))),$BZ$22," ")</f>
        <v>10</v>
      </c>
      <c r="AE61" s="264" t="str">
        <f>IF(AND('Zdroj data'!BF61="CH",(OR('Zdroj data'!AZ61=$AW$49,'Zdroj data'!AZ61=$AW$50,'Zdroj data'!AZ61=$AW$51,'Zdroj data'!AZ61=$AW$52))),$AY$22,IF(AND('Zdroj data'!BF61="CH",(OR('Zdroj data'!AZ61=$AW$45,'Zdroj data'!AZ61=$AW$46,'Zdroj data'!AZ61=$AW$47,'Zdroj data'!AZ61=$AW$48))),$BZ$22," "))</f>
        <v xml:space="preserve"> </v>
      </c>
      <c r="AF61" s="264">
        <f>IF(AND('Zdroj data'!BG61="L",'Zdroj data'!AM61=Body!$AX$15),IF(AND('Zdroj data'!O61&gt;=Body!$AY$15,'Zdroj data'!O61&lt;=Body!$BA$15),Body!AY$6,IF(AND('Zdroj data'!O61&gt;=Body!$BB$15,'Zdroj data'!O61&lt;=Body!$BD$15),Body!BB$6,IF(AND('Zdroj data'!O61&gt;=Body!$BE$15,'Zdroj data'!O61&lt;=Body!$BG$15),Body!BE$6,IF(AND('Zdroj data'!O61&gt;=Body!$BH$15,'Zdroj data'!O61&lt;=Body!$BJ$15),Body!BH$6,IF(AND('Zdroj data'!O61&gt;=Body!$BK$15,'Zdroj data'!O61&lt;=Body!$BM$15),Body!BK$6,IF(AND('Zdroj data'!O61&gt;=Body!$BN$15,'Zdroj data'!O61&lt;=Body!$BP$15),Body!$BN$6,IF(AND('Zdroj data'!O61&gt;=Body!$BQ$15,'Zdroj data'!O61&lt;=Body!$BS$15),Body!$BQ$6,IF(AND('Zdroj data'!O61&gt;=Body!$BT$15,'Zdroj data'!O61&lt;=Body!$BV$15),Body!BT$6,IF(AND('Zdroj data'!O61&gt;=Body!$BW$15,'Zdroj data'!O61&lt;=Body!$BY$15),Body!$BW$6,IF('Zdroj data'!O61&gt;=Body!$CB$15,Body!$BZ$6," ")))))))))),IF(AND('Zdroj data'!BG61="ST",'Zdroj data'!AM61=Body!$AX$16),IF(AND('Zdroj data'!O61&gt;=Body!$AY$16,'Zdroj data'!O61&lt;=Body!$BA$16),Body!$AY$6,IF(AND('Zdroj data'!O61&gt;=Body!$BB$16,'Zdroj data'!O61&lt;=Body!$BD$16),Body!$BB$6,IF(AND('Zdroj data'!O61&gt;=Body!$BE$16,'Zdroj data'!O61&lt;=Body!$BG$16),Body!$BE$6,IF(AND('Zdroj data'!O61&gt;=Body!$BH$16,'Zdroj data'!O61&lt;=Body!$BJ$16),Body!$BH$6,IF(AND('Zdroj data'!O61&gt;=Body!$BK$16,'Zdroj data'!O61&lt;=Body!$BM$16),Body!$BK$6,IF(AND('Zdroj data'!O61&gt;=Body!$BN$16,'Zdroj data'!O61&lt;=Body!$BP$16),Body!$BN$6,IF(AND('Zdroj data'!O61&gt;=Body!$BQ$16,'Zdroj data'!O61&lt;=Body!$BS$16),Body!$BQ$6,IF(AND('Zdroj data'!O61&gt;=Body!$BT$16,'Zdroj data'!O61&lt;=Body!$BV$16),Body!$BT$6,IF(AND('Zdroj data'!O61&gt;=Body!$BW$16,'Zdroj data'!O61&lt;=Body!$BY$16),Body!$BW$6,IF('Zdroj data'!O61&gt;=Body!$CB$16,Body!$BZ$6," ")))))))))),IF(AND('Zdroj data'!BG61="T",'Zdroj data'!AM61=Body!$AX$17),IF(AND('Zdroj data'!O61&gt;=Body!$AY$17,'Zdroj data'!O61&lt;=Body!$BA$17),Body!$AY$6,IF(AND('Zdroj data'!O61&gt;=Body!$BB$17,'Zdroj data'!O61&lt;=Body!$BD$17),Body!$BB$6,IF(AND('Zdroj data'!O61&gt;=Body!$BE$17,'Zdroj data'!O61&lt;=Body!$BG$17),Body!$BE$6,IF(AND('Zdroj data'!O61&gt;=Body!$BH$17,'Zdroj data'!O61&lt;=Body!#REF!),Body!$BH$6,IF(AND('Zdroj data'!O61&gt;=Body!$BK$17,'Zdroj data'!O61&lt;=Body!$BM$17),Body!$BK$6,IF(AND('Zdroj data'!O61&gt;=Body!$BN$17,'Zdroj data'!O61&lt;=Body!$BP$17),Body!$BN$6,IF(AND('Zdroj data'!O61&gt;=Body!$BQ$17,'Zdroj data'!O61&lt;=Body!$BS$17),Body!$BQ$6,IF(AND('Zdroj data'!O61&gt;=Body!$BT$17,'Zdroj data'!O61&lt;=Body!$BV$17),Body!$BT$6,IF(AND('Zdroj data'!O61&gt;=Body!$BW$17,'Zdroj data'!O61&lt;=Body!$BY$17),Body!$BW$6,IF('Zdroj data'!O61&gt;=Body!$CB$17,Body!$BZ$6," "))))))))))," ")))</f>
        <v>2</v>
      </c>
      <c r="AG61" s="264">
        <f>IF(AND('Zdroj data'!$BG61="L",'Zdroj data'!$AM61=Body!$AX$15),IF(AND(Tabulka1[[#This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data'!$BG61="ST",'Zdroj data'!$AM61=Body!$AX$16),IF(AND(Tabulka1[[#This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data'!$BG61="T",'Zdroj data'!$AM61=Body!$AX$17),IF(AND(Tabulka1[[#This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61" s="264" t="str">
        <f>IF(AND('Zdroj data'!BG61="L",'Zdroj data'!AM61=Body!$AX$18),IF(AND('Zdroj data'!O61&gt;=Body!$AY$18,'Zdroj data'!O61&lt;=Body!$BA$18),Body!AY$6,IF(AND('Zdroj data'!O61&gt;=Body!$BB$18,'Zdroj data'!O61&lt;=Body!$BD$18),Body!BB$6,IF(AND('Zdroj data'!O61&gt;=Body!$BE$18,'Zdroj data'!O61&lt;=Body!$BG$18),Body!BE$6,IF(AND('Zdroj data'!O61&gt;=Body!$BH$18,'Zdroj data'!O61&lt;=Body!$BJ$18),Body!BH$6,IF(AND('Zdroj data'!O61&gt;=Body!$BK$18,'Zdroj data'!O61&lt;=Body!$BM$18),Body!$BK$6,IF(AND('Zdroj data'!O61&gt;=Body!$BN$18,'Zdroj data'!O61&lt;=Body!$BP$18),Body!BN$6,IF(AND('Zdroj data'!O61&gt;=Body!$BQ$18,'Zdroj data'!O61&lt;=Body!$BS$18),Body!$BQ$6,IF(AND('Zdroj data'!O61&gt;=Body!$BT$18,'Zdroj data'!O61&lt;=Body!$BV$18),Body!$BT$6,IF(AND('Zdroj data'!O61&gt;=Body!$BW$18,'Zdroj data'!O61&lt;=Body!$BY$18),Body!$BW$6,IF('Zdroj data'!O61&gt;=Body!$CB$18,Body!$BZ$6," ")))))))))),IF(AND('Zdroj data'!BG61="ST",'Zdroj data'!AM61=Body!$AX$19),IF(AND('Zdroj data'!O61&gt;=Body!$AY$19,'Zdroj data'!O61&lt;=Body!$BA$19),Body!$AY$6,IF(AND('Zdroj data'!O61&gt;=Body!$BB$19,'Zdroj data'!O61&lt;=Body!$BD$19),Body!$BB$6,IF(AND('Zdroj data'!O61&gt;=Body!$BE$19,'Zdroj data'!O61&lt;=Body!$BG$19),Body!$BE$6,IF(AND('Zdroj data'!O61&gt;=Body!$BH$19,'Zdroj data'!O61&lt;=Body!$BJ$19),Body!$BH$6,IF(AND('Zdroj data'!O61&gt;=Body!$BK$19,'Zdroj data'!O61&lt;=Body!$BM$19),Body!$BK$6,IF(AND('Zdroj data'!O61&gt;=Body!$BN$19,'Zdroj data'!O61&lt;=Body!$BP$19),Body!$BN$6,IF(AND('Zdroj data'!O61&gt;=Body!$BQ$19,'Zdroj data'!O61&lt;=Body!$BS$19),Body!$BQ$6,IF(AND('Zdroj data'!O61&gt;=Body!$BT$19,'Zdroj data'!O65&lt;=Body!$BV$19),Body!$BT$6,IF(AND('Zdroj data'!O61&gt;=Body!$BW$19,'Zdroj data'!O61&lt;=Body!$BY$19),Body!$BW$6,IF('Zdroj data'!O61&gt;=Body!$CB$19,Body!$BZ$6," ")))))))))),IF(AND('Zdroj data'!BG61="T",'Zdroj data'!AM61=Body!$AX$20),IF(AND('Zdroj data'!O61&gt;=Body!$AY$20,'Zdroj data'!O61&lt;=Body!$BA$20),Body!$AY$6,IF(AND('Zdroj data'!O61&gt;=Body!$BB$20,'Zdroj data'!O61&lt;=Body!$BD$20),Body!$BB$6,IF(AND('Zdroj data'!O61&gt;=Body!$BE$20,'Zdroj data'!O61&lt;=Body!$BG$20),Body!$BE$6,IF(AND('Zdroj data'!O61&gt;=Body!$BH$20,'Zdroj data'!O61&lt;=Body!$BJ$20),Body!$BH$6,IF(AND('Zdroj data'!O61&gt;=Body!$BK$20,'Zdroj data'!O61&lt;=Body!$BM$20),Body!$BK$6,IF(AND('Zdroj data'!O61&gt;=Body!$BN$20,'Zdroj data'!O61&lt;=Body!$BP$20),Body!$BN$6,IF(AND('Zdroj data'!O61&gt;=Body!$BQ$20,'Zdroj data'!O61&lt;=Body!$BS$20),Body!$BQ$6,IF(AND('Zdroj data'!O61&gt;=Body!$BT$20,'Zdroj data'!O61&lt;=Body!#REF!),Body!$BT$6,IF(AND('Zdroj data'!O61&gt;=Body!$BW$20,'Zdroj data'!O61&lt;=Body!$BY$20),Body!$BW$6,IF('Zdroj data'!O61&gt;=Body!$CB$20,Body!$BZ$6," "))))))))))," ")))</f>
        <v xml:space="preserve"> </v>
      </c>
      <c r="AI61" s="264" t="str">
        <f>IF(AND('Zdroj data'!$BG61="L",'Zdroj data'!$AM61=Body!$AX$18),IF(AND(Tabulka1[[#This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data'!$BG61="ST",'Zdroj data'!$AM61=Body!$AX$19),IF(AND(Tabulka1[[#This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data'!$BG61="T",'Zdroj data'!$AM61=Body!$AX$20),IF(AND(Tabulka1[[#This Row],[K2O_60]]&gt;=Body!$AY$20,'Zdroj data'!O61&lt;=Body!$BA$20),Body!$AY$6,IF(AND(Tabulka1[[#This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61" s="265">
        <f t="shared" si="10"/>
        <v>5.3333333333333375</v>
      </c>
      <c r="AK61" s="264">
        <f t="shared" si="3"/>
        <v>25.809154679490305</v>
      </c>
      <c r="AL61" s="264">
        <f t="shared" si="4"/>
        <v>22.641846803819078</v>
      </c>
      <c r="AM61" s="264">
        <f t="shared" si="5"/>
        <v>70.948015808067794</v>
      </c>
      <c r="AN61" s="264">
        <f t="shared" si="6"/>
        <v>72.492609015269778</v>
      </c>
      <c r="AO61" s="265">
        <f t="shared" si="11"/>
        <v>96.757170487558099</v>
      </c>
      <c r="AP61" s="265">
        <f t="shared" si="12"/>
        <v>95.134455819088856</v>
      </c>
      <c r="AQ61" s="318"/>
      <c r="AR61" s="338">
        <f t="shared" si="7"/>
        <v>197.22495963998031</v>
      </c>
      <c r="AS61" s="318"/>
      <c r="AT61" s="138"/>
      <c r="AU61" s="138"/>
    </row>
    <row r="62" spans="1:81" ht="15.5" x14ac:dyDescent="0.35">
      <c r="A62" s="270">
        <v>2590</v>
      </c>
      <c r="B62" s="156" t="s">
        <v>627</v>
      </c>
      <c r="C62" s="250" t="str">
        <f>VLOOKUP(B62,'Zdroj hloubka okresy'!$A$2:$D$171,2,FALSE)</f>
        <v>Mlada Boleslav</v>
      </c>
      <c r="D62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1</v>
      </c>
      <c r="E62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1</v>
      </c>
      <c r="F62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62" s="264">
        <f>IF(AND(Tabulka1[[#This Row],[hum_60]]&gt;AY68,Tabulka1[[#This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62" s="264">
        <f>IF(Tabulka1[[#This Row],[kv.ek.]]=Body!$AX$13,IF(AND('Zdroj data'!M62&gt;=Body!$AY$13,'Zdroj data'!M62&lt;=Body!$BA$13),Body!$AY$6,IF(AND('Zdroj data'!M62&gt;=Body!$BB$13,'Zdroj data'!M62&lt;=Body!$BD$13),Body!$BB$6,IF(AND('Zdroj data'!M62&gt;=Body!$BE$13,'Zdroj data'!M62&lt;=Body!$BG$13),Body!$BE$6,IF(AND('Zdroj data'!M62&gt;=Body!$BH$13,'Zdroj data'!M62&lt;=Body!$BJ$13),Body!$BH$6,IF(AND('Zdroj data'!M62&gt;=Body!$BK$13,'Zdroj data'!M62&lt;=Body!$BM$13),Body!$BK$6,IF(AND('Zdroj data'!M62&gt;=Body!$BN$13,'Zdroj data'!M62&lt;=Body!$BP$13),Body!$BN$6,IF(AND('Zdroj data'!M62&gt;=Body!$BQ$13,'Zdroj data'!M62&lt;=Body!$BS$13),Body!$BQ$6,IF(AND('Zdroj data'!M62&gt;=Body!$BT$13,'Zdroj data'!M62&lt;=Body!$BV$13),Body!$BT$6,IF(AND('Zdroj data'!M62&gt;=Body!$BW$13,'Zdroj data'!M62&lt;=Body!$BY$13),Body!$BW$6,IF('Zdroj data'!M62&gt;=Body!$CB$13,Body!$BZ$6," ")))))))))),IF(Tabulka1[[#This Row],[kv.ek.]]=Body!$AX$14,IF(AND('Zdroj data'!N62&gt;=Body!$AY$14,'Zdroj data'!N62&lt;=Body!$BA$14),Body!$AY$6,IF(AND('Zdroj data'!N62&gt;=Body!$BB$14,'Zdroj data'!N62&lt;=Body!$BD$14),Body!$BB$6,IF(AND('Zdroj data'!N62&gt;=Body!$BE$14,'Zdroj data'!N62&lt;=Body!$BG$14),Body!$BE$6,IF(AND('Zdroj data'!N62&gt;=Body!$BH$14,'Zdroj data'!N62&lt;=Body!$BJ$14),Body!$BH$6,IF(AND('Zdroj data'!N62&gt;=Body!$BK$14,'Zdroj data'!N62&lt;=Body!$BM$14),Body!$BK$6,IF(AND('Zdroj data'!N62&gt;=Body!$BN$14,'Zdroj data'!N62&lt;=Body!$BP$14),Body!$BN$6,IF(AND('Zdroj data'!N62&gt;=Body!$BQ$14,'Zdroj data'!N62&lt;=Body!$BS$14),Body!$BQ$6,IF(AND('Zdroj data'!N62&gt;=Body!$BT$14,'Zdroj data'!N62&lt;=Body!$BV$14),Body!$BT$6,IF(AND('Zdroj data'!N62&gt;=Body!$BW$14,'Zdroj data'!N62&lt;=Body!$BY$14),Body!$BW$6,IF('Zdroj data'!N62&gt;=Body!$CB$14,Body!$BZ$6," "))))))))))," "))</f>
        <v>8</v>
      </c>
      <c r="I62" s="264">
        <f>IF(Tabulka1[[#This Row],[kv.ek.]]=Body!$AX$13,IF(AND('Zdroj data'!N62&gt;=Body!$AY$13,'Zdroj data'!N62&lt;=Body!$BA$13),Body!$AY$6,IF(AND('Zdroj data'!N62&gt;=Body!$BB$13,'Zdroj data'!N62&lt;=Body!$BD$13),Body!$BB$6,IF(AND('Zdroj data'!N62&gt;=Body!$BE$13,'Zdroj data'!N62&lt;=Body!$BG$13),Body!$BE$6,IF(AND('Zdroj data'!N62&gt;=Body!$BH$13,'Zdroj data'!N62&lt;=Body!$BJ$13),Body!$BH$6,IF(AND('Zdroj data'!N62&gt;=Body!$BK$13,'Zdroj data'!N62&lt;=Body!$BM$13),Body!$BK$6,IF(AND('Zdroj data'!N62&gt;=Body!$BN$13,'Zdroj data'!N62&lt;=Body!$BP$13),Body!$BN$6,IF(AND('Zdroj data'!N62&gt;=Body!$BQ$13,'Zdroj data'!N62&lt;=Body!$BS$13),Body!$BQ$6,IF(AND('Zdroj data'!N62&gt;=Body!$BT$13,'Zdroj data'!N62&lt;=Body!$BV$13),Body!$BT$6,IF(AND('Zdroj data'!N62&gt;=Body!$BW$13,'Zdroj data'!N62&lt;=Body!$BY$13),Body!$BW$6,IF('Zdroj data'!N62&gt;=Body!$CB$13,Body!$BZ$6," ")))))))))),IF(Tabulka1[[#This Row],[kv.ek.]]=Body!$AX$14,IF(AND('Zdroj data'!O62&gt;=Body!$AY$14,'Zdroj data'!O62&lt;=Body!$BA$14),Body!$AY$6,IF(AND('Zdroj data'!O62&gt;=Body!$BB$14,'Zdroj data'!O62&lt;=Body!$BD$14),Body!$BB$6,IF(AND('Zdroj data'!O62&gt;=Body!$BE$14,'Zdroj data'!O62&lt;=Body!$BG$14),Body!$BE$6,IF(AND('Zdroj data'!O62&gt;=Body!$BH$14,'Zdroj data'!O62&lt;=Body!$BJ$14),Body!$BH$6,IF(AND('Zdroj data'!O62&gt;=Body!$BK$14,'Zdroj data'!O62&lt;=Body!$BM$14),Body!$BK$6,IF(AND('Zdroj data'!O62&gt;=Body!$BN$14,'Zdroj data'!O62&lt;=Body!$BP$14),Body!$BN$6,IF(AND('Zdroj data'!O62&gt;=Body!$BQ$14,'Zdroj data'!O62&lt;=Body!$BS$14),Body!$BQ$6,IF(AND('Zdroj data'!O62&gt;=Body!$BT$14,'Zdroj data'!O62&lt;=Body!$BV$14),Body!$BT$6,IF(AND('Zdroj data'!O62&gt;=Body!$BW$14,'Zdroj data'!O62&lt;=Body!$BY$14),Body!$BW$6,IF('Zdroj data'!O62&gt;=Body!$CB$14,Body!$BZ$6," "))))))))))," "))</f>
        <v>4</v>
      </c>
      <c r="J62" s="264">
        <f t="shared" si="8"/>
        <v>1</v>
      </c>
      <c r="K62" s="264">
        <f t="shared" si="9"/>
        <v>1</v>
      </c>
      <c r="L62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62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62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62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62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62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62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8</v>
      </c>
      <c r="S62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62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62" s="264">
        <f>IF('Zdroj data'!BB62=Body!$AY$25,Body!$AY$22,IF('Zdroj data'!BB62=Body!$BB$25,Body!$BB$22,IF('Zdroj data'!BB62=Body!$BE$25,Body!$BE$22,IF('Zdroj data'!BB62=Body!$BH$25,Body!$BH$22,IF('Zdroj data'!BB62=Body!BK$25,Body!$BK$22,IF('Zdroj data'!BB62=Body!$BN$25,Body!$BN$22,IF('Zdroj data'!BB62=Body!$BQ$25,Body!$BQ$22,IF('Zdroj data'!BB62=Body!$BT$25,Body!$BT$22,IF('Zdroj data'!BB62=Body!$BW$25,Body!$BW$22,IF('Zdroj data'!BB62=Body!$BZ$25,Body!$BZ$22," "))))))))))</f>
        <v>7</v>
      </c>
      <c r="V62" s="264">
        <f>IF(AND('Zdroj data'!BO62&gt;Body!$AY$27,'Zdroj data'!BO62&lt;=Body!$BA$27),Body!$AY$22,IF(AND('Zdroj data'!BO62&gt;=Body!$BB$27,'Zdroj data'!BO62&lt;=Body!$BD$27),Body!$BB$22,IF(AND('Zdroj data'!BO62&gt;=Body!$BE$27,'Zdroj data'!BO62&lt;=Body!$BG$27),Body!$BE$22,IF(AND('Zdroj data'!BO62&gt;=Body!$BH$27,'Zdroj data'!BO62&lt;=Body!$BJ$27),Body!$BH$22,IF(AND('Zdroj data'!BO62&gt;=Body!$BK$27,'Zdroj data'!BO62&lt;=Body!$BM$27),Body!$BK$22,IF(AND('Zdroj data'!BO62&gt;=Body!$BN$27,'Zdroj data'!BO62&lt;=Body!$BP$27),Body!$BN$22,IF(AND('Zdroj data'!BO62&gt;=Body!$BQ$27,'Zdroj data'!BO62&lt;=Body!$BS$27),Body!$BQ$22,IF(AND('Zdroj data'!BO62&gt;=Body!$BT$27,'Zdroj data'!BO62&lt;=Body!$BV$27),Body!$BT$22,IF(AND('Zdroj data'!BO62&gt;=Body!$BW$27,'Zdroj data'!BO62&lt;=Body!$BY$27),Body!$BW$22,IF('Zdroj data'!BO62&gt;=Body!$CB$27,$BZ$22," "))))))))))</f>
        <v>8</v>
      </c>
      <c r="W62" s="264">
        <f>IF(AND('Zdroj data'!BP62&gt;Body!$AY$27,'Zdroj data'!BP62&lt;=Body!$BA$27),Body!$AY$22,IF(AND('Zdroj data'!BP62&gt;=Body!$BB$27,'Zdroj data'!BP62&lt;=Body!$BD$27),Body!$BB$22,IF(AND('Zdroj data'!BP62&gt;=Body!$BE$27,'Zdroj data'!BP62&lt;=Body!$BG$27),Body!$BE$22,IF(AND('Zdroj data'!BP62&gt;=Body!$BH$27,'Zdroj data'!BP62&lt;=Body!$BJ$27),Body!$BH$22,IF(AND('Zdroj data'!BP62&gt;=Body!$BK$27,'Zdroj data'!BP62&lt;=Body!$BM$27),Body!$BK$22,IF(AND('Zdroj data'!BP62&gt;=Body!$BN$27,'Zdroj data'!BP62&lt;=Body!$BP$27),Body!$BN$22,IF(AND('Zdroj data'!BP62&gt;=Body!$BQ$27,'Zdroj data'!BP62&lt;=Body!$BS$27),Body!$BQ$22,IF(AND('Zdroj data'!BP62&gt;=Body!$BT$27,'Zdroj data'!BP62&lt;=Body!$BV$27),Body!$BT$22,IF(AND('Zdroj data'!BP62&gt;=Body!$BW$27,'Zdroj data'!BP62&lt;=Body!$BY$27),Body!$BW$22,IF('Zdroj data'!BP62&gt;=Body!$CB$27,$BZ$22," "))))))))))</f>
        <v>5</v>
      </c>
      <c r="X62" s="264">
        <f>IF('Zdroj data'!BA62=Body!$BB$28,$BB$22,IF('Zdroj data'!BA62=Body!$BE$28,$BE$22,IF(OR('Zdroj data'!BA62=Body!$BK$28,'Zdroj data'!BA62=Body!$BL$28,'Zdroj data'!BA62=Body!$BM$28),$BK$22,IF(OR('Zdroj data'!BA62=Body!$BT$28,'Zdroj data'!BA62=Body!$BV$28),$BT$22,IF(OR('Zdroj data'!BA62=Body!$BW$28,'Zdroj data'!BA62=Body!$BY$28),$BW$22,IF('Zdroj data'!BA62=Body!$BZ$28,$BZ$22," "))))))</f>
        <v>10</v>
      </c>
      <c r="Y62" s="264">
        <f>IF('Zdroj data'!AZ62=Body!$BZ$29,Body!$BZ$22,IF(OR('Zdroj data'!AZ62=$BT$29,'Zdroj data'!AZ62=$BU$29,'Zdroj data'!AZ62=$BV$29),$BT$22,IF(OR('Zdroj data'!AZ62=$BK$29,'Zdroj data'!AZ62=$BM$29),$BK$22,IF(OR('Zdroj data'!AZ62=$BE$29,'Zdroj data'!AZ62=$BG$29),$BE$22,IF(OR('Zdroj data'!AZ62=$AY$29,'Zdroj data'!AZ62=$BA$29),$AY$22," ")))))</f>
        <v>10</v>
      </c>
      <c r="Z62" s="264">
        <f>IF(AND('Zdroj data'!BF62="T",(OR('Zdroj data'!AZ62=Body!$AW$45,'Zdroj data'!AZ62=Body!$AW$46,'Zdroj data'!AZ62=Body!$AW$47,'Zdroj data'!AZ62=Body!$AW$48))),Body!$AY$22,IF(AND('Zdroj data'!BF62="T",(OR('Zdroj data'!AZ62=$AW$49,'Zdroj data'!AZ62=$AW$50,'Zdroj data'!AZ62=$AW$51,'Zdroj data'!AZ62=$AW$52))),$BZ$22,IF(AND(OR('Zdroj data'!BF62="VT",'Zdroj data'!BF62="T",'Zdroj data'!BF62="CH"),(OR('Zdroj data'!AZ62=$AW$43,'Zdroj data'!AZ62=$AW$44,))),$BZ$22,IF(AND('Zdroj data'!BF62="CH",(OR('Zdroj data'!AZ62=$AW$49,'Zdroj data'!AZ62=$AW$50,'Zdroj data'!AZ62=$AW$51,'Zdroj data'!AZ62=$AW$52))),$AY$22,IF(AND('Zdroj data'!BF62="CH",(OR('Zdroj data'!AZ62=$AW$45,'Zdroj data'!AZ62=$AW$46,'Zdroj data'!AZ62=$AW$47,'Zdroj data'!AZ62=$AW$48))),$BZ$22," ")))))</f>
        <v>10</v>
      </c>
      <c r="AA62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62" s="264">
        <f>IF(Tabulka1[[#This Row],[kv.ek.]]=Body!$BK$35,Body!$BK$34,IF(Tabulka1[[#This Row],[kv.ek.]]=Body!$BZ$35,Body!$BZ$34," "))</f>
        <v>5</v>
      </c>
      <c r="AC62" s="264" t="str">
        <f>IF(AND('Zdroj data'!BF62="T",(OR('Zdroj data'!AZ62=Body!$AW$45,'Zdroj data'!AZ62=Body!$AW$46,'Zdroj data'!AZ62=Body!$AW$47,'Zdroj data'!AZ62=Body!$AW$48))),Body!$AY$22,IF(AND('Zdroj data'!BF62="T",(OR('Zdroj data'!AZ62=$AW$49,'Zdroj data'!AZ62=$AW$50,'Zdroj data'!AZ62=$AW$51,'Zdroj data'!AZ62=$AW$52))),$BZ$22," "))</f>
        <v xml:space="preserve"> </v>
      </c>
      <c r="AD62" s="264">
        <f>IF(AND(OR('Zdroj data'!BF62="VT",'Zdroj data'!BF62="T",'Zdroj data'!BF62="CH"),(OR('Zdroj data'!AZ62=$AW$43,'Zdroj data'!AZ62=$AW$44,))),$BZ$22," ")</f>
        <v>10</v>
      </c>
      <c r="AE62" s="264" t="str">
        <f>IF(AND('Zdroj data'!BF62="CH",(OR('Zdroj data'!AZ62=$AW$49,'Zdroj data'!AZ62=$AW$50,'Zdroj data'!AZ62=$AW$51,'Zdroj data'!AZ62=$AW$52))),$AY$22,IF(AND('Zdroj data'!BF62="CH",(OR('Zdroj data'!AZ62=$AW$45,'Zdroj data'!AZ62=$AW$46,'Zdroj data'!AZ62=$AW$47,'Zdroj data'!AZ62=$AW$48))),$BZ$22," "))</f>
        <v xml:space="preserve"> </v>
      </c>
      <c r="AF62" s="264">
        <f>IF(AND('Zdroj data'!BG62="L",'Zdroj data'!AM62=Body!$AX$15),IF(AND('Zdroj data'!O62&gt;=Body!$AY$15,'Zdroj data'!O62&lt;=Body!$BA$15),Body!AY$6,IF(AND('Zdroj data'!O62&gt;=Body!$BB$15,'Zdroj data'!O62&lt;=Body!$BD$15),Body!BB$6,IF(AND('Zdroj data'!O62&gt;=Body!$BE$15,'Zdroj data'!O62&lt;=Body!$BG$15),Body!BE$6,IF(AND('Zdroj data'!O62&gt;=Body!$BH$15,'Zdroj data'!O62&lt;=Body!$BJ$15),Body!BH$6,IF(AND('Zdroj data'!O62&gt;=Body!$BK$15,'Zdroj data'!O62&lt;=Body!$BM$15),Body!BK$6,IF(AND('Zdroj data'!O62&gt;=Body!$BN$15,'Zdroj data'!O62&lt;=Body!$BP$15),Body!$BN$6,IF(AND('Zdroj data'!O62&gt;=Body!$BQ$15,'Zdroj data'!O62&lt;=Body!$BS$15),Body!$BQ$6,IF(AND('Zdroj data'!O62&gt;=Body!$BT$15,'Zdroj data'!O62&lt;=Body!$BV$15),Body!BT$6,IF(AND('Zdroj data'!O62&gt;=Body!$BW$15,'Zdroj data'!O62&lt;=Body!$BY$15),Body!$BW$6,IF('Zdroj data'!O62&gt;=Body!$CB$15,Body!$BZ$6," ")))))))))),IF(AND('Zdroj data'!BG62="ST",'Zdroj data'!AM62=Body!$AX$16),IF(AND('Zdroj data'!O62&gt;=Body!$AY$16,'Zdroj data'!O62&lt;=Body!$BA$16),Body!$AY$6,IF(AND('Zdroj data'!O62&gt;=Body!$BB$16,'Zdroj data'!O62&lt;=Body!$BD$16),Body!$BB$6,IF(AND('Zdroj data'!O62&gt;=Body!$BE$16,'Zdroj data'!O62&lt;=Body!$BG$16),Body!$BE$6,IF(AND('Zdroj data'!O62&gt;=Body!$BH$16,'Zdroj data'!O62&lt;=Body!$BJ$16),Body!$BH$6,IF(AND('Zdroj data'!O62&gt;=Body!$BK$16,'Zdroj data'!O62&lt;=Body!$BM$16),Body!$BK$6,IF(AND('Zdroj data'!O62&gt;=Body!$BN$16,'Zdroj data'!O62&lt;=Body!$BP$16),Body!$BN$6,IF(AND('Zdroj data'!O62&gt;=Body!$BQ$16,'Zdroj data'!O62&lt;=Body!$BS$16),Body!$BQ$6,IF(AND('Zdroj data'!O62&gt;=Body!$BT$16,'Zdroj data'!O62&lt;=Body!$BV$16),Body!$BT$6,IF(AND('Zdroj data'!O62&gt;=Body!$BW$16,'Zdroj data'!O62&lt;=Body!$BY$16),Body!$BW$6,IF('Zdroj data'!O62&gt;=Body!$CB$16,Body!$BZ$6," ")))))))))),IF(AND('Zdroj data'!BG62="T",'Zdroj data'!AM62=Body!$AX$17),IF(AND('Zdroj data'!O62&gt;=Body!$AY$17,'Zdroj data'!O62&lt;=Body!$BA$17),Body!$AY$6,IF(AND('Zdroj data'!O62&gt;=Body!$BB$17,'Zdroj data'!O62&lt;=Body!$BD$17),Body!$BB$6,IF(AND('Zdroj data'!O62&gt;=Body!$BE$17,'Zdroj data'!O62&lt;=Body!$BG$17),Body!$BE$6,IF(AND('Zdroj data'!O62&gt;=Body!$BH$17,'Zdroj data'!O62&lt;=Body!#REF!),Body!$BH$6,IF(AND('Zdroj data'!O62&gt;=Body!$BK$17,'Zdroj data'!O62&lt;=Body!$BM$17),Body!$BK$6,IF(AND('Zdroj data'!O62&gt;=Body!$BN$17,'Zdroj data'!O62&lt;=Body!$BP$17),Body!$BN$6,IF(AND('Zdroj data'!O62&gt;=Body!$BQ$17,'Zdroj data'!O62&lt;=Body!$BS$17),Body!$BQ$6,IF(AND('Zdroj data'!O62&gt;=Body!$BT$17,'Zdroj data'!O62&lt;=Body!$BV$17),Body!$BT$6,IF(AND('Zdroj data'!O62&gt;=Body!$BW$17,'Zdroj data'!O62&lt;=Body!$BY$17),Body!$BW$6,IF('Zdroj data'!O62&gt;=Body!$CB$17,Body!$BZ$6," "))))))))))," ")))</f>
        <v>1</v>
      </c>
      <c r="AG62" s="264">
        <f>IF(AND('Zdroj data'!$BG62="L",'Zdroj data'!$AM62=Body!$AX$15),IF(AND(Tabulka1[[#This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data'!$BG62="ST",'Zdroj data'!$AM62=Body!$AX$16),IF(AND(Tabulka1[[#This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data'!$BG62="T",'Zdroj data'!$AM62=Body!$AX$17),IF(AND(Tabulka1[[#This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62" s="264" t="str">
        <f>IF(AND('Zdroj data'!BG62="L",'Zdroj data'!AM62=Body!$AX$18),IF(AND('Zdroj data'!O62&gt;=Body!$AY$18,'Zdroj data'!O62&lt;=Body!$BA$18),Body!AY$6,IF(AND('Zdroj data'!O62&gt;=Body!$BB$18,'Zdroj data'!O62&lt;=Body!$BD$18),Body!BB$6,IF(AND('Zdroj data'!O62&gt;=Body!$BE$18,'Zdroj data'!O62&lt;=Body!$BG$18),Body!BE$6,IF(AND('Zdroj data'!O62&gt;=Body!$BH$18,'Zdroj data'!O62&lt;=Body!$BJ$18),Body!BH$6,IF(AND('Zdroj data'!O62&gt;=Body!$BK$18,'Zdroj data'!O62&lt;=Body!$BM$18),Body!$BK$6,IF(AND('Zdroj data'!O62&gt;=Body!$BN$18,'Zdroj data'!O62&lt;=Body!$BP$18),Body!BN$6,IF(AND('Zdroj data'!O62&gt;=Body!$BQ$18,'Zdroj data'!O62&lt;=Body!$BS$18),Body!$BQ$6,IF(AND('Zdroj data'!O62&gt;=Body!$BT$18,'Zdroj data'!O62&lt;=Body!$BV$18),Body!$BT$6,IF(AND('Zdroj data'!O62&gt;=Body!$BW$18,'Zdroj data'!O62&lt;=Body!$BY$18),Body!$BW$6,IF('Zdroj data'!O62&gt;=Body!$CB$18,Body!$BZ$6," ")))))))))),IF(AND('Zdroj data'!BG62="ST",'Zdroj data'!AM62=Body!$AX$19),IF(AND('Zdroj data'!O62&gt;=Body!$AY$19,'Zdroj data'!O62&lt;=Body!$BA$19),Body!$AY$6,IF(AND('Zdroj data'!O62&gt;=Body!$BB$19,'Zdroj data'!O62&lt;=Body!$BD$19),Body!$BB$6,IF(AND('Zdroj data'!O62&gt;=Body!$BE$19,'Zdroj data'!O62&lt;=Body!$BG$19),Body!$BE$6,IF(AND('Zdroj data'!O62&gt;=Body!$BH$19,'Zdroj data'!O62&lt;=Body!$BJ$19),Body!$BH$6,IF(AND('Zdroj data'!O62&gt;=Body!$BK$19,'Zdroj data'!O62&lt;=Body!$BM$19),Body!$BK$6,IF(AND('Zdroj data'!O62&gt;=Body!$BN$19,'Zdroj data'!O62&lt;=Body!$BP$19),Body!$BN$6,IF(AND('Zdroj data'!O62&gt;=Body!$BQ$19,'Zdroj data'!O62&lt;=Body!$BS$19),Body!$BQ$6,IF(AND('Zdroj data'!O62&gt;=Body!$BT$19,'Zdroj data'!#REF!&lt;=Body!$BV$19),Body!$BT$6,IF(AND('Zdroj data'!O62&gt;=Body!$BW$19,'Zdroj data'!O62&lt;=Body!$BY$19),Body!$BW$6,IF('Zdroj data'!O62&gt;=Body!$CB$19,Body!$BZ$6," ")))))))))),IF(AND('Zdroj data'!BG62="T",'Zdroj data'!AM62=Body!$AX$20),IF(AND('Zdroj data'!O62&gt;=Body!$AY$20,'Zdroj data'!O62&lt;=Body!$BA$20),Body!$AY$6,IF(AND('Zdroj data'!O62&gt;=Body!$BB$20,'Zdroj data'!O62&lt;=Body!$BD$20),Body!$BB$6,IF(AND('Zdroj data'!O62&gt;=Body!$BE$20,'Zdroj data'!O62&lt;=Body!$BG$20),Body!$BE$6,IF(AND('Zdroj data'!O62&gt;=Body!$BH$20,'Zdroj data'!O62&lt;=Body!$BJ$20),Body!$BH$6,IF(AND('Zdroj data'!O62&gt;=Body!$BK$20,'Zdroj data'!O62&lt;=Body!$BM$20),Body!$BK$6,IF(AND('Zdroj data'!O62&gt;=Body!$BN$20,'Zdroj data'!O62&lt;=Body!$BP$20),Body!$BN$6,IF(AND('Zdroj data'!O62&gt;=Body!$BQ$20,'Zdroj data'!O62&lt;=Body!$BS$20),Body!$BQ$6,IF(AND('Zdroj data'!O62&gt;=Body!$BT$20,'Zdroj data'!O62&lt;=Body!#REF!),Body!$BT$6,IF(AND('Zdroj data'!O62&gt;=Body!$BW$20,'Zdroj data'!O62&lt;=Body!$BY$20),Body!$BW$6,IF('Zdroj data'!O62&gt;=Body!$CB$20,Body!$BZ$6," "))))))))))," ")))</f>
        <v xml:space="preserve"> </v>
      </c>
      <c r="AI62" s="264" t="str">
        <f>IF(AND('Zdroj data'!$BG62="L",'Zdroj data'!$AM62=Body!$AX$18),IF(AND(Tabulka1[[#This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data'!$BG62="ST",'Zdroj data'!$AM62=Body!$AX$19),IF(AND(Tabulka1[[#This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data'!$BG62="T",'Zdroj data'!$AM62=Body!$AX$20),IF(AND(Tabulka1[[#This Row],[K2O_60]]&gt;=Body!$AY$20,'Zdroj data'!O62&lt;=Body!$BA$20),Body!$AY$6,IF(AND(Tabulka1[[#This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62" s="265">
        <f t="shared" si="10"/>
        <v>5.3333333333333375</v>
      </c>
      <c r="AK62" s="264">
        <f t="shared" si="3"/>
        <v>27.525734808150563</v>
      </c>
      <c r="AL62" s="264">
        <f t="shared" si="4"/>
        <v>27.801412294802788</v>
      </c>
      <c r="AM62" s="264">
        <f t="shared" si="5"/>
        <v>74.037202222471763</v>
      </c>
      <c r="AN62" s="264">
        <f t="shared" si="6"/>
        <v>73.317046557941794</v>
      </c>
      <c r="AO62" s="265">
        <f t="shared" si="11"/>
        <v>101.56293703062232</v>
      </c>
      <c r="AP62" s="265">
        <f t="shared" si="12"/>
        <v>101.11845885274458</v>
      </c>
      <c r="AQ62" s="318"/>
      <c r="AR62" s="338">
        <f t="shared" si="7"/>
        <v>208.01472921670026</v>
      </c>
      <c r="AS62" s="318"/>
      <c r="AT62" s="138"/>
      <c r="AU62" s="138"/>
    </row>
    <row r="63" spans="1:81" ht="15.5" x14ac:dyDescent="0.35">
      <c r="A63" s="270">
        <v>2593</v>
      </c>
      <c r="B63" s="156" t="s">
        <v>626</v>
      </c>
      <c r="C63" s="250" t="str">
        <f>VLOOKUP(B63,'Zdroj hloubka okresy'!$A$2:$D$171,2,FALSE)</f>
        <v>Mlada Boleslav</v>
      </c>
      <c r="D63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2</v>
      </c>
      <c r="E63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2</v>
      </c>
      <c r="F63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63" s="264">
        <f>IF(AND(Tabulka1[[#This Row],[hum_60]]&gt;AY69,Tabulka1[[#This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4</v>
      </c>
      <c r="H63" s="264">
        <f>IF(Tabulka1[[#This Row],[kv.ek.]]=Body!$AX$13,IF(AND('Zdroj data'!M63&gt;=Body!$AY$13,'Zdroj data'!M63&lt;=Body!$BA$13),Body!$AY$6,IF(AND('Zdroj data'!M63&gt;=Body!$BB$13,'Zdroj data'!M63&lt;=Body!$BD$13),Body!$BB$6,IF(AND('Zdroj data'!M63&gt;=Body!$BE$13,'Zdroj data'!M63&lt;=Body!$BG$13),Body!$BE$6,IF(AND('Zdroj data'!M63&gt;=Body!$BH$13,'Zdroj data'!M63&lt;=Body!$BJ$13),Body!$BH$6,IF(AND('Zdroj data'!M63&gt;=Body!$BK$13,'Zdroj data'!M63&lt;=Body!$BM$13),Body!$BK$6,IF(AND('Zdroj data'!M63&gt;=Body!$BN$13,'Zdroj data'!M63&lt;=Body!$BP$13),Body!$BN$6,IF(AND('Zdroj data'!M63&gt;=Body!$BQ$13,'Zdroj data'!M63&lt;=Body!$BS$13),Body!$BQ$6,IF(AND('Zdroj data'!M63&gt;=Body!$BT$13,'Zdroj data'!M63&lt;=Body!$BV$13),Body!$BT$6,IF(AND('Zdroj data'!M63&gt;=Body!$BW$13,'Zdroj data'!M63&lt;=Body!$BY$13),Body!$BW$6,IF('Zdroj data'!M63&gt;=Body!$CB$13,Body!$BZ$6," ")))))))))),IF(Tabulka1[[#This Row],[kv.ek.]]=Body!$AX$14,IF(AND('Zdroj data'!N63&gt;=Body!$AY$14,'Zdroj data'!N63&lt;=Body!$BA$14),Body!$AY$6,IF(AND('Zdroj data'!N63&gt;=Body!$BB$14,'Zdroj data'!N63&lt;=Body!$BD$14),Body!$BB$6,IF(AND('Zdroj data'!N63&gt;=Body!$BE$14,'Zdroj data'!N63&lt;=Body!$BG$14),Body!$BE$6,IF(AND('Zdroj data'!N63&gt;=Body!$BH$14,'Zdroj data'!N63&lt;=Body!$BJ$14),Body!$BH$6,IF(AND('Zdroj data'!N63&gt;=Body!$BK$14,'Zdroj data'!N63&lt;=Body!$BM$14),Body!$BK$6,IF(AND('Zdroj data'!N63&gt;=Body!$BN$14,'Zdroj data'!N63&lt;=Body!$BP$14),Body!$BN$6,IF(AND('Zdroj data'!N63&gt;=Body!$BQ$14,'Zdroj data'!N63&lt;=Body!$BS$14),Body!$BQ$6,IF(AND('Zdroj data'!N63&gt;=Body!$BT$14,'Zdroj data'!N63&lt;=Body!$BV$14),Body!$BT$6,IF(AND('Zdroj data'!N63&gt;=Body!$BW$14,'Zdroj data'!N63&lt;=Body!$BY$14),Body!$BW$6,IF('Zdroj data'!N63&gt;=Body!$CB$14,Body!$BZ$6," "))))))))))," "))</f>
        <v>1</v>
      </c>
      <c r="I63" s="264">
        <f>IF(Tabulka1[[#This Row],[kv.ek.]]=Body!$AX$13,IF(AND('Zdroj data'!N63&gt;=Body!$AY$13,'Zdroj data'!N63&lt;=Body!$BA$13),Body!$AY$6,IF(AND('Zdroj data'!N63&gt;=Body!$BB$13,'Zdroj data'!N63&lt;=Body!$BD$13),Body!$BB$6,IF(AND('Zdroj data'!N63&gt;=Body!$BE$13,'Zdroj data'!N63&lt;=Body!$BG$13),Body!$BE$6,IF(AND('Zdroj data'!N63&gt;=Body!$BH$13,'Zdroj data'!N63&lt;=Body!$BJ$13),Body!$BH$6,IF(AND('Zdroj data'!N63&gt;=Body!$BK$13,'Zdroj data'!N63&lt;=Body!$BM$13),Body!$BK$6,IF(AND('Zdroj data'!N63&gt;=Body!$BN$13,'Zdroj data'!N63&lt;=Body!$BP$13),Body!$BN$6,IF(AND('Zdroj data'!N63&gt;=Body!$BQ$13,'Zdroj data'!N63&lt;=Body!$BS$13),Body!$BQ$6,IF(AND('Zdroj data'!N63&gt;=Body!$BT$13,'Zdroj data'!N63&lt;=Body!$BV$13),Body!$BT$6,IF(AND('Zdroj data'!N63&gt;=Body!$BW$13,'Zdroj data'!N63&lt;=Body!$BY$13),Body!$BW$6,IF('Zdroj data'!N63&gt;=Body!$CB$13,Body!$BZ$6," ")))))))))),IF(Tabulka1[[#This Row],[kv.ek.]]=Body!$AX$14,IF(AND('Zdroj data'!O63&gt;=Body!$AY$14,'Zdroj data'!O63&lt;=Body!$BA$14),Body!$AY$6,IF(AND('Zdroj data'!O63&gt;=Body!$BB$14,'Zdroj data'!O63&lt;=Body!$BD$14),Body!$BB$6,IF(AND('Zdroj data'!O63&gt;=Body!$BE$14,'Zdroj data'!O63&lt;=Body!$BG$14),Body!$BE$6,IF(AND('Zdroj data'!O63&gt;=Body!$BH$14,'Zdroj data'!O63&lt;=Body!$BJ$14),Body!$BH$6,IF(AND('Zdroj data'!O63&gt;=Body!$BK$14,'Zdroj data'!O63&lt;=Body!$BM$14),Body!$BK$6,IF(AND('Zdroj data'!O63&gt;=Body!$BN$14,'Zdroj data'!O63&lt;=Body!$BP$14),Body!$BN$6,IF(AND('Zdroj data'!O63&gt;=Body!$BQ$14,'Zdroj data'!O63&lt;=Body!$BS$14),Body!$BQ$6,IF(AND('Zdroj data'!O63&gt;=Body!$BT$14,'Zdroj data'!O63&lt;=Body!$BV$14),Body!$BT$6,IF(AND('Zdroj data'!O63&gt;=Body!$BW$14,'Zdroj data'!O63&lt;=Body!$BY$14),Body!$BW$6,IF('Zdroj data'!O63&gt;=Body!$CB$14,Body!$BZ$6," "))))))))))," "))</f>
        <v>3</v>
      </c>
      <c r="J63" s="264">
        <f t="shared" si="8"/>
        <v>1</v>
      </c>
      <c r="K63" s="264">
        <f>IF(AG63=" ",AI63,AG63)</f>
        <v>1</v>
      </c>
      <c r="L63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6</v>
      </c>
      <c r="M63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6</v>
      </c>
      <c r="N63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9</v>
      </c>
      <c r="O63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9</v>
      </c>
      <c r="P63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63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63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63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63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63" s="264">
        <f>IF('Zdroj data'!BB63=Body!$AY$25,Body!$AY$22,IF('Zdroj data'!BB63=Body!$BB$25,Body!$BB$22,IF('Zdroj data'!BB63=Body!$BE$25,Body!$BE$22,IF('Zdroj data'!BB63=Body!$BH$25,Body!$BH$22,IF('Zdroj data'!BB63=Body!BK$25,Body!$BK$22,IF('Zdroj data'!BB63=Body!$BN$25,Body!$BN$22,IF('Zdroj data'!BB63=Body!$BQ$25,Body!$BQ$22,IF('Zdroj data'!BB63=Body!$BT$25,Body!$BT$22,IF('Zdroj data'!BB63=Body!$BW$25,Body!$BW$22,IF('Zdroj data'!BB63=Body!$BZ$25,Body!$BZ$22," "))))))))))</f>
        <v>8</v>
      </c>
      <c r="V63" s="264">
        <f>IF(AND('Zdroj data'!BO63&gt;Body!$AY$27,'Zdroj data'!BO63&lt;=Body!$BA$27),Body!$AY$22,IF(AND('Zdroj data'!BO63&gt;=Body!$BB$27,'Zdroj data'!BO63&lt;=Body!$BD$27),Body!$BB$22,IF(AND('Zdroj data'!BO63&gt;=Body!$BE$27,'Zdroj data'!BO63&lt;=Body!$BG$27),Body!$BE$22,IF(AND('Zdroj data'!BO63&gt;=Body!$BH$27,'Zdroj data'!BO63&lt;=Body!$BJ$27),Body!$BH$22,IF(AND('Zdroj data'!BO63&gt;=Body!$BK$27,'Zdroj data'!BO63&lt;=Body!$BM$27),Body!$BK$22,IF(AND('Zdroj data'!BO63&gt;=Body!$BN$27,'Zdroj data'!BO63&lt;=Body!$BP$27),Body!$BN$22,IF(AND('Zdroj data'!BO63&gt;=Body!$BQ$27,'Zdroj data'!BO63&lt;=Body!$BS$27),Body!$BQ$22,IF(AND('Zdroj data'!BO63&gt;=Body!$BT$27,'Zdroj data'!BO63&lt;=Body!$BV$27),Body!$BT$22,IF(AND('Zdroj data'!BO63&gt;=Body!$BW$27,'Zdroj data'!BO63&lt;=Body!$BY$27),Body!$BW$22,IF('Zdroj data'!BO63&gt;=Body!$CB$27,$BZ$22," "))))))))))</f>
        <v>4</v>
      </c>
      <c r="W63" s="264">
        <f>IF(AND('Zdroj data'!BP63&gt;Body!$AY$27,'Zdroj data'!BP63&lt;=Body!$BA$27),Body!$AY$22,IF(AND('Zdroj data'!BP63&gt;=Body!$BB$27,'Zdroj data'!BP63&lt;=Body!$BD$27),Body!$BB$22,IF(AND('Zdroj data'!BP63&gt;=Body!$BE$27,'Zdroj data'!BP63&lt;=Body!$BG$27),Body!$BE$22,IF(AND('Zdroj data'!BP63&gt;=Body!$BH$27,'Zdroj data'!BP63&lt;=Body!$BJ$27),Body!$BH$22,IF(AND('Zdroj data'!BP63&gt;=Body!$BK$27,'Zdroj data'!BP63&lt;=Body!$BM$27),Body!$BK$22,IF(AND('Zdroj data'!BP63&gt;=Body!$BN$27,'Zdroj data'!BP63&lt;=Body!$BP$27),Body!$BN$22,IF(AND('Zdroj data'!BP63&gt;=Body!$BQ$27,'Zdroj data'!BP63&lt;=Body!$BS$27),Body!$BQ$22,IF(AND('Zdroj data'!BP63&gt;=Body!$BT$27,'Zdroj data'!BP63&lt;=Body!$BV$27),Body!$BT$22,IF(AND('Zdroj data'!BP63&gt;=Body!$BW$27,'Zdroj data'!BP63&lt;=Body!$BY$27),Body!$BW$22,IF('Zdroj data'!BP63&gt;=Body!$CB$27,$BZ$22," "))))))))))</f>
        <v>10</v>
      </c>
      <c r="X63" s="264">
        <f>IF('Zdroj data'!BA63=Body!$BB$28,$BB$22,IF('Zdroj data'!BA63=Body!$BE$28,$BE$22,IF(OR('Zdroj data'!BA63=Body!$BK$28,'Zdroj data'!BA63=Body!$BL$28,'Zdroj data'!BA63=Body!$BM$28),$BK$22,IF(OR('Zdroj data'!BA63=Body!$BT$28,'Zdroj data'!BA63=Body!$BV$28),$BT$22,IF(OR('Zdroj data'!BA63=Body!$BW$28,'Zdroj data'!BA63=Body!$BY$28),$BW$22,IF('Zdroj data'!BA63=Body!$BZ$28,$BZ$22," "))))))</f>
        <v>10</v>
      </c>
      <c r="Y63" s="264">
        <f>IF('Zdroj data'!AZ63=Body!$BZ$29,Body!$BZ$22,IF(OR('Zdroj data'!AZ63=$BT$29,'Zdroj data'!AZ63=$BU$29,'Zdroj data'!AZ63=$BV$29),$BT$22,IF(OR('Zdroj data'!AZ63=$BK$29,'Zdroj data'!AZ63=$BM$29),$BK$22,IF(OR('Zdroj data'!AZ63=$BE$29,'Zdroj data'!AZ63=$BG$29),$BE$22,IF(OR('Zdroj data'!AZ63=$AY$29,'Zdroj data'!AZ63=$BA$29),$AY$22," ")))))</f>
        <v>10</v>
      </c>
      <c r="Z63" s="264">
        <f>IF(AND('Zdroj data'!BF63="T",(OR('Zdroj data'!AZ63=Body!$AW$45,'Zdroj data'!AZ63=Body!$AW$46,'Zdroj data'!AZ63=Body!$AW$47,'Zdroj data'!AZ63=Body!$AW$48))),Body!$AY$22,IF(AND('Zdroj data'!BF63="T",(OR('Zdroj data'!AZ63=$AW$49,'Zdroj data'!AZ63=$AW$50,'Zdroj data'!AZ63=$AW$51,'Zdroj data'!AZ63=$AW$52))),$BZ$22,IF(AND(OR('Zdroj data'!BF63="VT",'Zdroj data'!BF63="T",'Zdroj data'!BF63="CH"),(OR('Zdroj data'!AZ63=$AW$43,'Zdroj data'!AZ63=$AW$44,))),$BZ$22,IF(AND('Zdroj data'!BF63="CH",(OR('Zdroj data'!AZ63=$AW$49,'Zdroj data'!AZ63=$AW$50,'Zdroj data'!AZ63=$AW$51,'Zdroj data'!AZ63=$AW$52))),$AY$22,IF(AND('Zdroj data'!BF63="CH",(OR('Zdroj data'!AZ63=$AW$45,'Zdroj data'!AZ63=$AW$46,'Zdroj data'!AZ63=$AW$47,'Zdroj data'!AZ63=$AW$48))),$BZ$22," ")))))</f>
        <v>10</v>
      </c>
      <c r="AA63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63" s="264">
        <f>IF(Tabulka1[[#This Row],[kv.ek.]]=Body!$BK$35,Body!$BK$34,IF(Tabulka1[[#This Row],[kv.ek.]]=Body!$BZ$35,Body!$BZ$34," "))</f>
        <v>10</v>
      </c>
      <c r="AC63" s="264" t="str">
        <f>IF(AND('Zdroj data'!BF63="T",(OR('Zdroj data'!AZ63=Body!$AW$45,'Zdroj data'!AZ63=Body!$AW$46,'Zdroj data'!AZ63=Body!$AW$47,'Zdroj data'!AZ63=Body!$AW$48))),Body!$AY$22,IF(AND('Zdroj data'!BF63="T",(OR('Zdroj data'!AZ63=$AW$49,'Zdroj data'!AZ63=$AW$50,'Zdroj data'!AZ63=$AW$51,'Zdroj data'!AZ63=$AW$52))),$BZ$22," "))</f>
        <v xml:space="preserve"> </v>
      </c>
      <c r="AD63" s="264">
        <f>IF(AND(OR('Zdroj data'!BF63="VT",'Zdroj data'!BF63="T",'Zdroj data'!BF63="CH"),(OR('Zdroj data'!AZ63=$AW$43,'Zdroj data'!AZ63=$AW$44,))),$BZ$22," ")</f>
        <v>10</v>
      </c>
      <c r="AE63" s="264" t="str">
        <f>IF(AND('Zdroj data'!BF63="CH",(OR('Zdroj data'!AZ63=$AW$49,'Zdroj data'!AZ63=$AW$50,'Zdroj data'!AZ63=$AW$51,'Zdroj data'!AZ63=$AW$52))),$AY$22,IF(AND('Zdroj data'!BF63="CH",(OR('Zdroj data'!AZ63=$AW$45,'Zdroj data'!AZ63=$AW$46,'Zdroj data'!AZ63=$AW$47,'Zdroj data'!AZ63=$AW$48))),$BZ$22," "))</f>
        <v xml:space="preserve"> </v>
      </c>
      <c r="AF63" s="264" t="str">
        <f>IF(AND('Zdroj data'!BG63="L",'Zdroj data'!AM63=Body!$AX$15),IF(AND('Zdroj data'!O63&gt;=Body!$AY$15,'Zdroj data'!O63&lt;=Body!$BA$15),Body!AY$6,IF(AND('Zdroj data'!O63&gt;=Body!$BB$15,'Zdroj data'!O63&lt;=Body!$BD$15),Body!BB$6,IF(AND('Zdroj data'!O63&gt;=Body!$BE$15,'Zdroj data'!O63&lt;=Body!$BG$15),Body!BE$6,IF(AND('Zdroj data'!O63&gt;=Body!$BH$15,'Zdroj data'!O63&lt;=Body!$BJ$15),Body!BH$6,IF(AND('Zdroj data'!O63&gt;=Body!$BK$15,'Zdroj data'!O63&lt;=Body!$BM$15),Body!BK$6,IF(AND('Zdroj data'!O63&gt;=Body!$BN$15,'Zdroj data'!O63&lt;=Body!$BP$15),Body!$BN$6,IF(AND('Zdroj data'!O63&gt;=Body!$BQ$15,'Zdroj data'!O63&lt;=Body!$BS$15),Body!$BQ$6,IF(AND('Zdroj data'!O63&gt;=Body!$BT$15,'Zdroj data'!O63&lt;=Body!$BV$15),Body!BT$6,IF(AND('Zdroj data'!O63&gt;=Body!$BW$15,'Zdroj data'!O63&lt;=Body!$BY$15),Body!$BW$6,IF('Zdroj data'!O63&gt;=Body!$CB$15,Body!$BZ$6," ")))))))))),IF(AND('Zdroj data'!BG63="ST",'Zdroj data'!AM63=Body!$AX$16),IF(AND('Zdroj data'!O63&gt;=Body!$AY$16,'Zdroj data'!O63&lt;=Body!$BA$16),Body!$AY$6,IF(AND('Zdroj data'!O63&gt;=Body!$BB$16,'Zdroj data'!O63&lt;=Body!$BD$16),Body!$BB$6,IF(AND('Zdroj data'!O63&gt;=Body!$BE$16,'Zdroj data'!O63&lt;=Body!$BG$16),Body!$BE$6,IF(AND('Zdroj data'!O63&gt;=Body!$BH$16,'Zdroj data'!O63&lt;=Body!$BJ$16),Body!$BH$6,IF(AND('Zdroj data'!O63&gt;=Body!$BK$16,'Zdroj data'!O63&lt;=Body!$BM$16),Body!$BK$6,IF(AND('Zdroj data'!O63&gt;=Body!$BN$16,'Zdroj data'!O63&lt;=Body!$BP$16),Body!$BN$6,IF(AND('Zdroj data'!O63&gt;=Body!$BQ$16,'Zdroj data'!O63&lt;=Body!$BS$16),Body!$BQ$6,IF(AND('Zdroj data'!O63&gt;=Body!$BT$16,'Zdroj data'!O63&lt;=Body!$BV$16),Body!$BT$6,IF(AND('Zdroj data'!O63&gt;=Body!$BW$16,'Zdroj data'!O63&lt;=Body!$BY$16),Body!$BW$6,IF('Zdroj data'!O63&gt;=Body!$CB$16,Body!$BZ$6," ")))))))))),IF(AND('Zdroj data'!BG63="T",'Zdroj data'!AM63=Body!$AX$17),IF(AND('Zdroj data'!O63&gt;=Body!$AY$17,'Zdroj data'!O63&lt;=Body!$BA$17),Body!$AY$6,IF(AND('Zdroj data'!O63&gt;=Body!$BB$17,'Zdroj data'!O63&lt;=Body!$BD$17),Body!$BB$6,IF(AND('Zdroj data'!O63&gt;=Body!$BE$17,'Zdroj data'!O63&lt;=Body!$BG$17),Body!$BE$6,IF(AND('Zdroj data'!O63&gt;=Body!$BH$17,'Zdroj data'!O63&lt;=Body!#REF!),Body!$BH$6,IF(AND('Zdroj data'!O63&gt;=Body!$BK$17,'Zdroj data'!O63&lt;=Body!$BM$17),Body!$BK$6,IF(AND('Zdroj data'!O63&gt;=Body!$BN$17,'Zdroj data'!O63&lt;=Body!$BP$17),Body!$BN$6,IF(AND('Zdroj data'!O63&gt;=Body!$BQ$17,'Zdroj data'!O63&lt;=Body!$BS$17),Body!$BQ$6,IF(AND('Zdroj data'!O63&gt;=Body!$BT$17,'Zdroj data'!O63&lt;=Body!$BV$17),Body!$BT$6,IF(AND('Zdroj data'!O63&gt;=Body!$BW$17,'Zdroj data'!O63&lt;=Body!$BY$17),Body!$BW$6,IF('Zdroj data'!O63&gt;=Body!$CB$17,Body!$BZ$6," "))))))))))," ")))</f>
        <v xml:space="preserve"> </v>
      </c>
      <c r="AG63" s="264" t="str">
        <f>IF(AND('Zdroj data'!$BG63="L",'Zdroj data'!$AM63=Body!$AX$15),IF(AND(Tabulka1[[#This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data'!$BG63="ST",'Zdroj data'!$AM63=Body!$AX$16),IF(AND(Tabulka1[[#This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data'!$BG63="T",'Zdroj data'!$AM63=Body!$AX$17),IF(AND(Tabulka1[[#This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63" s="264">
        <f>IF(AND('Zdroj data'!BG63="L",'Zdroj data'!AM63=Body!$AX$18),IF(AND('Zdroj data'!O63&gt;=Body!$AY$18,'Zdroj data'!O63&lt;=Body!$BA$18),Body!AY$6,IF(AND('Zdroj data'!O63&gt;=Body!$BB$18,'Zdroj data'!O63&lt;=Body!$BD$18),Body!BB$6,IF(AND('Zdroj data'!O63&gt;=Body!$BE$18,'Zdroj data'!O63&lt;=Body!$BG$18),Body!BE$6,IF(AND('Zdroj data'!O63&gt;=Body!$BH$18,'Zdroj data'!O63&lt;=Body!$BJ$18),Body!BH$6,IF(AND('Zdroj data'!O63&gt;=Body!$BK$18,'Zdroj data'!O63&lt;=Body!$BM$18),Body!$BK$6,IF(AND('Zdroj data'!O63&gt;=Body!$BN$18,'Zdroj data'!O63&lt;=Body!$BP$18),Body!BN$6,IF(AND('Zdroj data'!O63&gt;=Body!$BQ$18,'Zdroj data'!O63&lt;=Body!$BS$18),Body!$BQ$6,IF(AND('Zdroj data'!O63&gt;=Body!$BT$18,'Zdroj data'!O63&lt;=Body!$BV$18),Body!$BT$6,IF(AND('Zdroj data'!O63&gt;=Body!$BW$18,'Zdroj data'!O63&lt;=Body!$BY$18),Body!$BW$6,IF('Zdroj data'!O63&gt;=Body!$CB$18,Body!$BZ$6," ")))))))))),IF(AND('Zdroj data'!BG63="ST",'Zdroj data'!AM63=Body!$AX$19),IF(AND('Zdroj data'!O63&gt;=Body!$AY$19,'Zdroj data'!O63&lt;=Body!$BA$19),Body!$AY$6,IF(AND('Zdroj data'!O63&gt;=Body!$BB$19,'Zdroj data'!O63&lt;=Body!$BD$19),Body!$BB$6,IF(AND('Zdroj data'!O63&gt;=Body!$BE$19,'Zdroj data'!O63&lt;=Body!$BG$19),Body!$BE$6,IF(AND('Zdroj data'!O63&gt;=Body!$BH$19,'Zdroj data'!O63&lt;=Body!$BJ$19),Body!$BH$6,IF(AND('Zdroj data'!O63&gt;=Body!$BK$19,'Zdroj data'!O63&lt;=Body!$BM$19),Body!$BK$6,IF(AND('Zdroj data'!O63&gt;=Body!$BN$19,'Zdroj data'!O63&lt;=Body!$BP$19),Body!$BN$6,IF(AND('Zdroj data'!O63&gt;=Body!$BQ$19,'Zdroj data'!O63&lt;=Body!$BS$19),Body!$BQ$6,IF(AND('Zdroj data'!O63&gt;=Body!$BT$19,'Zdroj data'!#REF!&lt;=Body!$BV$19),Body!$BT$6,IF(AND('Zdroj data'!O63&gt;=Body!$BW$19,'Zdroj data'!O63&lt;=Body!$BY$19),Body!$BW$6,IF('Zdroj data'!O63&gt;=Body!$CB$19,Body!$BZ$6," ")))))))))),IF(AND('Zdroj data'!BG63="T",'Zdroj data'!AM63=Body!$AX$20),IF(AND('Zdroj data'!O63&gt;=Body!$AY$20,'Zdroj data'!O63&lt;=Body!$BA$20),Body!$AY$6,IF(AND('Zdroj data'!O63&gt;=Body!$BB$20,'Zdroj data'!O63&lt;=Body!$BD$20),Body!$BB$6,IF(AND('Zdroj data'!O63&gt;=Body!$BE$20,'Zdroj data'!O63&lt;=Body!$BG$20),Body!$BE$6,IF(AND('Zdroj data'!O63&gt;=Body!$BH$20,'Zdroj data'!O63&lt;=Body!$BJ$20),Body!$BH$6,IF(AND('Zdroj data'!O63&gt;=Body!$BK$20,'Zdroj data'!O63&lt;=Body!$BM$20),Body!$BK$6,IF(AND('Zdroj data'!O63&gt;=Body!$BN$20,'Zdroj data'!O63&lt;=Body!$BP$20),Body!$BN$6,IF(AND('Zdroj data'!O63&gt;=Body!$BQ$20,'Zdroj data'!O63&lt;=Body!$BS$20),Body!$BQ$6,IF(AND('Zdroj data'!O63&gt;=Body!$BT$20,'Zdroj data'!O63&lt;=Body!#REF!),Body!$BT$6,IF(AND('Zdroj data'!O63&gt;=Body!$BW$20,'Zdroj data'!O63&lt;=Body!$BY$20),Body!$BW$6,IF('Zdroj data'!O63&gt;=Body!$CB$20,Body!$BZ$6," "))))))))))," ")))</f>
        <v>1</v>
      </c>
      <c r="AI63" s="264">
        <f>IF(AND('Zdroj data'!$BG63="L",'Zdroj data'!$AM63=Body!$AX$18),IF(AND(Tabulka1[[#This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data'!$BG63="ST",'Zdroj data'!$AM63=Body!$AX$19),IF(AND(Tabulka1[[#This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data'!$BG63="T",'Zdroj data'!$AM63=Body!$AX$20),IF(AND(Tabulka1[[#This Row],[K2O_60]]&gt;=Body!$AY$20,'Zdroj data'!O63&lt;=Body!$BA$20),Body!$AY$6,IF(AND(Tabulka1[[#This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1</v>
      </c>
      <c r="AJ63" s="265">
        <f t="shared" si="10"/>
        <v>16.000000000000014</v>
      </c>
      <c r="AK63" s="264">
        <f t="shared" si="3"/>
        <v>31.546347585733148</v>
      </c>
      <c r="AL63" s="264">
        <f t="shared" si="4"/>
        <v>30.131226075326005</v>
      </c>
      <c r="AM63" s="264">
        <f t="shared" si="5"/>
        <v>77.768198457473233</v>
      </c>
      <c r="AN63" s="264">
        <f t="shared" si="6"/>
        <v>83.12213374360914</v>
      </c>
      <c r="AO63" s="265">
        <f t="shared" si="11"/>
        <v>109.31454604320638</v>
      </c>
      <c r="AP63" s="265">
        <f t="shared" si="12"/>
        <v>113.25335981893514</v>
      </c>
      <c r="AQ63" s="318"/>
      <c r="AR63" s="338">
        <f t="shared" si="7"/>
        <v>238.56790586214152</v>
      </c>
      <c r="AS63" s="318"/>
      <c r="AT63" s="138"/>
      <c r="AU63" s="138"/>
    </row>
    <row r="64" spans="1:81" ht="15.5" x14ac:dyDescent="0.35">
      <c r="A64" s="270">
        <v>2599</v>
      </c>
      <c r="B64" s="156" t="s">
        <v>628</v>
      </c>
      <c r="C64" s="250" t="str">
        <f>VLOOKUP(B64,'Zdroj hloubka okresy'!$A$2:$D$171,2,FALSE)</f>
        <v>Mlada Boleslav</v>
      </c>
      <c r="D64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1</v>
      </c>
      <c r="E64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1</v>
      </c>
      <c r="F64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64" s="264">
        <f>IF(AND(Tabulka1[[#This Row],[hum_60]]&gt;AY70,Tabulka1[[#This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64" s="264">
        <f>IF(Tabulka1[[#This Row],[kv.ek.]]=Body!$AX$13,IF(AND('Zdroj data'!M64&gt;=Body!$AY$13,'Zdroj data'!M64&lt;=Body!$BA$13),Body!$AY$6,IF(AND('Zdroj data'!M64&gt;=Body!$BB$13,'Zdroj data'!M64&lt;=Body!$BD$13),Body!$BB$6,IF(AND('Zdroj data'!M64&gt;=Body!$BE$13,'Zdroj data'!M64&lt;=Body!$BG$13),Body!$BE$6,IF(AND('Zdroj data'!M64&gt;=Body!$BH$13,'Zdroj data'!M64&lt;=Body!$BJ$13),Body!$BH$6,IF(AND('Zdroj data'!M64&gt;=Body!$BK$13,'Zdroj data'!M64&lt;=Body!$BM$13),Body!$BK$6,IF(AND('Zdroj data'!M64&gt;=Body!$BN$13,'Zdroj data'!M64&lt;=Body!$BP$13),Body!$BN$6,IF(AND('Zdroj data'!M64&gt;=Body!$BQ$13,'Zdroj data'!M64&lt;=Body!$BS$13),Body!$BQ$6,IF(AND('Zdroj data'!M64&gt;=Body!$BT$13,'Zdroj data'!M64&lt;=Body!$BV$13),Body!$BT$6,IF(AND('Zdroj data'!M64&gt;=Body!$BW$13,'Zdroj data'!M64&lt;=Body!$BY$13),Body!$BW$6,IF('Zdroj data'!M64&gt;=Body!$CB$13,Body!$BZ$6," ")))))))))),IF(Tabulka1[[#This Row],[kv.ek.]]=Body!$AX$14,IF(AND('Zdroj data'!N64&gt;=Body!$AY$14,'Zdroj data'!N64&lt;=Body!$BA$14),Body!$AY$6,IF(AND('Zdroj data'!N64&gt;=Body!$BB$14,'Zdroj data'!N64&lt;=Body!$BD$14),Body!$BB$6,IF(AND('Zdroj data'!N64&gt;=Body!$BE$14,'Zdroj data'!N64&lt;=Body!$BG$14),Body!$BE$6,IF(AND('Zdroj data'!N64&gt;=Body!$BH$14,'Zdroj data'!N64&lt;=Body!$BJ$14),Body!$BH$6,IF(AND('Zdroj data'!N64&gt;=Body!$BK$14,'Zdroj data'!N64&lt;=Body!$BM$14),Body!$BK$6,IF(AND('Zdroj data'!N64&gt;=Body!$BN$14,'Zdroj data'!N64&lt;=Body!$BP$14),Body!$BN$6,IF(AND('Zdroj data'!N64&gt;=Body!$BQ$14,'Zdroj data'!N64&lt;=Body!$BS$14),Body!$BQ$6,IF(AND('Zdroj data'!N64&gt;=Body!$BT$14,'Zdroj data'!N64&lt;=Body!$BV$14),Body!$BT$6,IF(AND('Zdroj data'!N64&gt;=Body!$BW$14,'Zdroj data'!N64&lt;=Body!$BY$14),Body!$BW$6,IF('Zdroj data'!N64&gt;=Body!$CB$14,Body!$BZ$6," "))))))))))," "))</f>
        <v>3</v>
      </c>
      <c r="I64" s="264">
        <f>IF(Tabulka1[[#This Row],[kv.ek.]]=Body!$AX$13,IF(AND('Zdroj data'!N64&gt;=Body!$AY$13,'Zdroj data'!N64&lt;=Body!$BA$13),Body!$AY$6,IF(AND('Zdroj data'!N64&gt;=Body!$BB$13,'Zdroj data'!N64&lt;=Body!$BD$13),Body!$BB$6,IF(AND('Zdroj data'!N64&gt;=Body!$BE$13,'Zdroj data'!N64&lt;=Body!$BG$13),Body!$BE$6,IF(AND('Zdroj data'!N64&gt;=Body!$BH$13,'Zdroj data'!N64&lt;=Body!$BJ$13),Body!$BH$6,IF(AND('Zdroj data'!N64&gt;=Body!$BK$13,'Zdroj data'!N64&lt;=Body!$BM$13),Body!$BK$6,IF(AND('Zdroj data'!N64&gt;=Body!$BN$13,'Zdroj data'!N64&lt;=Body!$BP$13),Body!$BN$6,IF(AND('Zdroj data'!N64&gt;=Body!$BQ$13,'Zdroj data'!N64&lt;=Body!$BS$13),Body!$BQ$6,IF(AND('Zdroj data'!N64&gt;=Body!$BT$13,'Zdroj data'!N64&lt;=Body!$BV$13),Body!$BT$6,IF(AND('Zdroj data'!N64&gt;=Body!$BW$13,'Zdroj data'!N64&lt;=Body!$BY$13),Body!$BW$6,IF('Zdroj data'!N64&gt;=Body!$CB$13,Body!$BZ$6," ")))))))))),IF(Tabulka1[[#This Row],[kv.ek.]]=Body!$AX$14,IF(AND('Zdroj data'!O64&gt;=Body!$AY$14,'Zdroj data'!O64&lt;=Body!$BA$14),Body!$AY$6,IF(AND('Zdroj data'!O64&gt;=Body!$BB$14,'Zdroj data'!O64&lt;=Body!$BD$14),Body!$BB$6,IF(AND('Zdroj data'!O64&gt;=Body!$BE$14,'Zdroj data'!O64&lt;=Body!$BG$14),Body!$BE$6,IF(AND('Zdroj data'!O64&gt;=Body!$BH$14,'Zdroj data'!O64&lt;=Body!$BJ$14),Body!$BH$6,IF(AND('Zdroj data'!O64&gt;=Body!$BK$14,'Zdroj data'!O64&lt;=Body!$BM$14),Body!$BK$6,IF(AND('Zdroj data'!O64&gt;=Body!$BN$14,'Zdroj data'!O64&lt;=Body!$BP$14),Body!$BN$6,IF(AND('Zdroj data'!O64&gt;=Body!$BQ$14,'Zdroj data'!O64&lt;=Body!$BS$14),Body!$BQ$6,IF(AND('Zdroj data'!O64&gt;=Body!$BT$14,'Zdroj data'!O64&lt;=Body!$BV$14),Body!$BT$6,IF(AND('Zdroj data'!O64&gt;=Body!$BW$14,'Zdroj data'!O64&lt;=Body!$BY$14),Body!$BW$6,IF('Zdroj data'!O64&gt;=Body!$CB$14,Body!$BZ$6," "))))))))))," "))</f>
        <v>8</v>
      </c>
      <c r="J64" s="264">
        <f t="shared" si="8"/>
        <v>2</v>
      </c>
      <c r="K64" s="264">
        <f t="shared" si="9"/>
        <v>1</v>
      </c>
      <c r="L64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64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64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64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64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64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64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64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9</v>
      </c>
      <c r="T64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64" s="264">
        <f>IF('Zdroj data'!BB64=Body!$AY$25,Body!$AY$22,IF('Zdroj data'!BB64=Body!$BB$25,Body!$BB$22,IF('Zdroj data'!BB64=Body!$BE$25,Body!$BE$22,IF('Zdroj data'!BB64=Body!$BH$25,Body!$BH$22,IF('Zdroj data'!BB64=Body!BK$25,Body!$BK$22,IF('Zdroj data'!BB64=Body!$BN$25,Body!$BN$22,IF('Zdroj data'!BB64=Body!$BQ$25,Body!$BQ$22,IF('Zdroj data'!BB64=Body!$BT$25,Body!$BT$22,IF('Zdroj data'!BB64=Body!$BW$25,Body!$BW$22,IF('Zdroj data'!BB64=Body!$BZ$25,Body!$BZ$22," "))))))))))</f>
        <v>8</v>
      </c>
      <c r="V64" s="264">
        <f>IF(AND('Zdroj data'!BO64&gt;Body!$AY$27,'Zdroj data'!BO64&lt;=Body!$BA$27),Body!$AY$22,IF(AND('Zdroj data'!BO64&gt;=Body!$BB$27,'Zdroj data'!BO64&lt;=Body!$BD$27),Body!$BB$22,IF(AND('Zdroj data'!BO64&gt;=Body!$BE$27,'Zdroj data'!BO64&lt;=Body!$BG$27),Body!$BE$22,IF(AND('Zdroj data'!BO64&gt;=Body!$BH$27,'Zdroj data'!BO64&lt;=Body!$BJ$27),Body!$BH$22,IF(AND('Zdroj data'!BO64&gt;=Body!$BK$27,'Zdroj data'!BO64&lt;=Body!$BM$27),Body!$BK$22,IF(AND('Zdroj data'!BO64&gt;=Body!$BN$27,'Zdroj data'!BO64&lt;=Body!$BP$27),Body!$BN$22,IF(AND('Zdroj data'!BO64&gt;=Body!$BQ$27,'Zdroj data'!BO64&lt;=Body!$BS$27),Body!$BQ$22,IF(AND('Zdroj data'!BO64&gt;=Body!$BT$27,'Zdroj data'!BO64&lt;=Body!$BV$27),Body!$BT$22,IF(AND('Zdroj data'!BO64&gt;=Body!$BW$27,'Zdroj data'!BO64&lt;=Body!$BY$27),Body!$BW$22,IF('Zdroj data'!BO64&gt;=Body!$CB$27,$BZ$22," "))))))))))</f>
        <v>7</v>
      </c>
      <c r="W64" s="264">
        <f>IF(AND('Zdroj data'!BP64&gt;Body!$AY$27,'Zdroj data'!BP64&lt;=Body!$BA$27),Body!$AY$22,IF(AND('Zdroj data'!BP64&gt;=Body!$BB$27,'Zdroj data'!BP64&lt;=Body!$BD$27),Body!$BB$22,IF(AND('Zdroj data'!BP64&gt;=Body!$BE$27,'Zdroj data'!BP64&lt;=Body!$BG$27),Body!$BE$22,IF(AND('Zdroj data'!BP64&gt;=Body!$BH$27,'Zdroj data'!BP64&lt;=Body!$BJ$27),Body!$BH$22,IF(AND('Zdroj data'!BP64&gt;=Body!$BK$27,'Zdroj data'!BP64&lt;=Body!$BM$27),Body!$BK$22,IF(AND('Zdroj data'!BP64&gt;=Body!$BN$27,'Zdroj data'!BP64&lt;=Body!$BP$27),Body!$BN$22,IF(AND('Zdroj data'!BP64&gt;=Body!$BQ$27,'Zdroj data'!BP64&lt;=Body!$BS$27),Body!$BQ$22,IF(AND('Zdroj data'!BP64&gt;=Body!$BT$27,'Zdroj data'!BP64&lt;=Body!$BV$27),Body!$BT$22,IF(AND('Zdroj data'!BP64&gt;=Body!$BW$27,'Zdroj data'!BP64&lt;=Body!$BY$27),Body!$BW$22,IF('Zdroj data'!BP64&gt;=Body!$CB$27,$BZ$22," "))))))))))</f>
        <v>7</v>
      </c>
      <c r="X64" s="264">
        <f>IF('Zdroj data'!BA64=Body!$BB$28,$BB$22,IF('Zdroj data'!BA64=Body!$BE$28,$BE$22,IF(OR('Zdroj data'!BA64=Body!$BK$28,'Zdroj data'!BA64=Body!$BL$28,'Zdroj data'!BA64=Body!$BM$28),$BK$22,IF(OR('Zdroj data'!BA64=Body!$BT$28,'Zdroj data'!BA64=Body!$BV$28),$BT$22,IF(OR('Zdroj data'!BA64=Body!$BW$28,'Zdroj data'!BA64=Body!$BY$28),$BW$22,IF('Zdroj data'!BA64=Body!$BZ$28,$BZ$22," "))))))</f>
        <v>10</v>
      </c>
      <c r="Y64" s="264">
        <f>IF('Zdroj data'!AZ64=Body!$BZ$29,Body!$BZ$22,IF(OR('Zdroj data'!AZ64=$BT$29,'Zdroj data'!AZ64=$BU$29,'Zdroj data'!AZ64=$BV$29),$BT$22,IF(OR('Zdroj data'!AZ64=$BK$29,'Zdroj data'!AZ64=$BM$29),$BK$22,IF(OR('Zdroj data'!AZ64=$BE$29,'Zdroj data'!AZ64=$BG$29),$BE$22,IF(OR('Zdroj data'!AZ64=$AY$29,'Zdroj data'!AZ64=$BA$29),$AY$22," ")))))</f>
        <v>10</v>
      </c>
      <c r="Z64" s="264">
        <f>IF(AND('Zdroj data'!BF64="T",(OR('Zdroj data'!AZ64=Body!$AW$45,'Zdroj data'!AZ64=Body!$AW$46,'Zdroj data'!AZ64=Body!$AW$47,'Zdroj data'!AZ64=Body!$AW$48))),Body!$AY$22,IF(AND('Zdroj data'!BF64="T",(OR('Zdroj data'!AZ64=$AW$49,'Zdroj data'!AZ64=$AW$50,'Zdroj data'!AZ64=$AW$51,'Zdroj data'!AZ64=$AW$52))),$BZ$22,IF(AND(OR('Zdroj data'!BF64="VT",'Zdroj data'!BF64="T",'Zdroj data'!BF64="CH"),(OR('Zdroj data'!AZ64=$AW$43,'Zdroj data'!AZ64=$AW$44,))),$BZ$22,IF(AND('Zdroj data'!BF64="CH",(OR('Zdroj data'!AZ64=$AW$49,'Zdroj data'!AZ64=$AW$50,'Zdroj data'!AZ64=$AW$51,'Zdroj data'!AZ64=$AW$52))),$AY$22,IF(AND('Zdroj data'!BF64="CH",(OR('Zdroj data'!AZ64=$AW$45,'Zdroj data'!AZ64=$AW$46,'Zdroj data'!AZ64=$AW$47,'Zdroj data'!AZ64=$AW$48))),$BZ$22," ")))))</f>
        <v>10</v>
      </c>
      <c r="AA64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64" s="264">
        <f>IF(Tabulka1[[#This Row],[kv.ek.]]=Body!$BK$35,Body!$BK$34,IF(Tabulka1[[#This Row],[kv.ek.]]=Body!$BZ$35,Body!$BZ$34," "))</f>
        <v>10</v>
      </c>
      <c r="AC64" s="264" t="str">
        <f>IF(AND('Zdroj data'!BF64="T",(OR('Zdroj data'!AZ64=Body!$AW$45,'Zdroj data'!AZ64=Body!$AW$46,'Zdroj data'!AZ64=Body!$AW$47,'Zdroj data'!AZ64=Body!$AW$48))),Body!$AY$22,IF(AND('Zdroj data'!BF64="T",(OR('Zdroj data'!AZ64=$AW$49,'Zdroj data'!AZ64=$AW$50,'Zdroj data'!AZ64=$AW$51,'Zdroj data'!AZ64=$AW$52))),$BZ$22," "))</f>
        <v xml:space="preserve"> </v>
      </c>
      <c r="AD64" s="264">
        <f>IF(AND(OR('Zdroj data'!BF64="VT",'Zdroj data'!BF64="T",'Zdroj data'!BF64="CH"),(OR('Zdroj data'!AZ64=$AW$43,'Zdroj data'!AZ64=$AW$44,))),$BZ$22," ")</f>
        <v>10</v>
      </c>
      <c r="AE64" s="264" t="str">
        <f>IF(AND('Zdroj data'!BF64="CH",(OR('Zdroj data'!AZ64=$AW$49,'Zdroj data'!AZ64=$AW$50,'Zdroj data'!AZ64=$AW$51,'Zdroj data'!AZ64=$AW$52))),$AY$22,IF(AND('Zdroj data'!BF64="CH",(OR('Zdroj data'!AZ64=$AW$45,'Zdroj data'!AZ64=$AW$46,'Zdroj data'!AZ64=$AW$47,'Zdroj data'!AZ64=$AW$48))),$BZ$22," "))</f>
        <v xml:space="preserve"> </v>
      </c>
      <c r="AF64" s="264" t="str">
        <f>IF(AND('Zdroj data'!BG64="L",'Zdroj data'!AM64=Body!$AX$15),IF(AND('Zdroj data'!O64&gt;=Body!$AY$15,'Zdroj data'!O64&lt;=Body!$BA$15),Body!AY$6,IF(AND('Zdroj data'!O64&gt;=Body!$BB$15,'Zdroj data'!O64&lt;=Body!$BD$15),Body!BB$6,IF(AND('Zdroj data'!O64&gt;=Body!$BE$15,'Zdroj data'!O64&lt;=Body!$BG$15),Body!BE$6,IF(AND('Zdroj data'!O64&gt;=Body!$BH$15,'Zdroj data'!O64&lt;=Body!$BJ$15),Body!BH$6,IF(AND('Zdroj data'!O64&gt;=Body!$BK$15,'Zdroj data'!O64&lt;=Body!$BM$15),Body!BK$6,IF(AND('Zdroj data'!O64&gt;=Body!$BN$15,'Zdroj data'!O64&lt;=Body!$BP$15),Body!$BN$6,IF(AND('Zdroj data'!O64&gt;=Body!$BQ$15,'Zdroj data'!O64&lt;=Body!$BS$15),Body!$BQ$6,IF(AND('Zdroj data'!O64&gt;=Body!$BT$15,'Zdroj data'!O64&lt;=Body!$BV$15),Body!BT$6,IF(AND('Zdroj data'!O64&gt;=Body!$BW$15,'Zdroj data'!O64&lt;=Body!$BY$15),Body!$BW$6,IF('Zdroj data'!O64&gt;=Body!$CB$15,Body!$BZ$6," ")))))))))),IF(AND('Zdroj data'!BG64="ST",'Zdroj data'!AM64=Body!$AX$16),IF(AND('Zdroj data'!O64&gt;=Body!$AY$16,'Zdroj data'!O64&lt;=Body!$BA$16),Body!$AY$6,IF(AND('Zdroj data'!O64&gt;=Body!$BB$16,'Zdroj data'!O64&lt;=Body!$BD$16),Body!$BB$6,IF(AND('Zdroj data'!O64&gt;=Body!$BE$16,'Zdroj data'!O64&lt;=Body!$BG$16),Body!$BE$6,IF(AND('Zdroj data'!O64&gt;=Body!$BH$16,'Zdroj data'!O64&lt;=Body!$BJ$16),Body!$BH$6,IF(AND('Zdroj data'!O64&gt;=Body!$BK$16,'Zdroj data'!O64&lt;=Body!$BM$16),Body!$BK$6,IF(AND('Zdroj data'!O64&gt;=Body!$BN$16,'Zdroj data'!O64&lt;=Body!$BP$16),Body!$BN$6,IF(AND('Zdroj data'!O64&gt;=Body!$BQ$16,'Zdroj data'!O64&lt;=Body!$BS$16),Body!$BQ$6,IF(AND('Zdroj data'!O64&gt;=Body!$BT$16,'Zdroj data'!O64&lt;=Body!$BV$16),Body!$BT$6,IF(AND('Zdroj data'!O64&gt;=Body!$BW$16,'Zdroj data'!O64&lt;=Body!$BY$16),Body!$BW$6,IF('Zdroj data'!O64&gt;=Body!$CB$16,Body!$BZ$6," ")))))))))),IF(AND('Zdroj data'!BG64="T",'Zdroj data'!AM64=Body!$AX$17),IF(AND('Zdroj data'!O64&gt;=Body!$AY$17,'Zdroj data'!O64&lt;=Body!$BA$17),Body!$AY$6,IF(AND('Zdroj data'!O64&gt;=Body!$BB$17,'Zdroj data'!O64&lt;=Body!$BD$17),Body!$BB$6,IF(AND('Zdroj data'!O64&gt;=Body!$BE$17,'Zdroj data'!O64&lt;=Body!$BG$17),Body!$BE$6,IF(AND('Zdroj data'!O64&gt;=Body!$BH$17,'Zdroj data'!O64&lt;=Body!#REF!),Body!$BH$6,IF(AND('Zdroj data'!O64&gt;=Body!$BK$17,'Zdroj data'!O64&lt;=Body!$BM$17),Body!$BK$6,IF(AND('Zdroj data'!O64&gt;=Body!$BN$17,'Zdroj data'!O64&lt;=Body!$BP$17),Body!$BN$6,IF(AND('Zdroj data'!O64&gt;=Body!$BQ$17,'Zdroj data'!O64&lt;=Body!$BS$17),Body!$BQ$6,IF(AND('Zdroj data'!O64&gt;=Body!$BT$17,'Zdroj data'!O64&lt;=Body!$BV$17),Body!$BT$6,IF(AND('Zdroj data'!O64&gt;=Body!$BW$17,'Zdroj data'!O64&lt;=Body!$BY$17),Body!$BW$6,IF('Zdroj data'!O64&gt;=Body!$CB$17,Body!$BZ$6," "))))))))))," ")))</f>
        <v xml:space="preserve"> </v>
      </c>
      <c r="AG64" s="264" t="str">
        <f>IF(AND('Zdroj data'!$BG64="L",'Zdroj data'!$AM64=Body!$AX$15),IF(AND(Tabulka1[[#This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data'!$BG64="ST",'Zdroj data'!$AM64=Body!$AX$16),IF(AND(Tabulka1[[#This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data'!$BG64="T",'Zdroj data'!$AM64=Body!$AX$17),IF(AND(Tabulka1[[#This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64" s="264">
        <f>IF(AND('Zdroj data'!BG64="L",'Zdroj data'!AM64=Body!$AX$18),IF(AND('Zdroj data'!O64&gt;=Body!$AY$18,'Zdroj data'!O64&lt;=Body!$BA$18),Body!AY$6,IF(AND('Zdroj data'!O64&gt;=Body!$BB$18,'Zdroj data'!O64&lt;=Body!$BD$18),Body!BB$6,IF(AND('Zdroj data'!O64&gt;=Body!$BE$18,'Zdroj data'!O64&lt;=Body!$BG$18),Body!BE$6,IF(AND('Zdroj data'!O64&gt;=Body!$BH$18,'Zdroj data'!O64&lt;=Body!$BJ$18),Body!BH$6,IF(AND('Zdroj data'!O64&gt;=Body!$BK$18,'Zdroj data'!O64&lt;=Body!$BM$18),Body!$BK$6,IF(AND('Zdroj data'!O64&gt;=Body!$BN$18,'Zdroj data'!O64&lt;=Body!$BP$18),Body!BN$6,IF(AND('Zdroj data'!O64&gt;=Body!$BQ$18,'Zdroj data'!O64&lt;=Body!$BS$18),Body!$BQ$6,IF(AND('Zdroj data'!O64&gt;=Body!$BT$18,'Zdroj data'!O64&lt;=Body!$BV$18),Body!$BT$6,IF(AND('Zdroj data'!O64&gt;=Body!$BW$18,'Zdroj data'!O64&lt;=Body!$BY$18),Body!$BW$6,IF('Zdroj data'!O64&gt;=Body!$CB$18,Body!$BZ$6," ")))))))))),IF(AND('Zdroj data'!BG64="ST",'Zdroj data'!AM64=Body!$AX$19),IF(AND('Zdroj data'!O64&gt;=Body!$AY$19,'Zdroj data'!O64&lt;=Body!$BA$19),Body!$AY$6,IF(AND('Zdroj data'!O64&gt;=Body!$BB$19,'Zdroj data'!O64&lt;=Body!$BD$19),Body!$BB$6,IF(AND('Zdroj data'!O64&gt;=Body!$BE$19,'Zdroj data'!O64&lt;=Body!$BG$19),Body!$BE$6,IF(AND('Zdroj data'!O64&gt;=Body!$BH$19,'Zdroj data'!O64&lt;=Body!$BJ$19),Body!$BH$6,IF(AND('Zdroj data'!O64&gt;=Body!$BK$19,'Zdroj data'!O64&lt;=Body!$BM$19),Body!$BK$6,IF(AND('Zdroj data'!O64&gt;=Body!$BN$19,'Zdroj data'!O64&lt;=Body!$BP$19),Body!$BN$6,IF(AND('Zdroj data'!O64&gt;=Body!$BQ$19,'Zdroj data'!O64&lt;=Body!$BS$19),Body!$BQ$6,IF(AND('Zdroj data'!O64&gt;=Body!$BT$19,'Zdroj data'!#REF!&lt;=Body!$BV$19),Body!$BT$6,IF(AND('Zdroj data'!O64&gt;=Body!$BW$19,'Zdroj data'!O64&lt;=Body!$BY$19),Body!$BW$6,IF('Zdroj data'!O64&gt;=Body!$CB$19,Body!$BZ$6," ")))))))))),IF(AND('Zdroj data'!BG64="T",'Zdroj data'!AM64=Body!$AX$20),IF(AND('Zdroj data'!O64&gt;=Body!$AY$20,'Zdroj data'!O64&lt;=Body!$BA$20),Body!$AY$6,IF(AND('Zdroj data'!O64&gt;=Body!$BB$20,'Zdroj data'!O64&lt;=Body!$BD$20),Body!$BB$6,IF(AND('Zdroj data'!O64&gt;=Body!$BE$20,'Zdroj data'!O64&lt;=Body!$BG$20),Body!$BE$6,IF(AND('Zdroj data'!O64&gt;=Body!$BH$20,'Zdroj data'!O64&lt;=Body!$BJ$20),Body!$BH$6,IF(AND('Zdroj data'!O64&gt;=Body!$BK$20,'Zdroj data'!O64&lt;=Body!$BM$20),Body!$BK$6,IF(AND('Zdroj data'!O64&gt;=Body!$BN$20,'Zdroj data'!O64&lt;=Body!$BP$20),Body!$BN$6,IF(AND('Zdroj data'!O64&gt;=Body!$BQ$20,'Zdroj data'!O64&lt;=Body!$BS$20),Body!$BQ$6,IF(AND('Zdroj data'!O64&gt;=Body!$BT$20,'Zdroj data'!O64&lt;=Body!#REF!),Body!$BT$6,IF(AND('Zdroj data'!O64&gt;=Body!$BW$20,'Zdroj data'!O64&lt;=Body!$BY$20),Body!$BW$6,IF('Zdroj data'!O64&gt;=Body!$CB$20,Body!$BZ$6," "))))))))))," ")))</f>
        <v>2</v>
      </c>
      <c r="AI64" s="264">
        <f>IF(AND('Zdroj data'!$BG64="L",'Zdroj data'!$AM64=Body!$AX$18),IF(AND(Tabulka1[[#This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data'!$BG64="ST",'Zdroj data'!$AM64=Body!$AX$19),IF(AND(Tabulka1[[#This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data'!$BG64="T",'Zdroj data'!$AM64=Body!$AX$20),IF(AND(Tabulka1[[#This Row],[K2O_60]]&gt;=Body!$AY$20,'Zdroj data'!O64&lt;=Body!$BA$20),Body!$AY$6,IF(AND(Tabulka1[[#This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1</v>
      </c>
      <c r="AJ64" s="265">
        <f t="shared" si="10"/>
        <v>16.000000000000014</v>
      </c>
      <c r="AK64" s="264">
        <f t="shared" si="3"/>
        <v>27.73041717393934</v>
      </c>
      <c r="AL64" s="264">
        <f t="shared" si="4"/>
        <v>29.77159003507759</v>
      </c>
      <c r="AM64" s="264">
        <f t="shared" si="5"/>
        <v>78.488354122003187</v>
      </c>
      <c r="AN64" s="264">
        <f t="shared" si="6"/>
        <v>82.401978079079186</v>
      </c>
      <c r="AO64" s="265">
        <f t="shared" si="11"/>
        <v>106.21877129594253</v>
      </c>
      <c r="AP64" s="265">
        <f t="shared" si="12"/>
        <v>112.17356811415678</v>
      </c>
      <c r="AQ64" s="318"/>
      <c r="AR64" s="338">
        <f t="shared" si="7"/>
        <v>234.39233941009934</v>
      </c>
      <c r="AS64" s="318"/>
      <c r="AT64" s="138"/>
      <c r="AU64" s="138"/>
    </row>
    <row r="65" spans="1:47" ht="15.5" x14ac:dyDescent="0.35">
      <c r="A65" s="270">
        <v>2602</v>
      </c>
      <c r="B65" s="156" t="s">
        <v>614</v>
      </c>
      <c r="C65" s="250" t="str">
        <f>VLOOKUP(B65,'Zdroj hloubka okresy'!$A$2:$D$171,2,FALSE)</f>
        <v>Mlada Boleslav</v>
      </c>
      <c r="D65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1</v>
      </c>
      <c r="E65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1</v>
      </c>
      <c r="F65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65" s="264">
        <f>IF(AND(Tabulka1[[#This Row],[hum_60]]&gt;AY71,Tabulka1[[#This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65" s="264">
        <f>IF(Tabulka1[[#This Row],[kv.ek.]]=Body!$AX$13,IF(AND('Zdroj data'!M65&gt;=Body!$AY$13,'Zdroj data'!M65&lt;=Body!$BA$13),Body!$AY$6,IF(AND('Zdroj data'!M65&gt;=Body!$BB$13,'Zdroj data'!M65&lt;=Body!$BD$13),Body!$BB$6,IF(AND('Zdroj data'!M65&gt;=Body!$BE$13,'Zdroj data'!M65&lt;=Body!$BG$13),Body!$BE$6,IF(AND('Zdroj data'!M65&gt;=Body!$BH$13,'Zdroj data'!M65&lt;=Body!$BJ$13),Body!$BH$6,IF(AND('Zdroj data'!M65&gt;=Body!$BK$13,'Zdroj data'!M65&lt;=Body!$BM$13),Body!$BK$6,IF(AND('Zdroj data'!M65&gt;=Body!$BN$13,'Zdroj data'!M65&lt;=Body!$BP$13),Body!$BN$6,IF(AND('Zdroj data'!M65&gt;=Body!$BQ$13,'Zdroj data'!M65&lt;=Body!$BS$13),Body!$BQ$6,IF(AND('Zdroj data'!M65&gt;=Body!$BT$13,'Zdroj data'!M65&lt;=Body!$BV$13),Body!$BT$6,IF(AND('Zdroj data'!M65&gt;=Body!$BW$13,'Zdroj data'!M65&lt;=Body!$BY$13),Body!$BW$6,IF('Zdroj data'!M65&gt;=Body!$CB$13,Body!$BZ$6," ")))))))))),IF(Tabulka1[[#This Row],[kv.ek.]]=Body!$AX$14,IF(AND('Zdroj data'!N65&gt;=Body!$AY$14,'Zdroj data'!N65&lt;=Body!$BA$14),Body!$AY$6,IF(AND('Zdroj data'!N65&gt;=Body!$BB$14,'Zdroj data'!N65&lt;=Body!$BD$14),Body!$BB$6,IF(AND('Zdroj data'!N65&gt;=Body!$BE$14,'Zdroj data'!N65&lt;=Body!$BG$14),Body!$BE$6,IF(AND('Zdroj data'!N65&gt;=Body!$BH$14,'Zdroj data'!N65&lt;=Body!$BJ$14),Body!$BH$6,IF(AND('Zdroj data'!N65&gt;=Body!$BK$14,'Zdroj data'!N65&lt;=Body!$BM$14),Body!$BK$6,IF(AND('Zdroj data'!N65&gt;=Body!$BN$14,'Zdroj data'!N65&lt;=Body!$BP$14),Body!$BN$6,IF(AND('Zdroj data'!N65&gt;=Body!$BQ$14,'Zdroj data'!N65&lt;=Body!$BS$14),Body!$BQ$6,IF(AND('Zdroj data'!N65&gt;=Body!$BT$14,'Zdroj data'!N65&lt;=Body!$BV$14),Body!$BT$6,IF(AND('Zdroj data'!N65&gt;=Body!$BW$14,'Zdroj data'!N65&lt;=Body!$BY$14),Body!$BW$6,IF('Zdroj data'!N65&gt;=Body!$CB$14,Body!$BZ$6," "))))))))))," "))</f>
        <v>2</v>
      </c>
      <c r="I65" s="264">
        <f>IF(Tabulka1[[#This Row],[kv.ek.]]=Body!$AX$13,IF(AND('Zdroj data'!N65&gt;=Body!$AY$13,'Zdroj data'!N65&lt;=Body!$BA$13),Body!$AY$6,IF(AND('Zdroj data'!N65&gt;=Body!$BB$13,'Zdroj data'!N65&lt;=Body!$BD$13),Body!$BB$6,IF(AND('Zdroj data'!N65&gt;=Body!$BE$13,'Zdroj data'!N65&lt;=Body!$BG$13),Body!$BE$6,IF(AND('Zdroj data'!N65&gt;=Body!$BH$13,'Zdroj data'!N65&lt;=Body!$BJ$13),Body!$BH$6,IF(AND('Zdroj data'!N65&gt;=Body!$BK$13,'Zdroj data'!N65&lt;=Body!$BM$13),Body!$BK$6,IF(AND('Zdroj data'!N65&gt;=Body!$BN$13,'Zdroj data'!N65&lt;=Body!$BP$13),Body!$BN$6,IF(AND('Zdroj data'!N65&gt;=Body!$BQ$13,'Zdroj data'!N65&lt;=Body!$BS$13),Body!$BQ$6,IF(AND('Zdroj data'!N65&gt;=Body!$BT$13,'Zdroj data'!N65&lt;=Body!$BV$13),Body!$BT$6,IF(AND('Zdroj data'!N65&gt;=Body!$BW$13,'Zdroj data'!N65&lt;=Body!$BY$13),Body!$BW$6,IF('Zdroj data'!N65&gt;=Body!$CB$13,Body!$BZ$6," ")))))))))),IF(Tabulka1[[#This Row],[kv.ek.]]=Body!$AX$14,IF(AND('Zdroj data'!O65&gt;=Body!$AY$14,'Zdroj data'!O65&lt;=Body!$BA$14),Body!$AY$6,IF(AND('Zdroj data'!O65&gt;=Body!$BB$14,'Zdroj data'!O65&lt;=Body!$BD$14),Body!$BB$6,IF(AND('Zdroj data'!O65&gt;=Body!$BE$14,'Zdroj data'!O65&lt;=Body!$BG$14),Body!$BE$6,IF(AND('Zdroj data'!O65&gt;=Body!$BH$14,'Zdroj data'!O65&lt;=Body!$BJ$14),Body!$BH$6,IF(AND('Zdroj data'!O65&gt;=Body!$BK$14,'Zdroj data'!O65&lt;=Body!$BM$14),Body!$BK$6,IF(AND('Zdroj data'!O65&gt;=Body!$BN$14,'Zdroj data'!O65&lt;=Body!$BP$14),Body!$BN$6,IF(AND('Zdroj data'!O65&gt;=Body!$BQ$14,'Zdroj data'!O65&lt;=Body!$BS$14),Body!$BQ$6,IF(AND('Zdroj data'!O65&gt;=Body!$BT$14,'Zdroj data'!O65&lt;=Body!$BV$14),Body!$BT$6,IF(AND('Zdroj data'!O65&gt;=Body!$BW$14,'Zdroj data'!O65&lt;=Body!$BY$14),Body!$BW$6,IF('Zdroj data'!O65&gt;=Body!$CB$14,Body!$BZ$6," "))))))))))," "))</f>
        <v>1</v>
      </c>
      <c r="J65" s="264">
        <f t="shared" si="8"/>
        <v>1</v>
      </c>
      <c r="K65" s="264">
        <f t="shared" si="9"/>
        <v>1</v>
      </c>
      <c r="L65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65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65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9</v>
      </c>
      <c r="O65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9</v>
      </c>
      <c r="P65" s="264">
        <f>IF(Tabulka1[[#This Row],[RVK]]=Body!$BE$10,Body!$BE$6,IF(Tabulka1[[#This Row],[RVK]]=Body!$BK$10,Body!$BK$6,IF(Tabulka1[[#This Row],[RVK]]=Body!$BN$10,Body!$BN$6,IF(Tabulka1[[#This Row],[RVK]]=Body!$BZ$10,Body!$BZ$6," "))))</f>
        <v>10</v>
      </c>
      <c r="Q65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65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65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65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65" s="264">
        <f>IF('Zdroj data'!BB65=Body!$AY$25,Body!$AY$22,IF('Zdroj data'!BB65=Body!$BB$25,Body!$BB$22,IF('Zdroj data'!BB65=Body!$BE$25,Body!$BE$22,IF('Zdroj data'!BB65=Body!$BH$25,Body!$BH$22,IF('Zdroj data'!BB65=Body!BK$25,Body!$BK$22,IF('Zdroj data'!BB65=Body!$BN$25,Body!$BN$22,IF('Zdroj data'!BB65=Body!$BQ$25,Body!$BQ$22,IF('Zdroj data'!BB65=Body!$BT$25,Body!$BT$22,IF('Zdroj data'!BB65=Body!$BW$25,Body!$BW$22,IF('Zdroj data'!BB65=Body!$BZ$25,Body!$BZ$22," "))))))))))</f>
        <v>7</v>
      </c>
      <c r="V65" s="264">
        <f>IF(AND('Zdroj data'!BO65&gt;Body!$AY$27,'Zdroj data'!BO65&lt;=Body!$BA$27),Body!$AY$22,IF(AND('Zdroj data'!BO65&gt;=Body!$BB$27,'Zdroj data'!BO65&lt;=Body!$BD$27),Body!$BB$22,IF(AND('Zdroj data'!BO65&gt;=Body!$BE$27,'Zdroj data'!BO65&lt;=Body!$BG$27),Body!$BE$22,IF(AND('Zdroj data'!BO65&gt;=Body!$BH$27,'Zdroj data'!BO65&lt;=Body!$BJ$27),Body!$BH$22,IF(AND('Zdroj data'!BO65&gt;=Body!$BK$27,'Zdroj data'!BO65&lt;=Body!$BM$27),Body!$BK$22,IF(AND('Zdroj data'!BO65&gt;=Body!$BN$27,'Zdroj data'!BO65&lt;=Body!$BP$27),Body!$BN$22,IF(AND('Zdroj data'!BO65&gt;=Body!$BQ$27,'Zdroj data'!BO65&lt;=Body!$BS$27),Body!$BQ$22,IF(AND('Zdroj data'!BO65&gt;=Body!$BT$27,'Zdroj data'!BO65&lt;=Body!$BV$27),Body!$BT$22,IF(AND('Zdroj data'!BO65&gt;=Body!$BW$27,'Zdroj data'!BO65&lt;=Body!$BY$27),Body!$BW$22,IF('Zdroj data'!BO65&gt;=Body!$CB$27,$BZ$22," "))))))))))</f>
        <v>6</v>
      </c>
      <c r="W65" s="264">
        <f>IF(AND('Zdroj data'!BP65&gt;Body!$AY$27,'Zdroj data'!BP65&lt;=Body!$BA$27),Body!$AY$22,IF(AND('Zdroj data'!BP65&gt;=Body!$BB$27,'Zdroj data'!BP65&lt;=Body!$BD$27),Body!$BB$22,IF(AND('Zdroj data'!BP65&gt;=Body!$BE$27,'Zdroj data'!BP65&lt;=Body!$BG$27),Body!$BE$22,IF(AND('Zdroj data'!BP65&gt;=Body!$BH$27,'Zdroj data'!BP65&lt;=Body!$BJ$27),Body!$BH$22,IF(AND('Zdroj data'!BP65&gt;=Body!$BK$27,'Zdroj data'!BP65&lt;=Body!$BM$27),Body!$BK$22,IF(AND('Zdroj data'!BP65&gt;=Body!$BN$27,'Zdroj data'!BP65&lt;=Body!$BP$27),Body!$BN$22,IF(AND('Zdroj data'!BP65&gt;=Body!$BQ$27,'Zdroj data'!BP65&lt;=Body!$BS$27),Body!$BQ$22,IF(AND('Zdroj data'!BP65&gt;=Body!$BT$27,'Zdroj data'!BP65&lt;=Body!$BV$27),Body!$BT$22,IF(AND('Zdroj data'!BP65&gt;=Body!$BW$27,'Zdroj data'!BP65&lt;=Body!$BY$27),Body!$BW$22,IF('Zdroj data'!BP65&gt;=Body!$CB$27,$BZ$22," "))))))))))</f>
        <v>7</v>
      </c>
      <c r="X65" s="264">
        <f>IF('Zdroj data'!BA65=Body!$BB$28,$BB$22,IF('Zdroj data'!BA65=Body!$BE$28,$BE$22,IF(OR('Zdroj data'!BA65=Body!$BK$28,'Zdroj data'!BA65=Body!$BL$28,'Zdroj data'!BA65=Body!$BM$28),$BK$22,IF(OR('Zdroj data'!BA65=Body!$BT$28,'Zdroj data'!BA65=Body!$BV$28),$BT$22,IF(OR('Zdroj data'!BA65=Body!$BW$28,'Zdroj data'!BA65=Body!$BY$28),$BW$22,IF('Zdroj data'!BA65=Body!$BZ$28,$BZ$22," "))))))</f>
        <v>8</v>
      </c>
      <c r="Y65" s="264">
        <f>IF('Zdroj data'!AZ65=Body!$BZ$29,Body!$BZ$22,IF(OR('Zdroj data'!AZ65=$BT$29,'Zdroj data'!AZ65=$BU$29,'Zdroj data'!AZ65=$BV$29),$BT$22,IF(OR('Zdroj data'!AZ65=$BK$29,'Zdroj data'!AZ65=$BM$29),$BK$22,IF(OR('Zdroj data'!AZ65=$BE$29,'Zdroj data'!AZ65=$BG$29),$BE$22,IF(OR('Zdroj data'!AZ65=$AY$29,'Zdroj data'!AZ65=$BA$29),$AY$22," ")))))</f>
        <v>8</v>
      </c>
      <c r="Z65" s="264">
        <f>IF(AND('Zdroj data'!BF65="T",(OR('Zdroj data'!AZ65=Body!$AW$45,'Zdroj data'!AZ65=Body!$AW$46,'Zdroj data'!AZ65=Body!$AW$47,'Zdroj data'!AZ65=Body!$AW$48))),Body!$AY$22,IF(AND('Zdroj data'!BF65="T",(OR('Zdroj data'!AZ65=$AW$49,'Zdroj data'!AZ65=$AW$50,'Zdroj data'!AZ65=$AW$51,'Zdroj data'!AZ65=$AW$52))),$BZ$22,IF(AND(OR('Zdroj data'!BF65="VT",'Zdroj data'!BF65="T",'Zdroj data'!BF65="CH"),(OR('Zdroj data'!AZ65=$AW$43,'Zdroj data'!AZ65=$AW$44,))),$BZ$22,IF(AND('Zdroj data'!BF65="CH",(OR('Zdroj data'!AZ65=$AW$49,'Zdroj data'!AZ65=$AW$50,'Zdroj data'!AZ65=$AW$51,'Zdroj data'!AZ65=$AW$52))),$AY$22,IF(AND('Zdroj data'!BF65="CH",(OR('Zdroj data'!AZ65=$AW$45,'Zdroj data'!AZ65=$AW$46,'Zdroj data'!AZ65=$AW$47,'Zdroj data'!AZ65=$AW$48))),$BZ$22," ")))))</f>
        <v>10</v>
      </c>
      <c r="AA65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65" s="264">
        <f>IF(Tabulka1[[#This Row],[kv.ek.]]=Body!$BK$35,Body!$BK$34,IF(Tabulka1[[#This Row],[kv.ek.]]=Body!$BZ$35,Body!$BZ$34," "))</f>
        <v>5</v>
      </c>
      <c r="AC65" s="264" t="str">
        <f>IF(AND('Zdroj data'!BF65="T",(OR('Zdroj data'!AZ65=Body!$AW$45,'Zdroj data'!AZ65=Body!$AW$46,'Zdroj data'!AZ65=Body!$AW$47,'Zdroj data'!AZ65=Body!$AW$48))),Body!$AY$22,IF(AND('Zdroj data'!BF65="T",(OR('Zdroj data'!AZ65=$AW$49,'Zdroj data'!AZ65=$AW$50,'Zdroj data'!AZ65=$AW$51,'Zdroj data'!AZ65=$AW$52))),$BZ$22," "))</f>
        <v xml:space="preserve"> </v>
      </c>
      <c r="AD65" s="264">
        <f>IF(AND(OR('Zdroj data'!BF65="VT",'Zdroj data'!BF65="T",'Zdroj data'!BF65="CH"),(OR('Zdroj data'!AZ65=$AW$43,'Zdroj data'!AZ65=$AW$44,))),$BZ$22," ")</f>
        <v>10</v>
      </c>
      <c r="AE65" s="264" t="str">
        <f>IF(AND('Zdroj data'!BF65="CH",(OR('Zdroj data'!AZ65=$AW$49,'Zdroj data'!AZ65=$AW$50,'Zdroj data'!AZ65=$AW$51,'Zdroj data'!AZ65=$AW$52))),$AY$22,IF(AND('Zdroj data'!BF65="CH",(OR('Zdroj data'!AZ65=$AW$45,'Zdroj data'!AZ65=$AW$46,'Zdroj data'!AZ65=$AW$47,'Zdroj data'!AZ65=$AW$48))),$BZ$22," "))</f>
        <v xml:space="preserve"> </v>
      </c>
      <c r="AF65" s="264">
        <f>IF(AND('Zdroj data'!BG65="L",'Zdroj data'!AM65=Body!$AX$15),IF(AND('Zdroj data'!O65&gt;=Body!$AY$15,'Zdroj data'!O65&lt;=Body!$BA$15),Body!AY$6,IF(AND('Zdroj data'!O65&gt;=Body!$BB$15,'Zdroj data'!O65&lt;=Body!$BD$15),Body!BB$6,IF(AND('Zdroj data'!O65&gt;=Body!$BE$15,'Zdroj data'!O65&lt;=Body!$BG$15),Body!BE$6,IF(AND('Zdroj data'!O65&gt;=Body!$BH$15,'Zdroj data'!O65&lt;=Body!$BJ$15),Body!BH$6,IF(AND('Zdroj data'!O65&gt;=Body!$BK$15,'Zdroj data'!O65&lt;=Body!$BM$15),Body!BK$6,IF(AND('Zdroj data'!O65&gt;=Body!$BN$15,'Zdroj data'!O65&lt;=Body!$BP$15),Body!$BN$6,IF(AND('Zdroj data'!O65&gt;=Body!$BQ$15,'Zdroj data'!O65&lt;=Body!$BS$15),Body!$BQ$6,IF(AND('Zdroj data'!O65&gt;=Body!$BT$15,'Zdroj data'!O65&lt;=Body!$BV$15),Body!BT$6,IF(AND('Zdroj data'!O65&gt;=Body!$BW$15,'Zdroj data'!O65&lt;=Body!$BY$15),Body!$BW$6,IF('Zdroj data'!O65&gt;=Body!$CB$15,Body!$BZ$6," ")))))))))),IF(AND('Zdroj data'!BG65="ST",'Zdroj data'!AM65=Body!$AX$16),IF(AND('Zdroj data'!O65&gt;=Body!$AY$16,'Zdroj data'!O65&lt;=Body!$BA$16),Body!$AY$6,IF(AND('Zdroj data'!O65&gt;=Body!$BB$16,'Zdroj data'!O65&lt;=Body!$BD$16),Body!$BB$6,IF(AND('Zdroj data'!O65&gt;=Body!$BE$16,'Zdroj data'!O65&lt;=Body!$BG$16),Body!$BE$6,IF(AND('Zdroj data'!O65&gt;=Body!$BH$16,'Zdroj data'!O65&lt;=Body!$BJ$16),Body!$BH$6,IF(AND('Zdroj data'!O65&gt;=Body!$BK$16,'Zdroj data'!O65&lt;=Body!$BM$16),Body!$BK$6,IF(AND('Zdroj data'!O65&gt;=Body!$BN$16,'Zdroj data'!O65&lt;=Body!$BP$16),Body!$BN$6,IF(AND('Zdroj data'!O65&gt;=Body!$BQ$16,'Zdroj data'!O65&lt;=Body!$BS$16),Body!$BQ$6,IF(AND('Zdroj data'!O65&gt;=Body!$BT$16,'Zdroj data'!O65&lt;=Body!$BV$16),Body!$BT$6,IF(AND('Zdroj data'!O65&gt;=Body!$BW$16,'Zdroj data'!O65&lt;=Body!$BY$16),Body!$BW$6,IF('Zdroj data'!O65&gt;=Body!$CB$16,Body!$BZ$6," ")))))))))),IF(AND('Zdroj data'!BG65="T",'Zdroj data'!AM65=Body!$AX$17),IF(AND('Zdroj data'!O65&gt;=Body!$AY$17,'Zdroj data'!O65&lt;=Body!$BA$17),Body!$AY$6,IF(AND('Zdroj data'!O65&gt;=Body!$BB$17,'Zdroj data'!O65&lt;=Body!$BD$17),Body!$BB$6,IF(AND('Zdroj data'!O65&gt;=Body!$BE$17,'Zdroj data'!O65&lt;=Body!$BG$17),Body!$BE$6,IF(AND('Zdroj data'!O65&gt;=Body!$BH$17,'Zdroj data'!O65&lt;=Body!#REF!),Body!$BH$6,IF(AND('Zdroj data'!O65&gt;=Body!$BK$17,'Zdroj data'!O65&lt;=Body!$BM$17),Body!$BK$6,IF(AND('Zdroj data'!O65&gt;=Body!$BN$17,'Zdroj data'!O65&lt;=Body!$BP$17),Body!$BN$6,IF(AND('Zdroj data'!O65&gt;=Body!$BQ$17,'Zdroj data'!O65&lt;=Body!$BS$17),Body!$BQ$6,IF(AND('Zdroj data'!O65&gt;=Body!$BT$17,'Zdroj data'!O65&lt;=Body!$BV$17),Body!$BT$6,IF(AND('Zdroj data'!O65&gt;=Body!$BW$17,'Zdroj data'!O65&lt;=Body!$BY$17),Body!$BW$6,IF('Zdroj data'!O65&gt;=Body!$CB$17,Body!$BZ$6," "))))))))))," ")))</f>
        <v>1</v>
      </c>
      <c r="AG65" s="264">
        <f>IF(AND('Zdroj data'!$BG65="L",'Zdroj data'!$AM65=Body!$AX$15),IF(AND(Tabulka1[[#This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data'!$BG65="ST",'Zdroj data'!$AM65=Body!$AX$16),IF(AND(Tabulka1[[#This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data'!$BG65="T",'Zdroj data'!$AM65=Body!$AX$17),IF(AND(Tabulka1[[#This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65" s="264" t="str">
        <f>IF(AND('Zdroj data'!BG65="L",'Zdroj data'!AM65=Body!$AX$18),IF(AND('Zdroj data'!O65&gt;=Body!$AY$18,'Zdroj data'!O65&lt;=Body!$BA$18),Body!AY$6,IF(AND('Zdroj data'!O65&gt;=Body!$BB$18,'Zdroj data'!O65&lt;=Body!$BD$18),Body!BB$6,IF(AND('Zdroj data'!O65&gt;=Body!$BE$18,'Zdroj data'!O65&lt;=Body!$BG$18),Body!BE$6,IF(AND('Zdroj data'!O65&gt;=Body!$BH$18,'Zdroj data'!O65&lt;=Body!$BJ$18),Body!BH$6,IF(AND('Zdroj data'!O65&gt;=Body!$BK$18,'Zdroj data'!O65&lt;=Body!$BM$18),Body!$BK$6,IF(AND('Zdroj data'!O65&gt;=Body!$BN$18,'Zdroj data'!O65&lt;=Body!$BP$18),Body!BN$6,IF(AND('Zdroj data'!O65&gt;=Body!$BQ$18,'Zdroj data'!O65&lt;=Body!$BS$18),Body!$BQ$6,IF(AND('Zdroj data'!O65&gt;=Body!$BT$18,'Zdroj data'!O65&lt;=Body!$BV$18),Body!$BT$6,IF(AND('Zdroj data'!O65&gt;=Body!$BW$18,'Zdroj data'!O65&lt;=Body!$BY$18),Body!$BW$6,IF('Zdroj data'!O65&gt;=Body!$CB$18,Body!$BZ$6," ")))))))))),IF(AND('Zdroj data'!BG65="ST",'Zdroj data'!AM65=Body!$AX$19),IF(AND('Zdroj data'!O65&gt;=Body!$AY$19,'Zdroj data'!O65&lt;=Body!$BA$19),Body!$AY$6,IF(AND('Zdroj data'!O65&gt;=Body!$BB$19,'Zdroj data'!O65&lt;=Body!$BD$19),Body!$BB$6,IF(AND('Zdroj data'!O65&gt;=Body!$BE$19,'Zdroj data'!O65&lt;=Body!$BG$19),Body!$BE$6,IF(AND('Zdroj data'!O65&gt;=Body!$BH$19,'Zdroj data'!O65&lt;=Body!$BJ$19),Body!$BH$6,IF(AND('Zdroj data'!O65&gt;=Body!$BK$19,'Zdroj data'!O65&lt;=Body!$BM$19),Body!$BK$6,IF(AND('Zdroj data'!O65&gt;=Body!$BN$19,'Zdroj data'!O65&lt;=Body!$BP$19),Body!$BN$6,IF(AND('Zdroj data'!O65&gt;=Body!$BQ$19,'Zdroj data'!O65&lt;=Body!$BS$19),Body!$BQ$6,IF(AND('Zdroj data'!O65&gt;=Body!$BT$19,'Zdroj data'!#REF!&lt;=Body!$BV$19),Body!$BT$6,IF(AND('Zdroj data'!O65&gt;=Body!$BW$19,'Zdroj data'!O65&lt;=Body!$BY$19),Body!$BW$6,IF('Zdroj data'!O65&gt;=Body!$CB$19,Body!$BZ$6," ")))))))))),IF(AND('Zdroj data'!BG65="T",'Zdroj data'!AM65=Body!$AX$20),IF(AND('Zdroj data'!O65&gt;=Body!$AY$20,'Zdroj data'!O65&lt;=Body!$BA$20),Body!$AY$6,IF(AND('Zdroj data'!O65&gt;=Body!$BB$20,'Zdroj data'!O65&lt;=Body!$BD$20),Body!$BB$6,IF(AND('Zdroj data'!O65&gt;=Body!$BE$20,'Zdroj data'!O65&lt;=Body!$BG$20),Body!$BE$6,IF(AND('Zdroj data'!O65&gt;=Body!$BH$20,'Zdroj data'!O65&lt;=Body!$BJ$20),Body!$BH$6,IF(AND('Zdroj data'!O65&gt;=Body!$BK$20,'Zdroj data'!O65&lt;=Body!$BM$20),Body!$BK$6,IF(AND('Zdroj data'!O65&gt;=Body!$BN$20,'Zdroj data'!O65&lt;=Body!$BP$20),Body!$BN$6,IF(AND('Zdroj data'!O65&gt;=Body!$BQ$20,'Zdroj data'!O65&lt;=Body!$BS$20),Body!$BQ$6,IF(AND('Zdroj data'!O65&gt;=Body!$BT$20,'Zdroj data'!O65&lt;=Body!#REF!),Body!$BT$6,IF(AND('Zdroj data'!O65&gt;=Body!$BW$20,'Zdroj data'!O65&lt;=Body!$BY$20),Body!$BW$6,IF('Zdroj data'!O65&gt;=Body!$CB$20,Body!$BZ$6," "))))))))))," ")))</f>
        <v xml:space="preserve"> </v>
      </c>
      <c r="AI65" s="264" t="str">
        <f>IF(AND('Zdroj data'!$BG65="L",'Zdroj data'!$AM65=Body!$AX$18),IF(AND(Tabulka1[[#This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data'!$BG65="ST",'Zdroj data'!$AM65=Body!$AX$19),IF(AND(Tabulka1[[#This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data'!$BG65="T",'Zdroj data'!$AM65=Body!$AX$20),IF(AND(Tabulka1[[#This Row],[K2O_60]]&gt;=Body!$AY$20,'Zdroj data'!O65&lt;=Body!$BA$20),Body!$AY$6,IF(AND(Tabulka1[[#This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65" s="265">
        <f t="shared" si="10"/>
        <v>14.666666666666682</v>
      </c>
      <c r="AK65" s="264">
        <f t="shared" si="3"/>
        <v>31.602371983366023</v>
      </c>
      <c r="AL65" s="264">
        <f t="shared" si="4"/>
        <v>30.708977256345555</v>
      </c>
      <c r="AM65" s="264">
        <f t="shared" si="5"/>
        <v>68.552553616979324</v>
      </c>
      <c r="AN65" s="264">
        <f t="shared" si="6"/>
        <v>77.924394738333291</v>
      </c>
      <c r="AO65" s="265">
        <f t="shared" si="11"/>
        <v>100.15492560034535</v>
      </c>
      <c r="AP65" s="265">
        <f t="shared" si="12"/>
        <v>108.63337199467884</v>
      </c>
      <c r="AQ65" s="318"/>
      <c r="AR65" s="338">
        <f t="shared" si="7"/>
        <v>223.45496426169086</v>
      </c>
      <c r="AS65" s="318"/>
      <c r="AT65" s="138"/>
      <c r="AU65" s="138"/>
    </row>
    <row r="66" spans="1:47" ht="15.5" x14ac:dyDescent="0.35">
      <c r="A66" s="270">
        <v>4016</v>
      </c>
      <c r="B66" s="156" t="s">
        <v>313</v>
      </c>
      <c r="C66" s="250" t="str">
        <f>VLOOKUP(B66,'Zdroj hloubka okresy'!$A$2:$D$171,2,FALSE)</f>
        <v>Kutna Hora</v>
      </c>
      <c r="D66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7</v>
      </c>
      <c r="E66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9</v>
      </c>
      <c r="F66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6</v>
      </c>
      <c r="G66" s="264">
        <f>IF(AND(Tabulka1[[#This Row],[hum_60]]&gt;AY72,Tabulka1[[#This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5</v>
      </c>
      <c r="H66" s="264">
        <f>IF(Tabulka1[[#This Row],[kv.ek.]]=Body!$AX$13,IF(AND('Zdroj data'!M66&gt;=Body!$AY$13,'Zdroj data'!M66&lt;=Body!$BA$13),Body!$AY$6,IF(AND('Zdroj data'!M66&gt;=Body!$BB$13,'Zdroj data'!M66&lt;=Body!$BD$13),Body!$BB$6,IF(AND('Zdroj data'!M66&gt;=Body!$BE$13,'Zdroj data'!M66&lt;=Body!$BG$13),Body!$BE$6,IF(AND('Zdroj data'!M66&gt;=Body!$BH$13,'Zdroj data'!M66&lt;=Body!$BJ$13),Body!$BH$6,IF(AND('Zdroj data'!M66&gt;=Body!$BK$13,'Zdroj data'!M66&lt;=Body!$BM$13),Body!$BK$6,IF(AND('Zdroj data'!M66&gt;=Body!$BN$13,'Zdroj data'!M66&lt;=Body!$BP$13),Body!$BN$6,IF(AND('Zdroj data'!M66&gt;=Body!$BQ$13,'Zdroj data'!M66&lt;=Body!$BS$13),Body!$BQ$6,IF(AND('Zdroj data'!M66&gt;=Body!$BT$13,'Zdroj data'!M66&lt;=Body!$BV$13),Body!$BT$6,IF(AND('Zdroj data'!M66&gt;=Body!$BW$13,'Zdroj data'!M66&lt;=Body!$BY$13),Body!$BW$6,IF('Zdroj data'!M66&gt;=Body!$CB$13,Body!$BZ$6," ")))))))))),IF(Tabulka1[[#This Row],[kv.ek.]]=Body!$AX$14,IF(AND('Zdroj data'!N66&gt;=Body!$AY$14,'Zdroj data'!N66&lt;=Body!$BA$14),Body!$AY$6,IF(AND('Zdroj data'!N66&gt;=Body!$BB$14,'Zdroj data'!N66&lt;=Body!$BD$14),Body!$BB$6,IF(AND('Zdroj data'!N66&gt;=Body!$BE$14,'Zdroj data'!N66&lt;=Body!$BG$14),Body!$BE$6,IF(AND('Zdroj data'!N66&gt;=Body!$BH$14,'Zdroj data'!N66&lt;=Body!$BJ$14),Body!$BH$6,IF(AND('Zdroj data'!N66&gt;=Body!$BK$14,'Zdroj data'!N66&lt;=Body!$BM$14),Body!$BK$6,IF(AND('Zdroj data'!N66&gt;=Body!$BN$14,'Zdroj data'!N66&lt;=Body!$BP$14),Body!$BN$6,IF(AND('Zdroj data'!N66&gt;=Body!$BQ$14,'Zdroj data'!N66&lt;=Body!$BS$14),Body!$BQ$6,IF(AND('Zdroj data'!N66&gt;=Body!$BT$14,'Zdroj data'!N66&lt;=Body!$BV$14),Body!$BT$6,IF(AND('Zdroj data'!N66&gt;=Body!$BW$14,'Zdroj data'!N66&lt;=Body!$BY$14),Body!$BW$6,IF('Zdroj data'!N66&gt;=Body!$CB$14,Body!$BZ$6," "))))))))))," "))</f>
        <v>10</v>
      </c>
      <c r="I66" s="264">
        <f>IF(Tabulka1[[#This Row],[kv.ek.]]=Body!$AX$13,IF(AND('Zdroj data'!N66&gt;=Body!$AY$13,'Zdroj data'!N66&lt;=Body!$BA$13),Body!$AY$6,IF(AND('Zdroj data'!N66&gt;=Body!$BB$13,'Zdroj data'!N66&lt;=Body!$BD$13),Body!$BB$6,IF(AND('Zdroj data'!N66&gt;=Body!$BE$13,'Zdroj data'!N66&lt;=Body!$BG$13),Body!$BE$6,IF(AND('Zdroj data'!N66&gt;=Body!$BH$13,'Zdroj data'!N66&lt;=Body!$BJ$13),Body!$BH$6,IF(AND('Zdroj data'!N66&gt;=Body!$BK$13,'Zdroj data'!N66&lt;=Body!$BM$13),Body!$BK$6,IF(AND('Zdroj data'!N66&gt;=Body!$BN$13,'Zdroj data'!N66&lt;=Body!$BP$13),Body!$BN$6,IF(AND('Zdroj data'!N66&gt;=Body!$BQ$13,'Zdroj data'!N66&lt;=Body!$BS$13),Body!$BQ$6,IF(AND('Zdroj data'!N66&gt;=Body!$BT$13,'Zdroj data'!N66&lt;=Body!$BV$13),Body!$BT$6,IF(AND('Zdroj data'!N66&gt;=Body!$BW$13,'Zdroj data'!N66&lt;=Body!$BY$13),Body!$BW$6,IF('Zdroj data'!N66&gt;=Body!$CB$13,Body!$BZ$6," ")))))))))),IF(Tabulka1[[#This Row],[kv.ek.]]=Body!$AX$14,IF(AND('Zdroj data'!O66&gt;=Body!$AY$14,'Zdroj data'!O66&lt;=Body!$BA$14),Body!$AY$6,IF(AND('Zdroj data'!O66&gt;=Body!$BB$14,'Zdroj data'!O66&lt;=Body!$BD$14),Body!$BB$6,IF(AND('Zdroj data'!O66&gt;=Body!$BE$14,'Zdroj data'!O66&lt;=Body!$BG$14),Body!$BE$6,IF(AND('Zdroj data'!O66&gt;=Body!$BH$14,'Zdroj data'!O66&lt;=Body!$BJ$14),Body!$BH$6,IF(AND('Zdroj data'!O66&gt;=Body!$BK$14,'Zdroj data'!O66&lt;=Body!$BM$14),Body!$BK$6,IF(AND('Zdroj data'!O66&gt;=Body!$BN$14,'Zdroj data'!O66&lt;=Body!$BP$14),Body!$BN$6,IF(AND('Zdroj data'!O66&gt;=Body!$BQ$14,'Zdroj data'!O66&lt;=Body!$BS$14),Body!$BQ$6,IF(AND('Zdroj data'!O66&gt;=Body!$BT$14,'Zdroj data'!O66&lt;=Body!$BV$14),Body!$BT$6,IF(AND('Zdroj data'!O66&gt;=Body!$BW$14,'Zdroj data'!O66&lt;=Body!$BY$14),Body!$BW$6,IF('Zdroj data'!O66&gt;=Body!$CB$14,Body!$BZ$6," "))))))))))," "))</f>
        <v>6</v>
      </c>
      <c r="J66" s="264">
        <f t="shared" si="8"/>
        <v>5</v>
      </c>
      <c r="K66" s="264">
        <f t="shared" si="9"/>
        <v>3</v>
      </c>
      <c r="L66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66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66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66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66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66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66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66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66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66" s="264">
        <f>IF('Zdroj data'!BB66=Body!$AY$25,Body!$AY$22,IF('Zdroj data'!BB66=Body!$BB$25,Body!$BB$22,IF('Zdroj data'!BB66=Body!$BE$25,Body!$BE$22,IF('Zdroj data'!BB66=Body!$BH$25,Body!$BH$22,IF('Zdroj data'!BB66=Body!BK$25,Body!$BK$22,IF('Zdroj data'!BB66=Body!$BN$25,Body!$BN$22,IF('Zdroj data'!BB66=Body!$BQ$25,Body!$BQ$22,IF('Zdroj data'!BB66=Body!$BT$25,Body!$BT$22,IF('Zdroj data'!BB66=Body!$BW$25,Body!$BW$22,IF('Zdroj data'!BB66=Body!$BZ$25,Body!$BZ$22," "))))))))))</f>
        <v>7</v>
      </c>
      <c r="V66" s="264">
        <f>IF(AND('Zdroj data'!BO66&gt;Body!$AY$27,'Zdroj data'!BO66&lt;=Body!$BA$27),Body!$AY$22,IF(AND('Zdroj data'!BO66&gt;=Body!$BB$27,'Zdroj data'!BO66&lt;=Body!$BD$27),Body!$BB$22,IF(AND('Zdroj data'!BO66&gt;=Body!$BE$27,'Zdroj data'!BO66&lt;=Body!$BG$27),Body!$BE$22,IF(AND('Zdroj data'!BO66&gt;=Body!$BH$27,'Zdroj data'!BO66&lt;=Body!$BJ$27),Body!$BH$22,IF(AND('Zdroj data'!BO66&gt;=Body!$BK$27,'Zdroj data'!BO66&lt;=Body!$BM$27),Body!$BK$22,IF(AND('Zdroj data'!BO66&gt;=Body!$BN$27,'Zdroj data'!BO66&lt;=Body!$BP$27),Body!$BN$22,IF(AND('Zdroj data'!BO66&gt;=Body!$BQ$27,'Zdroj data'!BO66&lt;=Body!$BS$27),Body!$BQ$22,IF(AND('Zdroj data'!BO66&gt;=Body!$BT$27,'Zdroj data'!BO66&lt;=Body!$BV$27),Body!$BT$22,IF(AND('Zdroj data'!BO66&gt;=Body!$BW$27,'Zdroj data'!BO66&lt;=Body!$BY$27),Body!$BW$22,IF('Zdroj data'!BO66&gt;=Body!$CB$27,$BZ$22," "))))))))))</f>
        <v>8</v>
      </c>
      <c r="W66" s="264">
        <f>IF(AND('Zdroj data'!BP66&gt;Body!$AY$27,'Zdroj data'!BP66&lt;=Body!$BA$27),Body!$AY$22,IF(AND('Zdroj data'!BP66&gt;=Body!$BB$27,'Zdroj data'!BP66&lt;=Body!$BD$27),Body!$BB$22,IF(AND('Zdroj data'!BP66&gt;=Body!$BE$27,'Zdroj data'!BP66&lt;=Body!$BG$27),Body!$BE$22,IF(AND('Zdroj data'!BP66&gt;=Body!$BH$27,'Zdroj data'!BP66&lt;=Body!$BJ$27),Body!$BH$22,IF(AND('Zdroj data'!BP66&gt;=Body!$BK$27,'Zdroj data'!BP66&lt;=Body!$BM$27),Body!$BK$22,IF(AND('Zdroj data'!BP66&gt;=Body!$BN$27,'Zdroj data'!BP66&lt;=Body!$BP$27),Body!$BN$22,IF(AND('Zdroj data'!BP66&gt;=Body!$BQ$27,'Zdroj data'!BP66&lt;=Body!$BS$27),Body!$BQ$22,IF(AND('Zdroj data'!BP66&gt;=Body!$BT$27,'Zdroj data'!BP66&lt;=Body!$BV$27),Body!$BT$22,IF(AND('Zdroj data'!BP66&gt;=Body!$BW$27,'Zdroj data'!BP66&lt;=Body!$BY$27),Body!$BW$22,IF('Zdroj data'!BP66&gt;=Body!$CB$27,$BZ$22," "))))))))))</f>
        <v>8</v>
      </c>
      <c r="X66" s="264">
        <f>IF('Zdroj data'!BA66=Body!$BB$28,$BB$22,IF('Zdroj data'!BA66=Body!$BE$28,$BE$22,IF(OR('Zdroj data'!BA66=Body!$BK$28,'Zdroj data'!BA66=Body!$BL$28,'Zdroj data'!BA66=Body!$BM$28),$BK$22,IF(OR('Zdroj data'!BA66=Body!$BT$28,'Zdroj data'!BA66=Body!$BV$28),$BT$22,IF(OR('Zdroj data'!BA66=Body!$BW$28,'Zdroj data'!BA66=Body!$BY$28),$BW$22,IF('Zdroj data'!BA66=Body!$BZ$28,$BZ$22," "))))))</f>
        <v>10</v>
      </c>
      <c r="Y66" s="264">
        <f>IF('Zdroj data'!AZ66=Body!$BZ$29,Body!$BZ$22,IF(OR('Zdroj data'!AZ66=$BT$29,'Zdroj data'!AZ66=$BU$29,'Zdroj data'!AZ66=$BV$29),$BT$22,IF(OR('Zdroj data'!AZ66=$BK$29,'Zdroj data'!AZ66=$BM$29),$BK$22,IF(OR('Zdroj data'!AZ66=$BE$29,'Zdroj data'!AZ66=$BG$29),$BE$22,IF(OR('Zdroj data'!AZ66=$AY$29,'Zdroj data'!AZ66=$BA$29),$AY$22," ")))))</f>
        <v>10</v>
      </c>
      <c r="Z66" s="264">
        <f>IF(AND('Zdroj data'!BF66="T",(OR('Zdroj data'!AZ66=Body!$AW$45,'Zdroj data'!AZ66=Body!$AW$46,'Zdroj data'!AZ66=Body!$AW$47,'Zdroj data'!AZ66=Body!$AW$48))),Body!$AY$22,IF(AND('Zdroj data'!BF66="T",(OR('Zdroj data'!AZ66=$AW$49,'Zdroj data'!AZ66=$AW$50,'Zdroj data'!AZ66=$AW$51,'Zdroj data'!AZ66=$AW$52))),$BZ$22,IF(AND(OR('Zdroj data'!BF66="VT",'Zdroj data'!BF66="T",'Zdroj data'!BF66="CH"),(OR('Zdroj data'!AZ66=$AW$43,'Zdroj data'!AZ66=$AW$44,))),$BZ$22,IF(AND('Zdroj data'!BF66="CH",(OR('Zdroj data'!AZ66=$AW$49,'Zdroj data'!AZ66=$AW$50,'Zdroj data'!AZ66=$AW$51,'Zdroj data'!AZ66=$AW$52))),$AY$22,IF(AND('Zdroj data'!BF66="CH",(OR('Zdroj data'!AZ66=$AW$45,'Zdroj data'!AZ66=$AW$46,'Zdroj data'!AZ66=$AW$47,'Zdroj data'!AZ66=$AW$48))),$BZ$22," ")))))</f>
        <v>10</v>
      </c>
      <c r="AA66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66" s="264">
        <f>IF(Tabulka1[[#This Row],[kv.ek.]]=Body!$BK$35,Body!$BK$34,IF(Tabulka1[[#This Row],[kv.ek.]]=Body!$BZ$35,Body!$BZ$34," "))</f>
        <v>5</v>
      </c>
      <c r="AC66" s="264" t="str">
        <f>IF(AND('Zdroj data'!BF66="T",(OR('Zdroj data'!AZ66=Body!$AW$45,'Zdroj data'!AZ66=Body!$AW$46,'Zdroj data'!AZ66=Body!$AW$47,'Zdroj data'!AZ66=Body!$AW$48))),Body!$AY$22,IF(AND('Zdroj data'!BF66="T",(OR('Zdroj data'!AZ66=$AW$49,'Zdroj data'!AZ66=$AW$50,'Zdroj data'!AZ66=$AW$51,'Zdroj data'!AZ66=$AW$52))),$BZ$22," "))</f>
        <v xml:space="preserve"> </v>
      </c>
      <c r="AD66" s="264">
        <f>IF(AND(OR('Zdroj data'!BF66="VT",'Zdroj data'!BF66="T",'Zdroj data'!BF66="CH"),(OR('Zdroj data'!AZ66=$AW$43,'Zdroj data'!AZ66=$AW$44,))),$BZ$22," ")</f>
        <v>10</v>
      </c>
      <c r="AE66" s="264" t="str">
        <f>IF(AND('Zdroj data'!BF66="CH",(OR('Zdroj data'!AZ66=$AW$49,'Zdroj data'!AZ66=$AW$50,'Zdroj data'!AZ66=$AW$51,'Zdroj data'!AZ66=$AW$52))),$AY$22,IF(AND('Zdroj data'!BF66="CH",(OR('Zdroj data'!AZ66=$AW$45,'Zdroj data'!AZ66=$AW$46,'Zdroj data'!AZ66=$AW$47,'Zdroj data'!AZ66=$AW$48))),$BZ$22," "))</f>
        <v xml:space="preserve"> </v>
      </c>
      <c r="AF66" s="264">
        <f>IF(AND('Zdroj data'!BG66="L",'Zdroj data'!AM66=Body!$AX$15),IF(AND('Zdroj data'!O66&gt;=Body!$AY$15,'Zdroj data'!O66&lt;=Body!$BA$15),Body!AY$6,IF(AND('Zdroj data'!O66&gt;=Body!$BB$15,'Zdroj data'!O66&lt;=Body!$BD$15),Body!BB$6,IF(AND('Zdroj data'!O66&gt;=Body!$BE$15,'Zdroj data'!O66&lt;=Body!$BG$15),Body!BE$6,IF(AND('Zdroj data'!O66&gt;=Body!$BH$15,'Zdroj data'!O66&lt;=Body!$BJ$15),Body!BH$6,IF(AND('Zdroj data'!O66&gt;=Body!$BK$15,'Zdroj data'!O66&lt;=Body!$BM$15),Body!BK$6,IF(AND('Zdroj data'!O66&gt;=Body!$BN$15,'Zdroj data'!O66&lt;=Body!$BP$15),Body!$BN$6,IF(AND('Zdroj data'!O66&gt;=Body!$BQ$15,'Zdroj data'!O66&lt;=Body!$BS$15),Body!$BQ$6,IF(AND('Zdroj data'!O66&gt;=Body!$BT$15,'Zdroj data'!O66&lt;=Body!$BV$15),Body!BT$6,IF(AND('Zdroj data'!O66&gt;=Body!$BW$15,'Zdroj data'!O66&lt;=Body!$BY$15),Body!$BW$6,IF('Zdroj data'!O66&gt;=Body!$CB$15,Body!$BZ$6," ")))))))))),IF(AND('Zdroj data'!BG66="ST",'Zdroj data'!AM66=Body!$AX$16),IF(AND('Zdroj data'!O66&gt;=Body!$AY$16,'Zdroj data'!O66&lt;=Body!$BA$16),Body!$AY$6,IF(AND('Zdroj data'!O66&gt;=Body!$BB$16,'Zdroj data'!O66&lt;=Body!$BD$16),Body!$BB$6,IF(AND('Zdroj data'!O66&gt;=Body!$BE$16,'Zdroj data'!O66&lt;=Body!$BG$16),Body!$BE$6,IF(AND('Zdroj data'!O66&gt;=Body!$BH$16,'Zdroj data'!O66&lt;=Body!$BJ$16),Body!$BH$6,IF(AND('Zdroj data'!O66&gt;=Body!$BK$16,'Zdroj data'!O66&lt;=Body!$BM$16),Body!$BK$6,IF(AND('Zdroj data'!O66&gt;=Body!$BN$16,'Zdroj data'!O66&lt;=Body!$BP$16),Body!$BN$6,IF(AND('Zdroj data'!O66&gt;=Body!$BQ$16,'Zdroj data'!O66&lt;=Body!$BS$16),Body!$BQ$6,IF(AND('Zdroj data'!O66&gt;=Body!$BT$16,'Zdroj data'!O66&lt;=Body!$BV$16),Body!$BT$6,IF(AND('Zdroj data'!O66&gt;=Body!$BW$16,'Zdroj data'!O66&lt;=Body!$BY$16),Body!$BW$6,IF('Zdroj data'!O66&gt;=Body!$CB$16,Body!$BZ$6," ")))))))))),IF(AND('Zdroj data'!BG66="T",'Zdroj data'!AM66=Body!$AX$17),IF(AND('Zdroj data'!O66&gt;=Body!$AY$17,'Zdroj data'!O66&lt;=Body!$BA$17),Body!$AY$6,IF(AND('Zdroj data'!O66&gt;=Body!$BB$17,'Zdroj data'!O66&lt;=Body!$BD$17),Body!$BB$6,IF(AND('Zdroj data'!O66&gt;=Body!$BE$17,'Zdroj data'!O66&lt;=Body!$BG$17),Body!$BE$6,IF(AND('Zdroj data'!O66&gt;=Body!$BH$17,'Zdroj data'!O66&lt;=Body!BJ79),Body!$BH$6,IF(AND('Zdroj data'!O66&gt;=Body!$BK$17,'Zdroj data'!O66&lt;=Body!$BM$17),Body!$BK$6,IF(AND('Zdroj data'!O66&gt;=Body!$BN$17,'Zdroj data'!O66&lt;=Body!$BP$17),Body!$BN$6,IF(AND('Zdroj data'!O66&gt;=Body!$BQ$17,'Zdroj data'!O66&lt;=Body!$BS$17),Body!$BQ$6,IF(AND('Zdroj data'!O66&gt;=Body!$BT$17,'Zdroj data'!O66&lt;=Body!$BV$17),Body!$BT$6,IF(AND('Zdroj data'!O66&gt;=Body!$BW$17,'Zdroj data'!O66&lt;=Body!$BY$17),Body!$BW$6,IF('Zdroj data'!O66&gt;=Body!$CB$17,Body!$BZ$6," "))))))))))," ")))</f>
        <v>5</v>
      </c>
      <c r="AG66" s="264">
        <f>IF(AND('Zdroj data'!$BG66="L",'Zdroj data'!$AM66=Body!$AX$15),IF(AND(Tabulka1[[#This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data'!$BG66="ST",'Zdroj data'!$AM66=Body!$AX$16),IF(AND(Tabulka1[[#This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data'!$BG66="T",'Zdroj data'!$AM66=Body!$AX$17),IF(AND(Tabulka1[[#This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Row],[K2O_60]]&lt;=Body!BJ79),Body!$BH$6,IF(AND(Tabulka1[[#This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3</v>
      </c>
      <c r="AH66" s="264" t="str">
        <f>IF(AND('Zdroj data'!BG66="L",'Zdroj data'!AM66=Body!$AX$18),IF(AND('Zdroj data'!O66&gt;=Body!$AY$18,'Zdroj data'!O66&lt;=Body!$BA$18),Body!AY$6,IF(AND('Zdroj data'!O66&gt;=Body!$BB$18,'Zdroj data'!O66&lt;=Body!$BD$18),Body!BB$6,IF(AND('Zdroj data'!O66&gt;=Body!$BE$18,'Zdroj data'!O66&lt;=Body!$BG$18),Body!BE$6,IF(AND('Zdroj data'!O66&gt;=Body!$BH$18,'Zdroj data'!O66&lt;=Body!$BJ$18),Body!BH$6,IF(AND('Zdroj data'!O66&gt;=Body!$BK$18,'Zdroj data'!O66&lt;=Body!$BM$18),Body!$BK$6,IF(AND('Zdroj data'!O66&gt;=Body!$BN$18,'Zdroj data'!O66&lt;=Body!$BP$18),Body!BN$6,IF(AND('Zdroj data'!O66&gt;=Body!$BQ$18,'Zdroj data'!O66&lt;=Body!$BS$18),Body!$BQ$6,IF(AND('Zdroj data'!O66&gt;=Body!$BT$18,'Zdroj data'!O66&lt;=Body!$BV$18),Body!$BT$6,IF(AND('Zdroj data'!O66&gt;=Body!$BW$18,'Zdroj data'!O66&lt;=Body!$BY$18),Body!$BW$6,IF('Zdroj data'!O66&gt;=Body!$CB$18,Body!$BZ$6," ")))))))))),IF(AND('Zdroj data'!BG66="ST",'Zdroj data'!AM66=Body!$AX$19),IF(AND('Zdroj data'!O66&gt;=Body!$AY$19,'Zdroj data'!O66&lt;=Body!$BA$19),Body!$AY$6,IF(AND('Zdroj data'!O66&gt;=Body!$BB$19,'Zdroj data'!O66&lt;=Body!$BD$19),Body!$BB$6,IF(AND('Zdroj data'!O66&gt;=Body!$BE$19,'Zdroj data'!O66&lt;=Body!$BG$19),Body!$BE$6,IF(AND('Zdroj data'!O66&gt;=Body!$BH$19,'Zdroj data'!O66&lt;=Body!$BJ$19),Body!$BH$6,IF(AND('Zdroj data'!O66&gt;=Body!$BK$19,'Zdroj data'!O66&lt;=Body!$BM$19),Body!$BK$6,IF(AND('Zdroj data'!O66&gt;=Body!$BN$19,'Zdroj data'!O66&lt;=Body!$BP$19),Body!$BN$6,IF(AND('Zdroj data'!O66&gt;=Body!$BQ$19,'Zdroj data'!O66&lt;=Body!$BS$19),Body!$BQ$6,IF(AND('Zdroj data'!O66&gt;=Body!$BT$19,'Zdroj data'!#REF!&lt;=Body!$BV$19),Body!$BT$6,IF(AND('Zdroj data'!O66&gt;=Body!$BW$19,'Zdroj data'!O66&lt;=Body!$BY$19),Body!$BW$6,IF('Zdroj data'!O66&gt;=Body!$CB$19,Body!$BZ$6," ")))))))))),IF(AND('Zdroj data'!BG66="T",'Zdroj data'!AM66=Body!$AX$20),IF(AND('Zdroj data'!O66&gt;=Body!$AY$20,'Zdroj data'!O66&lt;=Body!$BA$20),Body!$AY$6,IF(AND('Zdroj data'!O66&gt;=Body!$BB$20,'Zdroj data'!O66&lt;=Body!$BD$20),Body!$BB$6,IF(AND('Zdroj data'!O66&gt;=Body!$BE$20,'Zdroj data'!O66&lt;=Body!$BG$20),Body!$BE$6,IF(AND('Zdroj data'!O66&gt;=Body!$BH$20,'Zdroj data'!O66&lt;=Body!$BJ$20),Body!$BH$6,IF(AND('Zdroj data'!O66&gt;=Body!$BK$20,'Zdroj data'!O66&lt;=Body!$BM$20),Body!$BK$6,IF(AND('Zdroj data'!O66&gt;=Body!$BN$20,'Zdroj data'!O66&lt;=Body!$BP$20),Body!$BN$6,IF(AND('Zdroj data'!O66&gt;=Body!$BQ$20,'Zdroj data'!O66&lt;=Body!$BS$20),Body!$BQ$6,IF(AND('Zdroj data'!O66&gt;=Body!$BT$20,'Zdroj data'!O66&lt;=Body!BV81),Body!$BT$6,IF(AND('Zdroj data'!O66&gt;=Body!$BW$20,'Zdroj data'!O66&lt;=Body!$BY$20),Body!$BW$6,IF('Zdroj data'!O66&gt;=Body!$CB$20,Body!$BZ$6," "))))))))))," ")))</f>
        <v xml:space="preserve"> </v>
      </c>
      <c r="AI66" s="264" t="str">
        <f>IF(AND('Zdroj data'!$BG66="L",'Zdroj data'!$AM66=Body!$AX$18),IF(AND(Tabulka1[[#This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data'!$BG66="ST",'Zdroj data'!$AM66=Body!$AX$19),IF(AND(Tabulka1[[#This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data'!$BG66="T",'Zdroj data'!$AM66=Body!$AX$20),IF(AND(Tabulka1[[#This Row],[K2O_60]]&gt;=Body!$AY$20,'Zdroj data'!O66&lt;=Body!$BA$20),Body!$AY$6,IF(AND(Tabulka1[[#This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Row],[K2O_60]]&lt;=Body!BV81),Body!$BT$6,IF(AND(Tabulka1[[#This Row],[K2O_60]]&gt;=Body!$BW$20,Tabulka1[[#This Row],[K2O_60]]&lt;=Body!$BY$20),Body!$BW$6,IF(Tabulka1[[#This Row],[K2O_60]]&gt;=Body!$CB$20,Body!$BZ$6," "))))))))))," ")))</f>
        <v xml:space="preserve"> </v>
      </c>
      <c r="AJ66" s="265">
        <f t="shared" si="10"/>
        <v>8.0000000000000071</v>
      </c>
      <c r="AK66" s="264">
        <f t="shared" si="3"/>
        <v>37.68576172235106</v>
      </c>
      <c r="AL66" s="264">
        <f t="shared" si="4"/>
        <v>36.395302488142285</v>
      </c>
      <c r="AM66" s="264">
        <f t="shared" si="5"/>
        <v>81.864450136623731</v>
      </c>
      <c r="AN66" s="264">
        <f t="shared" si="6"/>
        <v>81.864450136623731</v>
      </c>
      <c r="AO66" s="265">
        <f t="shared" si="11"/>
        <v>119.55021185897479</v>
      </c>
      <c r="AP66" s="265">
        <f t="shared" si="12"/>
        <v>118.25975262476601</v>
      </c>
      <c r="AQ66" s="318"/>
      <c r="AR66" s="338">
        <f t="shared" si="7"/>
        <v>245.8099644837408</v>
      </c>
      <c r="AS66" s="318"/>
      <c r="AT66" s="138"/>
      <c r="AU66" s="138"/>
    </row>
    <row r="67" spans="1:47" ht="15.5" x14ac:dyDescent="0.35">
      <c r="A67" s="270">
        <v>4019</v>
      </c>
      <c r="B67" s="156" t="s">
        <v>61</v>
      </c>
      <c r="C67" s="250" t="str">
        <f>VLOOKUP(B67,'Zdroj hloubka okresy'!$A$2:$D$171,2,FALSE)</f>
        <v>Kutna Hora</v>
      </c>
      <c r="D67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67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67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8</v>
      </c>
      <c r="G67" s="264">
        <f>IF(AND(Tabulka1[[#This Row],[hum_60]]&gt;AY73,Tabulka1[[#This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6</v>
      </c>
      <c r="H67" s="264">
        <f>IF(Tabulka1[[#This Row],[kv.ek.]]=Body!$AX$13,IF(AND('Zdroj data'!M67&gt;=Body!$AY$13,'Zdroj data'!M67&lt;=Body!$BA$13),Body!$AY$6,IF(AND('Zdroj data'!M67&gt;=Body!$BB$13,'Zdroj data'!M67&lt;=Body!$BD$13),Body!$BB$6,IF(AND('Zdroj data'!M67&gt;=Body!$BE$13,'Zdroj data'!M67&lt;=Body!$BG$13),Body!$BE$6,IF(AND('Zdroj data'!M67&gt;=Body!$BH$13,'Zdroj data'!M67&lt;=Body!$BJ$13),Body!$BH$6,IF(AND('Zdroj data'!M67&gt;=Body!$BK$13,'Zdroj data'!M67&lt;=Body!$BM$13),Body!$BK$6,IF(AND('Zdroj data'!M67&gt;=Body!$BN$13,'Zdroj data'!M67&lt;=Body!$BP$13),Body!$BN$6,IF(AND('Zdroj data'!M67&gt;=Body!$BQ$13,'Zdroj data'!M67&lt;=Body!$BS$13),Body!$BQ$6,IF(AND('Zdroj data'!M67&gt;=Body!$BT$13,'Zdroj data'!M67&lt;=Body!$BV$13),Body!$BT$6,IF(AND('Zdroj data'!M67&gt;=Body!$BW$13,'Zdroj data'!M67&lt;=Body!$BY$13),Body!$BW$6,IF('Zdroj data'!M67&gt;=Body!$CB$13,Body!$BZ$6," ")))))))))),IF(Tabulka1[[#This Row],[kv.ek.]]=Body!$AX$14,IF(AND('Zdroj data'!N67&gt;=Body!$AY$14,'Zdroj data'!N67&lt;=Body!$BA$14),Body!$AY$6,IF(AND('Zdroj data'!N67&gt;=Body!$BB$14,'Zdroj data'!N67&lt;=Body!$BD$14),Body!$BB$6,IF(AND('Zdroj data'!N67&gt;=Body!$BE$14,'Zdroj data'!N67&lt;=Body!$BG$14),Body!$BE$6,IF(AND('Zdroj data'!N67&gt;=Body!$BH$14,'Zdroj data'!N67&lt;=Body!$BJ$14),Body!$BH$6,IF(AND('Zdroj data'!N67&gt;=Body!$BK$14,'Zdroj data'!N67&lt;=Body!$BM$14),Body!$BK$6,IF(AND('Zdroj data'!N67&gt;=Body!$BN$14,'Zdroj data'!N67&lt;=Body!$BP$14),Body!$BN$6,IF(AND('Zdroj data'!N67&gt;=Body!$BQ$14,'Zdroj data'!N67&lt;=Body!$BS$14),Body!$BQ$6,IF(AND('Zdroj data'!N67&gt;=Body!$BT$14,'Zdroj data'!N67&lt;=Body!$BV$14),Body!$BT$6,IF(AND('Zdroj data'!N67&gt;=Body!$BW$14,'Zdroj data'!N67&lt;=Body!$BY$14),Body!$BW$6,IF('Zdroj data'!N67&gt;=Body!$CB$14,Body!$BZ$6," "))))))))))," "))</f>
        <v>1</v>
      </c>
      <c r="I67" s="264">
        <f>IF(Tabulka1[[#This Row],[kv.ek.]]=Body!$AX$13,IF(AND('Zdroj data'!N67&gt;=Body!$AY$13,'Zdroj data'!N67&lt;=Body!$BA$13),Body!$AY$6,IF(AND('Zdroj data'!N67&gt;=Body!$BB$13,'Zdroj data'!N67&lt;=Body!$BD$13),Body!$BB$6,IF(AND('Zdroj data'!N67&gt;=Body!$BE$13,'Zdroj data'!N67&lt;=Body!$BG$13),Body!$BE$6,IF(AND('Zdroj data'!N67&gt;=Body!$BH$13,'Zdroj data'!N67&lt;=Body!$BJ$13),Body!$BH$6,IF(AND('Zdroj data'!N67&gt;=Body!$BK$13,'Zdroj data'!N67&lt;=Body!$BM$13),Body!$BK$6,IF(AND('Zdroj data'!N67&gt;=Body!$BN$13,'Zdroj data'!N67&lt;=Body!$BP$13),Body!$BN$6,IF(AND('Zdroj data'!N67&gt;=Body!$BQ$13,'Zdroj data'!N67&lt;=Body!$BS$13),Body!$BQ$6,IF(AND('Zdroj data'!N67&gt;=Body!$BT$13,'Zdroj data'!N67&lt;=Body!$BV$13),Body!$BT$6,IF(AND('Zdroj data'!N67&gt;=Body!$BW$13,'Zdroj data'!N67&lt;=Body!$BY$13),Body!$BW$6,IF('Zdroj data'!N67&gt;=Body!$CB$13,Body!$BZ$6," ")))))))))),IF(Tabulka1[[#This Row],[kv.ek.]]=Body!$AX$14,IF(AND('Zdroj data'!O67&gt;=Body!$AY$14,'Zdroj data'!O67&lt;=Body!$BA$14),Body!$AY$6,IF(AND('Zdroj data'!O67&gt;=Body!$BB$14,'Zdroj data'!O67&lt;=Body!$BD$14),Body!$BB$6,IF(AND('Zdroj data'!O67&gt;=Body!$BE$14,'Zdroj data'!O67&lt;=Body!$BG$14),Body!$BE$6,IF(AND('Zdroj data'!O67&gt;=Body!$BH$14,'Zdroj data'!O67&lt;=Body!$BJ$14),Body!$BH$6,IF(AND('Zdroj data'!O67&gt;=Body!$BK$14,'Zdroj data'!O67&lt;=Body!$BM$14),Body!$BK$6,IF(AND('Zdroj data'!O67&gt;=Body!$BN$14,'Zdroj data'!O67&lt;=Body!$BP$14),Body!$BN$6,IF(AND('Zdroj data'!O67&gt;=Body!$BQ$14,'Zdroj data'!O67&lt;=Body!$BS$14),Body!$BQ$6,IF(AND('Zdroj data'!O67&gt;=Body!$BT$14,'Zdroj data'!O67&lt;=Body!$BV$14),Body!$BT$6,IF(AND('Zdroj data'!O67&gt;=Body!$BW$14,'Zdroj data'!O67&lt;=Body!$BY$14),Body!$BW$6,IF('Zdroj data'!O67&gt;=Body!$CB$14,Body!$BZ$6," "))))))))))," "))</f>
        <v>1</v>
      </c>
      <c r="J67" s="264">
        <f t="shared" si="8"/>
        <v>1</v>
      </c>
      <c r="K67" s="264">
        <f t="shared" si="9"/>
        <v>1</v>
      </c>
      <c r="L67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9</v>
      </c>
      <c r="M67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9</v>
      </c>
      <c r="N67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67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67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67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7</v>
      </c>
      <c r="R67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67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4</v>
      </c>
      <c r="T67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5</v>
      </c>
      <c r="U67" s="264">
        <f>IF('Zdroj data'!BB67=Body!$AY$25,Body!$AY$22,IF('Zdroj data'!BB67=Body!$BB$25,Body!$BB$22,IF('Zdroj data'!BB67=Body!$BE$25,Body!$BE$22,IF('Zdroj data'!BB67=Body!$BH$25,Body!$BH$22,IF('Zdroj data'!BB67=Body!BK$25,Body!$BK$22,IF('Zdroj data'!BB67=Body!$BN$25,Body!$BN$22,IF('Zdroj data'!BB67=Body!$BQ$25,Body!$BQ$22,IF('Zdroj data'!BB67=Body!$BT$25,Body!$BT$22,IF('Zdroj data'!BB67=Body!$BW$25,Body!$BW$22,IF('Zdroj data'!BB67=Body!$BZ$25,Body!$BZ$22," "))))))))))</f>
        <v>7</v>
      </c>
      <c r="V67" s="264">
        <f>IF(AND('Zdroj data'!BO67&gt;Body!$AY$27,'Zdroj data'!BO67&lt;=Body!$BA$27),Body!$AY$22,IF(AND('Zdroj data'!BO67&gt;=Body!$BB$27,'Zdroj data'!BO67&lt;=Body!$BD$27),Body!$BB$22,IF(AND('Zdroj data'!BO67&gt;=Body!$BE$27,'Zdroj data'!BO67&lt;=Body!$BG$27),Body!$BE$22,IF(AND('Zdroj data'!BO67&gt;=Body!$BH$27,'Zdroj data'!BO67&lt;=Body!$BJ$27),Body!$BH$22,IF(AND('Zdroj data'!BO67&gt;=Body!$BK$27,'Zdroj data'!BO67&lt;=Body!$BM$27),Body!$BK$22,IF(AND('Zdroj data'!BO67&gt;=Body!$BN$27,'Zdroj data'!BO67&lt;=Body!$BP$27),Body!$BN$22,IF(AND('Zdroj data'!BO67&gt;=Body!$BQ$27,'Zdroj data'!BO67&lt;=Body!$BS$27),Body!$BQ$22,IF(AND('Zdroj data'!BO67&gt;=Body!$BT$27,'Zdroj data'!BO67&lt;=Body!$BV$27),Body!$BT$22,IF(AND('Zdroj data'!BO67&gt;=Body!$BW$27,'Zdroj data'!BO67&lt;=Body!$BY$27),Body!$BW$22,IF('Zdroj data'!BO67&gt;=Body!$CB$27,$BZ$22," "))))))))))</f>
        <v>7</v>
      </c>
      <c r="W67" s="264">
        <f>IF(AND('Zdroj data'!BP67&gt;Body!$AY$27,'Zdroj data'!BP67&lt;=Body!$BA$27),Body!$AY$22,IF(AND('Zdroj data'!BP67&gt;=Body!$BB$27,'Zdroj data'!BP67&lt;=Body!$BD$27),Body!$BB$22,IF(AND('Zdroj data'!BP67&gt;=Body!$BE$27,'Zdroj data'!BP67&lt;=Body!$BG$27),Body!$BE$22,IF(AND('Zdroj data'!BP67&gt;=Body!$BH$27,'Zdroj data'!BP67&lt;=Body!$BJ$27),Body!$BH$22,IF(AND('Zdroj data'!BP67&gt;=Body!$BK$27,'Zdroj data'!BP67&lt;=Body!$BM$27),Body!$BK$22,IF(AND('Zdroj data'!BP67&gt;=Body!$BN$27,'Zdroj data'!BP67&lt;=Body!$BP$27),Body!$BN$22,IF(AND('Zdroj data'!BP67&gt;=Body!$BQ$27,'Zdroj data'!BP67&lt;=Body!$BS$27),Body!$BQ$22,IF(AND('Zdroj data'!BP67&gt;=Body!$BT$27,'Zdroj data'!BP67&lt;=Body!$BV$27),Body!$BT$22,IF(AND('Zdroj data'!BP67&gt;=Body!$BW$27,'Zdroj data'!BP67&lt;=Body!$BY$27),Body!$BW$22,IF('Zdroj data'!BP67&gt;=Body!$CB$27,$BZ$22," "))))))))))</f>
        <v>7</v>
      </c>
      <c r="X67" s="264">
        <f>IF('Zdroj data'!BA67=Body!$BB$28,$BB$22,IF('Zdroj data'!BA67=Body!$BE$28,$BE$22,IF(OR('Zdroj data'!BA67=Body!$BK$28,'Zdroj data'!BA67=Body!$BL$28,'Zdroj data'!BA67=Body!$BM$28),$BK$22,IF(OR('Zdroj data'!BA67=Body!$BT$28,'Zdroj data'!BA67=Body!$BV$28),$BT$22,IF(OR('Zdroj data'!BA67=Body!$BW$28,'Zdroj data'!BA67=Body!$BY$28),$BW$22,IF('Zdroj data'!BA67=Body!$BZ$28,$BZ$22," "))))))</f>
        <v>10</v>
      </c>
      <c r="Y67" s="264">
        <f>IF('Zdroj data'!AZ67=Body!$BZ$29,Body!$BZ$22,IF(OR('Zdroj data'!AZ67=$BT$29,'Zdroj data'!AZ67=$BU$29,'Zdroj data'!AZ67=$BV$29),$BT$22,IF(OR('Zdroj data'!AZ67=$BK$29,'Zdroj data'!AZ67=$BM$29),$BK$22,IF(OR('Zdroj data'!AZ67=$BE$29,'Zdroj data'!AZ67=$BG$29),$BE$22,IF(OR('Zdroj data'!AZ67=$AY$29,'Zdroj data'!AZ67=$BA$29),$AY$22," ")))))</f>
        <v>10</v>
      </c>
      <c r="Z67" s="264">
        <f>IF(AND('Zdroj data'!BF67="T",(OR('Zdroj data'!AZ67=Body!$AW$45,'Zdroj data'!AZ67=Body!$AW$46,'Zdroj data'!AZ67=Body!$AW$47,'Zdroj data'!AZ67=Body!$AW$48))),Body!$AY$22,IF(AND('Zdroj data'!BF67="T",(OR('Zdroj data'!AZ67=$AW$49,'Zdroj data'!AZ67=$AW$50,'Zdroj data'!AZ67=$AW$51,'Zdroj data'!AZ67=$AW$52))),$BZ$22,IF(AND(OR('Zdroj data'!BF67="VT",'Zdroj data'!BF67="T",'Zdroj data'!BF67="CH"),(OR('Zdroj data'!AZ67=$AW$43,'Zdroj data'!AZ67=$AW$44,))),$BZ$22,IF(AND('Zdroj data'!BF67="CH",(OR('Zdroj data'!AZ67=$AW$49,'Zdroj data'!AZ67=$AW$50,'Zdroj data'!AZ67=$AW$51,'Zdroj data'!AZ67=$AW$52))),$AY$22,IF(AND('Zdroj data'!BF67="CH",(OR('Zdroj data'!AZ67=$AW$45,'Zdroj data'!AZ67=$AW$46,'Zdroj data'!AZ67=$AW$47,'Zdroj data'!AZ67=$AW$48))),$BZ$22," ")))))</f>
        <v>10</v>
      </c>
      <c r="AA67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67" s="264">
        <f>IF(Tabulka1[[#This Row],[kv.ek.]]=Body!$BK$35,Body!$BK$34,IF(Tabulka1[[#This Row],[kv.ek.]]=Body!$BZ$35,Body!$BZ$34," "))</f>
        <v>5</v>
      </c>
      <c r="AC67" s="264" t="str">
        <f>IF(AND('Zdroj data'!BF67="T",(OR('Zdroj data'!AZ67=Body!$AW$45,'Zdroj data'!AZ67=Body!$AW$46,'Zdroj data'!AZ67=Body!$AW$47,'Zdroj data'!AZ67=Body!$AW$48))),Body!$AY$22,IF(AND('Zdroj data'!BF67="T",(OR('Zdroj data'!AZ67=$AW$49,'Zdroj data'!AZ67=$AW$50,'Zdroj data'!AZ67=$AW$51,'Zdroj data'!AZ67=$AW$52))),$BZ$22," "))</f>
        <v xml:space="preserve"> </v>
      </c>
      <c r="AD67" s="264">
        <f>IF(AND(OR('Zdroj data'!BF67="VT",'Zdroj data'!BF67="T",'Zdroj data'!BF67="CH"),(OR('Zdroj data'!AZ67=$AW$43,'Zdroj data'!AZ67=$AW$44,))),$BZ$22," ")</f>
        <v>10</v>
      </c>
      <c r="AE67" s="264" t="str">
        <f>IF(AND('Zdroj data'!BF67="CH",(OR('Zdroj data'!AZ67=$AW$49,'Zdroj data'!AZ67=$AW$50,'Zdroj data'!AZ67=$AW$51,'Zdroj data'!AZ67=$AW$52))),$AY$22,IF(AND('Zdroj data'!BF67="CH",(OR('Zdroj data'!AZ67=$AW$45,'Zdroj data'!AZ67=$AW$46,'Zdroj data'!AZ67=$AW$47,'Zdroj data'!AZ67=$AW$48))),$BZ$22," "))</f>
        <v xml:space="preserve"> </v>
      </c>
      <c r="AF67" s="264">
        <f>IF(AND('Zdroj data'!BG67="L",'Zdroj data'!AM67=Body!$AX$15),IF(AND('Zdroj data'!O67&gt;=Body!$AY$15,'Zdroj data'!O67&lt;=Body!$BA$15),Body!AY$6,IF(AND('Zdroj data'!O67&gt;=Body!$BB$15,'Zdroj data'!O67&lt;=Body!$BD$15),Body!BB$6,IF(AND('Zdroj data'!O67&gt;=Body!$BE$15,'Zdroj data'!O67&lt;=Body!$BG$15),Body!BE$6,IF(AND('Zdroj data'!O67&gt;=Body!$BH$15,'Zdroj data'!O67&lt;=Body!$BJ$15),Body!BH$6,IF(AND('Zdroj data'!O67&gt;=Body!$BK$15,'Zdroj data'!O67&lt;=Body!$BM$15),Body!BK$6,IF(AND('Zdroj data'!O67&gt;=Body!$BN$15,'Zdroj data'!O67&lt;=Body!$BP$15),Body!$BN$6,IF(AND('Zdroj data'!O67&gt;=Body!$BQ$15,'Zdroj data'!O67&lt;=Body!$BS$15),Body!$BQ$6,IF(AND('Zdroj data'!O67&gt;=Body!$BT$15,'Zdroj data'!O67&lt;=Body!$BV$15),Body!BT$6,IF(AND('Zdroj data'!O67&gt;=Body!$BW$15,'Zdroj data'!O67&lt;=Body!$BY$15),Body!$BW$6,IF('Zdroj data'!O67&gt;=Body!$CB$15,Body!$BZ$6," ")))))))))),IF(AND('Zdroj data'!BG67="ST",'Zdroj data'!AM67=Body!$AX$16),IF(AND('Zdroj data'!O67&gt;=Body!$AY$16,'Zdroj data'!O67&lt;=Body!$BA$16),Body!$AY$6,IF(AND('Zdroj data'!O67&gt;=Body!$BB$16,'Zdroj data'!O67&lt;=Body!$BD$16),Body!$BB$6,IF(AND('Zdroj data'!O67&gt;=Body!$BE$16,'Zdroj data'!O67&lt;=Body!$BG$16),Body!$BE$6,IF(AND('Zdroj data'!O67&gt;=Body!$BH$16,'Zdroj data'!O67&lt;=Body!$BJ$16),Body!$BH$6,IF(AND('Zdroj data'!O67&gt;=Body!$BK$16,'Zdroj data'!O67&lt;=Body!$BM$16),Body!$BK$6,IF(AND('Zdroj data'!O67&gt;=Body!$BN$16,'Zdroj data'!O67&lt;=Body!$BP$16),Body!$BN$6,IF(AND('Zdroj data'!O67&gt;=Body!$BQ$16,'Zdroj data'!O67&lt;=Body!$BS$16),Body!$BQ$6,IF(AND('Zdroj data'!O67&gt;=Body!$BT$16,'Zdroj data'!O67&lt;=Body!$BV$16),Body!$BT$6,IF(AND('Zdroj data'!O67&gt;=Body!$BW$16,'Zdroj data'!O67&lt;=Body!$BY$16),Body!$BW$6,IF('Zdroj data'!O67&gt;=Body!$CB$16,Body!$BZ$6," ")))))))))),IF(AND('Zdroj data'!BG67="T",'Zdroj data'!AM67=Body!$AX$17),IF(AND('Zdroj data'!O67&gt;=Body!$AY$17,'Zdroj data'!O67&lt;=Body!$BA$17),Body!$AY$6,IF(AND('Zdroj data'!O67&gt;=Body!$BB$17,'Zdroj data'!O67&lt;=Body!$BD$17),Body!$BB$6,IF(AND('Zdroj data'!O67&gt;=Body!$BE$17,'Zdroj data'!O67&lt;=Body!$BG$17),Body!$BE$6,IF(AND('Zdroj data'!O67&gt;=Body!$BH$17,'Zdroj data'!O67&lt;=Body!#REF!),Body!$BH$6,IF(AND('Zdroj data'!O67&gt;=Body!$BK$17,'Zdroj data'!O67&lt;=Body!$BM$17),Body!$BK$6,IF(AND('Zdroj data'!O67&gt;=Body!$BN$17,'Zdroj data'!O67&lt;=Body!$BP$17),Body!$BN$6,IF(AND('Zdroj data'!O67&gt;=Body!$BQ$17,'Zdroj data'!O67&lt;=Body!$BS$17),Body!$BQ$6,IF(AND('Zdroj data'!O67&gt;=Body!$BT$17,'Zdroj data'!O67&lt;=Body!$BV$17),Body!$BT$6,IF(AND('Zdroj data'!O67&gt;=Body!$BW$17,'Zdroj data'!O67&lt;=Body!$BY$17),Body!$BW$6,IF('Zdroj data'!O67&gt;=Body!$CB$17,Body!$BZ$6," "))))))))))," ")))</f>
        <v>1</v>
      </c>
      <c r="AG67" s="264">
        <f>IF(AND('Zdroj data'!$BG67="L",'Zdroj data'!$AM67=Body!$AX$15),IF(AND(Tabulka1[[#This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data'!$BG67="ST",'Zdroj data'!$AM67=Body!$AX$16),IF(AND(Tabulka1[[#This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data'!$BG67="T",'Zdroj data'!$AM67=Body!$AX$17),IF(AND(Tabulka1[[#This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67" s="264" t="str">
        <f>IF(AND('Zdroj data'!BG67="L",'Zdroj data'!AM67=Body!$AX$18),IF(AND('Zdroj data'!O67&gt;=Body!$AY$18,'Zdroj data'!O67&lt;=Body!$BA$18),Body!AY$6,IF(AND('Zdroj data'!O67&gt;=Body!$BB$18,'Zdroj data'!O67&lt;=Body!$BD$18),Body!BB$6,IF(AND('Zdroj data'!O67&gt;=Body!$BE$18,'Zdroj data'!O67&lt;=Body!$BG$18),Body!BE$6,IF(AND('Zdroj data'!O67&gt;=Body!$BH$18,'Zdroj data'!O67&lt;=Body!$BJ$18),Body!BH$6,IF(AND('Zdroj data'!O67&gt;=Body!$BK$18,'Zdroj data'!O67&lt;=Body!$BM$18),Body!$BK$6,IF(AND('Zdroj data'!O67&gt;=Body!$BN$18,'Zdroj data'!O67&lt;=Body!$BP$18),Body!BN$6,IF(AND('Zdroj data'!O67&gt;=Body!$BQ$18,'Zdroj data'!O67&lt;=Body!$BS$18),Body!$BQ$6,IF(AND('Zdroj data'!O67&gt;=Body!$BT$18,'Zdroj data'!O67&lt;=Body!$BV$18),Body!$BT$6,IF(AND('Zdroj data'!O67&gt;=Body!$BW$18,'Zdroj data'!O67&lt;=Body!$BY$18),Body!$BW$6,IF('Zdroj data'!O67&gt;=Body!$CB$18,Body!$BZ$6," ")))))))))),IF(AND('Zdroj data'!BG67="ST",'Zdroj data'!AM67=Body!$AX$19),IF(AND('Zdroj data'!O67&gt;=Body!$AY$19,'Zdroj data'!O67&lt;=Body!$BA$19),Body!$AY$6,IF(AND('Zdroj data'!O67&gt;=Body!$BB$19,'Zdroj data'!O67&lt;=Body!$BD$19),Body!$BB$6,IF(AND('Zdroj data'!O67&gt;=Body!$BE$19,'Zdroj data'!O67&lt;=Body!$BG$19),Body!$BE$6,IF(AND('Zdroj data'!O67&gt;=Body!$BH$19,'Zdroj data'!O67&lt;=Body!$BJ$19),Body!$BH$6,IF(AND('Zdroj data'!O67&gt;=Body!$BK$19,'Zdroj data'!O67&lt;=Body!$BM$19),Body!$BK$6,IF(AND('Zdroj data'!O67&gt;=Body!$BN$19,'Zdroj data'!O67&lt;=Body!$BP$19),Body!$BN$6,IF(AND('Zdroj data'!O67&gt;=Body!$BQ$19,'Zdroj data'!O67&lt;=Body!$BS$19),Body!$BQ$6,IF(AND('Zdroj data'!O67&gt;=Body!$BT$19,'Zdroj data'!O70&lt;=Body!$BV$19),Body!$BT$6,IF(AND('Zdroj data'!O67&gt;=Body!$BW$19,'Zdroj data'!O67&lt;=Body!$BY$19),Body!$BW$6,IF('Zdroj data'!O67&gt;=Body!$CB$19,Body!$BZ$6," ")))))))))),IF(AND('Zdroj data'!BG67="T",'Zdroj data'!AM67=Body!$AX$20),IF(AND('Zdroj data'!O67&gt;=Body!$AY$20,'Zdroj data'!O67&lt;=Body!$BA$20),Body!$AY$6,IF(AND('Zdroj data'!O67&gt;=Body!$BB$20,'Zdroj data'!O67&lt;=Body!$BD$20),Body!$BB$6,IF(AND('Zdroj data'!O67&gt;=Body!$BE$20,'Zdroj data'!O67&lt;=Body!$BG$20),Body!$BE$6,IF(AND('Zdroj data'!O67&gt;=Body!$BH$20,'Zdroj data'!O67&lt;=Body!$BJ$20),Body!$BH$6,IF(AND('Zdroj data'!O67&gt;=Body!$BK$20,'Zdroj data'!O67&lt;=Body!$BM$20),Body!$BK$6,IF(AND('Zdroj data'!O67&gt;=Body!$BN$20,'Zdroj data'!O67&lt;=Body!$BP$20),Body!$BN$6,IF(AND('Zdroj data'!O67&gt;=Body!$BQ$20,'Zdroj data'!O67&lt;=Body!$BS$20),Body!$BQ$6,IF(AND('Zdroj data'!O67&gt;=Body!$BT$20,'Zdroj data'!O67&lt;=Body!#REF!),Body!$BT$6,IF(AND('Zdroj data'!O67&gt;=Body!$BW$20,'Zdroj data'!O67&lt;=Body!$BY$20),Body!$BW$6,IF('Zdroj data'!O67&gt;=Body!$CB$20,Body!$BZ$6," "))))))))))," ")))</f>
        <v xml:space="preserve"> </v>
      </c>
      <c r="AI67" s="264" t="str">
        <f>IF(AND('Zdroj data'!$BG67="L",'Zdroj data'!$AM67=Body!$AX$18),IF(AND(Tabulka1[[#This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data'!$BG67="ST",'Zdroj data'!$AM67=Body!$AX$19),IF(AND(Tabulka1[[#This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data'!$BG67="T",'Zdroj data'!$AM67=Body!$AX$20),IF(AND(Tabulka1[[#This Row],[K2O_60]]&gt;=Body!$AY$20,'Zdroj data'!O67&lt;=Body!$BA$20),Body!$AY$6,IF(AND(Tabulka1[[#This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67" s="265">
        <f t="shared" si="10"/>
        <v>5.3333333333333375</v>
      </c>
      <c r="AK67" s="264">
        <f t="shared" si="3"/>
        <v>42.058594350132303</v>
      </c>
      <c r="AL67" s="264">
        <f t="shared" si="4"/>
        <v>38.317526232655659</v>
      </c>
      <c r="AM67" s="264">
        <f t="shared" si="5"/>
        <v>56.83811318696582</v>
      </c>
      <c r="AN67" s="264">
        <f t="shared" si="6"/>
        <v>60.751737144041805</v>
      </c>
      <c r="AO67" s="265">
        <f t="shared" si="11"/>
        <v>98.896707537098123</v>
      </c>
      <c r="AP67" s="265">
        <f t="shared" si="12"/>
        <v>99.069263376697464</v>
      </c>
      <c r="AQ67" s="318"/>
      <c r="AR67" s="338">
        <f t="shared" si="7"/>
        <v>203.29930424712893</v>
      </c>
      <c r="AS67" s="318"/>
      <c r="AT67" s="138"/>
      <c r="AU67" s="138"/>
    </row>
    <row r="68" spans="1:47" ht="15.5" x14ac:dyDescent="0.35">
      <c r="A68" s="270">
        <v>4022</v>
      </c>
      <c r="B68" s="156" t="s">
        <v>300</v>
      </c>
      <c r="C68" s="250" t="str">
        <f>VLOOKUP(B68,'Zdroj hloubka okresy'!$A$2:$D$171,2,FALSE)</f>
        <v>Kutna Hora</v>
      </c>
      <c r="D68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8</v>
      </c>
      <c r="E68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9</v>
      </c>
      <c r="F68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68" s="264">
        <f>IF(AND(Tabulka1[[#This Row],[hum_60]]&gt;AY74,Tabulka1[[#This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4</v>
      </c>
      <c r="H68" s="264">
        <f>IF(Tabulka1[[#This Row],[kv.ek.]]=Body!$AX$13,IF(AND('Zdroj data'!M68&gt;=Body!$AY$13,'Zdroj data'!M68&lt;=Body!$BA$13),Body!$AY$6,IF(AND('Zdroj data'!M68&gt;=Body!$BB$13,'Zdroj data'!M68&lt;=Body!$BD$13),Body!$BB$6,IF(AND('Zdroj data'!M68&gt;=Body!$BE$13,'Zdroj data'!M68&lt;=Body!$BG$13),Body!$BE$6,IF(AND('Zdroj data'!M68&gt;=Body!$BH$13,'Zdroj data'!M68&lt;=Body!$BJ$13),Body!$BH$6,IF(AND('Zdroj data'!M68&gt;=Body!$BK$13,'Zdroj data'!M68&lt;=Body!$BM$13),Body!$BK$6,IF(AND('Zdroj data'!M68&gt;=Body!$BN$13,'Zdroj data'!M68&lt;=Body!$BP$13),Body!$BN$6,IF(AND('Zdroj data'!M68&gt;=Body!$BQ$13,'Zdroj data'!M68&lt;=Body!$BS$13),Body!$BQ$6,IF(AND('Zdroj data'!M68&gt;=Body!$BT$13,'Zdroj data'!M68&lt;=Body!$BV$13),Body!$BT$6,IF(AND('Zdroj data'!M68&gt;=Body!$BW$13,'Zdroj data'!M68&lt;=Body!$BY$13),Body!$BW$6,IF('Zdroj data'!M68&gt;=Body!$CB$13,Body!$BZ$6," ")))))))))),IF(Tabulka1[[#This Row],[kv.ek.]]=Body!$AX$14,IF(AND('Zdroj data'!N68&gt;=Body!$AY$14,'Zdroj data'!N68&lt;=Body!$BA$14),Body!$AY$6,IF(AND('Zdroj data'!N68&gt;=Body!$BB$14,'Zdroj data'!N68&lt;=Body!$BD$14),Body!$BB$6,IF(AND('Zdroj data'!N68&gt;=Body!$BE$14,'Zdroj data'!N68&lt;=Body!$BG$14),Body!$BE$6,IF(AND('Zdroj data'!N68&gt;=Body!$BH$14,'Zdroj data'!N68&lt;=Body!$BJ$14),Body!$BH$6,IF(AND('Zdroj data'!N68&gt;=Body!$BK$14,'Zdroj data'!N68&lt;=Body!$BM$14),Body!$BK$6,IF(AND('Zdroj data'!N68&gt;=Body!$BN$14,'Zdroj data'!N68&lt;=Body!$BP$14),Body!$BN$6,IF(AND('Zdroj data'!N68&gt;=Body!$BQ$14,'Zdroj data'!N68&lt;=Body!$BS$14),Body!$BQ$6,IF(AND('Zdroj data'!N68&gt;=Body!$BT$14,'Zdroj data'!N68&lt;=Body!$BV$14),Body!$BT$6,IF(AND('Zdroj data'!N68&gt;=Body!$BW$14,'Zdroj data'!N68&lt;=Body!$BY$14),Body!$BW$6,IF('Zdroj data'!N68&gt;=Body!$CB$14,Body!$BZ$6," "))))))))))," "))</f>
        <v>9</v>
      </c>
      <c r="I68" s="264">
        <f>IF(Tabulka1[[#This Row],[kv.ek.]]=Body!$AX$13,IF(AND('Zdroj data'!N68&gt;=Body!$AY$13,'Zdroj data'!N68&lt;=Body!$BA$13),Body!$AY$6,IF(AND('Zdroj data'!N68&gt;=Body!$BB$13,'Zdroj data'!N68&lt;=Body!$BD$13),Body!$BB$6,IF(AND('Zdroj data'!N68&gt;=Body!$BE$13,'Zdroj data'!N68&lt;=Body!$BG$13),Body!$BE$6,IF(AND('Zdroj data'!N68&gt;=Body!$BH$13,'Zdroj data'!N68&lt;=Body!$BJ$13),Body!$BH$6,IF(AND('Zdroj data'!N68&gt;=Body!$BK$13,'Zdroj data'!N68&lt;=Body!$BM$13),Body!$BK$6,IF(AND('Zdroj data'!N68&gt;=Body!$BN$13,'Zdroj data'!N68&lt;=Body!$BP$13),Body!$BN$6,IF(AND('Zdroj data'!N68&gt;=Body!$BQ$13,'Zdroj data'!N68&lt;=Body!$BS$13),Body!$BQ$6,IF(AND('Zdroj data'!N68&gt;=Body!$BT$13,'Zdroj data'!N68&lt;=Body!$BV$13),Body!$BT$6,IF(AND('Zdroj data'!N68&gt;=Body!$BW$13,'Zdroj data'!N68&lt;=Body!$BY$13),Body!$BW$6,IF('Zdroj data'!N68&gt;=Body!$CB$13,Body!$BZ$6," ")))))))))),IF(Tabulka1[[#This Row],[kv.ek.]]=Body!$AX$14,IF(AND('Zdroj data'!O68&gt;=Body!$AY$14,'Zdroj data'!O68&lt;=Body!$BA$14),Body!$AY$6,IF(AND('Zdroj data'!O68&gt;=Body!$BB$14,'Zdroj data'!O68&lt;=Body!$BD$14),Body!$BB$6,IF(AND('Zdroj data'!O68&gt;=Body!$BE$14,'Zdroj data'!O68&lt;=Body!$BG$14),Body!$BE$6,IF(AND('Zdroj data'!O68&gt;=Body!$BH$14,'Zdroj data'!O68&lt;=Body!$BJ$14),Body!$BH$6,IF(AND('Zdroj data'!O68&gt;=Body!$BK$14,'Zdroj data'!O68&lt;=Body!$BM$14),Body!$BK$6,IF(AND('Zdroj data'!O68&gt;=Body!$BN$14,'Zdroj data'!O68&lt;=Body!$BP$14),Body!$BN$6,IF(AND('Zdroj data'!O68&gt;=Body!$BQ$14,'Zdroj data'!O68&lt;=Body!$BS$14),Body!$BQ$6,IF(AND('Zdroj data'!O68&gt;=Body!$BT$14,'Zdroj data'!O68&lt;=Body!$BV$14),Body!$BT$6,IF(AND('Zdroj data'!O68&gt;=Body!$BW$14,'Zdroj data'!O68&lt;=Body!$BY$14),Body!$BW$6,IF('Zdroj data'!O68&gt;=Body!$CB$14,Body!$BZ$6," "))))))))))," "))</f>
        <v>6</v>
      </c>
      <c r="J68" s="264">
        <f t="shared" si="8"/>
        <v>2</v>
      </c>
      <c r="K68" s="264">
        <f t="shared" si="9"/>
        <v>1</v>
      </c>
      <c r="L68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68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68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9</v>
      </c>
      <c r="O68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9</v>
      </c>
      <c r="P68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68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7</v>
      </c>
      <c r="R68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68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9</v>
      </c>
      <c r="T68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68" s="264">
        <f>IF('Zdroj data'!BB68=Body!$AY$25,Body!$AY$22,IF('Zdroj data'!BB68=Body!$BB$25,Body!$BB$22,IF('Zdroj data'!BB68=Body!$BE$25,Body!$BE$22,IF('Zdroj data'!BB68=Body!$BH$25,Body!$BH$22,IF('Zdroj data'!BB68=Body!BK$25,Body!$BK$22,IF('Zdroj data'!BB68=Body!$BN$25,Body!$BN$22,IF('Zdroj data'!BB68=Body!$BQ$25,Body!$BQ$22,IF('Zdroj data'!BB68=Body!$BT$25,Body!$BT$22,IF('Zdroj data'!BB68=Body!$BW$25,Body!$BW$22,IF('Zdroj data'!BB68=Body!$BZ$25,Body!$BZ$22," "))))))))))</f>
        <v>7</v>
      </c>
      <c r="V68" s="264">
        <f>IF(AND('Zdroj data'!BO68&gt;Body!$AY$27,'Zdroj data'!BO68&lt;=Body!$BA$27),Body!$AY$22,IF(AND('Zdroj data'!BO68&gt;=Body!$BB$27,'Zdroj data'!BO68&lt;=Body!$BD$27),Body!$BB$22,IF(AND('Zdroj data'!BO68&gt;=Body!$BE$27,'Zdroj data'!BO68&lt;=Body!$BG$27),Body!$BE$22,IF(AND('Zdroj data'!BO68&gt;=Body!$BH$27,'Zdroj data'!BO68&lt;=Body!$BJ$27),Body!$BH$22,IF(AND('Zdroj data'!BO68&gt;=Body!$BK$27,'Zdroj data'!BO68&lt;=Body!$BM$27),Body!$BK$22,IF(AND('Zdroj data'!BO68&gt;=Body!$BN$27,'Zdroj data'!BO68&lt;=Body!$BP$27),Body!$BN$22,IF(AND('Zdroj data'!BO68&gt;=Body!$BQ$27,'Zdroj data'!BO68&lt;=Body!$BS$27),Body!$BQ$22,IF(AND('Zdroj data'!BO68&gt;=Body!$BT$27,'Zdroj data'!BO68&lt;=Body!$BV$27),Body!$BT$22,IF(AND('Zdroj data'!BO68&gt;=Body!$BW$27,'Zdroj data'!BO68&lt;=Body!$BY$27),Body!$BW$22,IF('Zdroj data'!BO68&gt;=Body!$CB$27,$BZ$22," "))))))))))</f>
        <v>7</v>
      </c>
      <c r="W68" s="264">
        <f>IF(AND('Zdroj data'!BP68&gt;Body!$AY$27,'Zdroj data'!BP68&lt;=Body!$BA$27),Body!$AY$22,IF(AND('Zdroj data'!BP68&gt;=Body!$BB$27,'Zdroj data'!BP68&lt;=Body!$BD$27),Body!$BB$22,IF(AND('Zdroj data'!BP68&gt;=Body!$BE$27,'Zdroj data'!BP68&lt;=Body!$BG$27),Body!$BE$22,IF(AND('Zdroj data'!BP68&gt;=Body!$BH$27,'Zdroj data'!BP68&lt;=Body!$BJ$27),Body!$BH$22,IF(AND('Zdroj data'!BP68&gt;=Body!$BK$27,'Zdroj data'!BP68&lt;=Body!$BM$27),Body!$BK$22,IF(AND('Zdroj data'!BP68&gt;=Body!$BN$27,'Zdroj data'!BP68&lt;=Body!$BP$27),Body!$BN$22,IF(AND('Zdroj data'!BP68&gt;=Body!$BQ$27,'Zdroj data'!BP68&lt;=Body!$BS$27),Body!$BQ$22,IF(AND('Zdroj data'!BP68&gt;=Body!$BT$27,'Zdroj data'!BP68&lt;=Body!$BV$27),Body!$BT$22,IF(AND('Zdroj data'!BP68&gt;=Body!$BW$27,'Zdroj data'!BP68&lt;=Body!$BY$27),Body!$BW$22,IF('Zdroj data'!BP68&gt;=Body!$CB$27,$BZ$22," "))))))))))</f>
        <v>5</v>
      </c>
      <c r="X68" s="264">
        <f>IF('Zdroj data'!BA68=Body!$BB$28,$BB$22,IF('Zdroj data'!BA68=Body!$BE$28,$BE$22,IF(OR('Zdroj data'!BA68=Body!$BK$28,'Zdroj data'!BA68=Body!$BL$28,'Zdroj data'!BA68=Body!$BM$28),$BK$22,IF(OR('Zdroj data'!BA68=Body!$BT$28,'Zdroj data'!BA68=Body!$BV$28),$BT$22,IF(OR('Zdroj data'!BA68=Body!$BW$28,'Zdroj data'!BA68=Body!$BY$28),$BW$22,IF('Zdroj data'!BA68=Body!$BZ$28,$BZ$22," "))))))</f>
        <v>10</v>
      </c>
      <c r="Y68" s="264">
        <f>IF('Zdroj data'!AZ68=Body!$BZ$29,Body!$BZ$22,IF(OR('Zdroj data'!AZ68=$BT$29,'Zdroj data'!AZ68=$BU$29,'Zdroj data'!AZ68=$BV$29),$BT$22,IF(OR('Zdroj data'!AZ68=$BK$29,'Zdroj data'!AZ68=$BM$29),$BK$22,IF(OR('Zdroj data'!AZ68=$BE$29,'Zdroj data'!AZ68=$BG$29),$BE$22,IF(OR('Zdroj data'!AZ68=$AY$29,'Zdroj data'!AZ68=$BA$29),$AY$22," ")))))</f>
        <v>10</v>
      </c>
      <c r="Z68" s="264">
        <f>IF(AND('Zdroj data'!BF68="T",(OR('Zdroj data'!AZ68=Body!$AW$45,'Zdroj data'!AZ68=Body!$AW$46,'Zdroj data'!AZ68=Body!$AW$47,'Zdroj data'!AZ68=Body!$AW$48))),Body!$AY$22,IF(AND('Zdroj data'!BF68="T",(OR('Zdroj data'!AZ68=$AW$49,'Zdroj data'!AZ68=$AW$50,'Zdroj data'!AZ68=$AW$51,'Zdroj data'!AZ68=$AW$52))),$BZ$22,IF(AND(OR('Zdroj data'!BF68="VT",'Zdroj data'!BF68="T",'Zdroj data'!BF68="CH"),(OR('Zdroj data'!AZ68=$AW$43,'Zdroj data'!AZ68=$AW$44,))),$BZ$22,IF(AND('Zdroj data'!BF68="CH",(OR('Zdroj data'!AZ68=$AW$49,'Zdroj data'!AZ68=$AW$50,'Zdroj data'!AZ68=$AW$51,'Zdroj data'!AZ68=$AW$52))),$AY$22,IF(AND('Zdroj data'!BF68="CH",(OR('Zdroj data'!AZ68=$AW$45,'Zdroj data'!AZ68=$AW$46,'Zdroj data'!AZ68=$AW$47,'Zdroj data'!AZ68=$AW$48))),$BZ$22," ")))))</f>
        <v>10</v>
      </c>
      <c r="AA68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68" s="264">
        <f>IF(Tabulka1[[#This Row],[kv.ek.]]=Body!$BK$35,Body!$BK$34,IF(Tabulka1[[#This Row],[kv.ek.]]=Body!$BZ$35,Body!$BZ$34," "))</f>
        <v>5</v>
      </c>
      <c r="AC68" s="264" t="str">
        <f>IF(AND('Zdroj data'!BF68="T",(OR('Zdroj data'!AZ68=Body!$AW$45,'Zdroj data'!AZ68=Body!$AW$46,'Zdroj data'!AZ68=Body!$AW$47,'Zdroj data'!AZ68=Body!$AW$48))),Body!$AY$22,IF(AND('Zdroj data'!BF68="T",(OR('Zdroj data'!AZ68=$AW$49,'Zdroj data'!AZ68=$AW$50,'Zdroj data'!AZ68=$AW$51,'Zdroj data'!AZ68=$AW$52))),$BZ$22," "))</f>
        <v xml:space="preserve"> </v>
      </c>
      <c r="AD68" s="264">
        <f>IF(AND(OR('Zdroj data'!BF68="VT",'Zdroj data'!BF68="T",'Zdroj data'!BF68="CH"),(OR('Zdroj data'!AZ68=$AW$43,'Zdroj data'!AZ68=$AW$44,))),$BZ$22," ")</f>
        <v>10</v>
      </c>
      <c r="AE68" s="264" t="str">
        <f>IF(AND('Zdroj data'!BF68="CH",(OR('Zdroj data'!AZ68=$AW$49,'Zdroj data'!AZ68=$AW$50,'Zdroj data'!AZ68=$AW$51,'Zdroj data'!AZ68=$AW$52))),$AY$22,IF(AND('Zdroj data'!BF68="CH",(OR('Zdroj data'!AZ68=$AW$45,'Zdroj data'!AZ68=$AW$46,'Zdroj data'!AZ68=$AW$47,'Zdroj data'!AZ68=$AW$48))),$BZ$22," "))</f>
        <v xml:space="preserve"> </v>
      </c>
      <c r="AF68" s="264">
        <f>IF(AND('Zdroj data'!BG68="L",'Zdroj data'!AM68=Body!$AX$15),IF(AND('Zdroj data'!O68&gt;=Body!$AY$15,'Zdroj data'!O68&lt;=Body!$BA$15),Body!AY$6,IF(AND('Zdroj data'!O68&gt;=Body!$BB$15,'Zdroj data'!O68&lt;=Body!$BD$15),Body!BB$6,IF(AND('Zdroj data'!O68&gt;=Body!$BE$15,'Zdroj data'!O68&lt;=Body!$BG$15),Body!BE$6,IF(AND('Zdroj data'!O68&gt;=Body!$BH$15,'Zdroj data'!O68&lt;=Body!$BJ$15),Body!BH$6,IF(AND('Zdroj data'!O68&gt;=Body!$BK$15,'Zdroj data'!O68&lt;=Body!$BM$15),Body!BK$6,IF(AND('Zdroj data'!O68&gt;=Body!$BN$15,'Zdroj data'!O68&lt;=Body!$BP$15),Body!$BN$6,IF(AND('Zdroj data'!O68&gt;=Body!$BQ$15,'Zdroj data'!O68&lt;=Body!$BS$15),Body!$BQ$6,IF(AND('Zdroj data'!O68&gt;=Body!$BT$15,'Zdroj data'!O68&lt;=Body!$BV$15),Body!BT$6,IF(AND('Zdroj data'!O68&gt;=Body!$BW$15,'Zdroj data'!O68&lt;=Body!$BY$15),Body!$BW$6,IF('Zdroj data'!O68&gt;=Body!$CB$15,Body!$BZ$6," ")))))))))),IF(AND('Zdroj data'!BG68="ST",'Zdroj data'!AM68=Body!$AX$16),IF(AND('Zdroj data'!O68&gt;=Body!$AY$16,'Zdroj data'!O68&lt;=Body!$BA$16),Body!$AY$6,IF(AND('Zdroj data'!O68&gt;=Body!$BB$16,'Zdroj data'!O68&lt;=Body!$BD$16),Body!$BB$6,IF(AND('Zdroj data'!O68&gt;=Body!$BE$16,'Zdroj data'!O68&lt;=Body!$BG$16),Body!$BE$6,IF(AND('Zdroj data'!O68&gt;=Body!$BH$16,'Zdroj data'!O68&lt;=Body!$BJ$16),Body!$BH$6,IF(AND('Zdroj data'!O68&gt;=Body!$BK$16,'Zdroj data'!O68&lt;=Body!$BM$16),Body!$BK$6,IF(AND('Zdroj data'!O68&gt;=Body!$BN$16,'Zdroj data'!O68&lt;=Body!$BP$16),Body!$BN$6,IF(AND('Zdroj data'!O68&gt;=Body!$BQ$16,'Zdroj data'!O68&lt;=Body!$BS$16),Body!$BQ$6,IF(AND('Zdroj data'!O68&gt;=Body!$BT$16,'Zdroj data'!O68&lt;=Body!$BV$16),Body!$BT$6,IF(AND('Zdroj data'!O68&gt;=Body!$BW$16,'Zdroj data'!O68&lt;=Body!$BY$16),Body!$BW$6,IF('Zdroj data'!O68&gt;=Body!$CB$16,Body!$BZ$6," ")))))))))),IF(AND('Zdroj data'!BG68="T",'Zdroj data'!AM68=Body!$AX$17),IF(AND('Zdroj data'!O68&gt;=Body!$AY$17,'Zdroj data'!O68&lt;=Body!$BA$17),Body!$AY$6,IF(AND('Zdroj data'!O68&gt;=Body!$BB$17,'Zdroj data'!O68&lt;=Body!$BD$17),Body!$BB$6,IF(AND('Zdroj data'!O68&gt;=Body!$BE$17,'Zdroj data'!O68&lt;=Body!$BG$17),Body!$BE$6,IF(AND('Zdroj data'!O68&gt;=Body!$BH$17,'Zdroj data'!O68&lt;=Body!BJ80),Body!$BH$6,IF(AND('Zdroj data'!O68&gt;=Body!$BK$17,'Zdroj data'!O68&lt;=Body!$BM$17),Body!$BK$6,IF(AND('Zdroj data'!O68&gt;=Body!$BN$17,'Zdroj data'!O68&lt;=Body!$BP$17),Body!$BN$6,IF(AND('Zdroj data'!O68&gt;=Body!$BQ$17,'Zdroj data'!O68&lt;=Body!$BS$17),Body!$BQ$6,IF(AND('Zdroj data'!O68&gt;=Body!$BT$17,'Zdroj data'!O68&lt;=Body!$BV$17),Body!$BT$6,IF(AND('Zdroj data'!O68&gt;=Body!$BW$17,'Zdroj data'!O68&lt;=Body!$BY$17),Body!$BW$6,IF('Zdroj data'!O68&gt;=Body!$CB$17,Body!$BZ$6," "))))))))))," ")))</f>
        <v>2</v>
      </c>
      <c r="AG68" s="264">
        <f>IF(AND('Zdroj data'!$BG68="L",'Zdroj data'!$AM68=Body!$AX$15),IF(AND(Tabulka1[[#This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data'!$BG68="ST",'Zdroj data'!$AM68=Body!$AX$16),IF(AND(Tabulka1[[#This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data'!$BG68="T",'Zdroj data'!$AM68=Body!$AX$17),IF(AND(Tabulka1[[#This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Row],[K2O_60]]&lt;=Body!BJ80),Body!$BH$6,IF(AND(Tabulka1[[#This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68" s="264" t="str">
        <f>IF(AND('Zdroj data'!BG68="L",'Zdroj data'!AM68=Body!$AX$18),IF(AND('Zdroj data'!O68&gt;=Body!$AY$18,'Zdroj data'!O68&lt;=Body!$BA$18),Body!AY$6,IF(AND('Zdroj data'!O68&gt;=Body!$BB$18,'Zdroj data'!O68&lt;=Body!$BD$18),Body!BB$6,IF(AND('Zdroj data'!O68&gt;=Body!$BE$18,'Zdroj data'!O68&lt;=Body!$BG$18),Body!BE$6,IF(AND('Zdroj data'!O68&gt;=Body!$BH$18,'Zdroj data'!O68&lt;=Body!$BJ$18),Body!BH$6,IF(AND('Zdroj data'!O68&gt;=Body!$BK$18,'Zdroj data'!O68&lt;=Body!$BM$18),Body!$BK$6,IF(AND('Zdroj data'!O68&gt;=Body!$BN$18,'Zdroj data'!O68&lt;=Body!$BP$18),Body!BN$6,IF(AND('Zdroj data'!O68&gt;=Body!$BQ$18,'Zdroj data'!O68&lt;=Body!$BS$18),Body!$BQ$6,IF(AND('Zdroj data'!O68&gt;=Body!$BT$18,'Zdroj data'!O68&lt;=Body!$BV$18),Body!$BT$6,IF(AND('Zdroj data'!O68&gt;=Body!$BW$18,'Zdroj data'!O68&lt;=Body!$BY$18),Body!$BW$6,IF('Zdroj data'!O68&gt;=Body!$CB$18,Body!$BZ$6," ")))))))))),IF(AND('Zdroj data'!BG68="ST",'Zdroj data'!AM68=Body!$AX$19),IF(AND('Zdroj data'!O68&gt;=Body!$AY$19,'Zdroj data'!O68&lt;=Body!$BA$19),Body!$AY$6,IF(AND('Zdroj data'!O68&gt;=Body!$BB$19,'Zdroj data'!O68&lt;=Body!$BD$19),Body!$BB$6,IF(AND('Zdroj data'!O68&gt;=Body!$BE$19,'Zdroj data'!O68&lt;=Body!$BG$19),Body!$BE$6,IF(AND('Zdroj data'!O68&gt;=Body!$BH$19,'Zdroj data'!O68&lt;=Body!$BJ$19),Body!$BH$6,IF(AND('Zdroj data'!O68&gt;=Body!$BK$19,'Zdroj data'!O68&lt;=Body!$BM$19),Body!$BK$6,IF(AND('Zdroj data'!O68&gt;=Body!$BN$19,'Zdroj data'!O68&lt;=Body!$BP$19),Body!$BN$6,IF(AND('Zdroj data'!O68&gt;=Body!$BQ$19,'Zdroj data'!O68&lt;=Body!$BS$19),Body!$BQ$6,IF(AND('Zdroj data'!O68&gt;=Body!$BT$19,'Zdroj data'!O71&lt;=Body!$BV$19),Body!$BT$6,IF(AND('Zdroj data'!O68&gt;=Body!$BW$19,'Zdroj data'!O68&lt;=Body!$BY$19),Body!$BW$6,IF('Zdroj data'!O68&gt;=Body!$CB$19,Body!$BZ$6," ")))))))))),IF(AND('Zdroj data'!BG68="T",'Zdroj data'!AM68=Body!$AX$20),IF(AND('Zdroj data'!O68&gt;=Body!$AY$20,'Zdroj data'!O68&lt;=Body!$BA$20),Body!$AY$6,IF(AND('Zdroj data'!O68&gt;=Body!$BB$20,'Zdroj data'!O68&lt;=Body!$BD$20),Body!$BB$6,IF(AND('Zdroj data'!O68&gt;=Body!$BE$20,'Zdroj data'!O68&lt;=Body!$BG$20),Body!$BE$6,IF(AND('Zdroj data'!O68&gt;=Body!$BH$20,'Zdroj data'!O68&lt;=Body!$BJ$20),Body!$BH$6,IF(AND('Zdroj data'!O68&gt;=Body!$BK$20,'Zdroj data'!O68&lt;=Body!$BM$20),Body!$BK$6,IF(AND('Zdroj data'!O68&gt;=Body!$BN$20,'Zdroj data'!O68&lt;=Body!$BP$20),Body!$BN$6,IF(AND('Zdroj data'!O68&gt;=Body!$BQ$20,'Zdroj data'!O68&lt;=Body!$BS$20),Body!$BQ$6,IF(AND('Zdroj data'!O68&gt;=Body!$BT$20,'Zdroj data'!O68&lt;=Body!#REF!),Body!$BT$6,IF(AND('Zdroj data'!O68&gt;=Body!$BW$20,'Zdroj data'!O68&lt;=Body!$BY$20),Body!$BW$6,IF('Zdroj data'!O68&gt;=Body!$CB$20,Body!$BZ$6," "))))))))))," ")))</f>
        <v xml:space="preserve"> </v>
      </c>
      <c r="AI68" s="264" t="str">
        <f>IF(AND('Zdroj data'!$BG68="L",'Zdroj data'!$AM68=Body!$AX$18),IF(AND(Tabulka1[[#This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data'!$BG68="ST",'Zdroj data'!$AM68=Body!$AX$19),IF(AND(Tabulka1[[#This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data'!$BG68="T",'Zdroj data'!$AM68=Body!$AX$20),IF(AND(Tabulka1[[#This Row],[K2O_60]]&gt;=Body!$AY$20,'Zdroj data'!O68&lt;=Body!$BA$20),Body!$AY$6,IF(AND(Tabulka1[[#This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68" s="265">
        <f t="shared" ref="AJ68:AJ131" si="13">(AA68*$AV$36+AB68*$AV$35)*16*$AT$35*2</f>
        <v>5.3333333333333375</v>
      </c>
      <c r="AK68" s="264">
        <f t="shared" ref="AK68:AK131" si="14">(D68*$AV$7+F68*$AV$9+H68*$AV$13+J68*$AV$15+L68*$AV$12+N68*$AV$11+P68*$AV$10+Q68*$AV$21)*16*$AU$7*$AT$7</f>
        <v>35.748107578032958</v>
      </c>
      <c r="AL68" s="264">
        <f t="shared" ref="AL68:AL131" si="15">(E68*$AV$7+G68*$AV$9+I68*$AV$13+K68*$AV$15+M68*$AV$12+O68*$AV$11+P68*$AV$10+R68*$AV$21)*16*$AU$7*$AT$7</f>
        <v>33.337481854452086</v>
      </c>
      <c r="AM68" s="264">
        <f t="shared" ref="AM68:AM131" si="16">(S68*$AV$23+U68*$AV$25+V68*$AV$26+X68*$AV$28+Y68*$AV$29+Z68*$AV$30)*16*$AU$23*$AT$7</f>
        <v>76.406232972345762</v>
      </c>
      <c r="AN68" s="264">
        <f t="shared" ref="AN68:AN131" si="17">(T68*$AV$23+U68*$AV$25+W68*$AV$26+X68*$AV$28+Y68*$AV$29+Z68*$AV$30)*16*$AU$23*$AT$7</f>
        <v>65.489798643789811</v>
      </c>
      <c r="AO68" s="265">
        <f t="shared" si="11"/>
        <v>112.15434055037872</v>
      </c>
      <c r="AP68" s="265">
        <f t="shared" ref="AP68:AP131" si="18">AL68+AN68</f>
        <v>98.82728049824189</v>
      </c>
      <c r="AQ68" s="318"/>
      <c r="AR68" s="338">
        <f t="shared" ref="AR68:AR131" si="19">AO68+AP68+AJ68</f>
        <v>216.31495438195395</v>
      </c>
      <c r="AS68" s="318"/>
      <c r="AT68" s="138"/>
      <c r="AU68" s="138"/>
    </row>
    <row r="69" spans="1:47" ht="15.5" x14ac:dyDescent="0.35">
      <c r="A69" s="270">
        <v>4025</v>
      </c>
      <c r="B69" s="156" t="s">
        <v>301</v>
      </c>
      <c r="C69" s="250" t="str">
        <f>VLOOKUP(B69,'Zdroj hloubka okresy'!$A$2:$D$171,2,FALSE)</f>
        <v>Kutna Hora</v>
      </c>
      <c r="D69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9</v>
      </c>
      <c r="E69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9</v>
      </c>
      <c r="F69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69" s="264">
        <f>IF(AND(Tabulka1[[#This Row],[hum_60]]&gt;AY75,Tabulka1[[#This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69" s="264">
        <f>IF(Tabulka1[[#This Row],[kv.ek.]]=Body!$AX$13,IF(AND('Zdroj data'!M69&gt;=Body!$AY$13,'Zdroj data'!M69&lt;=Body!$BA$13),Body!$AY$6,IF(AND('Zdroj data'!M69&gt;=Body!$BB$13,'Zdroj data'!M69&lt;=Body!$BD$13),Body!$BB$6,IF(AND('Zdroj data'!M69&gt;=Body!$BE$13,'Zdroj data'!M69&lt;=Body!$BG$13),Body!$BE$6,IF(AND('Zdroj data'!M69&gt;=Body!$BH$13,'Zdroj data'!M69&lt;=Body!$BJ$13),Body!$BH$6,IF(AND('Zdroj data'!M69&gt;=Body!$BK$13,'Zdroj data'!M69&lt;=Body!$BM$13),Body!$BK$6,IF(AND('Zdroj data'!M69&gt;=Body!$BN$13,'Zdroj data'!M69&lt;=Body!$BP$13),Body!$BN$6,IF(AND('Zdroj data'!M69&gt;=Body!$BQ$13,'Zdroj data'!M69&lt;=Body!$BS$13),Body!$BQ$6,IF(AND('Zdroj data'!M69&gt;=Body!$BT$13,'Zdroj data'!M69&lt;=Body!$BV$13),Body!$BT$6,IF(AND('Zdroj data'!M69&gt;=Body!$BW$13,'Zdroj data'!M69&lt;=Body!$BY$13),Body!$BW$6,IF('Zdroj data'!M69&gt;=Body!$CB$13,Body!$BZ$6," ")))))))))),IF(Tabulka1[[#This Row],[kv.ek.]]=Body!$AX$14,IF(AND('Zdroj data'!N69&gt;=Body!$AY$14,'Zdroj data'!N69&lt;=Body!$BA$14),Body!$AY$6,IF(AND('Zdroj data'!N69&gt;=Body!$BB$14,'Zdroj data'!N69&lt;=Body!$BD$14),Body!$BB$6,IF(AND('Zdroj data'!N69&gt;=Body!$BE$14,'Zdroj data'!N69&lt;=Body!$BG$14),Body!$BE$6,IF(AND('Zdroj data'!N69&gt;=Body!$BH$14,'Zdroj data'!N69&lt;=Body!$BJ$14),Body!$BH$6,IF(AND('Zdroj data'!N69&gt;=Body!$BK$14,'Zdroj data'!N69&lt;=Body!$BM$14),Body!$BK$6,IF(AND('Zdroj data'!N69&gt;=Body!$BN$14,'Zdroj data'!N69&lt;=Body!$BP$14),Body!$BN$6,IF(AND('Zdroj data'!N69&gt;=Body!$BQ$14,'Zdroj data'!N69&lt;=Body!$BS$14),Body!$BQ$6,IF(AND('Zdroj data'!N69&gt;=Body!$BT$14,'Zdroj data'!N69&lt;=Body!$BV$14),Body!$BT$6,IF(AND('Zdroj data'!N69&gt;=Body!$BW$14,'Zdroj data'!N69&lt;=Body!$BY$14),Body!$BW$6,IF('Zdroj data'!N69&gt;=Body!$CB$14,Body!$BZ$6," "))))))))))," "))</f>
        <v>10</v>
      </c>
      <c r="I69" s="264">
        <f>IF(Tabulka1[[#This Row],[kv.ek.]]=Body!$AX$13,IF(AND('Zdroj data'!N69&gt;=Body!$AY$13,'Zdroj data'!N69&lt;=Body!$BA$13),Body!$AY$6,IF(AND('Zdroj data'!N69&gt;=Body!$BB$13,'Zdroj data'!N69&lt;=Body!$BD$13),Body!$BB$6,IF(AND('Zdroj data'!N69&gt;=Body!$BE$13,'Zdroj data'!N69&lt;=Body!$BG$13),Body!$BE$6,IF(AND('Zdroj data'!N69&gt;=Body!$BH$13,'Zdroj data'!N69&lt;=Body!$BJ$13),Body!$BH$6,IF(AND('Zdroj data'!N69&gt;=Body!$BK$13,'Zdroj data'!N69&lt;=Body!$BM$13),Body!$BK$6,IF(AND('Zdroj data'!N69&gt;=Body!$BN$13,'Zdroj data'!N69&lt;=Body!$BP$13),Body!$BN$6,IF(AND('Zdroj data'!N69&gt;=Body!$BQ$13,'Zdroj data'!N69&lt;=Body!$BS$13),Body!$BQ$6,IF(AND('Zdroj data'!N69&gt;=Body!$BT$13,'Zdroj data'!N69&lt;=Body!$BV$13),Body!$BT$6,IF(AND('Zdroj data'!N69&gt;=Body!$BW$13,'Zdroj data'!N69&lt;=Body!$BY$13),Body!$BW$6,IF('Zdroj data'!N69&gt;=Body!$CB$13,Body!$BZ$6," ")))))))))),IF(Tabulka1[[#This Row],[kv.ek.]]=Body!$AX$14,IF(AND('Zdroj data'!O69&gt;=Body!$AY$14,'Zdroj data'!O69&lt;=Body!$BA$14),Body!$AY$6,IF(AND('Zdroj data'!O69&gt;=Body!$BB$14,'Zdroj data'!O69&lt;=Body!$BD$14),Body!$BB$6,IF(AND('Zdroj data'!O69&gt;=Body!$BE$14,'Zdroj data'!O69&lt;=Body!$BG$14),Body!$BE$6,IF(AND('Zdroj data'!O69&gt;=Body!$BH$14,'Zdroj data'!O69&lt;=Body!$BJ$14),Body!$BH$6,IF(AND('Zdroj data'!O69&gt;=Body!$BK$14,'Zdroj data'!O69&lt;=Body!$BM$14),Body!$BK$6,IF(AND('Zdroj data'!O69&gt;=Body!$BN$14,'Zdroj data'!O69&lt;=Body!$BP$14),Body!$BN$6,IF(AND('Zdroj data'!O69&gt;=Body!$BQ$14,'Zdroj data'!O69&lt;=Body!$BS$14),Body!$BQ$6,IF(AND('Zdroj data'!O69&gt;=Body!$BT$14,'Zdroj data'!O69&lt;=Body!$BV$14),Body!$BT$6,IF(AND('Zdroj data'!O69&gt;=Body!$BW$14,'Zdroj data'!O69&lt;=Body!$BY$14),Body!$BW$6,IF('Zdroj data'!O69&gt;=Body!$CB$14,Body!$BZ$6," "))))))))))," "))</f>
        <v>7</v>
      </c>
      <c r="J69" s="264">
        <f t="shared" ref="J69:K76" si="20">IF(AF69=" ",AH69,AF69)</f>
        <v>2</v>
      </c>
      <c r="K69" s="264">
        <f t="shared" si="20"/>
        <v>1</v>
      </c>
      <c r="L69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69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6</v>
      </c>
      <c r="N69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9</v>
      </c>
      <c r="O69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9</v>
      </c>
      <c r="P69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69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69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8</v>
      </c>
      <c r="S69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9</v>
      </c>
      <c r="T69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69" s="264">
        <f>IF('Zdroj data'!BB69=Body!$AY$25,Body!$AY$22,IF('Zdroj data'!BB69=Body!$BB$25,Body!$BB$22,IF('Zdroj data'!BB69=Body!$BE$25,Body!$BE$22,IF('Zdroj data'!BB69=Body!$BH$25,Body!$BH$22,IF('Zdroj data'!BB69=Body!BK$25,Body!$BK$22,IF('Zdroj data'!BB69=Body!$BN$25,Body!$BN$22,IF('Zdroj data'!BB69=Body!$BQ$25,Body!$BQ$22,IF('Zdroj data'!BB69=Body!$BT$25,Body!$BT$22,IF('Zdroj data'!BB69=Body!$BW$25,Body!$BW$22,IF('Zdroj data'!BB69=Body!$BZ$25,Body!$BZ$22," "))))))))))</f>
        <v>7</v>
      </c>
      <c r="V69" s="264">
        <f>IF(AND('Zdroj data'!BO69&gt;Body!$AY$27,'Zdroj data'!BO69&lt;=Body!$BA$27),Body!$AY$22,IF(AND('Zdroj data'!BO69&gt;=Body!$BB$27,'Zdroj data'!BO69&lt;=Body!$BD$27),Body!$BB$22,IF(AND('Zdroj data'!BO69&gt;=Body!$BE$27,'Zdroj data'!BO69&lt;=Body!$BG$27),Body!$BE$22,IF(AND('Zdroj data'!BO69&gt;=Body!$BH$27,'Zdroj data'!BO69&lt;=Body!$BJ$27),Body!$BH$22,IF(AND('Zdroj data'!BO69&gt;=Body!$BK$27,'Zdroj data'!BO69&lt;=Body!$BM$27),Body!$BK$22,IF(AND('Zdroj data'!BO69&gt;=Body!$BN$27,'Zdroj data'!BO69&lt;=Body!$BP$27),Body!$BN$22,IF(AND('Zdroj data'!BO69&gt;=Body!$BQ$27,'Zdroj data'!BO69&lt;=Body!$BS$27),Body!$BQ$22,IF(AND('Zdroj data'!BO69&gt;=Body!$BT$27,'Zdroj data'!BO69&lt;=Body!$BV$27),Body!$BT$22,IF(AND('Zdroj data'!BO69&gt;=Body!$BW$27,'Zdroj data'!BO69&lt;=Body!$BY$27),Body!$BW$22,IF('Zdroj data'!BO69&gt;=Body!$CB$27,$BZ$22," "))))))))))</f>
        <v>7</v>
      </c>
      <c r="W69" s="264">
        <f>IF(AND('Zdroj data'!BP69&gt;Body!$AY$27,'Zdroj data'!BP69&lt;=Body!$BA$27),Body!$AY$22,IF(AND('Zdroj data'!BP69&gt;=Body!$BB$27,'Zdroj data'!BP69&lt;=Body!$BD$27),Body!$BB$22,IF(AND('Zdroj data'!BP69&gt;=Body!$BE$27,'Zdroj data'!BP69&lt;=Body!$BG$27),Body!$BE$22,IF(AND('Zdroj data'!BP69&gt;=Body!$BH$27,'Zdroj data'!BP69&lt;=Body!$BJ$27),Body!$BH$22,IF(AND('Zdroj data'!BP69&gt;=Body!$BK$27,'Zdroj data'!BP69&lt;=Body!$BM$27),Body!$BK$22,IF(AND('Zdroj data'!BP69&gt;=Body!$BN$27,'Zdroj data'!BP69&lt;=Body!$BP$27),Body!$BN$22,IF(AND('Zdroj data'!BP69&gt;=Body!$BQ$27,'Zdroj data'!BP69&lt;=Body!$BS$27),Body!$BQ$22,IF(AND('Zdroj data'!BP69&gt;=Body!$BT$27,'Zdroj data'!BP69&lt;=Body!$BV$27),Body!$BT$22,IF(AND('Zdroj data'!BP69&gt;=Body!$BW$27,'Zdroj data'!BP69&lt;=Body!$BY$27),Body!$BW$22,IF('Zdroj data'!BP69&gt;=Body!$CB$27,$BZ$22," "))))))))))</f>
        <v>7</v>
      </c>
      <c r="X69" s="264">
        <f>IF('Zdroj data'!BA69=Body!$BB$28,$BB$22,IF('Zdroj data'!BA69=Body!$BE$28,$BE$22,IF(OR('Zdroj data'!BA69=Body!$BK$28,'Zdroj data'!BA69=Body!$BL$28,'Zdroj data'!BA69=Body!$BM$28),$BK$22,IF(OR('Zdroj data'!BA69=Body!$BT$28,'Zdroj data'!BA69=Body!$BV$28),$BT$22,IF(OR('Zdroj data'!BA69=Body!$BW$28,'Zdroj data'!BA69=Body!$BY$28),$BW$22,IF('Zdroj data'!BA69=Body!$BZ$28,$BZ$22," "))))))</f>
        <v>10</v>
      </c>
      <c r="Y69" s="264">
        <f>IF('Zdroj data'!AZ69=Body!$BZ$29,Body!$BZ$22,IF(OR('Zdroj data'!AZ69=$BT$29,'Zdroj data'!AZ69=$BU$29,'Zdroj data'!AZ69=$BV$29),$BT$22,IF(OR('Zdroj data'!AZ69=$BK$29,'Zdroj data'!AZ69=$BM$29),$BK$22,IF(OR('Zdroj data'!AZ69=$BE$29,'Zdroj data'!AZ69=$BG$29),$BE$22,IF(OR('Zdroj data'!AZ69=$AY$29,'Zdroj data'!AZ69=$BA$29),$AY$22," ")))))</f>
        <v>10</v>
      </c>
      <c r="Z69" s="264">
        <f>IF(AND('Zdroj data'!BF69="T",(OR('Zdroj data'!AZ69=Body!$AW$45,'Zdroj data'!AZ69=Body!$AW$46,'Zdroj data'!AZ69=Body!$AW$47,'Zdroj data'!AZ69=Body!$AW$48))),Body!$AY$22,IF(AND('Zdroj data'!BF69="T",(OR('Zdroj data'!AZ69=$AW$49,'Zdroj data'!AZ69=$AW$50,'Zdroj data'!AZ69=$AW$51,'Zdroj data'!AZ69=$AW$52))),$BZ$22,IF(AND(OR('Zdroj data'!BF69="VT",'Zdroj data'!BF69="T",'Zdroj data'!BF69="CH"),(OR('Zdroj data'!AZ69=$AW$43,'Zdroj data'!AZ69=$AW$44,))),$BZ$22,IF(AND('Zdroj data'!BF69="CH",(OR('Zdroj data'!AZ69=$AW$49,'Zdroj data'!AZ69=$AW$50,'Zdroj data'!AZ69=$AW$51,'Zdroj data'!AZ69=$AW$52))),$AY$22,IF(AND('Zdroj data'!BF69="CH",(OR('Zdroj data'!AZ69=$AW$45,'Zdroj data'!AZ69=$AW$46,'Zdroj data'!AZ69=$AW$47,'Zdroj data'!AZ69=$AW$48))),$BZ$22," ")))))</f>
        <v>10</v>
      </c>
      <c r="AA69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69" s="264">
        <f>IF(Tabulka1[[#This Row],[kv.ek.]]=Body!$BK$35,Body!$BK$34,IF(Tabulka1[[#This Row],[kv.ek.]]=Body!$BZ$35,Body!$BZ$34," "))</f>
        <v>5</v>
      </c>
      <c r="AC69" s="264" t="str">
        <f>IF(AND('Zdroj data'!BF69="T",(OR('Zdroj data'!AZ69=Body!$AW$45,'Zdroj data'!AZ69=Body!$AW$46,'Zdroj data'!AZ69=Body!$AW$47,'Zdroj data'!AZ69=Body!$AW$48))),Body!$AY$22,IF(AND('Zdroj data'!BF69="T",(OR('Zdroj data'!AZ69=$AW$49,'Zdroj data'!AZ69=$AW$50,'Zdroj data'!AZ69=$AW$51,'Zdroj data'!AZ69=$AW$52))),$BZ$22," "))</f>
        <v xml:space="preserve"> </v>
      </c>
      <c r="AD69" s="264">
        <f>IF(AND(OR('Zdroj data'!BF69="VT",'Zdroj data'!BF69="T",'Zdroj data'!BF69="CH"),(OR('Zdroj data'!AZ69=$AW$43,'Zdroj data'!AZ69=$AW$44,))),$BZ$22," ")</f>
        <v>10</v>
      </c>
      <c r="AE69" s="264" t="str">
        <f>IF(AND('Zdroj data'!BF69="CH",(OR('Zdroj data'!AZ69=$AW$49,'Zdroj data'!AZ69=$AW$50,'Zdroj data'!AZ69=$AW$51,'Zdroj data'!AZ69=$AW$52))),$AY$22,IF(AND('Zdroj data'!BF69="CH",(OR('Zdroj data'!AZ69=$AW$45,'Zdroj data'!AZ69=$AW$46,'Zdroj data'!AZ69=$AW$47,'Zdroj data'!AZ69=$AW$48))),$BZ$22," "))</f>
        <v xml:space="preserve"> </v>
      </c>
      <c r="AF69" s="264">
        <f>IF(AND('Zdroj data'!BG69="L",'Zdroj data'!AM69=Body!$AX$15),IF(AND('Zdroj data'!O69&gt;=Body!$AY$15,'Zdroj data'!O69&lt;=Body!$BA$15),Body!AY$6,IF(AND('Zdroj data'!O69&gt;=Body!$BB$15,'Zdroj data'!O69&lt;=Body!$BD$15),Body!BB$6,IF(AND('Zdroj data'!O69&gt;=Body!$BE$15,'Zdroj data'!O69&lt;=Body!$BG$15),Body!BE$6,IF(AND('Zdroj data'!O69&gt;=Body!$BH$15,'Zdroj data'!O69&lt;=Body!$BJ$15),Body!BH$6,IF(AND('Zdroj data'!O69&gt;=Body!$BK$15,'Zdroj data'!O69&lt;=Body!$BM$15),Body!BK$6,IF(AND('Zdroj data'!O69&gt;=Body!$BN$15,'Zdroj data'!O69&lt;=Body!$BP$15),Body!$BN$6,IF(AND('Zdroj data'!O69&gt;=Body!$BQ$15,'Zdroj data'!O69&lt;=Body!$BS$15),Body!$BQ$6,IF(AND('Zdroj data'!O69&gt;=Body!$BT$15,'Zdroj data'!O69&lt;=Body!$BV$15),Body!BT$6,IF(AND('Zdroj data'!O69&gt;=Body!$BW$15,'Zdroj data'!O69&lt;=Body!$BY$15),Body!$BW$6,IF('Zdroj data'!O69&gt;=Body!$CB$15,Body!$BZ$6," ")))))))))),IF(AND('Zdroj data'!BG69="ST",'Zdroj data'!AM69=Body!$AX$16),IF(AND('Zdroj data'!O69&gt;=Body!$AY$16,'Zdroj data'!O69&lt;=Body!$BA$16),Body!$AY$6,IF(AND('Zdroj data'!O69&gt;=Body!$BB$16,'Zdroj data'!O69&lt;=Body!$BD$16),Body!$BB$6,IF(AND('Zdroj data'!O69&gt;=Body!$BE$16,'Zdroj data'!O69&lt;=Body!$BG$16),Body!$BE$6,IF(AND('Zdroj data'!O69&gt;=Body!$BH$16,'Zdroj data'!O69&lt;=Body!$BJ$16),Body!$BH$6,IF(AND('Zdroj data'!O69&gt;=Body!$BK$16,'Zdroj data'!O69&lt;=Body!$BM$16),Body!$BK$6,IF(AND('Zdroj data'!O69&gt;=Body!$BN$16,'Zdroj data'!O69&lt;=Body!$BP$16),Body!$BN$6,IF(AND('Zdroj data'!O69&gt;=Body!$BQ$16,'Zdroj data'!O69&lt;=Body!$BS$16),Body!$BQ$6,IF(AND('Zdroj data'!O69&gt;=Body!$BT$16,'Zdroj data'!O69&lt;=Body!$BV$16),Body!$BT$6,IF(AND('Zdroj data'!O69&gt;=Body!$BW$16,'Zdroj data'!O69&lt;=Body!$BY$16),Body!$BW$6,IF('Zdroj data'!O69&gt;=Body!$CB$16,Body!$BZ$6," ")))))))))),IF(AND('Zdroj data'!BG69="T",'Zdroj data'!AM69=Body!$AX$17),IF(AND('Zdroj data'!O69&gt;=Body!$AY$17,'Zdroj data'!O69&lt;=Body!$BA$17),Body!$AY$6,IF(AND('Zdroj data'!O69&gt;=Body!$BB$17,'Zdroj data'!O69&lt;=Body!$BD$17),Body!$BB$6,IF(AND('Zdroj data'!O69&gt;=Body!$BE$17,'Zdroj data'!O69&lt;=Body!$BG$17),Body!$BE$6,IF(AND('Zdroj data'!O69&gt;=Body!$BH$17,'Zdroj data'!O69&lt;=Body!BJ81),Body!$BH$6,IF(AND('Zdroj data'!O69&gt;=Body!$BK$17,'Zdroj data'!O69&lt;=Body!$BM$17),Body!$BK$6,IF(AND('Zdroj data'!O69&gt;=Body!$BN$17,'Zdroj data'!O69&lt;=Body!$BP$17),Body!$BN$6,IF(AND('Zdroj data'!O69&gt;=Body!$BQ$17,'Zdroj data'!O69&lt;=Body!$BS$17),Body!$BQ$6,IF(AND('Zdroj data'!O69&gt;=Body!$BT$17,'Zdroj data'!O69&lt;=Body!$BV$17),Body!$BT$6,IF(AND('Zdroj data'!O69&gt;=Body!$BW$17,'Zdroj data'!O69&lt;=Body!$BY$17),Body!$BW$6,IF('Zdroj data'!O69&gt;=Body!$CB$17,Body!$BZ$6," "))))))))))," ")))</f>
        <v>2</v>
      </c>
      <c r="AG69" s="264">
        <f>IF(AND('Zdroj data'!$BG69="L",'Zdroj data'!$AM69=Body!$AX$15),IF(AND(Tabulka1[[#This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data'!$BG69="ST",'Zdroj data'!$AM69=Body!$AX$16),IF(AND(Tabulka1[[#This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data'!$BG69="T",'Zdroj data'!$AM69=Body!$AX$17),IF(AND(Tabulka1[[#This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Row],[K2O_60]]&lt;=Body!BJ81),Body!$BH$6,IF(AND(Tabulka1[[#This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69" s="264" t="str">
        <f>IF(AND('Zdroj data'!BG69="L",'Zdroj data'!AM69=Body!$AX$18),IF(AND('Zdroj data'!O69&gt;=Body!$AY$18,'Zdroj data'!O69&lt;=Body!$BA$18),Body!AY$6,IF(AND('Zdroj data'!O69&gt;=Body!$BB$18,'Zdroj data'!O69&lt;=Body!$BD$18),Body!BB$6,IF(AND('Zdroj data'!O69&gt;=Body!$BE$18,'Zdroj data'!O69&lt;=Body!$BG$18),Body!BE$6,IF(AND('Zdroj data'!O69&gt;=Body!$BH$18,'Zdroj data'!O69&lt;=Body!$BJ$18),Body!BH$6,IF(AND('Zdroj data'!O69&gt;=Body!$BK$18,'Zdroj data'!O69&lt;=Body!$BM$18),Body!$BK$6,IF(AND('Zdroj data'!O69&gt;=Body!$BN$18,'Zdroj data'!O69&lt;=Body!$BP$18),Body!BN$6,IF(AND('Zdroj data'!O69&gt;=Body!$BQ$18,'Zdroj data'!O69&lt;=Body!$BS$18),Body!$BQ$6,IF(AND('Zdroj data'!O69&gt;=Body!$BT$18,'Zdroj data'!O69&lt;=Body!$BV$18),Body!$BT$6,IF(AND('Zdroj data'!O69&gt;=Body!$BW$18,'Zdroj data'!O69&lt;=Body!$BY$18),Body!$BW$6,IF('Zdroj data'!O69&gt;=Body!$CB$18,Body!$BZ$6," ")))))))))),IF(AND('Zdroj data'!BG69="ST",'Zdroj data'!AM69=Body!$AX$19),IF(AND('Zdroj data'!O69&gt;=Body!$AY$19,'Zdroj data'!O69&lt;=Body!$BA$19),Body!$AY$6,IF(AND('Zdroj data'!O69&gt;=Body!$BB$19,'Zdroj data'!O69&lt;=Body!$BD$19),Body!$BB$6,IF(AND('Zdroj data'!O69&gt;=Body!$BE$19,'Zdroj data'!O69&lt;=Body!$BG$19),Body!$BE$6,IF(AND('Zdroj data'!O69&gt;=Body!$BH$19,'Zdroj data'!O69&lt;=Body!$BJ$19),Body!$BH$6,IF(AND('Zdroj data'!O69&gt;=Body!$BK$19,'Zdroj data'!O69&lt;=Body!$BM$19),Body!$BK$6,IF(AND('Zdroj data'!O69&gt;=Body!$BN$19,'Zdroj data'!O69&lt;=Body!$BP$19),Body!$BN$6,IF(AND('Zdroj data'!O69&gt;=Body!$BQ$19,'Zdroj data'!O69&lt;=Body!$BS$19),Body!$BQ$6,IF(AND('Zdroj data'!O69&gt;=Body!$BT$19,'Zdroj data'!O72&lt;=Body!$BV$19),Body!$BT$6,IF(AND('Zdroj data'!O69&gt;=Body!$BW$19,'Zdroj data'!O69&lt;=Body!$BY$19),Body!$BW$6,IF('Zdroj data'!O69&gt;=Body!$CB$19,Body!$BZ$6," ")))))))))),IF(AND('Zdroj data'!BG69="T",'Zdroj data'!AM69=Body!$AX$20),IF(AND('Zdroj data'!O69&gt;=Body!$AY$20,'Zdroj data'!O69&lt;=Body!$BA$20),Body!$AY$6,IF(AND('Zdroj data'!O69&gt;=Body!$BB$20,'Zdroj data'!O69&lt;=Body!$BD$20),Body!$BB$6,IF(AND('Zdroj data'!O69&gt;=Body!$BE$20,'Zdroj data'!O69&lt;=Body!$BG$20),Body!$BE$6,IF(AND('Zdroj data'!O69&gt;=Body!$BH$20,'Zdroj data'!O69&lt;=Body!$BJ$20),Body!$BH$6,IF(AND('Zdroj data'!O69&gt;=Body!$BK$20,'Zdroj data'!O69&lt;=Body!$BM$20),Body!$BK$6,IF(AND('Zdroj data'!O69&gt;=Body!$BN$20,'Zdroj data'!O69&lt;=Body!$BP$20),Body!$BN$6,IF(AND('Zdroj data'!O69&gt;=Body!$BQ$20,'Zdroj data'!O69&lt;=Body!$BS$20),Body!$BQ$6,IF(AND('Zdroj data'!O69&gt;=Body!$BT$20,'Zdroj data'!O69&lt;=Body!#REF!),Body!$BT$6,IF(AND('Zdroj data'!O69&gt;=Body!$BW$20,'Zdroj data'!O69&lt;=Body!$BY$20),Body!$BW$6,IF('Zdroj data'!O69&gt;=Body!$CB$20,Body!$BZ$6," "))))))))))," ")))</f>
        <v xml:space="preserve"> </v>
      </c>
      <c r="AI69" s="264" t="str">
        <f>IF(AND('Zdroj data'!$BG69="L",'Zdroj data'!$AM69=Body!$AX$18),IF(AND(Tabulka1[[#This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data'!$BG69="ST",'Zdroj data'!$AM69=Body!$AX$19),IF(AND(Tabulka1[[#This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data'!$BG69="T",'Zdroj data'!$AM69=Body!$AX$20),IF(AND(Tabulka1[[#This Row],[K2O_60]]&gt;=Body!$AY$20,'Zdroj data'!O69&lt;=Body!$BA$20),Body!$AY$6,IF(AND(Tabulka1[[#This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69" s="265">
        <f t="shared" si="13"/>
        <v>5.3333333333333375</v>
      </c>
      <c r="AK69" s="264">
        <f t="shared" si="14"/>
        <v>33.237477183546702</v>
      </c>
      <c r="AL69" s="264">
        <f t="shared" si="15"/>
        <v>33.546845106048828</v>
      </c>
      <c r="AM69" s="264">
        <f t="shared" si="16"/>
        <v>76.406232972345762</v>
      </c>
      <c r="AN69" s="264">
        <f t="shared" si="17"/>
        <v>68.578985058193794</v>
      </c>
      <c r="AO69" s="265">
        <f t="shared" si="11"/>
        <v>109.64371015589246</v>
      </c>
      <c r="AP69" s="265">
        <f t="shared" si="18"/>
        <v>102.12583016424261</v>
      </c>
      <c r="AQ69" s="318"/>
      <c r="AR69" s="338">
        <f t="shared" si="19"/>
        <v>217.10287365346844</v>
      </c>
      <c r="AS69" s="318"/>
      <c r="AT69" s="138"/>
      <c r="AU69" s="138"/>
    </row>
    <row r="70" spans="1:47" ht="15.5" x14ac:dyDescent="0.35">
      <c r="A70" s="270">
        <v>4031</v>
      </c>
      <c r="B70" s="156" t="s">
        <v>79</v>
      </c>
      <c r="C70" s="250" t="str">
        <f>VLOOKUP(B70,'Zdroj hloubka okresy'!$A$2:$D$171,2,FALSE)</f>
        <v>Kutna Hora</v>
      </c>
      <c r="D70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70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70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70" s="264">
        <f>IF(AND(Tabulka1[[#This Row],[hum_60]]&gt;AY76,Tabulka1[[#This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4</v>
      </c>
      <c r="H70" s="264">
        <f>IF(Tabulka1[[#This Row],[kv.ek.]]=Body!$AX$13,IF(AND('Zdroj data'!M70&gt;=Body!$AY$13,'Zdroj data'!M70&lt;=Body!$BA$13),Body!$AY$6,IF(AND('Zdroj data'!M70&gt;=Body!$BB$13,'Zdroj data'!M70&lt;=Body!$BD$13),Body!$BB$6,IF(AND('Zdroj data'!M70&gt;=Body!$BE$13,'Zdroj data'!M70&lt;=Body!$BG$13),Body!$BE$6,IF(AND('Zdroj data'!M70&gt;=Body!$BH$13,'Zdroj data'!M70&lt;=Body!$BJ$13),Body!$BH$6,IF(AND('Zdroj data'!M70&gt;=Body!$BK$13,'Zdroj data'!M70&lt;=Body!$BM$13),Body!$BK$6,IF(AND('Zdroj data'!M70&gt;=Body!$BN$13,'Zdroj data'!M70&lt;=Body!$BP$13),Body!$BN$6,IF(AND('Zdroj data'!M70&gt;=Body!$BQ$13,'Zdroj data'!M70&lt;=Body!$BS$13),Body!$BQ$6,IF(AND('Zdroj data'!M70&gt;=Body!$BT$13,'Zdroj data'!M70&lt;=Body!$BV$13),Body!$BT$6,IF(AND('Zdroj data'!M70&gt;=Body!$BW$13,'Zdroj data'!M70&lt;=Body!$BY$13),Body!$BW$6,IF('Zdroj data'!M70&gt;=Body!$CB$13,Body!$BZ$6," ")))))))))),IF(Tabulka1[[#This Row],[kv.ek.]]=Body!$AX$14,IF(AND('Zdroj data'!N70&gt;=Body!$AY$14,'Zdroj data'!N70&lt;=Body!$BA$14),Body!$AY$6,IF(AND('Zdroj data'!N70&gt;=Body!$BB$14,'Zdroj data'!N70&lt;=Body!$BD$14),Body!$BB$6,IF(AND('Zdroj data'!N70&gt;=Body!$BE$14,'Zdroj data'!N70&lt;=Body!$BG$14),Body!$BE$6,IF(AND('Zdroj data'!N70&gt;=Body!$BH$14,'Zdroj data'!N70&lt;=Body!$BJ$14),Body!$BH$6,IF(AND('Zdroj data'!N70&gt;=Body!$BK$14,'Zdroj data'!N70&lt;=Body!$BM$14),Body!$BK$6,IF(AND('Zdroj data'!N70&gt;=Body!$BN$14,'Zdroj data'!N70&lt;=Body!$BP$14),Body!$BN$6,IF(AND('Zdroj data'!N70&gt;=Body!$BQ$14,'Zdroj data'!N70&lt;=Body!$BS$14),Body!$BQ$6,IF(AND('Zdroj data'!N70&gt;=Body!$BT$14,'Zdroj data'!N70&lt;=Body!$BV$14),Body!$BT$6,IF(AND('Zdroj data'!N70&gt;=Body!$BW$14,'Zdroj data'!N70&lt;=Body!$BY$14),Body!$BW$6,IF('Zdroj data'!N70&gt;=Body!$CB$14,Body!$BZ$6," "))))))))))," "))</f>
        <v>1</v>
      </c>
      <c r="I70" s="264">
        <f>IF(Tabulka1[[#This Row],[kv.ek.]]=Body!$AX$13,IF(AND('Zdroj data'!N70&gt;=Body!$AY$13,'Zdroj data'!N70&lt;=Body!$BA$13),Body!$AY$6,IF(AND('Zdroj data'!N70&gt;=Body!$BB$13,'Zdroj data'!N70&lt;=Body!$BD$13),Body!$BB$6,IF(AND('Zdroj data'!N70&gt;=Body!$BE$13,'Zdroj data'!N70&lt;=Body!$BG$13),Body!$BE$6,IF(AND('Zdroj data'!N70&gt;=Body!$BH$13,'Zdroj data'!N70&lt;=Body!$BJ$13),Body!$BH$6,IF(AND('Zdroj data'!N70&gt;=Body!$BK$13,'Zdroj data'!N70&lt;=Body!$BM$13),Body!$BK$6,IF(AND('Zdroj data'!N70&gt;=Body!$BN$13,'Zdroj data'!N70&lt;=Body!$BP$13),Body!$BN$6,IF(AND('Zdroj data'!N70&gt;=Body!$BQ$13,'Zdroj data'!N70&lt;=Body!$BS$13),Body!$BQ$6,IF(AND('Zdroj data'!N70&gt;=Body!$BT$13,'Zdroj data'!N70&lt;=Body!$BV$13),Body!$BT$6,IF(AND('Zdroj data'!N70&gt;=Body!$BW$13,'Zdroj data'!N70&lt;=Body!$BY$13),Body!$BW$6,IF('Zdroj data'!N70&gt;=Body!$CB$13,Body!$BZ$6," ")))))))))),IF(Tabulka1[[#This Row],[kv.ek.]]=Body!$AX$14,IF(AND('Zdroj data'!O70&gt;=Body!$AY$14,'Zdroj data'!O70&lt;=Body!$BA$14),Body!$AY$6,IF(AND('Zdroj data'!O70&gt;=Body!$BB$14,'Zdroj data'!O70&lt;=Body!$BD$14),Body!$BB$6,IF(AND('Zdroj data'!O70&gt;=Body!$BE$14,'Zdroj data'!O70&lt;=Body!$BG$14),Body!$BE$6,IF(AND('Zdroj data'!O70&gt;=Body!$BH$14,'Zdroj data'!O70&lt;=Body!$BJ$14),Body!$BH$6,IF(AND('Zdroj data'!O70&gt;=Body!$BK$14,'Zdroj data'!O70&lt;=Body!$BM$14),Body!$BK$6,IF(AND('Zdroj data'!O70&gt;=Body!$BN$14,'Zdroj data'!O70&lt;=Body!$BP$14),Body!$BN$6,IF(AND('Zdroj data'!O70&gt;=Body!$BQ$14,'Zdroj data'!O70&lt;=Body!$BS$14),Body!$BQ$6,IF(AND('Zdroj data'!O70&gt;=Body!$BT$14,'Zdroj data'!O70&lt;=Body!$BV$14),Body!$BT$6,IF(AND('Zdroj data'!O70&gt;=Body!$BW$14,'Zdroj data'!O70&lt;=Body!$BY$14),Body!$BW$6,IF('Zdroj data'!O70&gt;=Body!$CB$14,Body!$BZ$6," "))))))))))," "))</f>
        <v>1</v>
      </c>
      <c r="J70" s="264">
        <f>IF(AF70=" ",AH70,AF70)</f>
        <v>1</v>
      </c>
      <c r="K70" s="264">
        <f t="shared" si="20"/>
        <v>1</v>
      </c>
      <c r="L70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70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70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5</v>
      </c>
      <c r="O70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5</v>
      </c>
      <c r="P70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70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70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70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9</v>
      </c>
      <c r="T70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70" s="264">
        <f>IF('Zdroj data'!BB70=Body!$AY$25,Body!$AY$22,IF('Zdroj data'!BB70=Body!$BB$25,Body!$BB$22,IF('Zdroj data'!BB70=Body!$BE$25,Body!$BE$22,IF('Zdroj data'!BB70=Body!$BH$25,Body!$BH$22,IF('Zdroj data'!BB70=Body!BK$25,Body!$BK$22,IF('Zdroj data'!BB70=Body!$BN$25,Body!$BN$22,IF('Zdroj data'!BB70=Body!$BQ$25,Body!$BQ$22,IF('Zdroj data'!BB70=Body!$BT$25,Body!$BT$22,IF('Zdroj data'!BB70=Body!$BW$25,Body!$BW$22,IF('Zdroj data'!BB70=Body!$BZ$25,Body!$BZ$22," "))))))))))</f>
        <v>3</v>
      </c>
      <c r="V70" s="264">
        <f>IF(AND('Zdroj data'!BO70&gt;Body!$AY$27,'Zdroj data'!BO70&lt;=Body!$BA$27),Body!$AY$22,IF(AND('Zdroj data'!BO70&gt;=Body!$BB$27,'Zdroj data'!BO70&lt;=Body!$BD$27),Body!$BB$22,IF(AND('Zdroj data'!BO70&gt;=Body!$BE$27,'Zdroj data'!BO70&lt;=Body!$BG$27),Body!$BE$22,IF(AND('Zdroj data'!BO70&gt;=Body!$BH$27,'Zdroj data'!BO70&lt;=Body!$BJ$27),Body!$BH$22,IF(AND('Zdroj data'!BO70&gt;=Body!$BK$27,'Zdroj data'!BO70&lt;=Body!$BM$27),Body!$BK$22,IF(AND('Zdroj data'!BO70&gt;=Body!$BN$27,'Zdroj data'!BO70&lt;=Body!$BP$27),Body!$BN$22,IF(AND('Zdroj data'!BO70&gt;=Body!$BQ$27,'Zdroj data'!BO70&lt;=Body!$BS$27),Body!$BQ$22,IF(AND('Zdroj data'!BO70&gt;=Body!$BT$27,'Zdroj data'!BO70&lt;=Body!$BV$27),Body!$BT$22,IF(AND('Zdroj data'!BO70&gt;=Body!$BW$27,'Zdroj data'!BO70&lt;=Body!$BY$27),Body!$BW$22,IF('Zdroj data'!BO70&gt;=Body!$CB$27,$BZ$22," "))))))))))</f>
        <v>6</v>
      </c>
      <c r="W70" s="264">
        <f>IF(AND('Zdroj data'!BP70&gt;Body!$AY$27,'Zdroj data'!BP70&lt;=Body!$BA$27),Body!$AY$22,IF(AND('Zdroj data'!BP70&gt;=Body!$BB$27,'Zdroj data'!BP70&lt;=Body!$BD$27),Body!$BB$22,IF(AND('Zdroj data'!BP70&gt;=Body!$BE$27,'Zdroj data'!BP70&lt;=Body!$BG$27),Body!$BE$22,IF(AND('Zdroj data'!BP70&gt;=Body!$BH$27,'Zdroj data'!BP70&lt;=Body!$BJ$27),Body!$BH$22,IF(AND('Zdroj data'!BP70&gt;=Body!$BK$27,'Zdroj data'!BP70&lt;=Body!$BM$27),Body!$BK$22,IF(AND('Zdroj data'!BP70&gt;=Body!$BN$27,'Zdroj data'!BP70&lt;=Body!$BP$27),Body!$BN$22,IF(AND('Zdroj data'!BP70&gt;=Body!$BQ$27,'Zdroj data'!BP70&lt;=Body!$BS$27),Body!$BQ$22,IF(AND('Zdroj data'!BP70&gt;=Body!$BT$27,'Zdroj data'!BP70&lt;=Body!$BV$27),Body!$BT$22,IF(AND('Zdroj data'!BP70&gt;=Body!$BW$27,'Zdroj data'!BP70&lt;=Body!$BY$27),Body!$BW$22,IF('Zdroj data'!BP70&gt;=Body!$CB$27,$BZ$22," "))))))))))</f>
        <v>10</v>
      </c>
      <c r="X70" s="264">
        <f>IF('Zdroj data'!BA70=Body!$BB$28,$BB$22,IF('Zdroj data'!BA70=Body!$BE$28,$BE$22,IF(OR('Zdroj data'!BA70=Body!$BK$28,'Zdroj data'!BA70=Body!$BL$28,'Zdroj data'!BA70=Body!$BM$28),$BK$22,IF(OR('Zdroj data'!BA70=Body!$BT$28,'Zdroj data'!BA70=Body!$BV$28),$BT$22,IF(OR('Zdroj data'!BA70=Body!$BW$28,'Zdroj data'!BA70=Body!$BY$28),$BW$22,IF('Zdroj data'!BA70=Body!$BZ$28,$BZ$22," "))))))</f>
        <v>5</v>
      </c>
      <c r="Y70" s="264">
        <f>IF('Zdroj data'!AZ70=Body!$BZ$29,Body!$BZ$22,IF(OR('Zdroj data'!AZ70=$BT$29,'Zdroj data'!AZ70=$BU$29,'Zdroj data'!AZ70=$BV$29),$BT$22,IF(OR('Zdroj data'!AZ70=$BK$29,'Zdroj data'!AZ70=$BM$29),$BK$22,IF(OR('Zdroj data'!AZ70=$BE$29,'Zdroj data'!AZ70=$BG$29),$BE$22,IF(OR('Zdroj data'!AZ70=$AY$29,'Zdroj data'!AZ70=$BA$29),$AY$22," ")))))</f>
        <v>10</v>
      </c>
      <c r="Z70" s="264">
        <f>IF(AND('Zdroj data'!BF70="T",(OR('Zdroj data'!AZ70=Body!$AW$45,'Zdroj data'!AZ70=Body!$AW$46,'Zdroj data'!AZ70=Body!$AW$47,'Zdroj data'!AZ70=Body!$AW$48))),Body!$AY$22,IF(AND('Zdroj data'!BF70="T",(OR('Zdroj data'!AZ70=$AW$49,'Zdroj data'!AZ70=$AW$50,'Zdroj data'!AZ70=$AW$51,'Zdroj data'!AZ70=$AW$52))),$BZ$22,IF(AND(OR('Zdroj data'!BF70="VT",'Zdroj data'!BF70="T",'Zdroj data'!BF70="CH"),(OR('Zdroj data'!AZ70=$AW$43,'Zdroj data'!AZ70=$AW$44,))),$BZ$22,IF(AND('Zdroj data'!BF70="CH",(OR('Zdroj data'!AZ70=$AW$49,'Zdroj data'!AZ70=$AW$50,'Zdroj data'!AZ70=$AW$51,'Zdroj data'!AZ70=$AW$52))),$AY$22,IF(AND('Zdroj data'!BF70="CH",(OR('Zdroj data'!AZ70=$AW$45,'Zdroj data'!AZ70=$AW$46,'Zdroj data'!AZ70=$AW$47,'Zdroj data'!AZ70=$AW$48))),$BZ$22," ")))))</f>
        <v>10</v>
      </c>
      <c r="AA70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70" s="264">
        <f>IF(Tabulka1[[#This Row],[kv.ek.]]=Body!$BK$35,Body!$BK$34,IF(Tabulka1[[#This Row],[kv.ek.]]=Body!$BZ$35,Body!$BZ$34," "))</f>
        <v>5</v>
      </c>
      <c r="AC70" s="264" t="str">
        <f>IF(AND('Zdroj data'!BF70="T",(OR('Zdroj data'!AZ70=Body!$AW$45,'Zdroj data'!AZ70=Body!$AW$46,'Zdroj data'!AZ70=Body!$AW$47,'Zdroj data'!AZ70=Body!$AW$48))),Body!$AY$22,IF(AND('Zdroj data'!BF70="T",(OR('Zdroj data'!AZ70=$AW$49,'Zdroj data'!AZ70=$AW$50,'Zdroj data'!AZ70=$AW$51,'Zdroj data'!AZ70=$AW$52))),$BZ$22," "))</f>
        <v xml:space="preserve"> </v>
      </c>
      <c r="AD70" s="264">
        <f>IF(AND(OR('Zdroj data'!BF70="VT",'Zdroj data'!BF70="T",'Zdroj data'!BF70="CH"),(OR('Zdroj data'!AZ70=$AW$43,'Zdroj data'!AZ70=$AW$44,))),$BZ$22," ")</f>
        <v>10</v>
      </c>
      <c r="AE70" s="264" t="str">
        <f>IF(AND('Zdroj data'!BF70="CH",(OR('Zdroj data'!AZ70=$AW$49,'Zdroj data'!AZ70=$AW$50,'Zdroj data'!AZ70=$AW$51,'Zdroj data'!AZ70=$AW$52))),$AY$22,IF(AND('Zdroj data'!BF70="CH",(OR('Zdroj data'!AZ70=$AW$45,'Zdroj data'!AZ70=$AW$46,'Zdroj data'!AZ70=$AW$47,'Zdroj data'!AZ70=$AW$48))),$BZ$22," "))</f>
        <v xml:space="preserve"> </v>
      </c>
      <c r="AF70" s="264">
        <f>IF(AND('Zdroj data'!BG70="L",'Zdroj data'!AM70=Body!$AX$15),IF(AND('Zdroj data'!O70&gt;=Body!$AY$15,'Zdroj data'!O70&lt;=Body!$BA$15),Body!AY$6,IF(AND('Zdroj data'!O70&gt;=Body!$BB$15,'Zdroj data'!O70&lt;=Body!$BD$15),Body!BB$6,IF(AND('Zdroj data'!O70&gt;=Body!$BE$15,'Zdroj data'!O70&lt;=Body!$BG$15),Body!BE$6,IF(AND('Zdroj data'!O70&gt;=Body!$BH$15,'Zdroj data'!O70&lt;=Body!$BJ$15),Body!BH$6,IF(AND('Zdroj data'!O70&gt;=Body!$BK$15,'Zdroj data'!O70&lt;=Body!$BM$15),Body!BK$6,IF(AND('Zdroj data'!O70&gt;=Body!$BN$15,'Zdroj data'!O70&lt;=Body!$BP$15),Body!$BN$6,IF(AND('Zdroj data'!O70&gt;=Body!$BQ$15,'Zdroj data'!O70&lt;=Body!$BS$15),Body!$BQ$6,IF(AND('Zdroj data'!O70&gt;=Body!$BT$15,'Zdroj data'!O70&lt;=Body!$BV$15),Body!BT$6,IF(AND('Zdroj data'!O70&gt;=Body!$BW$15,'Zdroj data'!O70&lt;=Body!$BY$15),Body!$BW$6,IF('Zdroj data'!O70&gt;=Body!$CB$15,Body!$BZ$6," ")))))))))),IF(AND('Zdroj data'!BG70="ST",'Zdroj data'!AM70=Body!$AX$16),IF(AND('Zdroj data'!O70&gt;=Body!$AY$16,'Zdroj data'!O70&lt;=Body!$BA$16),Body!$AY$6,IF(AND('Zdroj data'!O70&gt;=Body!$BB$16,'Zdroj data'!O70&lt;=Body!$BD$16),Body!$BB$6,IF(AND('Zdroj data'!O70&gt;=Body!$BE$16,'Zdroj data'!O70&lt;=Body!$BG$16),Body!$BE$6,IF(AND('Zdroj data'!O70&gt;=Body!$BH$16,'Zdroj data'!O70&lt;=Body!$BJ$16),Body!$BH$6,IF(AND('Zdroj data'!O70&gt;=Body!$BK$16,'Zdroj data'!O70&lt;=Body!$BM$16),Body!$BK$6,IF(AND('Zdroj data'!O70&gt;=Body!$BN$16,'Zdroj data'!O70&lt;=Body!$BP$16),Body!$BN$6,IF(AND('Zdroj data'!O70&gt;=Body!$BQ$16,'Zdroj data'!O70&lt;=Body!$BS$16),Body!$BQ$6,IF(AND('Zdroj data'!O70&gt;=Body!$BT$16,'Zdroj data'!O70&lt;=Body!$BV$16),Body!$BT$6,IF(AND('Zdroj data'!O70&gt;=Body!$BW$16,'Zdroj data'!O70&lt;=Body!$BY$16),Body!$BW$6,IF('Zdroj data'!O70&gt;=Body!$CB$16,Body!$BZ$6," ")))))))))),IF(AND('Zdroj data'!BG70="T",'Zdroj data'!AM70=Body!$AX$17),IF(AND('Zdroj data'!O70&gt;=Body!$AY$17,'Zdroj data'!O70&lt;=Body!$BA$17),Body!$AY$6,IF(AND('Zdroj data'!O70&gt;=Body!$BB$17,'Zdroj data'!O70&lt;=Body!$BD$17),Body!$BB$6,IF(AND('Zdroj data'!O70&gt;=Body!$BE$17,'Zdroj data'!O70&lt;=Body!$BG$17),Body!$BE$6,IF(AND('Zdroj data'!O70&gt;=Body!$BH$17,'Zdroj data'!O70&lt;=Body!#REF!),Body!$BH$6,IF(AND('Zdroj data'!O70&gt;=Body!$BK$17,'Zdroj data'!O70&lt;=Body!$BM$17),Body!$BK$6,IF(AND('Zdroj data'!O70&gt;=Body!$BN$17,'Zdroj data'!O70&lt;=Body!$BP$17),Body!$BN$6,IF(AND('Zdroj data'!O70&gt;=Body!$BQ$17,'Zdroj data'!O70&lt;=Body!$BS$17),Body!$BQ$6,IF(AND('Zdroj data'!O70&gt;=Body!$BT$17,'Zdroj data'!O70&lt;=Body!$BV$17),Body!$BT$6,IF(AND('Zdroj data'!O70&gt;=Body!$BW$17,'Zdroj data'!O70&lt;=Body!$BY$17),Body!$BW$6,IF('Zdroj data'!O70&gt;=Body!$CB$17,Body!$BZ$6," "))))))))))," ")))</f>
        <v>1</v>
      </c>
      <c r="AG70" s="264">
        <f>IF(AND('Zdroj data'!$BG70="L",'Zdroj data'!$AM70=Body!$AX$15),IF(AND(Tabulka1[[#This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data'!$BG70="ST",'Zdroj data'!$AM70=Body!$AX$16),IF(AND(Tabulka1[[#This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data'!$BG70="T",'Zdroj data'!$AM70=Body!$AX$17),IF(AND(Tabulka1[[#This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70" s="264" t="str">
        <f>IF(AND('Zdroj data'!BG70="L",'Zdroj data'!AM70=Body!$AX$18),IF(AND('Zdroj data'!O70&gt;=Body!$AY$18,'Zdroj data'!O70&lt;=Body!$BA$18),Body!AY$6,IF(AND('Zdroj data'!O70&gt;=Body!$BB$18,'Zdroj data'!O70&lt;=Body!$BD$18),Body!BB$6,IF(AND('Zdroj data'!O70&gt;=Body!$BE$18,'Zdroj data'!O70&lt;=Body!$BG$18),Body!BE$6,IF(AND('Zdroj data'!O70&gt;=Body!$BH$18,'Zdroj data'!O70&lt;=Body!$BJ$18),Body!BH$6,IF(AND('Zdroj data'!O70&gt;=Body!$BK$18,'Zdroj data'!O70&lt;=Body!$BM$18),Body!$BK$6,IF(AND('Zdroj data'!O70&gt;=Body!$BN$18,'Zdroj data'!O70&lt;=Body!$BP$18),Body!BN$6,IF(AND('Zdroj data'!O70&gt;=Body!$BQ$18,'Zdroj data'!O70&lt;=Body!$BS$18),Body!$BQ$6,IF(AND('Zdroj data'!O70&gt;=Body!$BT$18,'Zdroj data'!O70&lt;=Body!$BV$18),Body!$BT$6,IF(AND('Zdroj data'!O70&gt;=Body!$BW$18,'Zdroj data'!O70&lt;=Body!$BY$18),Body!$BW$6,IF('Zdroj data'!O70&gt;=Body!$CB$18,Body!$BZ$6," ")))))))))),IF(AND('Zdroj data'!BG70="ST",'Zdroj data'!AM70=Body!$AX$19),IF(AND('Zdroj data'!O70&gt;=Body!$AY$19,'Zdroj data'!O70&lt;=Body!$BA$19),Body!$AY$6,IF(AND('Zdroj data'!O70&gt;=Body!$BB$19,'Zdroj data'!O70&lt;=Body!$BD$19),Body!$BB$6,IF(AND('Zdroj data'!O70&gt;=Body!$BE$19,'Zdroj data'!O70&lt;=Body!$BG$19),Body!$BE$6,IF(AND('Zdroj data'!O70&gt;=Body!$BH$19,'Zdroj data'!O70&lt;=Body!$BJ$19),Body!$BH$6,IF(AND('Zdroj data'!O70&gt;=Body!$BK$19,'Zdroj data'!O70&lt;=Body!$BM$19),Body!$BK$6,IF(AND('Zdroj data'!O70&gt;=Body!$BN$19,'Zdroj data'!O70&lt;=Body!$BP$19),Body!$BN$6,IF(AND('Zdroj data'!O70&gt;=Body!$BQ$19,'Zdroj data'!O70&lt;=Body!$BS$19),Body!$BQ$6,IF(AND('Zdroj data'!O70&gt;=Body!$BT$19,'Zdroj data'!O74&lt;=Body!$BV$19),Body!$BT$6,IF(AND('Zdroj data'!O70&gt;=Body!$BW$19,'Zdroj data'!O70&lt;=Body!$BY$19),Body!$BW$6,IF('Zdroj data'!O70&gt;=Body!$CB$19,Body!$BZ$6," ")))))))))),IF(AND('Zdroj data'!BG70="T",'Zdroj data'!AM70=Body!$AX$20),IF(AND('Zdroj data'!O70&gt;=Body!$AY$20,'Zdroj data'!O70&lt;=Body!$BA$20),Body!$AY$6,IF(AND('Zdroj data'!O70&gt;=Body!$BB$20,'Zdroj data'!O70&lt;=Body!$BD$20),Body!$BB$6,IF(AND('Zdroj data'!O70&gt;=Body!$BE$20,'Zdroj data'!O70&lt;=Body!$BG$20),Body!$BE$6,IF(AND('Zdroj data'!O70&gt;=Body!$BH$20,'Zdroj data'!O70&lt;=Body!$BJ$20),Body!$BH$6,IF(AND('Zdroj data'!O70&gt;=Body!$BK$20,'Zdroj data'!O70&lt;=Body!$BM$20),Body!$BK$6,IF(AND('Zdroj data'!O70&gt;=Body!$BN$20,'Zdroj data'!O70&lt;=Body!$BP$20),Body!$BN$6,IF(AND('Zdroj data'!O70&gt;=Body!$BQ$20,'Zdroj data'!O70&lt;=Body!$BS$20),Body!$BQ$6,IF(AND('Zdroj data'!O70&gt;=Body!$BT$20,'Zdroj data'!O70&lt;=Body!#REF!),Body!$BT$6,IF(AND('Zdroj data'!O70&gt;=Body!$BW$20,'Zdroj data'!O70&lt;=Body!$BY$20),Body!$BW$6,IF('Zdroj data'!O70&gt;=Body!$CB$20,Body!$BZ$6," "))))))))))," ")))</f>
        <v xml:space="preserve"> </v>
      </c>
      <c r="AI70" s="264" t="str">
        <f>IF(AND('Zdroj data'!$BG70="L",'Zdroj data'!$AM70=Body!$AX$18),IF(AND(Tabulka1[[#This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data'!$BG70="ST",'Zdroj data'!$AM70=Body!$AX$19),IF(AND(Tabulka1[[#This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data'!$BG70="T",'Zdroj data'!$AM70=Body!$AX$20),IF(AND(Tabulka1[[#This Row],[K2O_60]]&gt;=Body!$AY$20,'Zdroj data'!O70&lt;=Body!$BA$20),Body!$AY$6,IF(AND(Tabulka1[[#This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70" s="265">
        <f t="shared" si="13"/>
        <v>5.3333333333333375</v>
      </c>
      <c r="AK70" s="264">
        <f t="shared" si="14"/>
        <v>28.623266295386266</v>
      </c>
      <c r="AL70" s="264">
        <f t="shared" si="15"/>
        <v>26.752732236647937</v>
      </c>
      <c r="AM70" s="264">
        <f t="shared" si="16"/>
        <v>62.837872491133353</v>
      </c>
      <c r="AN70" s="264">
        <f t="shared" si="17"/>
        <v>69.016245319941305</v>
      </c>
      <c r="AO70" s="265">
        <f t="shared" ref="AO70:AO133" si="21">AK70+AM70</f>
        <v>91.461138786519626</v>
      </c>
      <c r="AP70" s="265">
        <f t="shared" si="18"/>
        <v>95.768977556589249</v>
      </c>
      <c r="AQ70" s="318"/>
      <c r="AR70" s="338">
        <f t="shared" si="19"/>
        <v>192.56344967644222</v>
      </c>
      <c r="AS70" s="318"/>
      <c r="AT70" s="138"/>
      <c r="AU70" s="138"/>
    </row>
    <row r="71" spans="1:47" ht="15.5" x14ac:dyDescent="0.35">
      <c r="A71" s="270">
        <v>4034</v>
      </c>
      <c r="B71" s="156" t="s">
        <v>98</v>
      </c>
      <c r="C71" s="250" t="str">
        <f>VLOOKUP(B71,'Zdroj hloubka okresy'!$A$2:$D$171,2,FALSE)</f>
        <v>Kutna Hora</v>
      </c>
      <c r="D71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71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71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6</v>
      </c>
      <c r="G71" s="264">
        <f>IF(AND(Tabulka1[[#This Row],[hum_60]]&gt;AY77,Tabulka1[[#This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4</v>
      </c>
      <c r="H71" s="264">
        <f>IF(Tabulka1[[#This Row],[kv.ek.]]=Body!$AX$13,IF(AND('Zdroj data'!M71&gt;=Body!$AY$13,'Zdroj data'!M71&lt;=Body!$BA$13),Body!$AY$6,IF(AND('Zdroj data'!M71&gt;=Body!$BB$13,'Zdroj data'!M71&lt;=Body!$BD$13),Body!$BB$6,IF(AND('Zdroj data'!M71&gt;=Body!$BE$13,'Zdroj data'!M71&lt;=Body!$BG$13),Body!$BE$6,IF(AND('Zdroj data'!M71&gt;=Body!$BH$13,'Zdroj data'!M71&lt;=Body!$BJ$13),Body!$BH$6,IF(AND('Zdroj data'!M71&gt;=Body!$BK$13,'Zdroj data'!M71&lt;=Body!$BM$13),Body!$BK$6,IF(AND('Zdroj data'!M71&gt;=Body!$BN$13,'Zdroj data'!M71&lt;=Body!$BP$13),Body!$BN$6,IF(AND('Zdroj data'!M71&gt;=Body!$BQ$13,'Zdroj data'!M71&lt;=Body!$BS$13),Body!$BQ$6,IF(AND('Zdroj data'!M71&gt;=Body!$BT$13,'Zdroj data'!M71&lt;=Body!$BV$13),Body!$BT$6,IF(AND('Zdroj data'!M71&gt;=Body!$BW$13,'Zdroj data'!M71&lt;=Body!$BY$13),Body!$BW$6,IF('Zdroj data'!M71&gt;=Body!$CB$13,Body!$BZ$6," ")))))))))),IF(Tabulka1[[#This Row],[kv.ek.]]=Body!$AX$14,IF(AND('Zdroj data'!N71&gt;=Body!$AY$14,'Zdroj data'!N71&lt;=Body!$BA$14),Body!$AY$6,IF(AND('Zdroj data'!N71&gt;=Body!$BB$14,'Zdroj data'!N71&lt;=Body!$BD$14),Body!$BB$6,IF(AND('Zdroj data'!N71&gt;=Body!$BE$14,'Zdroj data'!N71&lt;=Body!$BG$14),Body!$BE$6,IF(AND('Zdroj data'!N71&gt;=Body!$BH$14,'Zdroj data'!N71&lt;=Body!$BJ$14),Body!$BH$6,IF(AND('Zdroj data'!N71&gt;=Body!$BK$14,'Zdroj data'!N71&lt;=Body!$BM$14),Body!$BK$6,IF(AND('Zdroj data'!N71&gt;=Body!$BN$14,'Zdroj data'!N71&lt;=Body!$BP$14),Body!$BN$6,IF(AND('Zdroj data'!N71&gt;=Body!$BQ$14,'Zdroj data'!N71&lt;=Body!$BS$14),Body!$BQ$6,IF(AND('Zdroj data'!N71&gt;=Body!$BT$14,'Zdroj data'!N71&lt;=Body!$BV$14),Body!$BT$6,IF(AND('Zdroj data'!N71&gt;=Body!$BW$14,'Zdroj data'!N71&lt;=Body!$BY$14),Body!$BW$6,IF('Zdroj data'!N71&gt;=Body!$CB$14,Body!$BZ$6," "))))))))))," "))</f>
        <v>10</v>
      </c>
      <c r="I71" s="264">
        <f>IF(Tabulka1[[#This Row],[kv.ek.]]=Body!$AX$13,IF(AND('Zdroj data'!N71&gt;=Body!$AY$13,'Zdroj data'!N71&lt;=Body!$BA$13),Body!$AY$6,IF(AND('Zdroj data'!N71&gt;=Body!$BB$13,'Zdroj data'!N71&lt;=Body!$BD$13),Body!$BB$6,IF(AND('Zdroj data'!N71&gt;=Body!$BE$13,'Zdroj data'!N71&lt;=Body!$BG$13),Body!$BE$6,IF(AND('Zdroj data'!N71&gt;=Body!$BH$13,'Zdroj data'!N71&lt;=Body!$BJ$13),Body!$BH$6,IF(AND('Zdroj data'!N71&gt;=Body!$BK$13,'Zdroj data'!N71&lt;=Body!$BM$13),Body!$BK$6,IF(AND('Zdroj data'!N71&gt;=Body!$BN$13,'Zdroj data'!N71&lt;=Body!$BP$13),Body!$BN$6,IF(AND('Zdroj data'!N71&gt;=Body!$BQ$13,'Zdroj data'!N71&lt;=Body!$BS$13),Body!$BQ$6,IF(AND('Zdroj data'!N71&gt;=Body!$BT$13,'Zdroj data'!N71&lt;=Body!$BV$13),Body!$BT$6,IF(AND('Zdroj data'!N71&gt;=Body!$BW$13,'Zdroj data'!N71&lt;=Body!$BY$13),Body!$BW$6,IF('Zdroj data'!N71&gt;=Body!$CB$13,Body!$BZ$6," ")))))))))),IF(Tabulka1[[#This Row],[kv.ek.]]=Body!$AX$14,IF(AND('Zdroj data'!O71&gt;=Body!$AY$14,'Zdroj data'!O71&lt;=Body!$BA$14),Body!$AY$6,IF(AND('Zdroj data'!O71&gt;=Body!$BB$14,'Zdroj data'!O71&lt;=Body!$BD$14),Body!$BB$6,IF(AND('Zdroj data'!O71&gt;=Body!$BE$14,'Zdroj data'!O71&lt;=Body!$BG$14),Body!$BE$6,IF(AND('Zdroj data'!O71&gt;=Body!$BH$14,'Zdroj data'!O71&lt;=Body!$BJ$14),Body!$BH$6,IF(AND('Zdroj data'!O71&gt;=Body!$BK$14,'Zdroj data'!O71&lt;=Body!$BM$14),Body!$BK$6,IF(AND('Zdroj data'!O71&gt;=Body!$BN$14,'Zdroj data'!O71&lt;=Body!$BP$14),Body!$BN$6,IF(AND('Zdroj data'!O71&gt;=Body!$BQ$14,'Zdroj data'!O71&lt;=Body!$BS$14),Body!$BQ$6,IF(AND('Zdroj data'!O71&gt;=Body!$BT$14,'Zdroj data'!O71&lt;=Body!$BV$14),Body!$BT$6,IF(AND('Zdroj data'!O71&gt;=Body!$BW$14,'Zdroj data'!O71&lt;=Body!$BY$14),Body!$BW$6,IF('Zdroj data'!O71&gt;=Body!$CB$14,Body!$BZ$6," "))))))))))," "))</f>
        <v>10</v>
      </c>
      <c r="J71" s="264">
        <f>IF(AF71=" ",AH71,AF71)</f>
        <v>1</v>
      </c>
      <c r="K71" s="264">
        <f t="shared" si="20"/>
        <v>1</v>
      </c>
      <c r="L71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71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71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71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71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71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71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71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71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71" s="264">
        <f>IF('Zdroj data'!BB71=Body!$AY$25,Body!$AY$22,IF('Zdroj data'!BB71=Body!$BB$25,Body!$BB$22,IF('Zdroj data'!BB71=Body!$BE$25,Body!$BE$22,IF('Zdroj data'!BB71=Body!$BH$25,Body!$BH$22,IF('Zdroj data'!BB71=Body!BK$25,Body!$BK$22,IF('Zdroj data'!BB71=Body!$BN$25,Body!$BN$22,IF('Zdroj data'!BB71=Body!$BQ$25,Body!$BQ$22,IF('Zdroj data'!BB71=Body!$BT$25,Body!$BT$22,IF('Zdroj data'!BB71=Body!$BW$25,Body!$BW$22,IF('Zdroj data'!BB71=Body!$BZ$25,Body!$BZ$22," "))))))))))</f>
        <v>7</v>
      </c>
      <c r="V71" s="264">
        <f>IF(AND('Zdroj data'!BO71&gt;Body!$AY$27,'Zdroj data'!BO71&lt;=Body!$BA$27),Body!$AY$22,IF(AND('Zdroj data'!BO71&gt;=Body!$BB$27,'Zdroj data'!BO71&lt;=Body!$BD$27),Body!$BB$22,IF(AND('Zdroj data'!BO71&gt;=Body!$BE$27,'Zdroj data'!BO71&lt;=Body!$BG$27),Body!$BE$22,IF(AND('Zdroj data'!BO71&gt;=Body!$BH$27,'Zdroj data'!BO71&lt;=Body!$BJ$27),Body!$BH$22,IF(AND('Zdroj data'!BO71&gt;=Body!$BK$27,'Zdroj data'!BO71&lt;=Body!$BM$27),Body!$BK$22,IF(AND('Zdroj data'!BO71&gt;=Body!$BN$27,'Zdroj data'!BO71&lt;=Body!$BP$27),Body!$BN$22,IF(AND('Zdroj data'!BO71&gt;=Body!$BQ$27,'Zdroj data'!BO71&lt;=Body!$BS$27),Body!$BQ$22,IF(AND('Zdroj data'!BO71&gt;=Body!$BT$27,'Zdroj data'!BO71&lt;=Body!$BV$27),Body!$BT$22,IF(AND('Zdroj data'!BO71&gt;=Body!$BW$27,'Zdroj data'!BO71&lt;=Body!$BY$27),Body!$BW$22,IF('Zdroj data'!BO71&gt;=Body!$CB$27,$BZ$22," "))))))))))</f>
        <v>8</v>
      </c>
      <c r="W71" s="264">
        <f>IF(AND('Zdroj data'!BP71&gt;Body!$AY$27,'Zdroj data'!BP71&lt;=Body!$BA$27),Body!$AY$22,IF(AND('Zdroj data'!BP71&gt;=Body!$BB$27,'Zdroj data'!BP71&lt;=Body!$BD$27),Body!$BB$22,IF(AND('Zdroj data'!BP71&gt;=Body!$BE$27,'Zdroj data'!BP71&lt;=Body!$BG$27),Body!$BE$22,IF(AND('Zdroj data'!BP71&gt;=Body!$BH$27,'Zdroj data'!BP71&lt;=Body!$BJ$27),Body!$BH$22,IF(AND('Zdroj data'!BP71&gt;=Body!$BK$27,'Zdroj data'!BP71&lt;=Body!$BM$27),Body!$BK$22,IF(AND('Zdroj data'!BP71&gt;=Body!$BN$27,'Zdroj data'!BP71&lt;=Body!$BP$27),Body!$BN$22,IF(AND('Zdroj data'!BP71&gt;=Body!$BQ$27,'Zdroj data'!BP71&lt;=Body!$BS$27),Body!$BQ$22,IF(AND('Zdroj data'!BP71&gt;=Body!$BT$27,'Zdroj data'!BP71&lt;=Body!$BV$27),Body!$BT$22,IF(AND('Zdroj data'!BP71&gt;=Body!$BW$27,'Zdroj data'!BP71&lt;=Body!$BY$27),Body!$BW$22,IF('Zdroj data'!BP71&gt;=Body!$CB$27,$BZ$22," "))))))))))</f>
        <v>6</v>
      </c>
      <c r="X71" s="264">
        <f>IF('Zdroj data'!BA71=Body!$BB$28,$BB$22,IF('Zdroj data'!BA71=Body!$BE$28,$BE$22,IF(OR('Zdroj data'!BA71=Body!$BK$28,'Zdroj data'!BA71=Body!$BL$28,'Zdroj data'!BA71=Body!$BM$28),$BK$22,IF(OR('Zdroj data'!BA71=Body!$BT$28,'Zdroj data'!BA71=Body!$BV$28),$BT$22,IF(OR('Zdroj data'!BA71=Body!$BW$28,'Zdroj data'!BA71=Body!$BY$28),$BW$22,IF('Zdroj data'!BA71=Body!$BZ$28,$BZ$22," "))))))</f>
        <v>10</v>
      </c>
      <c r="Y71" s="264">
        <f>IF('Zdroj data'!AZ71=Body!$BZ$29,Body!$BZ$22,IF(OR('Zdroj data'!AZ71=$BT$29,'Zdroj data'!AZ71=$BU$29,'Zdroj data'!AZ71=$BV$29),$BT$22,IF(OR('Zdroj data'!AZ71=$BK$29,'Zdroj data'!AZ71=$BM$29),$BK$22,IF(OR('Zdroj data'!AZ71=$BE$29,'Zdroj data'!AZ71=$BG$29),$BE$22,IF(OR('Zdroj data'!AZ71=$AY$29,'Zdroj data'!AZ71=$BA$29),$AY$22," ")))))</f>
        <v>10</v>
      </c>
      <c r="Z71" s="264">
        <f>IF(AND('Zdroj data'!BF71="T",(OR('Zdroj data'!AZ71=Body!$AW$45,'Zdroj data'!AZ71=Body!$AW$46,'Zdroj data'!AZ71=Body!$AW$47,'Zdroj data'!AZ71=Body!$AW$48))),Body!$AY$22,IF(AND('Zdroj data'!BF71="T",(OR('Zdroj data'!AZ71=$AW$49,'Zdroj data'!AZ71=$AW$50,'Zdroj data'!AZ71=$AW$51,'Zdroj data'!AZ71=$AW$52))),$BZ$22,IF(AND(OR('Zdroj data'!BF71="VT",'Zdroj data'!BF71="T",'Zdroj data'!BF71="CH"),(OR('Zdroj data'!AZ71=$AW$43,'Zdroj data'!AZ71=$AW$44,))),$BZ$22,IF(AND('Zdroj data'!BF71="CH",(OR('Zdroj data'!AZ71=$AW$49,'Zdroj data'!AZ71=$AW$50,'Zdroj data'!AZ71=$AW$51,'Zdroj data'!AZ71=$AW$52))),$AY$22,IF(AND('Zdroj data'!BF71="CH",(OR('Zdroj data'!AZ71=$AW$45,'Zdroj data'!AZ71=$AW$46,'Zdroj data'!AZ71=$AW$47,'Zdroj data'!AZ71=$AW$48))),$BZ$22," ")))))</f>
        <v>10</v>
      </c>
      <c r="AA71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71" s="264">
        <f>IF(Tabulka1[[#This Row],[kv.ek.]]=Body!$BK$35,Body!$BK$34,IF(Tabulka1[[#This Row],[kv.ek.]]=Body!$BZ$35,Body!$BZ$34," "))</f>
        <v>5</v>
      </c>
      <c r="AC71" s="264" t="str">
        <f>IF(AND('Zdroj data'!BF71="T",(OR('Zdroj data'!AZ71=Body!$AW$45,'Zdroj data'!AZ71=Body!$AW$46,'Zdroj data'!AZ71=Body!$AW$47,'Zdroj data'!AZ71=Body!$AW$48))),Body!$AY$22,IF(AND('Zdroj data'!BF71="T",(OR('Zdroj data'!AZ71=$AW$49,'Zdroj data'!AZ71=$AW$50,'Zdroj data'!AZ71=$AW$51,'Zdroj data'!AZ71=$AW$52))),$BZ$22," "))</f>
        <v xml:space="preserve"> </v>
      </c>
      <c r="AD71" s="264">
        <f>IF(AND(OR('Zdroj data'!BF71="VT",'Zdroj data'!BF71="T",'Zdroj data'!BF71="CH"),(OR('Zdroj data'!AZ71=$AW$43,'Zdroj data'!AZ71=$AW$44,))),$BZ$22," ")</f>
        <v>10</v>
      </c>
      <c r="AE71" s="264" t="str">
        <f>IF(AND('Zdroj data'!BF71="CH",(OR('Zdroj data'!AZ71=$AW$49,'Zdroj data'!AZ71=$AW$50,'Zdroj data'!AZ71=$AW$51,'Zdroj data'!AZ71=$AW$52))),$AY$22,IF(AND('Zdroj data'!BF71="CH",(OR('Zdroj data'!AZ71=$AW$45,'Zdroj data'!AZ71=$AW$46,'Zdroj data'!AZ71=$AW$47,'Zdroj data'!AZ71=$AW$48))),$BZ$22," "))</f>
        <v xml:space="preserve"> </v>
      </c>
      <c r="AF71" s="264">
        <f>IF(AND('Zdroj data'!BG71="L",'Zdroj data'!AM71=Body!$AX$15),IF(AND('Zdroj data'!O71&gt;=Body!$AY$15,'Zdroj data'!O71&lt;=Body!$BA$15),Body!AY$6,IF(AND('Zdroj data'!O71&gt;=Body!$BB$15,'Zdroj data'!O71&lt;=Body!$BD$15),Body!BB$6,IF(AND('Zdroj data'!O71&gt;=Body!$BE$15,'Zdroj data'!O71&lt;=Body!$BG$15),Body!BE$6,IF(AND('Zdroj data'!O71&gt;=Body!$BH$15,'Zdroj data'!O71&lt;=Body!$BJ$15),Body!BH$6,IF(AND('Zdroj data'!O71&gt;=Body!$BK$15,'Zdroj data'!O71&lt;=Body!$BM$15),Body!BK$6,IF(AND('Zdroj data'!O71&gt;=Body!$BN$15,'Zdroj data'!O71&lt;=Body!$BP$15),Body!$BN$6,IF(AND('Zdroj data'!O71&gt;=Body!$BQ$15,'Zdroj data'!O71&lt;=Body!$BS$15),Body!$BQ$6,IF(AND('Zdroj data'!O71&gt;=Body!$BT$15,'Zdroj data'!O71&lt;=Body!$BV$15),Body!BT$6,IF(AND('Zdroj data'!O71&gt;=Body!$BW$15,'Zdroj data'!O71&lt;=Body!$BY$15),Body!$BW$6,IF('Zdroj data'!O71&gt;=Body!$CB$15,Body!$BZ$6," ")))))))))),IF(AND('Zdroj data'!BG71="ST",'Zdroj data'!AM71=Body!$AX$16),IF(AND('Zdroj data'!O71&gt;=Body!$AY$16,'Zdroj data'!O71&lt;=Body!$BA$16),Body!$AY$6,IF(AND('Zdroj data'!O71&gt;=Body!$BB$16,'Zdroj data'!O71&lt;=Body!$BD$16),Body!$BB$6,IF(AND('Zdroj data'!O71&gt;=Body!$BE$16,'Zdroj data'!O71&lt;=Body!$BG$16),Body!$BE$6,IF(AND('Zdroj data'!O71&gt;=Body!$BH$16,'Zdroj data'!O71&lt;=Body!$BJ$16),Body!$BH$6,IF(AND('Zdroj data'!O71&gt;=Body!$BK$16,'Zdroj data'!O71&lt;=Body!$BM$16),Body!$BK$6,IF(AND('Zdroj data'!O71&gt;=Body!$BN$16,'Zdroj data'!O71&lt;=Body!$BP$16),Body!$BN$6,IF(AND('Zdroj data'!O71&gt;=Body!$BQ$16,'Zdroj data'!O71&lt;=Body!$BS$16),Body!$BQ$6,IF(AND('Zdroj data'!O71&gt;=Body!$BT$16,'Zdroj data'!O71&lt;=Body!$BV$16),Body!$BT$6,IF(AND('Zdroj data'!O71&gt;=Body!$BW$16,'Zdroj data'!O71&lt;=Body!$BY$16),Body!$BW$6,IF('Zdroj data'!O71&gt;=Body!$CB$16,Body!$BZ$6," ")))))))))),IF(AND('Zdroj data'!BG71="T",'Zdroj data'!AM71=Body!$AX$17),IF(AND('Zdroj data'!O71&gt;=Body!$AY$17,'Zdroj data'!O71&lt;=Body!$BA$17),Body!$AY$6,IF(AND('Zdroj data'!O71&gt;=Body!$BB$17,'Zdroj data'!O71&lt;=Body!$BD$17),Body!$BB$6,IF(AND('Zdroj data'!O71&gt;=Body!$BE$17,'Zdroj data'!O71&lt;=Body!$BG$17),Body!$BE$6,IF(AND('Zdroj data'!O71&gt;=Body!$BH$17,'Zdroj data'!O71&lt;=Body!#REF!),Body!$BH$6,IF(AND('Zdroj data'!O71&gt;=Body!$BK$17,'Zdroj data'!O71&lt;=Body!$BM$17),Body!$BK$6,IF(AND('Zdroj data'!O71&gt;=Body!$BN$17,'Zdroj data'!O71&lt;=Body!$BP$17),Body!$BN$6,IF(AND('Zdroj data'!O71&gt;=Body!$BQ$17,'Zdroj data'!O71&lt;=Body!$BS$17),Body!$BQ$6,IF(AND('Zdroj data'!O71&gt;=Body!$BT$17,'Zdroj data'!O71&lt;=Body!$BV$17),Body!$BT$6,IF(AND('Zdroj data'!O71&gt;=Body!$BW$17,'Zdroj data'!O71&lt;=Body!$BY$17),Body!$BW$6,IF('Zdroj data'!O71&gt;=Body!$CB$17,Body!$BZ$6," "))))))))))," ")))</f>
        <v>1</v>
      </c>
      <c r="AG71" s="264">
        <f>IF(AND('Zdroj data'!$BG71="L",'Zdroj data'!$AM71=Body!$AX$15),IF(AND(Tabulka1[[#This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data'!$BG71="ST",'Zdroj data'!$AM71=Body!$AX$16),IF(AND(Tabulka1[[#This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data'!$BG71="T",'Zdroj data'!$AM71=Body!$AX$17),IF(AND(Tabulka1[[#This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71" s="264" t="str">
        <f>IF(AND('Zdroj data'!BG71="L",'Zdroj data'!AM71=Body!$AX$18),IF(AND('Zdroj data'!O71&gt;=Body!$AY$18,'Zdroj data'!O71&lt;=Body!$BA$18),Body!AY$6,IF(AND('Zdroj data'!O71&gt;=Body!$BB$18,'Zdroj data'!O71&lt;=Body!$BD$18),Body!BB$6,IF(AND('Zdroj data'!O71&gt;=Body!$BE$18,'Zdroj data'!O71&lt;=Body!$BG$18),Body!BE$6,IF(AND('Zdroj data'!O71&gt;=Body!$BH$18,'Zdroj data'!O71&lt;=Body!$BJ$18),Body!BH$6,IF(AND('Zdroj data'!O71&gt;=Body!$BK$18,'Zdroj data'!O71&lt;=Body!$BM$18),Body!$BK$6,IF(AND('Zdroj data'!O71&gt;=Body!$BN$18,'Zdroj data'!O71&lt;=Body!$BP$18),Body!BN$6,IF(AND('Zdroj data'!O71&gt;=Body!$BQ$18,'Zdroj data'!O71&lt;=Body!$BS$18),Body!$BQ$6,IF(AND('Zdroj data'!O71&gt;=Body!$BT$18,'Zdroj data'!O71&lt;=Body!$BV$18),Body!$BT$6,IF(AND('Zdroj data'!O71&gt;=Body!$BW$18,'Zdroj data'!O71&lt;=Body!$BY$18),Body!$BW$6,IF('Zdroj data'!O71&gt;=Body!$CB$18,Body!$BZ$6," ")))))))))),IF(AND('Zdroj data'!BG71="ST",'Zdroj data'!AM71=Body!$AX$19),IF(AND('Zdroj data'!O71&gt;=Body!$AY$19,'Zdroj data'!O71&lt;=Body!$BA$19),Body!$AY$6,IF(AND('Zdroj data'!O71&gt;=Body!$BB$19,'Zdroj data'!O71&lt;=Body!$BD$19),Body!$BB$6,IF(AND('Zdroj data'!O71&gt;=Body!$BE$19,'Zdroj data'!O71&lt;=Body!$BG$19),Body!$BE$6,IF(AND('Zdroj data'!O71&gt;=Body!$BH$19,'Zdroj data'!O71&lt;=Body!$BJ$19),Body!$BH$6,IF(AND('Zdroj data'!O71&gt;=Body!$BK$19,'Zdroj data'!O71&lt;=Body!$BM$19),Body!$BK$6,IF(AND('Zdroj data'!O71&gt;=Body!$BN$19,'Zdroj data'!O71&lt;=Body!$BP$19),Body!$BN$6,IF(AND('Zdroj data'!O71&gt;=Body!$BQ$19,'Zdroj data'!O71&lt;=Body!$BS$19),Body!$BQ$6,IF(AND('Zdroj data'!O71&gt;=Body!$BT$19,'Zdroj data'!O75&lt;=Body!$BV$19),Body!$BT$6,IF(AND('Zdroj data'!O71&gt;=Body!$BW$19,'Zdroj data'!O71&lt;=Body!$BY$19),Body!$BW$6,IF('Zdroj data'!O71&gt;=Body!$CB$19,Body!$BZ$6," ")))))))))),IF(AND('Zdroj data'!BG71="T",'Zdroj data'!AM71=Body!$AX$20),IF(AND('Zdroj data'!O71&gt;=Body!$AY$20,'Zdroj data'!O71&lt;=Body!$BA$20),Body!$AY$6,IF(AND('Zdroj data'!O71&gt;=Body!$BB$20,'Zdroj data'!O71&lt;=Body!$BD$20),Body!$BB$6,IF(AND('Zdroj data'!O71&gt;=Body!$BE$20,'Zdroj data'!O71&lt;=Body!$BG$20),Body!$BE$6,IF(AND('Zdroj data'!O71&gt;=Body!$BH$20,'Zdroj data'!O71&lt;=Body!$BJ$20),Body!$BH$6,IF(AND('Zdroj data'!O71&gt;=Body!$BK$20,'Zdroj data'!O71&lt;=Body!$BM$20),Body!$BK$6,IF(AND('Zdroj data'!O71&gt;=Body!$BN$20,'Zdroj data'!O71&lt;=Body!$BP$20),Body!$BN$6,IF(AND('Zdroj data'!O71&gt;=Body!$BQ$20,'Zdroj data'!O71&lt;=Body!$BS$20),Body!$BQ$6,IF(AND('Zdroj data'!O71&gt;=Body!$BT$20,'Zdroj data'!O71&lt;=Body!#REF!),Body!$BT$6,IF(AND('Zdroj data'!O71&gt;=Body!$BW$20,'Zdroj data'!O71&lt;=Body!$BY$20),Body!$BW$6,IF('Zdroj data'!O71&gt;=Body!$CB$20,Body!$BZ$6," "))))))))))," ")))</f>
        <v xml:space="preserve"> </v>
      </c>
      <c r="AI71" s="264" t="str">
        <f>IF(AND('Zdroj data'!$BG71="L",'Zdroj data'!$AM71=Body!$AX$18),IF(AND(Tabulka1[[#This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data'!$BG71="ST",'Zdroj data'!$AM71=Body!$AX$19),IF(AND(Tabulka1[[#This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data'!$BG71="T",'Zdroj data'!$AM71=Body!$AX$20),IF(AND(Tabulka1[[#This Row],[K2O_60]]&gt;=Body!$AY$20,'Zdroj data'!O71&lt;=Body!$BA$20),Body!$AY$6,IF(AND(Tabulka1[[#This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71" s="265">
        <f t="shared" si="13"/>
        <v>8.0000000000000071</v>
      </c>
      <c r="AK71" s="264">
        <f t="shared" si="14"/>
        <v>35.898569381178554</v>
      </c>
      <c r="AL71" s="264">
        <f t="shared" si="15"/>
        <v>31.289698653788367</v>
      </c>
      <c r="AM71" s="264">
        <f t="shared" si="16"/>
        <v>74.037202222471763</v>
      </c>
      <c r="AN71" s="264">
        <f t="shared" si="17"/>
        <v>70.948015808067794</v>
      </c>
      <c r="AO71" s="265">
        <f t="shared" si="21"/>
        <v>109.93577160365032</v>
      </c>
      <c r="AP71" s="265">
        <f t="shared" si="18"/>
        <v>102.23771446185616</v>
      </c>
      <c r="AQ71" s="318"/>
      <c r="AR71" s="338">
        <f t="shared" si="19"/>
        <v>220.17348606550649</v>
      </c>
      <c r="AS71" s="318"/>
      <c r="AT71" s="138"/>
      <c r="AU71" s="138"/>
    </row>
    <row r="72" spans="1:47" ht="15.5" x14ac:dyDescent="0.35">
      <c r="A72" s="270">
        <v>4037</v>
      </c>
      <c r="B72" s="156" t="s">
        <v>92</v>
      </c>
      <c r="C72" s="250" t="str">
        <f>VLOOKUP(B72,'Zdroj hloubka okresy'!$A$2:$D$171,2,FALSE)</f>
        <v>Kutna Hora</v>
      </c>
      <c r="D72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72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72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72" s="264">
        <f>IF(AND(Tabulka1[[#This Row],[hum_60]]&gt;AY78,Tabulka1[[#This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72" s="264">
        <f>IF(Tabulka1[[#This Row],[kv.ek.]]=Body!$AX$13,IF(AND('Zdroj data'!M72&gt;=Body!$AY$13,'Zdroj data'!M72&lt;=Body!$BA$13),Body!$AY$6,IF(AND('Zdroj data'!M72&gt;=Body!$BB$13,'Zdroj data'!M72&lt;=Body!$BD$13),Body!$BB$6,IF(AND('Zdroj data'!M72&gt;=Body!$BE$13,'Zdroj data'!M72&lt;=Body!$BG$13),Body!$BE$6,IF(AND('Zdroj data'!M72&gt;=Body!$BH$13,'Zdroj data'!M72&lt;=Body!$BJ$13),Body!$BH$6,IF(AND('Zdroj data'!M72&gt;=Body!$BK$13,'Zdroj data'!M72&lt;=Body!$BM$13),Body!$BK$6,IF(AND('Zdroj data'!M72&gt;=Body!$BN$13,'Zdroj data'!M72&lt;=Body!$BP$13),Body!$BN$6,IF(AND('Zdroj data'!M72&gt;=Body!$BQ$13,'Zdroj data'!M72&lt;=Body!$BS$13),Body!$BQ$6,IF(AND('Zdroj data'!M72&gt;=Body!$BT$13,'Zdroj data'!M72&lt;=Body!$BV$13),Body!$BT$6,IF(AND('Zdroj data'!M72&gt;=Body!$BW$13,'Zdroj data'!M72&lt;=Body!$BY$13),Body!$BW$6,IF('Zdroj data'!M72&gt;=Body!$CB$13,Body!$BZ$6," ")))))))))),IF(Tabulka1[[#This Row],[kv.ek.]]=Body!$AX$14,IF(AND('Zdroj data'!N72&gt;=Body!$AY$14,'Zdroj data'!N72&lt;=Body!$BA$14),Body!$AY$6,IF(AND('Zdroj data'!N72&gt;=Body!$BB$14,'Zdroj data'!N72&lt;=Body!$BD$14),Body!$BB$6,IF(AND('Zdroj data'!N72&gt;=Body!$BE$14,'Zdroj data'!N72&lt;=Body!$BG$14),Body!$BE$6,IF(AND('Zdroj data'!N72&gt;=Body!$BH$14,'Zdroj data'!N72&lt;=Body!$BJ$14),Body!$BH$6,IF(AND('Zdroj data'!N72&gt;=Body!$BK$14,'Zdroj data'!N72&lt;=Body!$BM$14),Body!$BK$6,IF(AND('Zdroj data'!N72&gt;=Body!$BN$14,'Zdroj data'!N72&lt;=Body!$BP$14),Body!$BN$6,IF(AND('Zdroj data'!N72&gt;=Body!$BQ$14,'Zdroj data'!N72&lt;=Body!$BS$14),Body!$BQ$6,IF(AND('Zdroj data'!N72&gt;=Body!$BT$14,'Zdroj data'!N72&lt;=Body!$BV$14),Body!$BT$6,IF(AND('Zdroj data'!N72&gt;=Body!$BW$14,'Zdroj data'!N72&lt;=Body!$BY$14),Body!$BW$6,IF('Zdroj data'!N72&gt;=Body!$CB$14,Body!$BZ$6," "))))))))))," "))</f>
        <v>4</v>
      </c>
      <c r="I72" s="264">
        <f>IF(Tabulka1[[#This Row],[kv.ek.]]=Body!$AX$13,IF(AND('Zdroj data'!N72&gt;=Body!$AY$13,'Zdroj data'!N72&lt;=Body!$BA$13),Body!$AY$6,IF(AND('Zdroj data'!N72&gt;=Body!$BB$13,'Zdroj data'!N72&lt;=Body!$BD$13),Body!$BB$6,IF(AND('Zdroj data'!N72&gt;=Body!$BE$13,'Zdroj data'!N72&lt;=Body!$BG$13),Body!$BE$6,IF(AND('Zdroj data'!N72&gt;=Body!$BH$13,'Zdroj data'!N72&lt;=Body!$BJ$13),Body!$BH$6,IF(AND('Zdroj data'!N72&gt;=Body!$BK$13,'Zdroj data'!N72&lt;=Body!$BM$13),Body!$BK$6,IF(AND('Zdroj data'!N72&gt;=Body!$BN$13,'Zdroj data'!N72&lt;=Body!$BP$13),Body!$BN$6,IF(AND('Zdroj data'!N72&gt;=Body!$BQ$13,'Zdroj data'!N72&lt;=Body!$BS$13),Body!$BQ$6,IF(AND('Zdroj data'!N72&gt;=Body!$BT$13,'Zdroj data'!N72&lt;=Body!$BV$13),Body!$BT$6,IF(AND('Zdroj data'!N72&gt;=Body!$BW$13,'Zdroj data'!N72&lt;=Body!$BY$13),Body!$BW$6,IF('Zdroj data'!N72&gt;=Body!$CB$13,Body!$BZ$6," ")))))))))),IF(Tabulka1[[#This Row],[kv.ek.]]=Body!$AX$14,IF(AND('Zdroj data'!O72&gt;=Body!$AY$14,'Zdroj data'!O72&lt;=Body!$BA$14),Body!$AY$6,IF(AND('Zdroj data'!O72&gt;=Body!$BB$14,'Zdroj data'!O72&lt;=Body!$BD$14),Body!$BB$6,IF(AND('Zdroj data'!O72&gt;=Body!$BE$14,'Zdroj data'!O72&lt;=Body!$BG$14),Body!$BE$6,IF(AND('Zdroj data'!O72&gt;=Body!$BH$14,'Zdroj data'!O72&lt;=Body!$BJ$14),Body!$BH$6,IF(AND('Zdroj data'!O72&gt;=Body!$BK$14,'Zdroj data'!O72&lt;=Body!$BM$14),Body!$BK$6,IF(AND('Zdroj data'!O72&gt;=Body!$BN$14,'Zdroj data'!O72&lt;=Body!$BP$14),Body!$BN$6,IF(AND('Zdroj data'!O72&gt;=Body!$BQ$14,'Zdroj data'!O72&lt;=Body!$BS$14),Body!$BQ$6,IF(AND('Zdroj data'!O72&gt;=Body!$BT$14,'Zdroj data'!O72&lt;=Body!$BV$14),Body!$BT$6,IF(AND('Zdroj data'!O72&gt;=Body!$BW$14,'Zdroj data'!O72&lt;=Body!$BY$14),Body!$BW$6,IF('Zdroj data'!O72&gt;=Body!$CB$14,Body!$BZ$6," "))))))))))," "))</f>
        <v>3</v>
      </c>
      <c r="J72" s="264">
        <f t="shared" ref="J72:K87" si="22">IF(AF72=" ",AH72,AF72)</f>
        <v>2</v>
      </c>
      <c r="K72" s="264">
        <f t="shared" si="20"/>
        <v>2</v>
      </c>
      <c r="L72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72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72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72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72" s="264">
        <f>IF(Tabulka1[[#This Row],[RVK]]=Body!$BE$10,Body!$BE$6,IF(Tabulka1[[#This Row],[RVK]]=Body!$BK$10,Body!$BK$6,IF(Tabulka1[[#This Row],[RVK]]=Body!$BN$10,Body!$BN$6,IF(Tabulka1[[#This Row],[RVK]]=Body!$BZ$10,Body!$BZ$6," "))))</f>
        <v>10</v>
      </c>
      <c r="Q72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7</v>
      </c>
      <c r="R72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72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72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72" s="264">
        <f>IF('Zdroj data'!BB72=Body!$AY$25,Body!$AY$22,IF('Zdroj data'!BB72=Body!$BB$25,Body!$BB$22,IF('Zdroj data'!BB72=Body!$BE$25,Body!$BE$22,IF('Zdroj data'!BB72=Body!$BH$25,Body!$BH$22,IF('Zdroj data'!BB72=Body!BK$25,Body!$BK$22,IF('Zdroj data'!BB72=Body!$BN$25,Body!$BN$22,IF('Zdroj data'!BB72=Body!$BQ$25,Body!$BQ$22,IF('Zdroj data'!BB72=Body!$BT$25,Body!$BT$22,IF('Zdroj data'!BB72=Body!$BW$25,Body!$BW$22,IF('Zdroj data'!BB72=Body!$BZ$25,Body!$BZ$22," "))))))))))</f>
        <v>5</v>
      </c>
      <c r="V72" s="264">
        <f>IF(AND('Zdroj data'!BO72&gt;Body!$AY$27,'Zdroj data'!BO72&lt;=Body!$BA$27),Body!$AY$22,IF(AND('Zdroj data'!BO72&gt;=Body!$BB$27,'Zdroj data'!BO72&lt;=Body!$BD$27),Body!$BB$22,IF(AND('Zdroj data'!BO72&gt;=Body!$BE$27,'Zdroj data'!BO72&lt;=Body!$BG$27),Body!$BE$22,IF(AND('Zdroj data'!BO72&gt;=Body!$BH$27,'Zdroj data'!BO72&lt;=Body!$BJ$27),Body!$BH$22,IF(AND('Zdroj data'!BO72&gt;=Body!$BK$27,'Zdroj data'!BO72&lt;=Body!$BM$27),Body!$BK$22,IF(AND('Zdroj data'!BO72&gt;=Body!$BN$27,'Zdroj data'!BO72&lt;=Body!$BP$27),Body!$BN$22,IF(AND('Zdroj data'!BO72&gt;=Body!$BQ$27,'Zdroj data'!BO72&lt;=Body!$BS$27),Body!$BQ$22,IF(AND('Zdroj data'!BO72&gt;=Body!$BT$27,'Zdroj data'!BO72&lt;=Body!$BV$27),Body!$BT$22,IF(AND('Zdroj data'!BO72&gt;=Body!$BW$27,'Zdroj data'!BO72&lt;=Body!$BY$27),Body!$BW$22,IF('Zdroj data'!BO72&gt;=Body!$CB$27,$BZ$22," "))))))))))</f>
        <v>8</v>
      </c>
      <c r="W72" s="264">
        <f>IF(AND('Zdroj data'!BP72&gt;Body!$AY$27,'Zdroj data'!BP72&lt;=Body!$BA$27),Body!$AY$22,IF(AND('Zdroj data'!BP72&gt;=Body!$BB$27,'Zdroj data'!BP72&lt;=Body!$BD$27),Body!$BB$22,IF(AND('Zdroj data'!BP72&gt;=Body!$BE$27,'Zdroj data'!BP72&lt;=Body!$BG$27),Body!$BE$22,IF(AND('Zdroj data'!BP72&gt;=Body!$BH$27,'Zdroj data'!BP72&lt;=Body!$BJ$27),Body!$BH$22,IF(AND('Zdroj data'!BP72&gt;=Body!$BK$27,'Zdroj data'!BP72&lt;=Body!$BM$27),Body!$BK$22,IF(AND('Zdroj data'!BP72&gt;=Body!$BN$27,'Zdroj data'!BP72&lt;=Body!$BP$27),Body!$BN$22,IF(AND('Zdroj data'!BP72&gt;=Body!$BQ$27,'Zdroj data'!BP72&lt;=Body!$BS$27),Body!$BQ$22,IF(AND('Zdroj data'!BP72&gt;=Body!$BT$27,'Zdroj data'!BP72&lt;=Body!$BV$27),Body!$BT$22,IF(AND('Zdroj data'!BP72&gt;=Body!$BW$27,'Zdroj data'!BP72&lt;=Body!$BY$27),Body!$BW$22,IF('Zdroj data'!BP72&gt;=Body!$CB$27,$BZ$22," "))))))))))</f>
        <v>5</v>
      </c>
      <c r="X72" s="264">
        <f>IF('Zdroj data'!BA72=Body!$BB$28,$BB$22,IF('Zdroj data'!BA72=Body!$BE$28,$BE$22,IF(OR('Zdroj data'!BA72=Body!$BK$28,'Zdroj data'!BA72=Body!$BL$28,'Zdroj data'!BA72=Body!$BM$28),$BK$22,IF(OR('Zdroj data'!BA72=Body!$BT$28,'Zdroj data'!BA72=Body!$BV$28),$BT$22,IF(OR('Zdroj data'!BA72=Body!$BW$28,'Zdroj data'!BA72=Body!$BY$28),$BW$22,IF('Zdroj data'!BA72=Body!$BZ$28,$BZ$22," "))))))</f>
        <v>9</v>
      </c>
      <c r="Y72" s="264">
        <f>IF('Zdroj data'!AZ72=Body!$BZ$29,Body!$BZ$22,IF(OR('Zdroj data'!AZ72=$BT$29,'Zdroj data'!AZ72=$BU$29,'Zdroj data'!AZ72=$BV$29),$BT$22,IF(OR('Zdroj data'!AZ72=$BK$29,'Zdroj data'!AZ72=$BM$29),$BK$22,IF(OR('Zdroj data'!AZ72=$BE$29,'Zdroj data'!AZ72=$BG$29),$BE$22,IF(OR('Zdroj data'!AZ72=$AY$29,'Zdroj data'!AZ72=$BA$29),$AY$22," ")))))</f>
        <v>5</v>
      </c>
      <c r="Z72" s="264">
        <f>IF(AND('Zdroj data'!BF72="T",(OR('Zdroj data'!AZ72=Body!$AW$45,'Zdroj data'!AZ72=Body!$AW$46,'Zdroj data'!AZ72=Body!$AW$47,'Zdroj data'!AZ72=Body!$AW$48))),Body!$AY$22,IF(AND('Zdroj data'!BF72="T",(OR('Zdroj data'!AZ72=$AW$49,'Zdroj data'!AZ72=$AW$50,'Zdroj data'!AZ72=$AW$51,'Zdroj data'!AZ72=$AW$52))),$BZ$22,IF(AND(OR('Zdroj data'!BF72="VT",'Zdroj data'!BF72="T",'Zdroj data'!BF72="CH"),(OR('Zdroj data'!AZ72=$AW$43,'Zdroj data'!AZ72=$AW$44,))),$BZ$22,IF(AND('Zdroj data'!BF72="CH",(OR('Zdroj data'!AZ72=$AW$49,'Zdroj data'!AZ72=$AW$50,'Zdroj data'!AZ72=$AW$51,'Zdroj data'!AZ72=$AW$52))),$AY$22,IF(AND('Zdroj data'!BF72="CH",(OR('Zdroj data'!AZ72=$AW$45,'Zdroj data'!AZ72=$AW$46,'Zdroj data'!AZ72=$AW$47,'Zdroj data'!AZ72=$AW$48))),$BZ$22," ")))))</f>
        <v>10</v>
      </c>
      <c r="AA72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72" s="264">
        <f>IF(Tabulka1[[#This Row],[kv.ek.]]=Body!$BK$35,Body!$BK$34,IF(Tabulka1[[#This Row],[kv.ek.]]=Body!$BZ$35,Body!$BZ$34," "))</f>
        <v>5</v>
      </c>
      <c r="AC72" s="264">
        <f>IF(AND('Zdroj data'!BF72="T",(OR('Zdroj data'!AZ72=Body!$AW$45,'Zdroj data'!AZ72=Body!$AW$46,'Zdroj data'!AZ72=Body!$AW$47,'Zdroj data'!AZ72=Body!$AW$48))),Body!$AY$22,IF(AND('Zdroj data'!BF72="T",(OR('Zdroj data'!AZ72=$AW$49,'Zdroj data'!AZ72=$AW$50,'Zdroj data'!AZ72=$AW$51,'Zdroj data'!AZ72=$AW$52))),$BZ$22," "))</f>
        <v>10</v>
      </c>
      <c r="AD72" s="264" t="str">
        <f>IF(AND(OR('Zdroj data'!BF72="VT",'Zdroj data'!BF72="T",'Zdroj data'!BF72="CH"),(OR('Zdroj data'!AZ72=$AW$43,'Zdroj data'!AZ72=$AW$44,))),$BZ$22," ")</f>
        <v xml:space="preserve"> </v>
      </c>
      <c r="AE72" s="264" t="str">
        <f>IF(AND('Zdroj data'!BF72="CH",(OR('Zdroj data'!AZ72=$AW$49,'Zdroj data'!AZ72=$AW$50,'Zdroj data'!AZ72=$AW$51,'Zdroj data'!AZ72=$AW$52))),$AY$22,IF(AND('Zdroj data'!BF72="CH",(OR('Zdroj data'!AZ72=$AW$45,'Zdroj data'!AZ72=$AW$46,'Zdroj data'!AZ72=$AW$47,'Zdroj data'!AZ72=$AW$48))),$BZ$22," "))</f>
        <v xml:space="preserve"> </v>
      </c>
      <c r="AF72" s="264">
        <f>IF(AND('Zdroj data'!BG72="L",'Zdroj data'!AM72=Body!$AX$15),IF(AND('Zdroj data'!O72&gt;=Body!$AY$15,'Zdroj data'!O72&lt;=Body!$BA$15),Body!AY$6,IF(AND('Zdroj data'!O72&gt;=Body!$BB$15,'Zdroj data'!O72&lt;=Body!$BD$15),Body!BB$6,IF(AND('Zdroj data'!O72&gt;=Body!$BE$15,'Zdroj data'!O72&lt;=Body!$BG$15),Body!BE$6,IF(AND('Zdroj data'!O72&gt;=Body!$BH$15,'Zdroj data'!O72&lt;=Body!$BJ$15),Body!BH$6,IF(AND('Zdroj data'!O72&gt;=Body!$BK$15,'Zdroj data'!O72&lt;=Body!$BM$15),Body!BK$6,IF(AND('Zdroj data'!O72&gt;=Body!$BN$15,'Zdroj data'!O72&lt;=Body!$BP$15),Body!$BN$6,IF(AND('Zdroj data'!O72&gt;=Body!$BQ$15,'Zdroj data'!O72&lt;=Body!$BS$15),Body!$BQ$6,IF(AND('Zdroj data'!O72&gt;=Body!$BT$15,'Zdroj data'!O72&lt;=Body!$BV$15),Body!BT$6,IF(AND('Zdroj data'!O72&gt;=Body!$BW$15,'Zdroj data'!O72&lt;=Body!$BY$15),Body!$BW$6,IF('Zdroj data'!O72&gt;=Body!$CB$15,Body!$BZ$6," ")))))))))),IF(AND('Zdroj data'!BG72="ST",'Zdroj data'!AM72=Body!$AX$16),IF(AND('Zdroj data'!O72&gt;=Body!$AY$16,'Zdroj data'!O72&lt;=Body!$BA$16),Body!$AY$6,IF(AND('Zdroj data'!O72&gt;=Body!$BB$16,'Zdroj data'!O72&lt;=Body!$BD$16),Body!$BB$6,IF(AND('Zdroj data'!O72&gt;=Body!$BE$16,'Zdroj data'!O72&lt;=Body!$BG$16),Body!$BE$6,IF(AND('Zdroj data'!O72&gt;=Body!$BH$16,'Zdroj data'!O72&lt;=Body!$BJ$16),Body!$BH$6,IF(AND('Zdroj data'!O72&gt;=Body!$BK$16,'Zdroj data'!O72&lt;=Body!$BM$16),Body!$BK$6,IF(AND('Zdroj data'!O72&gt;=Body!$BN$16,'Zdroj data'!O72&lt;=Body!$BP$16),Body!$BN$6,IF(AND('Zdroj data'!O72&gt;=Body!$BQ$16,'Zdroj data'!O72&lt;=Body!$BS$16),Body!$BQ$6,IF(AND('Zdroj data'!O72&gt;=Body!$BT$16,'Zdroj data'!O72&lt;=Body!$BV$16),Body!$BT$6,IF(AND('Zdroj data'!O72&gt;=Body!$BW$16,'Zdroj data'!O72&lt;=Body!$BY$16),Body!$BW$6,IF('Zdroj data'!O72&gt;=Body!$CB$16,Body!$BZ$6," ")))))))))),IF(AND('Zdroj data'!BG72="T",'Zdroj data'!AM72=Body!$AX$17),IF(AND('Zdroj data'!O72&gt;=Body!$AY$17,'Zdroj data'!O72&lt;=Body!$BA$17),Body!$AY$6,IF(AND('Zdroj data'!O72&gt;=Body!$BB$17,'Zdroj data'!O72&lt;=Body!$BD$17),Body!$BB$6,IF(AND('Zdroj data'!O72&gt;=Body!$BE$17,'Zdroj data'!O72&lt;=Body!$BG$17),Body!$BE$6,IF(AND('Zdroj data'!O72&gt;=Body!$BH$17,'Zdroj data'!O72&lt;=Body!#REF!),Body!$BH$6,IF(AND('Zdroj data'!O72&gt;=Body!$BK$17,'Zdroj data'!O72&lt;=Body!$BM$17),Body!$BK$6,IF(AND('Zdroj data'!O72&gt;=Body!$BN$17,'Zdroj data'!O72&lt;=Body!$BP$17),Body!$BN$6,IF(AND('Zdroj data'!O72&gt;=Body!$BQ$17,'Zdroj data'!O72&lt;=Body!$BS$17),Body!$BQ$6,IF(AND('Zdroj data'!O72&gt;=Body!$BT$17,'Zdroj data'!O72&lt;=Body!$BV$17),Body!$BT$6,IF(AND('Zdroj data'!O72&gt;=Body!$BW$17,'Zdroj data'!O72&lt;=Body!$BY$17),Body!$BW$6,IF('Zdroj data'!O72&gt;=Body!$CB$17,Body!$BZ$6," "))))))))))," ")))</f>
        <v>2</v>
      </c>
      <c r="AG72" s="264">
        <f>IF(AND('Zdroj data'!$BG72="L",'Zdroj data'!$AM72=Body!$AX$15),IF(AND(Tabulka1[[#This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data'!$BG72="ST",'Zdroj data'!$AM72=Body!$AX$16),IF(AND(Tabulka1[[#This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data'!$BG72="T",'Zdroj data'!$AM72=Body!$AX$17),IF(AND(Tabulka1[[#This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2</v>
      </c>
      <c r="AH72" s="264" t="str">
        <f>IF(AND('Zdroj data'!BG72="L",'Zdroj data'!AM72=Body!$AX$18),IF(AND('Zdroj data'!O72&gt;=Body!$AY$18,'Zdroj data'!O72&lt;=Body!$BA$18),Body!AY$6,IF(AND('Zdroj data'!O72&gt;=Body!$BB$18,'Zdroj data'!O72&lt;=Body!$BD$18),Body!BB$6,IF(AND('Zdroj data'!O72&gt;=Body!$BE$18,'Zdroj data'!O72&lt;=Body!$BG$18),Body!BE$6,IF(AND('Zdroj data'!O72&gt;=Body!$BH$18,'Zdroj data'!O72&lt;=Body!$BJ$18),Body!BH$6,IF(AND('Zdroj data'!O72&gt;=Body!$BK$18,'Zdroj data'!O72&lt;=Body!$BM$18),Body!$BK$6,IF(AND('Zdroj data'!O72&gt;=Body!$BN$18,'Zdroj data'!O72&lt;=Body!$BP$18),Body!BN$6,IF(AND('Zdroj data'!O72&gt;=Body!$BQ$18,'Zdroj data'!O72&lt;=Body!$BS$18),Body!$BQ$6,IF(AND('Zdroj data'!O72&gt;=Body!$BT$18,'Zdroj data'!O72&lt;=Body!$BV$18),Body!$BT$6,IF(AND('Zdroj data'!O72&gt;=Body!$BW$18,'Zdroj data'!O72&lt;=Body!$BY$18),Body!$BW$6,IF('Zdroj data'!O72&gt;=Body!$CB$18,Body!$BZ$6," ")))))))))),IF(AND('Zdroj data'!BG72="ST",'Zdroj data'!AM72=Body!$AX$19),IF(AND('Zdroj data'!O72&gt;=Body!$AY$19,'Zdroj data'!O72&lt;=Body!$BA$19),Body!$AY$6,IF(AND('Zdroj data'!O72&gt;=Body!$BB$19,'Zdroj data'!O72&lt;=Body!$BD$19),Body!$BB$6,IF(AND('Zdroj data'!O72&gt;=Body!$BE$19,'Zdroj data'!O72&lt;=Body!$BG$19),Body!$BE$6,IF(AND('Zdroj data'!O72&gt;=Body!$BH$19,'Zdroj data'!O72&lt;=Body!$BJ$19),Body!$BH$6,IF(AND('Zdroj data'!O72&gt;=Body!$BK$19,'Zdroj data'!O72&lt;=Body!$BM$19),Body!$BK$6,IF(AND('Zdroj data'!O72&gt;=Body!$BN$19,'Zdroj data'!O72&lt;=Body!$BP$19),Body!$BN$6,IF(AND('Zdroj data'!O72&gt;=Body!$BQ$19,'Zdroj data'!O72&lt;=Body!$BS$19),Body!$BQ$6,IF(AND('Zdroj data'!O72&gt;=Body!$BT$19,'Zdroj data'!O76&lt;=Body!$BV$19),Body!$BT$6,IF(AND('Zdroj data'!O72&gt;=Body!$BW$19,'Zdroj data'!O72&lt;=Body!$BY$19),Body!$BW$6,IF('Zdroj data'!O72&gt;=Body!$CB$19,Body!$BZ$6," ")))))))))),IF(AND('Zdroj data'!BG72="T",'Zdroj data'!AM72=Body!$AX$20),IF(AND('Zdroj data'!O72&gt;=Body!$AY$20,'Zdroj data'!O72&lt;=Body!$BA$20),Body!$AY$6,IF(AND('Zdroj data'!O72&gt;=Body!$BB$20,'Zdroj data'!O72&lt;=Body!$BD$20),Body!$BB$6,IF(AND('Zdroj data'!O72&gt;=Body!$BE$20,'Zdroj data'!O72&lt;=Body!$BG$20),Body!$BE$6,IF(AND('Zdroj data'!O72&gt;=Body!$BH$20,'Zdroj data'!O72&lt;=Body!$BJ$20),Body!$BH$6,IF(AND('Zdroj data'!O72&gt;=Body!$BK$20,'Zdroj data'!O72&lt;=Body!$BM$20),Body!$BK$6,IF(AND('Zdroj data'!O72&gt;=Body!$BN$20,'Zdroj data'!O72&lt;=Body!$BP$20),Body!$BN$6,IF(AND('Zdroj data'!O72&gt;=Body!$BQ$20,'Zdroj data'!O72&lt;=Body!$BS$20),Body!$BQ$6,IF(AND('Zdroj data'!O72&gt;=Body!$BT$20,'Zdroj data'!O72&lt;=Body!#REF!),Body!$BT$6,IF(AND('Zdroj data'!O72&gt;=Body!$BW$20,'Zdroj data'!O72&lt;=Body!$BY$20),Body!$BW$6,IF('Zdroj data'!O72&gt;=Body!$CB$20,Body!$BZ$6," "))))))))))," ")))</f>
        <v xml:space="preserve"> </v>
      </c>
      <c r="AI72" s="264" t="str">
        <f>IF(AND('Zdroj data'!$BG72="L",'Zdroj data'!$AM72=Body!$AX$18),IF(AND(Tabulka1[[#This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data'!$BG72="ST",'Zdroj data'!$AM72=Body!$AX$19),IF(AND(Tabulka1[[#This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data'!$BG72="T",'Zdroj data'!$AM72=Body!$AX$20),IF(AND(Tabulka1[[#This Row],[K2O_60]]&gt;=Body!$AY$20,'Zdroj data'!O72&lt;=Body!$BA$20),Body!$AY$6,IF(AND(Tabulka1[[#This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72" s="265">
        <f t="shared" si="13"/>
        <v>5.3333333333333375</v>
      </c>
      <c r="AK72" s="264">
        <f t="shared" si="14"/>
        <v>37.474606916834844</v>
      </c>
      <c r="AL72" s="264">
        <f t="shared" si="15"/>
        <v>36.360755010186885</v>
      </c>
      <c r="AM72" s="264">
        <f t="shared" si="16"/>
        <v>74.667778499892293</v>
      </c>
      <c r="AN72" s="264">
        <f t="shared" si="17"/>
        <v>66.120374921210342</v>
      </c>
      <c r="AO72" s="265">
        <f t="shared" si="21"/>
        <v>112.14238541672714</v>
      </c>
      <c r="AP72" s="265">
        <f t="shared" si="18"/>
        <v>102.48112993139722</v>
      </c>
      <c r="AQ72" s="318"/>
      <c r="AR72" s="338">
        <f t="shared" si="19"/>
        <v>219.9568486814577</v>
      </c>
      <c r="AS72" s="318"/>
      <c r="AT72" s="138"/>
      <c r="AU72" s="138"/>
    </row>
    <row r="73" spans="1:47" ht="15.5" x14ac:dyDescent="0.35">
      <c r="A73" s="270">
        <v>4040</v>
      </c>
      <c r="B73" s="156" t="s">
        <v>295</v>
      </c>
      <c r="C73" s="250" t="str">
        <f>VLOOKUP(B73,'Zdroj hloubka okresy'!$A$2:$D$171,2,FALSE)</f>
        <v>Kutna Hora</v>
      </c>
      <c r="D73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73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73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73" s="264">
        <f>IF(AND(Tabulka1[[#This Row],[hum_60]]&gt;AY79,Tabulka1[[#This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73" s="264">
        <f>IF(Tabulka1[[#This Row],[kv.ek.]]=Body!$AX$13,IF(AND('Zdroj data'!M73&gt;=Body!$AY$13,'Zdroj data'!M73&lt;=Body!$BA$13),Body!$AY$6,IF(AND('Zdroj data'!M73&gt;=Body!$BB$13,'Zdroj data'!M73&lt;=Body!$BD$13),Body!$BB$6,IF(AND('Zdroj data'!M73&gt;=Body!$BE$13,'Zdroj data'!M73&lt;=Body!$BG$13),Body!$BE$6,IF(AND('Zdroj data'!M73&gt;=Body!$BH$13,'Zdroj data'!M73&lt;=Body!$BJ$13),Body!$BH$6,IF(AND('Zdroj data'!M73&gt;=Body!$BK$13,'Zdroj data'!M73&lt;=Body!$BM$13),Body!$BK$6,IF(AND('Zdroj data'!M73&gt;=Body!$BN$13,'Zdroj data'!M73&lt;=Body!$BP$13),Body!$BN$6,IF(AND('Zdroj data'!M73&gt;=Body!$BQ$13,'Zdroj data'!M73&lt;=Body!$BS$13),Body!$BQ$6,IF(AND('Zdroj data'!M73&gt;=Body!$BT$13,'Zdroj data'!M73&lt;=Body!$BV$13),Body!$BT$6,IF(AND('Zdroj data'!M73&gt;=Body!$BW$13,'Zdroj data'!M73&lt;=Body!$BY$13),Body!$BW$6,IF('Zdroj data'!M73&gt;=Body!$CB$13,Body!$BZ$6," ")))))))))),IF(Tabulka1[[#This Row],[kv.ek.]]=Body!$AX$14,IF(AND('Zdroj data'!N73&gt;=Body!$AY$14,'Zdroj data'!N73&lt;=Body!$BA$14),Body!$AY$6,IF(AND('Zdroj data'!N73&gt;=Body!$BB$14,'Zdroj data'!N73&lt;=Body!$BD$14),Body!$BB$6,IF(AND('Zdroj data'!N73&gt;=Body!$BE$14,'Zdroj data'!N73&lt;=Body!$BG$14),Body!$BE$6,IF(AND('Zdroj data'!N73&gt;=Body!$BH$14,'Zdroj data'!N73&lt;=Body!$BJ$14),Body!$BH$6,IF(AND('Zdroj data'!N73&gt;=Body!$BK$14,'Zdroj data'!N73&lt;=Body!$BM$14),Body!$BK$6,IF(AND('Zdroj data'!N73&gt;=Body!$BN$14,'Zdroj data'!N73&lt;=Body!$BP$14),Body!$BN$6,IF(AND('Zdroj data'!N73&gt;=Body!$BQ$14,'Zdroj data'!N73&lt;=Body!$BS$14),Body!$BQ$6,IF(AND('Zdroj data'!N73&gt;=Body!$BT$14,'Zdroj data'!N73&lt;=Body!$BV$14),Body!$BT$6,IF(AND('Zdroj data'!N73&gt;=Body!$BW$14,'Zdroj data'!N73&lt;=Body!$BY$14),Body!$BW$6,IF('Zdroj data'!N73&gt;=Body!$CB$14,Body!$BZ$6," "))))))))))," "))</f>
        <v>1</v>
      </c>
      <c r="I73" s="264">
        <f>IF(Tabulka1[[#This Row],[kv.ek.]]=Body!$AX$13,IF(AND('Zdroj data'!N73&gt;=Body!$AY$13,'Zdroj data'!N73&lt;=Body!$BA$13),Body!$AY$6,IF(AND('Zdroj data'!N73&gt;=Body!$BB$13,'Zdroj data'!N73&lt;=Body!$BD$13),Body!$BB$6,IF(AND('Zdroj data'!N73&gt;=Body!$BE$13,'Zdroj data'!N73&lt;=Body!$BG$13),Body!$BE$6,IF(AND('Zdroj data'!N73&gt;=Body!$BH$13,'Zdroj data'!N73&lt;=Body!$BJ$13),Body!$BH$6,IF(AND('Zdroj data'!N73&gt;=Body!$BK$13,'Zdroj data'!N73&lt;=Body!$BM$13),Body!$BK$6,IF(AND('Zdroj data'!N73&gt;=Body!$BN$13,'Zdroj data'!N73&lt;=Body!$BP$13),Body!$BN$6,IF(AND('Zdroj data'!N73&gt;=Body!$BQ$13,'Zdroj data'!N73&lt;=Body!$BS$13),Body!$BQ$6,IF(AND('Zdroj data'!N73&gt;=Body!$BT$13,'Zdroj data'!N73&lt;=Body!$BV$13),Body!$BT$6,IF(AND('Zdroj data'!N73&gt;=Body!$BW$13,'Zdroj data'!N73&lt;=Body!$BY$13),Body!$BW$6,IF('Zdroj data'!N73&gt;=Body!$CB$13,Body!$BZ$6," ")))))))))),IF(Tabulka1[[#This Row],[kv.ek.]]=Body!$AX$14,IF(AND('Zdroj data'!O73&gt;=Body!$AY$14,'Zdroj data'!O73&lt;=Body!$BA$14),Body!$AY$6,IF(AND('Zdroj data'!O73&gt;=Body!$BB$14,'Zdroj data'!O73&lt;=Body!$BD$14),Body!$BB$6,IF(AND('Zdroj data'!O73&gt;=Body!$BE$14,'Zdroj data'!O73&lt;=Body!$BG$14),Body!$BE$6,IF(AND('Zdroj data'!O73&gt;=Body!$BH$14,'Zdroj data'!O73&lt;=Body!$BJ$14),Body!$BH$6,IF(AND('Zdroj data'!O73&gt;=Body!$BK$14,'Zdroj data'!O73&lt;=Body!$BM$14),Body!$BK$6,IF(AND('Zdroj data'!O73&gt;=Body!$BN$14,'Zdroj data'!O73&lt;=Body!$BP$14),Body!$BN$6,IF(AND('Zdroj data'!O73&gt;=Body!$BQ$14,'Zdroj data'!O73&lt;=Body!$BS$14),Body!$BQ$6,IF(AND('Zdroj data'!O73&gt;=Body!$BT$14,'Zdroj data'!O73&lt;=Body!$BV$14),Body!$BT$6,IF(AND('Zdroj data'!O73&gt;=Body!$BW$14,'Zdroj data'!O73&lt;=Body!$BY$14),Body!$BW$6,IF('Zdroj data'!O73&gt;=Body!$CB$14,Body!$BZ$6," "))))))))))," "))</f>
        <v>1</v>
      </c>
      <c r="J73" s="264">
        <f t="shared" si="22"/>
        <v>2</v>
      </c>
      <c r="K73" s="264">
        <f t="shared" si="20"/>
        <v>1</v>
      </c>
      <c r="L73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2</v>
      </c>
      <c r="M73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2</v>
      </c>
      <c r="N73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5</v>
      </c>
      <c r="O73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3</v>
      </c>
      <c r="P73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73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73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73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73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73" s="264">
        <f>IF('Zdroj data'!BB73=Body!$AY$25,Body!$AY$22,IF('Zdroj data'!BB73=Body!$BB$25,Body!$BB$22,IF('Zdroj data'!BB73=Body!$BE$25,Body!$BE$22,IF('Zdroj data'!BB73=Body!$BH$25,Body!$BH$22,IF('Zdroj data'!BB73=Body!BK$25,Body!$BK$22,IF('Zdroj data'!BB73=Body!$BN$25,Body!$BN$22,IF('Zdroj data'!BB73=Body!$BQ$25,Body!$BQ$22,IF('Zdroj data'!BB73=Body!$BT$25,Body!$BT$22,IF('Zdroj data'!BB73=Body!$BW$25,Body!$BW$22,IF('Zdroj data'!BB73=Body!$BZ$25,Body!$BZ$22," "))))))))))</f>
        <v>5</v>
      </c>
      <c r="V73" s="264">
        <f>IF(AND('Zdroj data'!BO73&gt;Body!$AY$27,'Zdroj data'!BO73&lt;=Body!$BA$27),Body!$AY$22,IF(AND('Zdroj data'!BO73&gt;=Body!$BB$27,'Zdroj data'!BO73&lt;=Body!$BD$27),Body!$BB$22,IF(AND('Zdroj data'!BO73&gt;=Body!$BE$27,'Zdroj data'!BO73&lt;=Body!$BG$27),Body!$BE$22,IF(AND('Zdroj data'!BO73&gt;=Body!$BH$27,'Zdroj data'!BO73&lt;=Body!$BJ$27),Body!$BH$22,IF(AND('Zdroj data'!BO73&gt;=Body!$BK$27,'Zdroj data'!BO73&lt;=Body!$BM$27),Body!$BK$22,IF(AND('Zdroj data'!BO73&gt;=Body!$BN$27,'Zdroj data'!BO73&lt;=Body!$BP$27),Body!$BN$22,IF(AND('Zdroj data'!BO73&gt;=Body!$BQ$27,'Zdroj data'!BO73&lt;=Body!$BS$27),Body!$BQ$22,IF(AND('Zdroj data'!BO73&gt;=Body!$BT$27,'Zdroj data'!BO73&lt;=Body!$BV$27),Body!$BT$22,IF(AND('Zdroj data'!BO73&gt;=Body!$BW$27,'Zdroj data'!BO73&lt;=Body!$BY$27),Body!$BW$22,IF('Zdroj data'!BO73&gt;=Body!$CB$27,$BZ$22," "))))))))))</f>
        <v>6</v>
      </c>
      <c r="W73" s="264">
        <f>IF(AND('Zdroj data'!BP73&gt;Body!$AY$27,'Zdroj data'!BP73&lt;=Body!$BA$27),Body!$AY$22,IF(AND('Zdroj data'!BP73&gt;=Body!$BB$27,'Zdroj data'!BP73&lt;=Body!$BD$27),Body!$BB$22,IF(AND('Zdroj data'!BP73&gt;=Body!$BE$27,'Zdroj data'!BP73&lt;=Body!$BG$27),Body!$BE$22,IF(AND('Zdroj data'!BP73&gt;=Body!$BH$27,'Zdroj data'!BP73&lt;=Body!$BJ$27),Body!$BH$22,IF(AND('Zdroj data'!BP73&gt;=Body!$BK$27,'Zdroj data'!BP73&lt;=Body!$BM$27),Body!$BK$22,IF(AND('Zdroj data'!BP73&gt;=Body!$BN$27,'Zdroj data'!BP73&lt;=Body!$BP$27),Body!$BN$22,IF(AND('Zdroj data'!BP73&gt;=Body!$BQ$27,'Zdroj data'!BP73&lt;=Body!$BS$27),Body!$BQ$22,IF(AND('Zdroj data'!BP73&gt;=Body!$BT$27,'Zdroj data'!BP73&lt;=Body!$BV$27),Body!$BT$22,IF(AND('Zdroj data'!BP73&gt;=Body!$BW$27,'Zdroj data'!BP73&lt;=Body!$BY$27),Body!$BW$22,IF('Zdroj data'!BP73&gt;=Body!$CB$27,$BZ$22," "))))))))))</f>
        <v>6</v>
      </c>
      <c r="X73" s="264">
        <f>IF('Zdroj data'!BA73=Body!$BB$28,$BB$22,IF('Zdroj data'!BA73=Body!$BE$28,$BE$22,IF(OR('Zdroj data'!BA73=Body!$BK$28,'Zdroj data'!BA73=Body!$BL$28,'Zdroj data'!BA73=Body!$BM$28),$BK$22,IF(OR('Zdroj data'!BA73=Body!$BT$28,'Zdroj data'!BA73=Body!$BV$28),$BT$22,IF(OR('Zdroj data'!BA73=Body!$BW$28,'Zdroj data'!BA73=Body!$BY$28),$BW$22,IF('Zdroj data'!BA73=Body!$BZ$28,$BZ$22," "))))))</f>
        <v>9</v>
      </c>
      <c r="Y73" s="264">
        <f>IF('Zdroj data'!AZ73=Body!$BZ$29,Body!$BZ$22,IF(OR('Zdroj data'!AZ73=$BT$29,'Zdroj data'!AZ73=$BU$29,'Zdroj data'!AZ73=$BV$29),$BT$22,IF(OR('Zdroj data'!AZ73=$BK$29,'Zdroj data'!AZ73=$BM$29),$BK$22,IF(OR('Zdroj data'!AZ73=$BE$29,'Zdroj data'!AZ73=$BG$29),$BE$22,IF(OR('Zdroj data'!AZ73=$AY$29,'Zdroj data'!AZ73=$BA$29),$AY$22," ")))))</f>
        <v>10</v>
      </c>
      <c r="Z73" s="264">
        <f>IF(AND('Zdroj data'!BF73="T",(OR('Zdroj data'!AZ73=Body!$AW$45,'Zdroj data'!AZ73=Body!$AW$46,'Zdroj data'!AZ73=Body!$AW$47,'Zdroj data'!AZ73=Body!$AW$48))),Body!$AY$22,IF(AND('Zdroj data'!BF73="T",(OR('Zdroj data'!AZ73=$AW$49,'Zdroj data'!AZ73=$AW$50,'Zdroj data'!AZ73=$AW$51,'Zdroj data'!AZ73=$AW$52))),$BZ$22,IF(AND(OR('Zdroj data'!BF73="VT",'Zdroj data'!BF73="T",'Zdroj data'!BF73="CH"),(OR('Zdroj data'!AZ73=$AW$43,'Zdroj data'!AZ73=$AW$44,))),$BZ$22,IF(AND('Zdroj data'!BF73="CH",(OR('Zdroj data'!AZ73=$AW$49,'Zdroj data'!AZ73=$AW$50,'Zdroj data'!AZ73=$AW$51,'Zdroj data'!AZ73=$AW$52))),$AY$22,IF(AND('Zdroj data'!BF73="CH",(OR('Zdroj data'!AZ73=$AW$45,'Zdroj data'!AZ73=$AW$46,'Zdroj data'!AZ73=$AW$47,'Zdroj data'!AZ73=$AW$48))),$BZ$22," ")))))</f>
        <v>10</v>
      </c>
      <c r="AA73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73" s="264">
        <f>IF(Tabulka1[[#This Row],[kv.ek.]]=Body!$BK$35,Body!$BK$34,IF(Tabulka1[[#This Row],[kv.ek.]]=Body!$BZ$35,Body!$BZ$34," "))</f>
        <v>5</v>
      </c>
      <c r="AC73" s="264" t="str">
        <f>IF(AND('Zdroj data'!BF73="T",(OR('Zdroj data'!AZ73=Body!$AW$45,'Zdroj data'!AZ73=Body!$AW$46,'Zdroj data'!AZ73=Body!$AW$47,'Zdroj data'!AZ73=Body!$AW$48))),Body!$AY$22,IF(AND('Zdroj data'!BF73="T",(OR('Zdroj data'!AZ73=$AW$49,'Zdroj data'!AZ73=$AW$50,'Zdroj data'!AZ73=$AW$51,'Zdroj data'!AZ73=$AW$52))),$BZ$22," "))</f>
        <v xml:space="preserve"> </v>
      </c>
      <c r="AD73" s="264">
        <f>IF(AND(OR('Zdroj data'!BF73="VT",'Zdroj data'!BF73="T",'Zdroj data'!BF73="CH"),(OR('Zdroj data'!AZ73=$AW$43,'Zdroj data'!AZ73=$AW$44,))),$BZ$22," ")</f>
        <v>10</v>
      </c>
      <c r="AE73" s="264" t="str">
        <f>IF(AND('Zdroj data'!BF73="CH",(OR('Zdroj data'!AZ73=$AW$49,'Zdroj data'!AZ73=$AW$50,'Zdroj data'!AZ73=$AW$51,'Zdroj data'!AZ73=$AW$52))),$AY$22,IF(AND('Zdroj data'!BF73="CH",(OR('Zdroj data'!AZ73=$AW$45,'Zdroj data'!AZ73=$AW$46,'Zdroj data'!AZ73=$AW$47,'Zdroj data'!AZ73=$AW$48))),$BZ$22," "))</f>
        <v xml:space="preserve"> </v>
      </c>
      <c r="AF73" s="264">
        <f>IF(AND('Zdroj data'!BG73="L",'Zdroj data'!AM73=Body!$AX$15),IF(AND('Zdroj data'!O73&gt;=Body!$AY$15,'Zdroj data'!O73&lt;=Body!$BA$15),Body!AY$6,IF(AND('Zdroj data'!O73&gt;=Body!$BB$15,'Zdroj data'!O73&lt;=Body!$BD$15),Body!BB$6,IF(AND('Zdroj data'!O73&gt;=Body!$BE$15,'Zdroj data'!O73&lt;=Body!$BG$15),Body!BE$6,IF(AND('Zdroj data'!O73&gt;=Body!$BH$15,'Zdroj data'!O73&lt;=Body!$BJ$15),Body!BH$6,IF(AND('Zdroj data'!O73&gt;=Body!$BK$15,'Zdroj data'!O73&lt;=Body!$BM$15),Body!BK$6,IF(AND('Zdroj data'!O73&gt;=Body!$BN$15,'Zdroj data'!O73&lt;=Body!$BP$15),Body!$BN$6,IF(AND('Zdroj data'!O73&gt;=Body!$BQ$15,'Zdroj data'!O73&lt;=Body!$BS$15),Body!$BQ$6,IF(AND('Zdroj data'!O73&gt;=Body!$BT$15,'Zdroj data'!O73&lt;=Body!$BV$15),Body!BT$6,IF(AND('Zdroj data'!O73&gt;=Body!$BW$15,'Zdroj data'!O73&lt;=Body!$BY$15),Body!$BW$6,IF('Zdroj data'!O73&gt;=Body!$CB$15,Body!$BZ$6," ")))))))))),IF(AND('Zdroj data'!BG73="ST",'Zdroj data'!AM73=Body!$AX$16),IF(AND('Zdroj data'!O73&gt;=Body!$AY$16,'Zdroj data'!O73&lt;=Body!$BA$16),Body!$AY$6,IF(AND('Zdroj data'!O73&gt;=Body!$BB$16,'Zdroj data'!O73&lt;=Body!$BD$16),Body!$BB$6,IF(AND('Zdroj data'!O73&gt;=Body!$BE$16,'Zdroj data'!O73&lt;=Body!$BG$16),Body!$BE$6,IF(AND('Zdroj data'!O73&gt;=Body!$BH$16,'Zdroj data'!O73&lt;=Body!$BJ$16),Body!$BH$6,IF(AND('Zdroj data'!O73&gt;=Body!$BK$16,'Zdroj data'!O73&lt;=Body!$BM$16),Body!$BK$6,IF(AND('Zdroj data'!O73&gt;=Body!$BN$16,'Zdroj data'!O73&lt;=Body!$BP$16),Body!$BN$6,IF(AND('Zdroj data'!O73&gt;=Body!$BQ$16,'Zdroj data'!O73&lt;=Body!$BS$16),Body!$BQ$6,IF(AND('Zdroj data'!O73&gt;=Body!$BT$16,'Zdroj data'!O73&lt;=Body!$BV$16),Body!$BT$6,IF(AND('Zdroj data'!O73&gt;=Body!$BW$16,'Zdroj data'!O73&lt;=Body!$BY$16),Body!$BW$6,IF('Zdroj data'!O73&gt;=Body!$CB$16,Body!$BZ$6," ")))))))))),IF(AND('Zdroj data'!BG73="T",'Zdroj data'!AM73=Body!$AX$17),IF(AND('Zdroj data'!O73&gt;=Body!$AY$17,'Zdroj data'!O73&lt;=Body!$BA$17),Body!$AY$6,IF(AND('Zdroj data'!O73&gt;=Body!$BB$17,'Zdroj data'!O73&lt;=Body!$BD$17),Body!$BB$6,IF(AND('Zdroj data'!O73&gt;=Body!$BE$17,'Zdroj data'!O73&lt;=Body!$BG$17),Body!$BE$6,IF(AND('Zdroj data'!O73&gt;=Body!$BH$17,'Zdroj data'!O73&lt;=Body!#REF!),Body!$BH$6,IF(AND('Zdroj data'!O73&gt;=Body!$BK$17,'Zdroj data'!O73&lt;=Body!$BM$17),Body!$BK$6,IF(AND('Zdroj data'!O73&gt;=Body!$BN$17,'Zdroj data'!O73&lt;=Body!$BP$17),Body!$BN$6,IF(AND('Zdroj data'!O73&gt;=Body!$BQ$17,'Zdroj data'!O73&lt;=Body!$BS$17),Body!$BQ$6,IF(AND('Zdroj data'!O73&gt;=Body!$BT$17,'Zdroj data'!O73&lt;=Body!$BV$17),Body!$BT$6,IF(AND('Zdroj data'!O73&gt;=Body!$BW$17,'Zdroj data'!O73&lt;=Body!$BY$17),Body!$BW$6,IF('Zdroj data'!O73&gt;=Body!$CB$17,Body!$BZ$6," "))))))))))," ")))</f>
        <v>2</v>
      </c>
      <c r="AG73" s="264">
        <f>IF(AND('Zdroj data'!$BG73="L",'Zdroj data'!$AM73=Body!$AX$15),IF(AND(Tabulka1[[#This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data'!$BG73="ST",'Zdroj data'!$AM73=Body!$AX$16),IF(AND(Tabulka1[[#This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data'!$BG73="T",'Zdroj data'!$AM73=Body!$AX$17),IF(AND(Tabulka1[[#This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73" s="264" t="str">
        <f>IF(AND('Zdroj data'!BG73="L",'Zdroj data'!AM73=Body!$AX$18),IF(AND('Zdroj data'!O73&gt;=Body!$AY$18,'Zdroj data'!O73&lt;=Body!$BA$18),Body!AY$6,IF(AND('Zdroj data'!O73&gt;=Body!$BB$18,'Zdroj data'!O73&lt;=Body!$BD$18),Body!BB$6,IF(AND('Zdroj data'!O73&gt;=Body!$BE$18,'Zdroj data'!O73&lt;=Body!$BG$18),Body!BE$6,IF(AND('Zdroj data'!O73&gt;=Body!$BH$18,'Zdroj data'!O73&lt;=Body!$BJ$18),Body!BH$6,IF(AND('Zdroj data'!O73&gt;=Body!$BK$18,'Zdroj data'!O73&lt;=Body!$BM$18),Body!$BK$6,IF(AND('Zdroj data'!O73&gt;=Body!$BN$18,'Zdroj data'!O73&lt;=Body!$BP$18),Body!BN$6,IF(AND('Zdroj data'!O73&gt;=Body!$BQ$18,'Zdroj data'!O73&lt;=Body!$BS$18),Body!$BQ$6,IF(AND('Zdroj data'!O73&gt;=Body!$BT$18,'Zdroj data'!O73&lt;=Body!$BV$18),Body!$BT$6,IF(AND('Zdroj data'!O73&gt;=Body!$BW$18,'Zdroj data'!O73&lt;=Body!$BY$18),Body!$BW$6,IF('Zdroj data'!O73&gt;=Body!$CB$18,Body!$BZ$6," ")))))))))),IF(AND('Zdroj data'!BG73="ST",'Zdroj data'!AM73=Body!$AX$19),IF(AND('Zdroj data'!O73&gt;=Body!$AY$19,'Zdroj data'!O73&lt;=Body!$BA$19),Body!$AY$6,IF(AND('Zdroj data'!O73&gt;=Body!$BB$19,'Zdroj data'!O73&lt;=Body!$BD$19),Body!$BB$6,IF(AND('Zdroj data'!O73&gt;=Body!$BE$19,'Zdroj data'!O73&lt;=Body!$BG$19),Body!$BE$6,IF(AND('Zdroj data'!O73&gt;=Body!$BH$19,'Zdroj data'!O73&lt;=Body!$BJ$19),Body!$BH$6,IF(AND('Zdroj data'!O73&gt;=Body!$BK$19,'Zdroj data'!O73&lt;=Body!$BM$19),Body!$BK$6,IF(AND('Zdroj data'!O73&gt;=Body!$BN$19,'Zdroj data'!O73&lt;=Body!$BP$19),Body!$BN$6,IF(AND('Zdroj data'!O73&gt;=Body!$BQ$19,'Zdroj data'!O73&lt;=Body!$BS$19),Body!$BQ$6,IF(AND('Zdroj data'!O73&gt;=Body!$BT$19,'Zdroj data'!O77&lt;=Body!$BV$19),Body!$BT$6,IF(AND('Zdroj data'!O73&gt;=Body!$BW$19,'Zdroj data'!O73&lt;=Body!$BY$19),Body!$BW$6,IF('Zdroj data'!O73&gt;=Body!$CB$19,Body!$BZ$6," ")))))))))),IF(AND('Zdroj data'!BG73="T",'Zdroj data'!AM73=Body!$AX$20),IF(AND('Zdroj data'!O73&gt;=Body!$AY$20,'Zdroj data'!O73&lt;=Body!$BA$20),Body!$AY$6,IF(AND('Zdroj data'!O73&gt;=Body!$BB$20,'Zdroj data'!O73&lt;=Body!$BD$20),Body!$BB$6,IF(AND('Zdroj data'!O73&gt;=Body!$BE$20,'Zdroj data'!O73&lt;=Body!$BG$20),Body!$BE$6,IF(AND('Zdroj data'!O73&gt;=Body!$BH$20,'Zdroj data'!O73&lt;=Body!$BJ$20),Body!$BH$6,IF(AND('Zdroj data'!O73&gt;=Body!$BK$20,'Zdroj data'!O73&lt;=Body!$BM$20),Body!$BK$6,IF(AND('Zdroj data'!O73&gt;=Body!$BN$20,'Zdroj data'!O73&lt;=Body!$BP$20),Body!$BN$6,IF(AND('Zdroj data'!O73&gt;=Body!$BQ$20,'Zdroj data'!O73&lt;=Body!$BS$20),Body!$BQ$6,IF(AND('Zdroj data'!O73&gt;=Body!$BT$20,'Zdroj data'!O73&lt;=Body!#REF!),Body!$BT$6,IF(AND('Zdroj data'!O73&gt;=Body!$BW$20,'Zdroj data'!O73&lt;=Body!$BY$20),Body!$BW$6,IF('Zdroj data'!O73&gt;=Body!$CB$20,Body!$BZ$6," "))))))))))," ")))</f>
        <v xml:space="preserve"> </v>
      </c>
      <c r="AI73" s="264" t="str">
        <f>IF(AND('Zdroj data'!$BG73="L",'Zdroj data'!$AM73=Body!$AX$18),IF(AND(Tabulka1[[#This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data'!$BG73="ST",'Zdroj data'!$AM73=Body!$AX$19),IF(AND(Tabulka1[[#This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data'!$BG73="T",'Zdroj data'!$AM73=Body!$AX$20),IF(AND(Tabulka1[[#This Row],[K2O_60]]&gt;=Body!$AY$20,'Zdroj data'!O73&lt;=Body!$BA$20),Body!$AY$6,IF(AND(Tabulka1[[#This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73" s="265">
        <f t="shared" si="13"/>
        <v>8.0000000000000071</v>
      </c>
      <c r="AK73" s="264">
        <f t="shared" si="14"/>
        <v>24.555399885765578</v>
      </c>
      <c r="AL73" s="264">
        <f t="shared" si="15"/>
        <v>18.684763137362324</v>
      </c>
      <c r="AM73" s="264">
        <f t="shared" si="16"/>
        <v>62.131093016600801</v>
      </c>
      <c r="AN73" s="264">
        <f t="shared" si="17"/>
        <v>62.131093016600801</v>
      </c>
      <c r="AO73" s="265">
        <f t="shared" si="21"/>
        <v>86.686492902366382</v>
      </c>
      <c r="AP73" s="265">
        <f t="shared" si="18"/>
        <v>80.815856153963125</v>
      </c>
      <c r="AQ73" s="318"/>
      <c r="AR73" s="338">
        <f t="shared" si="19"/>
        <v>175.50234905632951</v>
      </c>
      <c r="AS73" s="318"/>
      <c r="AT73" s="138"/>
      <c r="AU73" s="138"/>
    </row>
    <row r="74" spans="1:47" ht="15.5" x14ac:dyDescent="0.35">
      <c r="A74" s="270">
        <v>4043</v>
      </c>
      <c r="B74" s="156" t="s">
        <v>62</v>
      </c>
      <c r="C74" s="250" t="str">
        <f>VLOOKUP(B74,'Zdroj hloubka okresy'!$A$2:$D$171,2,FALSE)</f>
        <v>Kutna Hora</v>
      </c>
      <c r="D74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74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74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6</v>
      </c>
      <c r="G74" s="264">
        <f>IF(AND(Tabulka1[[#This Row],[hum_60]]&gt;AY80,Tabulka1[[#This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4</v>
      </c>
      <c r="H74" s="264">
        <f>IF(Tabulka1[[#This Row],[kv.ek.]]=Body!$AX$13,IF(AND('Zdroj data'!M74&gt;=Body!$AY$13,'Zdroj data'!M74&lt;=Body!$BA$13),Body!$AY$6,IF(AND('Zdroj data'!M74&gt;=Body!$BB$13,'Zdroj data'!M74&lt;=Body!$BD$13),Body!$BB$6,IF(AND('Zdroj data'!M74&gt;=Body!$BE$13,'Zdroj data'!M74&lt;=Body!$BG$13),Body!$BE$6,IF(AND('Zdroj data'!M74&gt;=Body!$BH$13,'Zdroj data'!M74&lt;=Body!$BJ$13),Body!$BH$6,IF(AND('Zdroj data'!M74&gt;=Body!$BK$13,'Zdroj data'!M74&lt;=Body!$BM$13),Body!$BK$6,IF(AND('Zdroj data'!M74&gt;=Body!$BN$13,'Zdroj data'!M74&lt;=Body!$BP$13),Body!$BN$6,IF(AND('Zdroj data'!M74&gt;=Body!$BQ$13,'Zdroj data'!M74&lt;=Body!$BS$13),Body!$BQ$6,IF(AND('Zdroj data'!M74&gt;=Body!$BT$13,'Zdroj data'!M74&lt;=Body!$BV$13),Body!$BT$6,IF(AND('Zdroj data'!M74&gt;=Body!$BW$13,'Zdroj data'!M74&lt;=Body!$BY$13),Body!$BW$6,IF('Zdroj data'!M74&gt;=Body!$CB$13,Body!$BZ$6," ")))))))))),IF(Tabulka1[[#This Row],[kv.ek.]]=Body!$AX$14,IF(AND('Zdroj data'!N74&gt;=Body!$AY$14,'Zdroj data'!N74&lt;=Body!$BA$14),Body!$AY$6,IF(AND('Zdroj data'!N74&gt;=Body!$BB$14,'Zdroj data'!N74&lt;=Body!$BD$14),Body!$BB$6,IF(AND('Zdroj data'!N74&gt;=Body!$BE$14,'Zdroj data'!N74&lt;=Body!$BG$14),Body!$BE$6,IF(AND('Zdroj data'!N74&gt;=Body!$BH$14,'Zdroj data'!N74&lt;=Body!$BJ$14),Body!$BH$6,IF(AND('Zdroj data'!N74&gt;=Body!$BK$14,'Zdroj data'!N74&lt;=Body!$BM$14),Body!$BK$6,IF(AND('Zdroj data'!N74&gt;=Body!$BN$14,'Zdroj data'!N74&lt;=Body!$BP$14),Body!$BN$6,IF(AND('Zdroj data'!N74&gt;=Body!$BQ$14,'Zdroj data'!N74&lt;=Body!$BS$14),Body!$BQ$6,IF(AND('Zdroj data'!N74&gt;=Body!$BT$14,'Zdroj data'!N74&lt;=Body!$BV$14),Body!$BT$6,IF(AND('Zdroj data'!N74&gt;=Body!$BW$14,'Zdroj data'!N74&lt;=Body!$BY$14),Body!$BW$6,IF('Zdroj data'!N74&gt;=Body!$CB$14,Body!$BZ$6," "))))))))))," "))</f>
        <v>1</v>
      </c>
      <c r="I74" s="264">
        <f>IF(Tabulka1[[#This Row],[kv.ek.]]=Body!$AX$13,IF(AND('Zdroj data'!N74&gt;=Body!$AY$13,'Zdroj data'!N74&lt;=Body!$BA$13),Body!$AY$6,IF(AND('Zdroj data'!N74&gt;=Body!$BB$13,'Zdroj data'!N74&lt;=Body!$BD$13),Body!$BB$6,IF(AND('Zdroj data'!N74&gt;=Body!$BE$13,'Zdroj data'!N74&lt;=Body!$BG$13),Body!$BE$6,IF(AND('Zdroj data'!N74&gt;=Body!$BH$13,'Zdroj data'!N74&lt;=Body!$BJ$13),Body!$BH$6,IF(AND('Zdroj data'!N74&gt;=Body!$BK$13,'Zdroj data'!N74&lt;=Body!$BM$13),Body!$BK$6,IF(AND('Zdroj data'!N74&gt;=Body!$BN$13,'Zdroj data'!N74&lt;=Body!$BP$13),Body!$BN$6,IF(AND('Zdroj data'!N74&gt;=Body!$BQ$13,'Zdroj data'!N74&lt;=Body!$BS$13),Body!$BQ$6,IF(AND('Zdroj data'!N74&gt;=Body!$BT$13,'Zdroj data'!N74&lt;=Body!$BV$13),Body!$BT$6,IF(AND('Zdroj data'!N74&gt;=Body!$BW$13,'Zdroj data'!N74&lt;=Body!$BY$13),Body!$BW$6,IF('Zdroj data'!N74&gt;=Body!$CB$13,Body!$BZ$6," ")))))))))),IF(Tabulka1[[#This Row],[kv.ek.]]=Body!$AX$14,IF(AND('Zdroj data'!O74&gt;=Body!$AY$14,'Zdroj data'!O74&lt;=Body!$BA$14),Body!$AY$6,IF(AND('Zdroj data'!O74&gt;=Body!$BB$14,'Zdroj data'!O74&lt;=Body!$BD$14),Body!$BB$6,IF(AND('Zdroj data'!O74&gt;=Body!$BE$14,'Zdroj data'!O74&lt;=Body!$BG$14),Body!$BE$6,IF(AND('Zdroj data'!O74&gt;=Body!$BH$14,'Zdroj data'!O74&lt;=Body!$BJ$14),Body!$BH$6,IF(AND('Zdroj data'!O74&gt;=Body!$BK$14,'Zdroj data'!O74&lt;=Body!$BM$14),Body!$BK$6,IF(AND('Zdroj data'!O74&gt;=Body!$BN$14,'Zdroj data'!O74&lt;=Body!$BP$14),Body!$BN$6,IF(AND('Zdroj data'!O74&gt;=Body!$BQ$14,'Zdroj data'!O74&lt;=Body!$BS$14),Body!$BQ$6,IF(AND('Zdroj data'!O74&gt;=Body!$BT$14,'Zdroj data'!O74&lt;=Body!$BV$14),Body!$BT$6,IF(AND('Zdroj data'!O74&gt;=Body!$BW$14,'Zdroj data'!O74&lt;=Body!$BY$14),Body!$BW$6,IF('Zdroj data'!O74&gt;=Body!$CB$14,Body!$BZ$6," "))))))))))," "))</f>
        <v>9</v>
      </c>
      <c r="J74" s="264">
        <f t="shared" si="22"/>
        <v>3</v>
      </c>
      <c r="K74" s="264">
        <f t="shared" si="20"/>
        <v>2</v>
      </c>
      <c r="L74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7</v>
      </c>
      <c r="M74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10</v>
      </c>
      <c r="N74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4</v>
      </c>
      <c r="O74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3</v>
      </c>
      <c r="P74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74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74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74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74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74" s="264" t="str">
        <f>IF('Zdroj data'!BB74=Body!$AY$25,Body!$AY$22,IF('Zdroj data'!BB74=Body!$BB$25,Body!$BB$22,IF('Zdroj data'!BB74=Body!$BE$25,Body!$BE$22,IF('Zdroj data'!BB74=Body!$BH$25,Body!$BH$22,IF('Zdroj data'!BB74=Body!BK$25,Body!$BK$22,IF('Zdroj data'!BB74=Body!$BN$25,Body!$BN$22,IF('Zdroj data'!BB74=Body!$BQ$25,Body!$BQ$22,IF('Zdroj data'!BB74=Body!$BT$25,Body!$BT$22,IF('Zdroj data'!BB74=Body!$BW$25,Body!$BW$22,IF('Zdroj data'!BB74=Body!$BZ$25,Body!$BZ$22," "))))))))))</f>
        <v xml:space="preserve"> </v>
      </c>
      <c r="V74" s="264">
        <f>IF(AND('Zdroj data'!BO74&gt;Body!$AY$27,'Zdroj data'!BO74&lt;=Body!$BA$27),Body!$AY$22,IF(AND('Zdroj data'!BO74&gt;=Body!$BB$27,'Zdroj data'!BO74&lt;=Body!$BD$27),Body!$BB$22,IF(AND('Zdroj data'!BO74&gt;=Body!$BE$27,'Zdroj data'!BO74&lt;=Body!$BG$27),Body!$BE$22,IF(AND('Zdroj data'!BO74&gt;=Body!$BH$27,'Zdroj data'!BO74&lt;=Body!$BJ$27),Body!$BH$22,IF(AND('Zdroj data'!BO74&gt;=Body!$BK$27,'Zdroj data'!BO74&lt;=Body!$BM$27),Body!$BK$22,IF(AND('Zdroj data'!BO74&gt;=Body!$BN$27,'Zdroj data'!BO74&lt;=Body!$BP$27),Body!$BN$22,IF(AND('Zdroj data'!BO74&gt;=Body!$BQ$27,'Zdroj data'!BO74&lt;=Body!$BS$27),Body!$BQ$22,IF(AND('Zdroj data'!BO74&gt;=Body!$BT$27,'Zdroj data'!BO74&lt;=Body!$BV$27),Body!$BT$22,IF(AND('Zdroj data'!BO74&gt;=Body!$BW$27,'Zdroj data'!BO74&lt;=Body!$BY$27),Body!$BW$22,IF('Zdroj data'!BO74&gt;=Body!$CB$27,$BZ$22," "))))))))))</f>
        <v>7</v>
      </c>
      <c r="W74" s="264">
        <f>IF(AND('Zdroj data'!BP74&gt;Body!$AY$27,'Zdroj data'!BP74&lt;=Body!$BA$27),Body!$AY$22,IF(AND('Zdroj data'!BP74&gt;=Body!$BB$27,'Zdroj data'!BP74&lt;=Body!$BD$27),Body!$BB$22,IF(AND('Zdroj data'!BP74&gt;=Body!$BE$27,'Zdroj data'!BP74&lt;=Body!$BG$27),Body!$BE$22,IF(AND('Zdroj data'!BP74&gt;=Body!$BH$27,'Zdroj data'!BP74&lt;=Body!$BJ$27),Body!$BH$22,IF(AND('Zdroj data'!BP74&gt;=Body!$BK$27,'Zdroj data'!BP74&lt;=Body!$BM$27),Body!$BK$22,IF(AND('Zdroj data'!BP74&gt;=Body!$BN$27,'Zdroj data'!BP74&lt;=Body!$BP$27),Body!$BN$22,IF(AND('Zdroj data'!BP74&gt;=Body!$BQ$27,'Zdroj data'!BP74&lt;=Body!$BS$27),Body!$BQ$22,IF(AND('Zdroj data'!BP74&gt;=Body!$BT$27,'Zdroj data'!BP74&lt;=Body!$BV$27),Body!$BT$22,IF(AND('Zdroj data'!BP74&gt;=Body!$BW$27,'Zdroj data'!BP74&lt;=Body!$BY$27),Body!$BW$22,IF('Zdroj data'!BP74&gt;=Body!$CB$27,$BZ$22," "))))))))))</f>
        <v>7</v>
      </c>
      <c r="X74" s="264" t="str">
        <f>IF('Zdroj data'!BA74=Body!$BB$28,$BB$22,IF('Zdroj data'!BA74=Body!$BE$28,$BE$22,IF(OR('Zdroj data'!BA74=Body!$BK$28,'Zdroj data'!BA74=Body!$BL$28,'Zdroj data'!BA74=Body!$BM$28),$BK$22,IF(OR('Zdroj data'!BA74=Body!$BT$28,'Zdroj data'!BA74=Body!$BV$28),$BT$22,IF(OR('Zdroj data'!BA74=Body!$BW$28,'Zdroj data'!BA74=Body!$BY$28),$BW$22,IF('Zdroj data'!BA74=Body!$BZ$28,$BZ$22," "))))))</f>
        <v xml:space="preserve"> </v>
      </c>
      <c r="Y74" s="264" t="str">
        <f>IF('Zdroj data'!AZ74=Body!$BZ$29,Body!$BZ$22,IF(OR('Zdroj data'!AZ74=$BT$29,'Zdroj data'!AZ74=$BU$29,'Zdroj data'!AZ74=$BV$29),$BT$22,IF(OR('Zdroj data'!AZ74=$BK$29,'Zdroj data'!AZ74=$BM$29),$BK$22,IF(OR('Zdroj data'!AZ74=$BE$29,'Zdroj data'!AZ74=$BG$29),$BE$22,IF(OR('Zdroj data'!AZ74=$AY$29,'Zdroj data'!AZ74=$BA$29),$AY$22," ")))))</f>
        <v xml:space="preserve"> </v>
      </c>
      <c r="Z74" s="264" t="str">
        <f>IF(AND('Zdroj data'!BF74="T",(OR('Zdroj data'!AZ74=Body!$AW$45,'Zdroj data'!AZ74=Body!$AW$46,'Zdroj data'!AZ74=Body!$AW$47,'Zdroj data'!AZ74=Body!$AW$48))),Body!$AY$22,IF(AND('Zdroj data'!BF74="T",(OR('Zdroj data'!AZ74=$AW$49,'Zdroj data'!AZ74=$AW$50,'Zdroj data'!AZ74=$AW$51,'Zdroj data'!AZ74=$AW$52))),$BZ$22,IF(AND(OR('Zdroj data'!BF74="VT",'Zdroj data'!BF74="T",'Zdroj data'!BF74="CH"),(OR('Zdroj data'!AZ74=$AW$43,'Zdroj data'!AZ74=$AW$44,))),$BZ$22,IF(AND('Zdroj data'!BF74="CH",(OR('Zdroj data'!AZ74=$AW$49,'Zdroj data'!AZ74=$AW$50,'Zdroj data'!AZ74=$AW$51,'Zdroj data'!AZ74=$AW$52))),$AY$22,IF(AND('Zdroj data'!BF74="CH",(OR('Zdroj data'!AZ74=$AW$45,'Zdroj data'!AZ74=$AW$46,'Zdroj data'!AZ74=$AW$47,'Zdroj data'!AZ74=$AW$48))),$BZ$22," ")))))</f>
        <v xml:space="preserve"> </v>
      </c>
      <c r="AA74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74" s="264">
        <f>IF(Tabulka1[[#This Row],[kv.ek.]]=Body!$BK$35,Body!$BK$34,IF(Tabulka1[[#This Row],[kv.ek.]]=Body!$BZ$35,Body!$BZ$34," "))</f>
        <v>10</v>
      </c>
      <c r="AC74" s="264" t="str">
        <f>IF(AND('Zdroj data'!BF74="T",(OR('Zdroj data'!AZ74=Body!$AW$45,'Zdroj data'!AZ74=Body!$AW$46,'Zdroj data'!AZ74=Body!$AW$47,'Zdroj data'!AZ74=Body!$AW$48))),Body!$AY$22,IF(AND('Zdroj data'!BF74="T",(OR('Zdroj data'!AZ74=$AW$49,'Zdroj data'!AZ74=$AW$50,'Zdroj data'!AZ74=$AW$51,'Zdroj data'!AZ74=$AW$52))),$BZ$22," "))</f>
        <v xml:space="preserve"> </v>
      </c>
      <c r="AD74" s="264" t="str">
        <f>IF(AND(OR('Zdroj data'!BF74="VT",'Zdroj data'!BF74="T",'Zdroj data'!BF74="CH"),(OR('Zdroj data'!AZ74=$AW$43,'Zdroj data'!AZ74=$AW$44,))),$BZ$22," ")</f>
        <v xml:space="preserve"> </v>
      </c>
      <c r="AE74" s="264" t="str">
        <f>IF(AND('Zdroj data'!BF74="CH",(OR('Zdroj data'!AZ74=$AW$49,'Zdroj data'!AZ74=$AW$50,'Zdroj data'!AZ74=$AW$51,'Zdroj data'!AZ74=$AW$52))),$AY$22,IF(AND('Zdroj data'!BF74="CH",(OR('Zdroj data'!AZ74=$AW$45,'Zdroj data'!AZ74=$AW$46,'Zdroj data'!AZ74=$AW$47,'Zdroj data'!AZ74=$AW$48))),$BZ$22," "))</f>
        <v xml:space="preserve"> </v>
      </c>
      <c r="AF74" s="264" t="str">
        <f>IF(AND('Zdroj data'!BG74="L",'Zdroj data'!AM74=Body!$AX$15),IF(AND('Zdroj data'!O74&gt;=Body!$AY$15,'Zdroj data'!O74&lt;=Body!$BA$15),Body!AY$6,IF(AND('Zdroj data'!O74&gt;=Body!$BB$15,'Zdroj data'!O74&lt;=Body!$BD$15),Body!BB$6,IF(AND('Zdroj data'!O74&gt;=Body!$BE$15,'Zdroj data'!O74&lt;=Body!$BG$15),Body!BE$6,IF(AND('Zdroj data'!O74&gt;=Body!$BH$15,'Zdroj data'!O74&lt;=Body!$BJ$15),Body!BH$6,IF(AND('Zdroj data'!O74&gt;=Body!$BK$15,'Zdroj data'!O74&lt;=Body!$BM$15),Body!BK$6,IF(AND('Zdroj data'!O74&gt;=Body!$BN$15,'Zdroj data'!O74&lt;=Body!$BP$15),Body!$BN$6,IF(AND('Zdroj data'!O74&gt;=Body!$BQ$15,'Zdroj data'!O74&lt;=Body!$BS$15),Body!$BQ$6,IF(AND('Zdroj data'!O74&gt;=Body!$BT$15,'Zdroj data'!O74&lt;=Body!$BV$15),Body!BT$6,IF(AND('Zdroj data'!O74&gt;=Body!$BW$15,'Zdroj data'!O74&lt;=Body!$BY$15),Body!$BW$6,IF('Zdroj data'!O74&gt;=Body!$CB$15,Body!$BZ$6," ")))))))))),IF(AND('Zdroj data'!BG74="ST",'Zdroj data'!AM74=Body!$AX$16),IF(AND('Zdroj data'!O74&gt;=Body!$AY$16,'Zdroj data'!O74&lt;=Body!$BA$16),Body!$AY$6,IF(AND('Zdroj data'!O74&gt;=Body!$BB$16,'Zdroj data'!O74&lt;=Body!$BD$16),Body!$BB$6,IF(AND('Zdroj data'!O74&gt;=Body!$BE$16,'Zdroj data'!O74&lt;=Body!$BG$16),Body!$BE$6,IF(AND('Zdroj data'!O74&gt;=Body!$BH$16,'Zdroj data'!O74&lt;=Body!$BJ$16),Body!$BH$6,IF(AND('Zdroj data'!O74&gt;=Body!$BK$16,'Zdroj data'!O74&lt;=Body!$BM$16),Body!$BK$6,IF(AND('Zdroj data'!O74&gt;=Body!$BN$16,'Zdroj data'!O74&lt;=Body!$BP$16),Body!$BN$6,IF(AND('Zdroj data'!O74&gt;=Body!$BQ$16,'Zdroj data'!O74&lt;=Body!$BS$16),Body!$BQ$6,IF(AND('Zdroj data'!O74&gt;=Body!$BT$16,'Zdroj data'!O74&lt;=Body!$BV$16),Body!$BT$6,IF(AND('Zdroj data'!O74&gt;=Body!$BW$16,'Zdroj data'!O74&lt;=Body!$BY$16),Body!$BW$6,IF('Zdroj data'!O74&gt;=Body!$CB$16,Body!$BZ$6," ")))))))))),IF(AND('Zdroj data'!BG74="T",'Zdroj data'!AM74=Body!$AX$17),IF(AND('Zdroj data'!O74&gt;=Body!$AY$17,'Zdroj data'!O74&lt;=Body!$BA$17),Body!$AY$6,IF(AND('Zdroj data'!O74&gt;=Body!$BB$17,'Zdroj data'!O74&lt;=Body!$BD$17),Body!$BB$6,IF(AND('Zdroj data'!O74&gt;=Body!$BE$17,'Zdroj data'!O74&lt;=Body!$BG$17),Body!$BE$6,IF(AND('Zdroj data'!O74&gt;=Body!$BH$17,'Zdroj data'!O74&lt;=Body!#REF!),Body!$BH$6,IF(AND('Zdroj data'!O74&gt;=Body!$BK$17,'Zdroj data'!O74&lt;=Body!$BM$17),Body!$BK$6,IF(AND('Zdroj data'!O74&gt;=Body!$BN$17,'Zdroj data'!O74&lt;=Body!$BP$17),Body!$BN$6,IF(AND('Zdroj data'!O74&gt;=Body!$BQ$17,'Zdroj data'!O74&lt;=Body!$BS$17),Body!$BQ$6,IF(AND('Zdroj data'!O74&gt;=Body!$BT$17,'Zdroj data'!O74&lt;=Body!$BV$17),Body!$BT$6,IF(AND('Zdroj data'!O74&gt;=Body!$BW$17,'Zdroj data'!O74&lt;=Body!$BY$17),Body!$BW$6,IF('Zdroj data'!O74&gt;=Body!$CB$17,Body!$BZ$6," "))))))))))," ")))</f>
        <v xml:space="preserve"> </v>
      </c>
      <c r="AG74" s="264" t="str">
        <f>IF(AND('Zdroj data'!$BG74="L",'Zdroj data'!$AM74=Body!$AX$15),IF(AND(Tabulka1[[#This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data'!$BG74="ST",'Zdroj data'!$AM74=Body!$AX$16),IF(AND(Tabulka1[[#This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data'!$BG74="T",'Zdroj data'!$AM74=Body!$AX$17),IF(AND(Tabulka1[[#This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74" s="264">
        <f>IF(AND('Zdroj data'!BG74="L",'Zdroj data'!AM74=Body!$AX$18),IF(AND('Zdroj data'!O74&gt;=Body!$AY$18,'Zdroj data'!O74&lt;=Body!$BA$18),Body!AY$6,IF(AND('Zdroj data'!O74&gt;=Body!$BB$18,'Zdroj data'!O74&lt;=Body!$BD$18),Body!BB$6,IF(AND('Zdroj data'!O74&gt;=Body!$BE$18,'Zdroj data'!O74&lt;=Body!$BG$18),Body!BE$6,IF(AND('Zdroj data'!O74&gt;=Body!$BH$18,'Zdroj data'!O74&lt;=Body!$BJ$18),Body!BH$6,IF(AND('Zdroj data'!O74&gt;=Body!$BK$18,'Zdroj data'!O74&lt;=Body!$BM$18),Body!$BK$6,IF(AND('Zdroj data'!O74&gt;=Body!$BN$18,'Zdroj data'!O74&lt;=Body!$BP$18),Body!BN$6,IF(AND('Zdroj data'!O74&gt;=Body!$BQ$18,'Zdroj data'!O74&lt;=Body!$BS$18),Body!$BQ$6,IF(AND('Zdroj data'!O74&gt;=Body!$BT$18,'Zdroj data'!O74&lt;=Body!$BV$18),Body!$BT$6,IF(AND('Zdroj data'!O74&gt;=Body!$BW$18,'Zdroj data'!O74&lt;=Body!$BY$18),Body!$BW$6,IF('Zdroj data'!O74&gt;=Body!$CB$18,Body!$BZ$6," ")))))))))),IF(AND('Zdroj data'!BG74="ST",'Zdroj data'!AM74=Body!$AX$19),IF(AND('Zdroj data'!O74&gt;=Body!$AY$19,'Zdroj data'!O74&lt;=Body!$BA$19),Body!$AY$6,IF(AND('Zdroj data'!O74&gt;=Body!$BB$19,'Zdroj data'!O74&lt;=Body!$BD$19),Body!$BB$6,IF(AND('Zdroj data'!O74&gt;=Body!$BE$19,'Zdroj data'!O74&lt;=Body!$BG$19),Body!$BE$6,IF(AND('Zdroj data'!O74&gt;=Body!$BH$19,'Zdroj data'!O74&lt;=Body!$BJ$19),Body!$BH$6,IF(AND('Zdroj data'!O74&gt;=Body!$BK$19,'Zdroj data'!O74&lt;=Body!$BM$19),Body!$BK$6,IF(AND('Zdroj data'!O74&gt;=Body!$BN$19,'Zdroj data'!O74&lt;=Body!$BP$19),Body!$BN$6,IF(AND('Zdroj data'!O74&gt;=Body!$BQ$19,'Zdroj data'!O74&lt;=Body!$BS$19),Body!$BQ$6,IF(AND('Zdroj data'!O74&gt;=Body!$BT$19,'Zdroj data'!O78&lt;=Body!$BV$19),Body!$BT$6,IF(AND('Zdroj data'!O74&gt;=Body!$BW$19,'Zdroj data'!O74&lt;=Body!$BY$19),Body!$BW$6,IF('Zdroj data'!O74&gt;=Body!$CB$19,Body!$BZ$6," ")))))))))),IF(AND('Zdroj data'!BG74="T",'Zdroj data'!AM74=Body!$AX$20),IF(AND('Zdroj data'!O74&gt;=Body!$AY$20,'Zdroj data'!O74&lt;=Body!$BA$20),Body!$AY$6,IF(AND('Zdroj data'!O74&gt;=Body!$BB$20,'Zdroj data'!O74&lt;=Body!$BD$20),Body!$BB$6,IF(AND('Zdroj data'!O74&gt;=Body!$BE$20,'Zdroj data'!O74&lt;=Body!$BG$20),Body!$BE$6,IF(AND('Zdroj data'!O74&gt;=Body!$BH$20,'Zdroj data'!O74&lt;=Body!$BJ$20),Body!$BH$6,IF(AND('Zdroj data'!O74&gt;=Body!$BK$20,'Zdroj data'!O74&lt;=Body!$BM$20),Body!$BK$6,IF(AND('Zdroj data'!O74&gt;=Body!$BN$20,'Zdroj data'!O74&lt;=Body!$BP$20),Body!$BN$6,IF(AND('Zdroj data'!O74&gt;=Body!$BQ$20,'Zdroj data'!O74&lt;=Body!$BS$20),Body!$BQ$6,IF(AND('Zdroj data'!O74&gt;=Body!$BT$20,'Zdroj data'!O74&lt;=Body!#REF!),Body!$BT$6,IF(AND('Zdroj data'!O74&gt;=Body!$BW$20,'Zdroj data'!O74&lt;=Body!$BY$20),Body!$BW$6,IF('Zdroj data'!O74&gt;=Body!$CB$20,Body!$BZ$6," "))))))))))," ")))</f>
        <v>3</v>
      </c>
      <c r="AI74" s="264">
        <f>IF(AND('Zdroj data'!$BG74="L",'Zdroj data'!$AM74=Body!$AX$18),IF(AND(Tabulka1[[#This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data'!$BG74="ST",'Zdroj data'!$AM74=Body!$AX$19),IF(AND(Tabulka1[[#This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data'!$BG74="T",'Zdroj data'!$AM74=Body!$AX$20),IF(AND(Tabulka1[[#This Row],[K2O_60]]&gt;=Body!$AY$20,'Zdroj data'!O74&lt;=Body!$BA$20),Body!$AY$6,IF(AND(Tabulka1[[#This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2</v>
      </c>
      <c r="AJ74" s="265">
        <f t="shared" si="13"/>
        <v>16.000000000000014</v>
      </c>
      <c r="AK74" s="264">
        <f t="shared" si="14"/>
        <v>30.724479544163284</v>
      </c>
      <c r="AL74" s="264">
        <f t="shared" si="15"/>
        <v>29.753827174233283</v>
      </c>
      <c r="AM74" s="410"/>
      <c r="AN74" s="410"/>
      <c r="AO74" s="265" t="s">
        <v>867</v>
      </c>
      <c r="AP74" s="265" t="s">
        <v>867</v>
      </c>
      <c r="AQ74" s="318"/>
      <c r="AR74" s="338" t="e">
        <f t="shared" si="19"/>
        <v>#VALUE!</v>
      </c>
      <c r="AS74" s="318"/>
      <c r="AT74" s="138"/>
      <c r="AU74" s="138"/>
    </row>
    <row r="75" spans="1:47" ht="15.5" x14ac:dyDescent="0.35">
      <c r="A75" s="270">
        <v>4046</v>
      </c>
      <c r="B75" s="156" t="s">
        <v>107</v>
      </c>
      <c r="C75" s="250" t="str">
        <f>VLOOKUP(B75,'Zdroj hloubka okresy'!$A$2:$D$171,2,FALSE)</f>
        <v>Kutna Hora</v>
      </c>
      <c r="D75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75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75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8</v>
      </c>
      <c r="G75" s="264">
        <f>IF(AND(Tabulka1[[#This Row],[hum_60]]&gt;AY81,Tabulka1[[#This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5</v>
      </c>
      <c r="H75" s="264">
        <f>IF(Tabulka1[[#This Row],[kv.ek.]]=Body!$AX$13,IF(AND('Zdroj data'!M75&gt;=Body!$AY$13,'Zdroj data'!M75&lt;=Body!$BA$13),Body!$AY$6,IF(AND('Zdroj data'!M75&gt;=Body!$BB$13,'Zdroj data'!M75&lt;=Body!$BD$13),Body!$BB$6,IF(AND('Zdroj data'!M75&gt;=Body!$BE$13,'Zdroj data'!M75&lt;=Body!$BG$13),Body!$BE$6,IF(AND('Zdroj data'!M75&gt;=Body!$BH$13,'Zdroj data'!M75&lt;=Body!$BJ$13),Body!$BH$6,IF(AND('Zdroj data'!M75&gt;=Body!$BK$13,'Zdroj data'!M75&lt;=Body!$BM$13),Body!$BK$6,IF(AND('Zdroj data'!M75&gt;=Body!$BN$13,'Zdroj data'!M75&lt;=Body!$BP$13),Body!$BN$6,IF(AND('Zdroj data'!M75&gt;=Body!$BQ$13,'Zdroj data'!M75&lt;=Body!$BS$13),Body!$BQ$6,IF(AND('Zdroj data'!M75&gt;=Body!$BT$13,'Zdroj data'!M75&lt;=Body!$BV$13),Body!$BT$6,IF(AND('Zdroj data'!M75&gt;=Body!$BW$13,'Zdroj data'!M75&lt;=Body!$BY$13),Body!$BW$6,IF('Zdroj data'!M75&gt;=Body!$CB$13,Body!$BZ$6," ")))))))))),IF(Tabulka1[[#This Row],[kv.ek.]]=Body!$AX$14,IF(AND('Zdroj data'!N75&gt;=Body!$AY$14,'Zdroj data'!N75&lt;=Body!$BA$14),Body!$AY$6,IF(AND('Zdroj data'!N75&gt;=Body!$BB$14,'Zdroj data'!N75&lt;=Body!$BD$14),Body!$BB$6,IF(AND('Zdroj data'!N75&gt;=Body!$BE$14,'Zdroj data'!N75&lt;=Body!$BG$14),Body!$BE$6,IF(AND('Zdroj data'!N75&gt;=Body!$BH$14,'Zdroj data'!N75&lt;=Body!$BJ$14),Body!$BH$6,IF(AND('Zdroj data'!N75&gt;=Body!$BK$14,'Zdroj data'!N75&lt;=Body!$BM$14),Body!$BK$6,IF(AND('Zdroj data'!N75&gt;=Body!$BN$14,'Zdroj data'!N75&lt;=Body!$BP$14),Body!$BN$6,IF(AND('Zdroj data'!N75&gt;=Body!$BQ$14,'Zdroj data'!N75&lt;=Body!$BS$14),Body!$BQ$6,IF(AND('Zdroj data'!N75&gt;=Body!$BT$14,'Zdroj data'!N75&lt;=Body!$BV$14),Body!$BT$6,IF(AND('Zdroj data'!N75&gt;=Body!$BW$14,'Zdroj data'!N75&lt;=Body!$BY$14),Body!$BW$6,IF('Zdroj data'!N75&gt;=Body!$CB$14,Body!$BZ$6," "))))))))))," "))</f>
        <v>1</v>
      </c>
      <c r="I75" s="264">
        <f>IF(Tabulka1[[#This Row],[kv.ek.]]=Body!$AX$13,IF(AND('Zdroj data'!N75&gt;=Body!$AY$13,'Zdroj data'!N75&lt;=Body!$BA$13),Body!$AY$6,IF(AND('Zdroj data'!N75&gt;=Body!$BB$13,'Zdroj data'!N75&lt;=Body!$BD$13),Body!$BB$6,IF(AND('Zdroj data'!N75&gt;=Body!$BE$13,'Zdroj data'!N75&lt;=Body!$BG$13),Body!$BE$6,IF(AND('Zdroj data'!N75&gt;=Body!$BH$13,'Zdroj data'!N75&lt;=Body!$BJ$13),Body!$BH$6,IF(AND('Zdroj data'!N75&gt;=Body!$BK$13,'Zdroj data'!N75&lt;=Body!$BM$13),Body!$BK$6,IF(AND('Zdroj data'!N75&gt;=Body!$BN$13,'Zdroj data'!N75&lt;=Body!$BP$13),Body!$BN$6,IF(AND('Zdroj data'!N75&gt;=Body!$BQ$13,'Zdroj data'!N75&lt;=Body!$BS$13),Body!$BQ$6,IF(AND('Zdroj data'!N75&gt;=Body!$BT$13,'Zdroj data'!N75&lt;=Body!$BV$13),Body!$BT$6,IF(AND('Zdroj data'!N75&gt;=Body!$BW$13,'Zdroj data'!N75&lt;=Body!$BY$13),Body!$BW$6,IF('Zdroj data'!N75&gt;=Body!$CB$13,Body!$BZ$6," ")))))))))),IF(Tabulka1[[#This Row],[kv.ek.]]=Body!$AX$14,IF(AND('Zdroj data'!O75&gt;=Body!$AY$14,'Zdroj data'!O75&lt;=Body!$BA$14),Body!$AY$6,IF(AND('Zdroj data'!O75&gt;=Body!$BB$14,'Zdroj data'!O75&lt;=Body!$BD$14),Body!$BB$6,IF(AND('Zdroj data'!O75&gt;=Body!$BE$14,'Zdroj data'!O75&lt;=Body!$BG$14),Body!$BE$6,IF(AND('Zdroj data'!O75&gt;=Body!$BH$14,'Zdroj data'!O75&lt;=Body!$BJ$14),Body!$BH$6,IF(AND('Zdroj data'!O75&gt;=Body!$BK$14,'Zdroj data'!O75&lt;=Body!$BM$14),Body!$BK$6,IF(AND('Zdroj data'!O75&gt;=Body!$BN$14,'Zdroj data'!O75&lt;=Body!$BP$14),Body!$BN$6,IF(AND('Zdroj data'!O75&gt;=Body!$BQ$14,'Zdroj data'!O75&lt;=Body!$BS$14),Body!$BQ$6,IF(AND('Zdroj data'!O75&gt;=Body!$BT$14,'Zdroj data'!O75&lt;=Body!$BV$14),Body!$BT$6,IF(AND('Zdroj data'!O75&gt;=Body!$BW$14,'Zdroj data'!O75&lt;=Body!$BY$14),Body!$BW$6,IF('Zdroj data'!O75&gt;=Body!$CB$14,Body!$BZ$6," "))))))))))," "))</f>
        <v>3</v>
      </c>
      <c r="J75" s="264">
        <f t="shared" si="22"/>
        <v>1</v>
      </c>
      <c r="K75" s="264">
        <f t="shared" si="20"/>
        <v>1</v>
      </c>
      <c r="L75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75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75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4</v>
      </c>
      <c r="O75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4</v>
      </c>
      <c r="P75" s="264">
        <f>IF(Tabulka1[[#This Row],[RVK]]=Body!$BE$10,Body!$BE$6,IF(Tabulka1[[#This Row],[RVK]]=Body!$BK$10,Body!$BK$6,IF(Tabulka1[[#This Row],[RVK]]=Body!$BN$10,Body!$BN$6,IF(Tabulka1[[#This Row],[RVK]]=Body!$BZ$10,Body!$BZ$6," "))))</f>
        <v>10</v>
      </c>
      <c r="Q75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75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75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75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75" s="264">
        <f>IF('Zdroj data'!BB75=Body!$AY$25,Body!$AY$22,IF('Zdroj data'!BB75=Body!$BB$25,Body!$BB$22,IF('Zdroj data'!BB75=Body!$BE$25,Body!$BE$22,IF('Zdroj data'!BB75=Body!$BH$25,Body!$BH$22,IF('Zdroj data'!BB75=Body!BK$25,Body!$BK$22,IF('Zdroj data'!BB75=Body!$BN$25,Body!$BN$22,IF('Zdroj data'!BB75=Body!$BQ$25,Body!$BQ$22,IF('Zdroj data'!BB75=Body!$BT$25,Body!$BT$22,IF('Zdroj data'!BB75=Body!$BW$25,Body!$BW$22,IF('Zdroj data'!BB75=Body!$BZ$25,Body!$BZ$22," "))))))))))</f>
        <v>3</v>
      </c>
      <c r="V75" s="264">
        <f>IF(AND('Zdroj data'!BO75&gt;Body!$AY$27,'Zdroj data'!BO75&lt;=Body!$BA$27),Body!$AY$22,IF(AND('Zdroj data'!BO75&gt;=Body!$BB$27,'Zdroj data'!BO75&lt;=Body!$BD$27),Body!$BB$22,IF(AND('Zdroj data'!BO75&gt;=Body!$BE$27,'Zdroj data'!BO75&lt;=Body!$BG$27),Body!$BE$22,IF(AND('Zdroj data'!BO75&gt;=Body!$BH$27,'Zdroj data'!BO75&lt;=Body!$BJ$27),Body!$BH$22,IF(AND('Zdroj data'!BO75&gt;=Body!$BK$27,'Zdroj data'!BO75&lt;=Body!$BM$27),Body!$BK$22,IF(AND('Zdroj data'!BO75&gt;=Body!$BN$27,'Zdroj data'!BO75&lt;=Body!$BP$27),Body!$BN$22,IF(AND('Zdroj data'!BO75&gt;=Body!$BQ$27,'Zdroj data'!BO75&lt;=Body!$BS$27),Body!$BQ$22,IF(AND('Zdroj data'!BO75&gt;=Body!$BT$27,'Zdroj data'!BO75&lt;=Body!$BV$27),Body!$BT$22,IF(AND('Zdroj data'!BO75&gt;=Body!$BW$27,'Zdroj data'!BO75&lt;=Body!$BY$27),Body!$BW$22,IF('Zdroj data'!BO75&gt;=Body!$CB$27,$BZ$22," "))))))))))</f>
        <v>6</v>
      </c>
      <c r="W75" s="264">
        <f>IF(AND('Zdroj data'!BP75&gt;Body!$AY$27,'Zdroj data'!BP75&lt;=Body!$BA$27),Body!$AY$22,IF(AND('Zdroj data'!BP75&gt;=Body!$BB$27,'Zdroj data'!BP75&lt;=Body!$BD$27),Body!$BB$22,IF(AND('Zdroj data'!BP75&gt;=Body!$BE$27,'Zdroj data'!BP75&lt;=Body!$BG$27),Body!$BE$22,IF(AND('Zdroj data'!BP75&gt;=Body!$BH$27,'Zdroj data'!BP75&lt;=Body!$BJ$27),Body!$BH$22,IF(AND('Zdroj data'!BP75&gt;=Body!$BK$27,'Zdroj data'!BP75&lt;=Body!$BM$27),Body!$BK$22,IF(AND('Zdroj data'!BP75&gt;=Body!$BN$27,'Zdroj data'!BP75&lt;=Body!$BP$27),Body!$BN$22,IF(AND('Zdroj data'!BP75&gt;=Body!$BQ$27,'Zdroj data'!BP75&lt;=Body!$BS$27),Body!$BQ$22,IF(AND('Zdroj data'!BP75&gt;=Body!$BT$27,'Zdroj data'!BP75&lt;=Body!$BV$27),Body!$BT$22,IF(AND('Zdroj data'!BP75&gt;=Body!$BW$27,'Zdroj data'!BP75&lt;=Body!$BY$27),Body!$BW$22,IF('Zdroj data'!BP75&gt;=Body!$CB$27,$BZ$22," "))))))))))</f>
        <v>5</v>
      </c>
      <c r="X75" s="264">
        <f>IF('Zdroj data'!BA75=Body!$BB$28,$BB$22,IF('Zdroj data'!BA75=Body!$BE$28,$BE$22,IF(OR('Zdroj data'!BA75=Body!$BK$28,'Zdroj data'!BA75=Body!$BL$28,'Zdroj data'!BA75=Body!$BM$28),$BK$22,IF(OR('Zdroj data'!BA75=Body!$BT$28,'Zdroj data'!BA75=Body!$BV$28),$BT$22,IF(OR('Zdroj data'!BA75=Body!$BW$28,'Zdroj data'!BA75=Body!$BY$28),$BW$22,IF('Zdroj data'!BA75=Body!$BZ$28,$BZ$22," "))))))</f>
        <v>9</v>
      </c>
      <c r="Y75" s="264">
        <f>IF('Zdroj data'!AZ75=Body!$BZ$29,Body!$BZ$22,IF(OR('Zdroj data'!AZ75=$BT$29,'Zdroj data'!AZ75=$BU$29,'Zdroj data'!AZ75=$BV$29),$BT$22,IF(OR('Zdroj data'!AZ75=$BK$29,'Zdroj data'!AZ75=$BM$29),$BK$22,IF(OR('Zdroj data'!AZ75=$BE$29,'Zdroj data'!AZ75=$BG$29),$BE$22,IF(OR('Zdroj data'!AZ75=$AY$29,'Zdroj data'!AZ75=$BA$29),$AY$22," ")))))</f>
        <v>8</v>
      </c>
      <c r="Z75" s="264">
        <f>IF(AND('Zdroj data'!BF75="T",(OR('Zdroj data'!AZ75=Body!$AW$45,'Zdroj data'!AZ75=Body!$AW$46,'Zdroj data'!AZ75=Body!$AW$47,'Zdroj data'!AZ75=Body!$AW$48))),Body!$AY$22,IF(AND('Zdroj data'!BF75="T",(OR('Zdroj data'!AZ75=$AW$49,'Zdroj data'!AZ75=$AW$50,'Zdroj data'!AZ75=$AW$51,'Zdroj data'!AZ75=$AW$52))),$BZ$22,IF(AND(OR('Zdroj data'!BF75="VT",'Zdroj data'!BF75="T",'Zdroj data'!BF75="CH"),(OR('Zdroj data'!AZ75=$AW$43,'Zdroj data'!AZ75=$AW$44,))),$BZ$22,IF(AND('Zdroj data'!BF75="CH",(OR('Zdroj data'!AZ75=$AW$49,'Zdroj data'!AZ75=$AW$50,'Zdroj data'!AZ75=$AW$51,'Zdroj data'!AZ75=$AW$52))),$AY$22,IF(AND('Zdroj data'!BF75="CH",(OR('Zdroj data'!AZ75=$AW$45,'Zdroj data'!AZ75=$AW$46,'Zdroj data'!AZ75=$AW$47,'Zdroj data'!AZ75=$AW$48))),$BZ$22," ")))))</f>
        <v>10</v>
      </c>
      <c r="AA75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</v>
      </c>
      <c r="AB75" s="264">
        <f>IF(Tabulka1[[#This Row],[kv.ek.]]=Body!$BK$35,Body!$BK$34,IF(Tabulka1[[#This Row],[kv.ek.]]=Body!$BZ$35,Body!$BZ$34," "))</f>
        <v>10</v>
      </c>
      <c r="AC75" s="264" t="str">
        <f>IF(AND('Zdroj data'!BF75="T",(OR('Zdroj data'!AZ75=Body!$AW$45,'Zdroj data'!AZ75=Body!$AW$46,'Zdroj data'!AZ75=Body!$AW$47,'Zdroj data'!AZ75=Body!$AW$48))),Body!$AY$22,IF(AND('Zdroj data'!BF75="T",(OR('Zdroj data'!AZ75=$AW$49,'Zdroj data'!AZ75=$AW$50,'Zdroj data'!AZ75=$AW$51,'Zdroj data'!AZ75=$AW$52))),$BZ$22," "))</f>
        <v xml:space="preserve"> </v>
      </c>
      <c r="AD75" s="264">
        <f>IF(AND(OR('Zdroj data'!BF75="VT",'Zdroj data'!BF75="T",'Zdroj data'!BF75="CH"),(OR('Zdroj data'!AZ75=$AW$43,'Zdroj data'!AZ75=$AW$44,))),$BZ$22," ")</f>
        <v>10</v>
      </c>
      <c r="AE75" s="264" t="str">
        <f>IF(AND('Zdroj data'!BF75="CH",(OR('Zdroj data'!AZ75=$AW$49,'Zdroj data'!AZ75=$AW$50,'Zdroj data'!AZ75=$AW$51,'Zdroj data'!AZ75=$AW$52))),$AY$22,IF(AND('Zdroj data'!BF75="CH",(OR('Zdroj data'!AZ75=$AW$45,'Zdroj data'!AZ75=$AW$46,'Zdroj data'!AZ75=$AW$47,'Zdroj data'!AZ75=$AW$48))),$BZ$22," "))</f>
        <v xml:space="preserve"> </v>
      </c>
      <c r="AF75" s="264" t="str">
        <f>IF(AND('Zdroj data'!BG75="L",'Zdroj data'!AM75=Body!$AX$15),IF(AND('Zdroj data'!O75&gt;=Body!$AY$15,'Zdroj data'!O75&lt;=Body!$BA$15),Body!AY$6,IF(AND('Zdroj data'!O75&gt;=Body!$BB$15,'Zdroj data'!O75&lt;=Body!$BD$15),Body!BB$6,IF(AND('Zdroj data'!O75&gt;=Body!$BE$15,'Zdroj data'!O75&lt;=Body!$BG$15),Body!BE$6,IF(AND('Zdroj data'!O75&gt;=Body!$BH$15,'Zdroj data'!O75&lt;=Body!$BJ$15),Body!BH$6,IF(AND('Zdroj data'!O75&gt;=Body!$BK$15,'Zdroj data'!O75&lt;=Body!$BM$15),Body!BK$6,IF(AND('Zdroj data'!O75&gt;=Body!$BN$15,'Zdroj data'!O75&lt;=Body!$BP$15),Body!$BN$6,IF(AND('Zdroj data'!O75&gt;=Body!$BQ$15,'Zdroj data'!O75&lt;=Body!$BS$15),Body!$BQ$6,IF(AND('Zdroj data'!O75&gt;=Body!$BT$15,'Zdroj data'!O75&lt;=Body!$BV$15),Body!BT$6,IF(AND('Zdroj data'!O75&gt;=Body!$BW$15,'Zdroj data'!O75&lt;=Body!$BY$15),Body!$BW$6,IF('Zdroj data'!O75&gt;=Body!$CB$15,Body!$BZ$6," ")))))))))),IF(AND('Zdroj data'!BG75="ST",'Zdroj data'!AM75=Body!$AX$16),IF(AND('Zdroj data'!O75&gt;=Body!$AY$16,'Zdroj data'!O75&lt;=Body!$BA$16),Body!$AY$6,IF(AND('Zdroj data'!O75&gt;=Body!$BB$16,'Zdroj data'!O75&lt;=Body!$BD$16),Body!$BB$6,IF(AND('Zdroj data'!O75&gt;=Body!$BE$16,'Zdroj data'!O75&lt;=Body!$BG$16),Body!$BE$6,IF(AND('Zdroj data'!O75&gt;=Body!$BH$16,'Zdroj data'!O75&lt;=Body!$BJ$16),Body!$BH$6,IF(AND('Zdroj data'!O75&gt;=Body!$BK$16,'Zdroj data'!O75&lt;=Body!$BM$16),Body!$BK$6,IF(AND('Zdroj data'!O75&gt;=Body!$BN$16,'Zdroj data'!O75&lt;=Body!$BP$16),Body!$BN$6,IF(AND('Zdroj data'!O75&gt;=Body!$BQ$16,'Zdroj data'!O75&lt;=Body!$BS$16),Body!$BQ$6,IF(AND('Zdroj data'!O75&gt;=Body!$BT$16,'Zdroj data'!O75&lt;=Body!$BV$16),Body!$BT$6,IF(AND('Zdroj data'!O75&gt;=Body!$BW$16,'Zdroj data'!O75&lt;=Body!$BY$16),Body!$BW$6,IF('Zdroj data'!O75&gt;=Body!$CB$16,Body!$BZ$6," ")))))))))),IF(AND('Zdroj data'!BG75="T",'Zdroj data'!AM75=Body!$AX$17),IF(AND('Zdroj data'!O75&gt;=Body!$AY$17,'Zdroj data'!O75&lt;=Body!$BA$17),Body!$AY$6,IF(AND('Zdroj data'!O75&gt;=Body!$BB$17,'Zdroj data'!O75&lt;=Body!$BD$17),Body!$BB$6,IF(AND('Zdroj data'!O75&gt;=Body!$BE$17,'Zdroj data'!O75&lt;=Body!$BG$17),Body!$BE$6,IF(AND('Zdroj data'!O75&gt;=Body!$BH$17,'Zdroj data'!O75&lt;=Body!#REF!),Body!$BH$6,IF(AND('Zdroj data'!O75&gt;=Body!$BK$17,'Zdroj data'!O75&lt;=Body!$BM$17),Body!$BK$6,IF(AND('Zdroj data'!O75&gt;=Body!$BN$17,'Zdroj data'!O75&lt;=Body!$BP$17),Body!$BN$6,IF(AND('Zdroj data'!O75&gt;=Body!$BQ$17,'Zdroj data'!O75&lt;=Body!$BS$17),Body!$BQ$6,IF(AND('Zdroj data'!O75&gt;=Body!$BT$17,'Zdroj data'!O75&lt;=Body!$BV$17),Body!$BT$6,IF(AND('Zdroj data'!O75&gt;=Body!$BW$17,'Zdroj data'!O75&lt;=Body!$BY$17),Body!$BW$6,IF('Zdroj data'!O75&gt;=Body!$CB$17,Body!$BZ$6," "))))))))))," ")))</f>
        <v xml:space="preserve"> </v>
      </c>
      <c r="AG75" s="264" t="str">
        <f>IF(AND('Zdroj data'!$BG75="L",'Zdroj data'!$AM75=Body!$AX$15),IF(AND(Tabulka1[[#This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data'!$BG75="ST",'Zdroj data'!$AM75=Body!$AX$16),IF(AND(Tabulka1[[#This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data'!$BG75="T",'Zdroj data'!$AM75=Body!$AX$17),IF(AND(Tabulka1[[#This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75" s="264">
        <f>IF(AND('Zdroj data'!BG75="L",'Zdroj data'!AM75=Body!$AX$18),IF(AND('Zdroj data'!O75&gt;=Body!$AY$18,'Zdroj data'!O75&lt;=Body!$BA$18),Body!AY$6,IF(AND('Zdroj data'!O75&gt;=Body!$BB$18,'Zdroj data'!O75&lt;=Body!$BD$18),Body!BB$6,IF(AND('Zdroj data'!O75&gt;=Body!$BE$18,'Zdroj data'!O75&lt;=Body!$BG$18),Body!BE$6,IF(AND('Zdroj data'!O75&gt;=Body!$BH$18,'Zdroj data'!O75&lt;=Body!$BJ$18),Body!BH$6,IF(AND('Zdroj data'!O75&gt;=Body!$BK$18,'Zdroj data'!O75&lt;=Body!$BM$18),Body!$BK$6,IF(AND('Zdroj data'!O75&gt;=Body!$BN$18,'Zdroj data'!O75&lt;=Body!$BP$18),Body!BN$6,IF(AND('Zdroj data'!O75&gt;=Body!$BQ$18,'Zdroj data'!O75&lt;=Body!$BS$18),Body!$BQ$6,IF(AND('Zdroj data'!O75&gt;=Body!$BT$18,'Zdroj data'!O75&lt;=Body!$BV$18),Body!$BT$6,IF(AND('Zdroj data'!O75&gt;=Body!$BW$18,'Zdroj data'!O75&lt;=Body!$BY$18),Body!$BW$6,IF('Zdroj data'!O75&gt;=Body!$CB$18,Body!$BZ$6," ")))))))))),IF(AND('Zdroj data'!BG75="ST",'Zdroj data'!AM75=Body!$AX$19),IF(AND('Zdroj data'!O75&gt;=Body!$AY$19,'Zdroj data'!O75&lt;=Body!$BA$19),Body!$AY$6,IF(AND('Zdroj data'!O75&gt;=Body!$BB$19,'Zdroj data'!O75&lt;=Body!$BD$19),Body!$BB$6,IF(AND('Zdroj data'!O75&gt;=Body!$BE$19,'Zdroj data'!O75&lt;=Body!$BG$19),Body!$BE$6,IF(AND('Zdroj data'!O75&gt;=Body!$BH$19,'Zdroj data'!O75&lt;=Body!$BJ$19),Body!$BH$6,IF(AND('Zdroj data'!O75&gt;=Body!$BK$19,'Zdroj data'!O75&lt;=Body!$BM$19),Body!$BK$6,IF(AND('Zdroj data'!O75&gt;=Body!$BN$19,'Zdroj data'!O75&lt;=Body!$BP$19),Body!$BN$6,IF(AND('Zdroj data'!O75&gt;=Body!$BQ$19,'Zdroj data'!O75&lt;=Body!$BS$19),Body!$BQ$6,IF(AND('Zdroj data'!O75&gt;=Body!$BT$19,'Zdroj data'!O79&lt;=Body!$BV$19),Body!$BT$6,IF(AND('Zdroj data'!O75&gt;=Body!$BW$19,'Zdroj data'!O75&lt;=Body!$BY$19),Body!$BW$6,IF('Zdroj data'!O75&gt;=Body!$CB$19,Body!$BZ$6," ")))))))))),IF(AND('Zdroj data'!BG75="T",'Zdroj data'!AM75=Body!$AX$20),IF(AND('Zdroj data'!O75&gt;=Body!$AY$20,'Zdroj data'!O75&lt;=Body!$BA$20),Body!$AY$6,IF(AND('Zdroj data'!O75&gt;=Body!$BB$20,'Zdroj data'!O75&lt;=Body!$BD$20),Body!$BB$6,IF(AND('Zdroj data'!O75&gt;=Body!$BE$20,'Zdroj data'!O75&lt;=Body!$BG$20),Body!$BE$6,IF(AND('Zdroj data'!O75&gt;=Body!$BH$20,'Zdroj data'!O75&lt;=Body!$BJ$20),Body!$BH$6,IF(AND('Zdroj data'!O75&gt;=Body!$BK$20,'Zdroj data'!O75&lt;=Body!$BM$20),Body!$BK$6,IF(AND('Zdroj data'!O75&gt;=Body!$BN$20,'Zdroj data'!O75&lt;=Body!$BP$20),Body!$BN$6,IF(AND('Zdroj data'!O75&gt;=Body!$BQ$20,'Zdroj data'!O75&lt;=Body!$BS$20),Body!$BQ$6,IF(AND('Zdroj data'!O75&gt;=Body!$BT$20,'Zdroj data'!O75&lt;=Body!#REF!),Body!$BT$6,IF(AND('Zdroj data'!O75&gt;=Body!$BW$20,'Zdroj data'!O75&lt;=Body!$BY$20),Body!$BW$6,IF('Zdroj data'!O75&gt;=Body!$CB$20,Body!$BZ$6," "))))))))))," ")))</f>
        <v>1</v>
      </c>
      <c r="AI75" s="264">
        <f>IF(AND('Zdroj data'!$BG75="L",'Zdroj data'!$AM75=Body!$AX$18),IF(AND(Tabulka1[[#This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data'!$BG75="ST",'Zdroj data'!$AM75=Body!$AX$19),IF(AND(Tabulka1[[#This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data'!$BG75="T",'Zdroj data'!$AM75=Body!$AX$20),IF(AND(Tabulka1[[#This Row],[K2O_60]]&gt;=Body!$AY$20,'Zdroj data'!O75&lt;=Body!$BA$20),Body!$AY$6,IF(AND(Tabulka1[[#This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1</v>
      </c>
      <c r="AJ75" s="265">
        <f t="shared" si="13"/>
        <v>4.0000000000000036</v>
      </c>
      <c r="AK75" s="264">
        <f t="shared" si="14"/>
        <v>36.316887713688402</v>
      </c>
      <c r="AL75" s="264">
        <f t="shared" si="15"/>
        <v>30.850395651488494</v>
      </c>
      <c r="AM75" s="264">
        <f t="shared" si="16"/>
        <v>60.963125553425769</v>
      </c>
      <c r="AN75" s="264">
        <f t="shared" si="17"/>
        <v>59.418532346223785</v>
      </c>
      <c r="AO75" s="265">
        <f t="shared" si="21"/>
        <v>97.280013267114171</v>
      </c>
      <c r="AP75" s="265">
        <f t="shared" si="18"/>
        <v>90.268927997712282</v>
      </c>
      <c r="AQ75" s="318"/>
      <c r="AR75" s="338">
        <f t="shared" si="19"/>
        <v>191.54894126482645</v>
      </c>
      <c r="AS75" s="318"/>
      <c r="AT75" s="138"/>
      <c r="AU75" s="138"/>
    </row>
    <row r="76" spans="1:47" ht="15.5" x14ac:dyDescent="0.35">
      <c r="A76" s="270">
        <v>4049</v>
      </c>
      <c r="B76" s="156" t="s">
        <v>75</v>
      </c>
      <c r="C76" s="250" t="str">
        <f>VLOOKUP(B76,'Zdroj hloubka okresy'!$A$2:$D$171,2,FALSE)</f>
        <v>Kutna Hora</v>
      </c>
      <c r="D76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2</v>
      </c>
      <c r="E76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1</v>
      </c>
      <c r="F76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8</v>
      </c>
      <c r="G76" s="264">
        <f>IF(AND(Tabulka1[[#This Row],[hum_60]]&gt;AY82,Tabulka1[[#This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6</v>
      </c>
      <c r="H76" s="264">
        <f>IF(Tabulka1[[#This Row],[kv.ek.]]=Body!$AX$13,IF(AND('Zdroj data'!M76&gt;=Body!$AY$13,'Zdroj data'!M76&lt;=Body!$BA$13),Body!$AY$6,IF(AND('Zdroj data'!M76&gt;=Body!$BB$13,'Zdroj data'!M76&lt;=Body!$BD$13),Body!$BB$6,IF(AND('Zdroj data'!M76&gt;=Body!$BE$13,'Zdroj data'!M76&lt;=Body!$BG$13),Body!$BE$6,IF(AND('Zdroj data'!M76&gt;=Body!$BH$13,'Zdroj data'!M76&lt;=Body!$BJ$13),Body!$BH$6,IF(AND('Zdroj data'!M76&gt;=Body!$BK$13,'Zdroj data'!M76&lt;=Body!$BM$13),Body!$BK$6,IF(AND('Zdroj data'!M76&gt;=Body!$BN$13,'Zdroj data'!M76&lt;=Body!$BP$13),Body!$BN$6,IF(AND('Zdroj data'!M76&gt;=Body!$BQ$13,'Zdroj data'!M76&lt;=Body!$BS$13),Body!$BQ$6,IF(AND('Zdroj data'!M76&gt;=Body!$BT$13,'Zdroj data'!M76&lt;=Body!$BV$13),Body!$BT$6,IF(AND('Zdroj data'!M76&gt;=Body!$BW$13,'Zdroj data'!M76&lt;=Body!$BY$13),Body!$BW$6,IF('Zdroj data'!M76&gt;=Body!$CB$13,Body!$BZ$6," ")))))))))),IF(Tabulka1[[#This Row],[kv.ek.]]=Body!$AX$14,IF(AND('Zdroj data'!N76&gt;=Body!$AY$14,'Zdroj data'!N76&lt;=Body!$BA$14),Body!$AY$6,IF(AND('Zdroj data'!N76&gt;=Body!$BB$14,'Zdroj data'!N76&lt;=Body!$BD$14),Body!$BB$6,IF(AND('Zdroj data'!N76&gt;=Body!$BE$14,'Zdroj data'!N76&lt;=Body!$BG$14),Body!$BE$6,IF(AND('Zdroj data'!N76&gt;=Body!$BH$14,'Zdroj data'!N76&lt;=Body!$BJ$14),Body!$BH$6,IF(AND('Zdroj data'!N76&gt;=Body!$BK$14,'Zdroj data'!N76&lt;=Body!$BM$14),Body!$BK$6,IF(AND('Zdroj data'!N76&gt;=Body!$BN$14,'Zdroj data'!N76&lt;=Body!$BP$14),Body!$BN$6,IF(AND('Zdroj data'!N76&gt;=Body!$BQ$14,'Zdroj data'!N76&lt;=Body!$BS$14),Body!$BQ$6,IF(AND('Zdroj data'!N76&gt;=Body!$BT$14,'Zdroj data'!N76&lt;=Body!$BV$14),Body!$BT$6,IF(AND('Zdroj data'!N76&gt;=Body!$BW$14,'Zdroj data'!N76&lt;=Body!$BY$14),Body!$BW$6,IF('Zdroj data'!N76&gt;=Body!$CB$14,Body!$BZ$6," "))))))))))," "))</f>
        <v>2</v>
      </c>
      <c r="I76" s="264">
        <f>IF(Tabulka1[[#This Row],[kv.ek.]]=Body!$AX$13,IF(AND('Zdroj data'!N76&gt;=Body!$AY$13,'Zdroj data'!N76&lt;=Body!$BA$13),Body!$AY$6,IF(AND('Zdroj data'!N76&gt;=Body!$BB$13,'Zdroj data'!N76&lt;=Body!$BD$13),Body!$BB$6,IF(AND('Zdroj data'!N76&gt;=Body!$BE$13,'Zdroj data'!N76&lt;=Body!$BG$13),Body!$BE$6,IF(AND('Zdroj data'!N76&gt;=Body!$BH$13,'Zdroj data'!N76&lt;=Body!$BJ$13),Body!$BH$6,IF(AND('Zdroj data'!N76&gt;=Body!$BK$13,'Zdroj data'!N76&lt;=Body!$BM$13),Body!$BK$6,IF(AND('Zdroj data'!N76&gt;=Body!$BN$13,'Zdroj data'!N76&lt;=Body!$BP$13),Body!$BN$6,IF(AND('Zdroj data'!N76&gt;=Body!$BQ$13,'Zdroj data'!N76&lt;=Body!$BS$13),Body!$BQ$6,IF(AND('Zdroj data'!N76&gt;=Body!$BT$13,'Zdroj data'!N76&lt;=Body!$BV$13),Body!$BT$6,IF(AND('Zdroj data'!N76&gt;=Body!$BW$13,'Zdroj data'!N76&lt;=Body!$BY$13),Body!$BW$6,IF('Zdroj data'!N76&gt;=Body!$CB$13,Body!$BZ$6," ")))))))))),IF(Tabulka1[[#This Row],[kv.ek.]]=Body!$AX$14,IF(AND('Zdroj data'!O76&gt;=Body!$AY$14,'Zdroj data'!O76&lt;=Body!$BA$14),Body!$AY$6,IF(AND('Zdroj data'!O76&gt;=Body!$BB$14,'Zdroj data'!O76&lt;=Body!$BD$14),Body!$BB$6,IF(AND('Zdroj data'!O76&gt;=Body!$BE$14,'Zdroj data'!O76&lt;=Body!$BG$14),Body!$BE$6,IF(AND('Zdroj data'!O76&gt;=Body!$BH$14,'Zdroj data'!O76&lt;=Body!$BJ$14),Body!$BH$6,IF(AND('Zdroj data'!O76&gt;=Body!$BK$14,'Zdroj data'!O76&lt;=Body!$BM$14),Body!$BK$6,IF(AND('Zdroj data'!O76&gt;=Body!$BN$14,'Zdroj data'!O76&lt;=Body!$BP$14),Body!$BN$6,IF(AND('Zdroj data'!O76&gt;=Body!$BQ$14,'Zdroj data'!O76&lt;=Body!$BS$14),Body!$BQ$6,IF(AND('Zdroj data'!O76&gt;=Body!$BT$14,'Zdroj data'!O76&lt;=Body!$BV$14),Body!$BT$6,IF(AND('Zdroj data'!O76&gt;=Body!$BW$14,'Zdroj data'!O76&lt;=Body!$BY$14),Body!$BW$6,IF('Zdroj data'!O76&gt;=Body!$CB$14,Body!$BZ$6," "))))))))))," "))</f>
        <v>4</v>
      </c>
      <c r="J76" s="264">
        <f t="shared" si="22"/>
        <v>1</v>
      </c>
      <c r="K76" s="264">
        <f t="shared" si="20"/>
        <v>1</v>
      </c>
      <c r="L76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2</v>
      </c>
      <c r="M76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1</v>
      </c>
      <c r="N76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76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76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76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2</v>
      </c>
      <c r="R76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2</v>
      </c>
      <c r="S76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4</v>
      </c>
      <c r="T76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3</v>
      </c>
      <c r="U76" s="264">
        <f>IF('Zdroj data'!BB76=Body!$AY$25,Body!$AY$22,IF('Zdroj data'!BB76=Body!$BB$25,Body!$BB$22,IF('Zdroj data'!BB76=Body!$BE$25,Body!$BE$22,IF('Zdroj data'!BB76=Body!$BH$25,Body!$BH$22,IF('Zdroj data'!BB76=Body!BK$25,Body!$BK$22,IF('Zdroj data'!BB76=Body!$BN$25,Body!$BN$22,IF('Zdroj data'!BB76=Body!$BQ$25,Body!$BQ$22,IF('Zdroj data'!BB76=Body!$BT$25,Body!$BT$22,IF('Zdroj data'!BB76=Body!$BW$25,Body!$BW$22,IF('Zdroj data'!BB76=Body!$BZ$25,Body!$BZ$22," "))))))))))</f>
        <v>5</v>
      </c>
      <c r="V76" s="264">
        <f>IF(AND('Zdroj data'!BO76&gt;Body!$AY$27,'Zdroj data'!BO76&lt;=Body!$BA$27),Body!$AY$22,IF(AND('Zdroj data'!BO76&gt;=Body!$BB$27,'Zdroj data'!BO76&lt;=Body!$BD$27),Body!$BB$22,IF(AND('Zdroj data'!BO76&gt;=Body!$BE$27,'Zdroj data'!BO76&lt;=Body!$BG$27),Body!$BE$22,IF(AND('Zdroj data'!BO76&gt;=Body!$BH$27,'Zdroj data'!BO76&lt;=Body!$BJ$27),Body!$BH$22,IF(AND('Zdroj data'!BO76&gt;=Body!$BK$27,'Zdroj data'!BO76&lt;=Body!$BM$27),Body!$BK$22,IF(AND('Zdroj data'!BO76&gt;=Body!$BN$27,'Zdroj data'!BO76&lt;=Body!$BP$27),Body!$BN$22,IF(AND('Zdroj data'!BO76&gt;=Body!$BQ$27,'Zdroj data'!BO76&lt;=Body!$BS$27),Body!$BQ$22,IF(AND('Zdroj data'!BO76&gt;=Body!$BT$27,'Zdroj data'!BO76&lt;=Body!$BV$27),Body!$BT$22,IF(AND('Zdroj data'!BO76&gt;=Body!$BW$27,'Zdroj data'!BO76&lt;=Body!$BY$27),Body!$BW$22,IF('Zdroj data'!BO76&gt;=Body!$CB$27,$BZ$22," "))))))))))</f>
        <v>6</v>
      </c>
      <c r="W76" s="264">
        <f>IF(AND('Zdroj data'!BP76&gt;Body!$AY$27,'Zdroj data'!BP76&lt;=Body!$BA$27),Body!$AY$22,IF(AND('Zdroj data'!BP76&gt;=Body!$BB$27,'Zdroj data'!BP76&lt;=Body!$BD$27),Body!$BB$22,IF(AND('Zdroj data'!BP76&gt;=Body!$BE$27,'Zdroj data'!BP76&lt;=Body!$BG$27),Body!$BE$22,IF(AND('Zdroj data'!BP76&gt;=Body!$BH$27,'Zdroj data'!BP76&lt;=Body!$BJ$27),Body!$BH$22,IF(AND('Zdroj data'!BP76&gt;=Body!$BK$27,'Zdroj data'!BP76&lt;=Body!$BM$27),Body!$BK$22,IF(AND('Zdroj data'!BP76&gt;=Body!$BN$27,'Zdroj data'!BP76&lt;=Body!$BP$27),Body!$BN$22,IF(AND('Zdroj data'!BP76&gt;=Body!$BQ$27,'Zdroj data'!BP76&lt;=Body!$BS$27),Body!$BQ$22,IF(AND('Zdroj data'!BP76&gt;=Body!$BT$27,'Zdroj data'!BP76&lt;=Body!$BV$27),Body!$BT$22,IF(AND('Zdroj data'!BP76&gt;=Body!$BW$27,'Zdroj data'!BP76&lt;=Body!$BY$27),Body!$BW$22,IF('Zdroj data'!BP76&gt;=Body!$CB$27,$BZ$22," "))))))))))</f>
        <v>5</v>
      </c>
      <c r="X76" s="264">
        <f>IF('Zdroj data'!BA76=Body!$BB$28,$BB$22,IF('Zdroj data'!BA76=Body!$BE$28,$BE$22,IF(OR('Zdroj data'!BA76=Body!$BK$28,'Zdroj data'!BA76=Body!$BL$28,'Zdroj data'!BA76=Body!$BM$28),$BK$22,IF(OR('Zdroj data'!BA76=Body!$BT$28,'Zdroj data'!BA76=Body!$BV$28),$BT$22,IF(OR('Zdroj data'!BA76=Body!$BW$28,'Zdroj data'!BA76=Body!$BY$28),$BW$22,IF('Zdroj data'!BA76=Body!$BZ$28,$BZ$22," "))))))</f>
        <v>9</v>
      </c>
      <c r="Y76" s="264">
        <f>IF('Zdroj data'!AZ76=Body!$BZ$29,Body!$BZ$22,IF(OR('Zdroj data'!AZ76=$BT$29,'Zdroj data'!AZ76=$BU$29,'Zdroj data'!AZ76=$BV$29),$BT$22,IF(OR('Zdroj data'!AZ76=$BK$29,'Zdroj data'!AZ76=$BM$29),$BK$22,IF(OR('Zdroj data'!AZ76=$BE$29,'Zdroj data'!AZ76=$BG$29),$BE$22,IF(OR('Zdroj data'!AZ76=$AY$29,'Zdroj data'!AZ76=$BA$29),$AY$22," ")))))</f>
        <v>8</v>
      </c>
      <c r="Z76" s="264">
        <f>IF(AND('Zdroj data'!BF76="T",(OR('Zdroj data'!AZ76=Body!$AW$45,'Zdroj data'!AZ76=Body!$AW$46,'Zdroj data'!AZ76=Body!$AW$47,'Zdroj data'!AZ76=Body!$AW$48))),Body!$AY$22,IF(AND('Zdroj data'!BF76="T",(OR('Zdroj data'!AZ76=$AW$49,'Zdroj data'!AZ76=$AW$50,'Zdroj data'!AZ76=$AW$51,'Zdroj data'!AZ76=$AW$52))),$BZ$22,IF(AND(OR('Zdroj data'!BF76="VT",'Zdroj data'!BF76="T",'Zdroj data'!BF76="CH"),(OR('Zdroj data'!AZ76=$AW$43,'Zdroj data'!AZ76=$AW$44,))),$BZ$22,IF(AND('Zdroj data'!BF76="CH",(OR('Zdroj data'!AZ76=$AW$49,'Zdroj data'!AZ76=$AW$50,'Zdroj data'!AZ76=$AW$51,'Zdroj data'!AZ76=$AW$52))),$AY$22,IF(AND('Zdroj data'!BF76="CH",(OR('Zdroj data'!AZ76=$AW$45,'Zdroj data'!AZ76=$AW$46,'Zdroj data'!AZ76=$AW$47,'Zdroj data'!AZ76=$AW$48))),$BZ$22," ")))))</f>
        <v>10</v>
      </c>
      <c r="AA76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76" s="264">
        <f>IF(Tabulka1[[#This Row],[kv.ek.]]=Body!$BK$35,Body!$BK$34,IF(Tabulka1[[#This Row],[kv.ek.]]=Body!$BZ$35,Body!$BZ$34," "))</f>
        <v>5</v>
      </c>
      <c r="AC76" s="264" t="str">
        <f>IF(AND('Zdroj data'!BF76="T",(OR('Zdroj data'!AZ76=Body!$AW$45,'Zdroj data'!AZ76=Body!$AW$46,'Zdroj data'!AZ76=Body!$AW$47,'Zdroj data'!AZ76=Body!$AW$48))),Body!$AY$22,IF(AND('Zdroj data'!BF76="T",(OR('Zdroj data'!AZ76=$AW$49,'Zdroj data'!AZ76=$AW$50,'Zdroj data'!AZ76=$AW$51,'Zdroj data'!AZ76=$AW$52))),$BZ$22," "))</f>
        <v xml:space="preserve"> </v>
      </c>
      <c r="AD76" s="264">
        <f>IF(AND(OR('Zdroj data'!BF76="VT",'Zdroj data'!BF76="T",'Zdroj data'!BF76="CH"),(OR('Zdroj data'!AZ76=$AW$43,'Zdroj data'!AZ76=$AW$44,))),$BZ$22," ")</f>
        <v>10</v>
      </c>
      <c r="AE76" s="264" t="str">
        <f>IF(AND('Zdroj data'!BF76="CH",(OR('Zdroj data'!AZ76=$AW$49,'Zdroj data'!AZ76=$AW$50,'Zdroj data'!AZ76=$AW$51,'Zdroj data'!AZ76=$AW$52))),$AY$22,IF(AND('Zdroj data'!BF76="CH",(OR('Zdroj data'!AZ76=$AW$45,'Zdroj data'!AZ76=$AW$46,'Zdroj data'!AZ76=$AW$47,'Zdroj data'!AZ76=$AW$48))),$BZ$22," "))</f>
        <v xml:space="preserve"> </v>
      </c>
      <c r="AF76" s="264">
        <f>IF(AND('Zdroj data'!BG76="L",'Zdroj data'!AM76=Body!$AX$15),IF(AND('Zdroj data'!O76&gt;=Body!$AY$15,'Zdroj data'!O76&lt;=Body!$BA$15),Body!AY$6,IF(AND('Zdroj data'!O76&gt;=Body!$BB$15,'Zdroj data'!O76&lt;=Body!$BD$15),Body!BB$6,IF(AND('Zdroj data'!O76&gt;=Body!$BE$15,'Zdroj data'!O76&lt;=Body!$BG$15),Body!BE$6,IF(AND('Zdroj data'!O76&gt;=Body!$BH$15,'Zdroj data'!O76&lt;=Body!$BJ$15),Body!BH$6,IF(AND('Zdroj data'!O76&gt;=Body!$BK$15,'Zdroj data'!O76&lt;=Body!$BM$15),Body!BK$6,IF(AND('Zdroj data'!O76&gt;=Body!$BN$15,'Zdroj data'!O76&lt;=Body!$BP$15),Body!$BN$6,IF(AND('Zdroj data'!O76&gt;=Body!$BQ$15,'Zdroj data'!O76&lt;=Body!$BS$15),Body!$BQ$6,IF(AND('Zdroj data'!O76&gt;=Body!$BT$15,'Zdroj data'!O76&lt;=Body!$BV$15),Body!BT$6,IF(AND('Zdroj data'!O76&gt;=Body!$BW$15,'Zdroj data'!O76&lt;=Body!$BY$15),Body!$BW$6,IF('Zdroj data'!O76&gt;=Body!$CB$15,Body!$BZ$6," ")))))))))),IF(AND('Zdroj data'!BG76="ST",'Zdroj data'!AM76=Body!$AX$16),IF(AND('Zdroj data'!O76&gt;=Body!$AY$16,'Zdroj data'!O76&lt;=Body!$BA$16),Body!$AY$6,IF(AND('Zdroj data'!O76&gt;=Body!$BB$16,'Zdroj data'!O76&lt;=Body!$BD$16),Body!$BB$6,IF(AND('Zdroj data'!O76&gt;=Body!$BE$16,'Zdroj data'!O76&lt;=Body!$BG$16),Body!$BE$6,IF(AND('Zdroj data'!O76&gt;=Body!$BH$16,'Zdroj data'!O76&lt;=Body!$BJ$16),Body!$BH$6,IF(AND('Zdroj data'!O76&gt;=Body!$BK$16,'Zdroj data'!O76&lt;=Body!$BM$16),Body!$BK$6,IF(AND('Zdroj data'!O76&gt;=Body!$BN$16,'Zdroj data'!O76&lt;=Body!$BP$16),Body!$BN$6,IF(AND('Zdroj data'!O76&gt;=Body!$BQ$16,'Zdroj data'!O76&lt;=Body!$BS$16),Body!$BQ$6,IF(AND('Zdroj data'!O76&gt;=Body!$BT$16,'Zdroj data'!O76&lt;=Body!$BV$16),Body!$BT$6,IF(AND('Zdroj data'!O76&gt;=Body!$BW$16,'Zdroj data'!O76&lt;=Body!$BY$16),Body!$BW$6,IF('Zdroj data'!O76&gt;=Body!$CB$16,Body!$BZ$6," ")))))))))),IF(AND('Zdroj data'!BG76="T",'Zdroj data'!AM76=Body!$AX$17),IF(AND('Zdroj data'!O76&gt;=Body!$AY$17,'Zdroj data'!O76&lt;=Body!$BA$17),Body!$AY$6,IF(AND('Zdroj data'!O76&gt;=Body!$BB$17,'Zdroj data'!O76&lt;=Body!$BD$17),Body!$BB$6,IF(AND('Zdroj data'!O76&gt;=Body!$BE$17,'Zdroj data'!O76&lt;=Body!$BG$17),Body!$BE$6,IF(AND('Zdroj data'!O76&gt;=Body!$BH$17,'Zdroj data'!O76&lt;=Body!#REF!),Body!$BH$6,IF(AND('Zdroj data'!O76&gt;=Body!$BK$17,'Zdroj data'!O76&lt;=Body!$BM$17),Body!$BK$6,IF(AND('Zdroj data'!O76&gt;=Body!$BN$17,'Zdroj data'!O76&lt;=Body!$BP$17),Body!$BN$6,IF(AND('Zdroj data'!O76&gt;=Body!$BQ$17,'Zdroj data'!O76&lt;=Body!$BS$17),Body!$BQ$6,IF(AND('Zdroj data'!O76&gt;=Body!$BT$17,'Zdroj data'!O76&lt;=Body!$BV$17),Body!$BT$6,IF(AND('Zdroj data'!O76&gt;=Body!$BW$17,'Zdroj data'!O76&lt;=Body!$BY$17),Body!$BW$6,IF('Zdroj data'!O76&gt;=Body!$CB$17,Body!$BZ$6," "))))))))))," ")))</f>
        <v>1</v>
      </c>
      <c r="AG76" s="264">
        <f>IF(AND('Zdroj data'!$BG76="L",'Zdroj data'!$AM76=Body!$AX$15),IF(AND(Tabulka1[[#This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data'!$BG76="ST",'Zdroj data'!$AM76=Body!$AX$16),IF(AND(Tabulka1[[#This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data'!$BG76="T",'Zdroj data'!$AM76=Body!$AX$17),IF(AND(Tabulka1[[#This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76" s="264" t="str">
        <f>IF(AND('Zdroj data'!BG76="L",'Zdroj data'!AM76=Body!$AX$18),IF(AND('Zdroj data'!O76&gt;=Body!$AY$18,'Zdroj data'!O76&lt;=Body!$BA$18),Body!AY$6,IF(AND('Zdroj data'!O76&gt;=Body!$BB$18,'Zdroj data'!O76&lt;=Body!$BD$18),Body!BB$6,IF(AND('Zdroj data'!O76&gt;=Body!$BE$18,'Zdroj data'!O76&lt;=Body!$BG$18),Body!BE$6,IF(AND('Zdroj data'!O76&gt;=Body!$BH$18,'Zdroj data'!O76&lt;=Body!$BJ$18),Body!BH$6,IF(AND('Zdroj data'!O76&gt;=Body!$BK$18,'Zdroj data'!O76&lt;=Body!$BM$18),Body!$BK$6,IF(AND('Zdroj data'!O76&gt;=Body!$BN$18,'Zdroj data'!O76&lt;=Body!$BP$18),Body!BN$6,IF(AND('Zdroj data'!O76&gt;=Body!$BQ$18,'Zdroj data'!O76&lt;=Body!$BS$18),Body!$BQ$6,IF(AND('Zdroj data'!O76&gt;=Body!$BT$18,'Zdroj data'!O76&lt;=Body!$BV$18),Body!$BT$6,IF(AND('Zdroj data'!O76&gt;=Body!$BW$18,'Zdroj data'!O76&lt;=Body!$BY$18),Body!$BW$6,IF('Zdroj data'!O76&gt;=Body!$CB$18,Body!$BZ$6," ")))))))))),IF(AND('Zdroj data'!BG76="ST",'Zdroj data'!AM76=Body!$AX$19),IF(AND('Zdroj data'!O76&gt;=Body!$AY$19,'Zdroj data'!O76&lt;=Body!$BA$19),Body!$AY$6,IF(AND('Zdroj data'!O76&gt;=Body!$BB$19,'Zdroj data'!O76&lt;=Body!$BD$19),Body!$BB$6,IF(AND('Zdroj data'!O76&gt;=Body!$BE$19,'Zdroj data'!O76&lt;=Body!$BG$19),Body!$BE$6,IF(AND('Zdroj data'!O76&gt;=Body!$BH$19,'Zdroj data'!O76&lt;=Body!$BJ$19),Body!$BH$6,IF(AND('Zdroj data'!O76&gt;=Body!$BK$19,'Zdroj data'!O76&lt;=Body!$BM$19),Body!$BK$6,IF(AND('Zdroj data'!O76&gt;=Body!$BN$19,'Zdroj data'!O76&lt;=Body!$BP$19),Body!$BN$6,IF(AND('Zdroj data'!O76&gt;=Body!$BQ$19,'Zdroj data'!O76&lt;=Body!$BS$19),Body!$BQ$6,IF(AND('Zdroj data'!O76&gt;=Body!$BT$19,'Zdroj data'!#REF!&lt;=Body!$BV$19),Body!$BT$6,IF(AND('Zdroj data'!O76&gt;=Body!$BW$19,'Zdroj data'!O76&lt;=Body!$BY$19),Body!$BW$6,IF('Zdroj data'!O76&gt;=Body!$CB$19,Body!$BZ$6," ")))))))))),IF(AND('Zdroj data'!BG76="T",'Zdroj data'!AM76=Body!$AX$20),IF(AND('Zdroj data'!O76&gt;=Body!$AY$20,'Zdroj data'!O76&lt;=Body!$BA$20),Body!$AY$6,IF(AND('Zdroj data'!O76&gt;=Body!$BB$20,'Zdroj data'!O76&lt;=Body!$BD$20),Body!$BB$6,IF(AND('Zdroj data'!O76&gt;=Body!$BE$20,'Zdroj data'!O76&lt;=Body!$BG$20),Body!$BE$6,IF(AND('Zdroj data'!O76&gt;=Body!$BH$20,'Zdroj data'!O76&lt;=Body!$BJ$20),Body!$BH$6,IF(AND('Zdroj data'!O76&gt;=Body!$BK$20,'Zdroj data'!O76&lt;=Body!$BM$20),Body!$BK$6,IF(AND('Zdroj data'!O76&gt;=Body!$BN$20,'Zdroj data'!O76&lt;=Body!$BP$20),Body!$BN$6,IF(AND('Zdroj data'!O76&gt;=Body!$BQ$20,'Zdroj data'!O76&lt;=Body!$BS$20),Body!$BQ$6,IF(AND('Zdroj data'!O76&gt;=Body!$BT$20,'Zdroj data'!O76&lt;=Body!#REF!),Body!$BT$6,IF(AND('Zdroj data'!O76&gt;=Body!$BW$20,'Zdroj data'!O76&lt;=Body!$BY$20),Body!$BW$6,IF('Zdroj data'!O76&gt;=Body!$CB$20,Body!$BZ$6," "))))))))))," ")))</f>
        <v xml:space="preserve"> </v>
      </c>
      <c r="AI76" s="264" t="str">
        <f>IF(AND('Zdroj data'!$BG76="L",'Zdroj data'!$AM76=Body!$AX$18),IF(AND(Tabulka1[[#This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data'!$BG76="ST",'Zdroj data'!$AM76=Body!$AX$19),IF(AND(Tabulka1[[#This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data'!$BG76="T",'Zdroj data'!$AM76=Body!$AX$20),IF(AND(Tabulka1[[#This Row],[K2O_60]]&gt;=Body!$AY$20,'Zdroj data'!O76&lt;=Body!$BA$20),Body!$AY$6,IF(AND(Tabulka1[[#This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76" s="265">
        <f t="shared" si="13"/>
        <v>8.0000000000000071</v>
      </c>
      <c r="AK76" s="264">
        <f t="shared" si="14"/>
        <v>31.980992395639742</v>
      </c>
      <c r="AL76" s="264">
        <f t="shared" si="15"/>
        <v>27.710948400238312</v>
      </c>
      <c r="AM76" s="264">
        <f t="shared" si="16"/>
        <v>49.472872024436654</v>
      </c>
      <c r="AN76" s="264">
        <f t="shared" si="17"/>
        <v>44.014654860158664</v>
      </c>
      <c r="AO76" s="265">
        <f t="shared" si="21"/>
        <v>81.4538644200764</v>
      </c>
      <c r="AP76" s="265">
        <f t="shared" si="18"/>
        <v>71.72560326039698</v>
      </c>
      <c r="AQ76" s="318"/>
      <c r="AR76" s="338">
        <f t="shared" si="19"/>
        <v>161.17946768047338</v>
      </c>
      <c r="AS76" s="318"/>
      <c r="AT76" s="138"/>
      <c r="AU76" s="138"/>
    </row>
    <row r="77" spans="1:47" ht="15.5" x14ac:dyDescent="0.35">
      <c r="A77" s="270">
        <v>4052</v>
      </c>
      <c r="B77" s="156" t="s">
        <v>105</v>
      </c>
      <c r="C77" s="250" t="str">
        <f>VLOOKUP(B77,'Zdroj hloubka okresy'!$A$2:$D$171,2,FALSE)</f>
        <v>Kutna Hora</v>
      </c>
      <c r="D77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77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77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6</v>
      </c>
      <c r="G77" s="264">
        <f>IF(AND(Tabulka1[[#This Row],[hum_60]]&gt;AY83,Tabulka1[[#This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4</v>
      </c>
      <c r="H77" s="264">
        <f>IF(Tabulka1[[#This Row],[kv.ek.]]=Body!$AX$13,IF(AND('Zdroj data'!M77&gt;=Body!$AY$13,'Zdroj data'!M77&lt;=Body!$BA$13),Body!$AY$6,IF(AND('Zdroj data'!M77&gt;=Body!$BB$13,'Zdroj data'!M77&lt;=Body!$BD$13),Body!$BB$6,IF(AND('Zdroj data'!M77&gt;=Body!$BE$13,'Zdroj data'!M77&lt;=Body!$BG$13),Body!$BE$6,IF(AND('Zdroj data'!M77&gt;=Body!$BH$13,'Zdroj data'!M77&lt;=Body!$BJ$13),Body!$BH$6,IF(AND('Zdroj data'!M77&gt;=Body!$BK$13,'Zdroj data'!M77&lt;=Body!$BM$13),Body!$BK$6,IF(AND('Zdroj data'!M77&gt;=Body!$BN$13,'Zdroj data'!M77&lt;=Body!$BP$13),Body!$BN$6,IF(AND('Zdroj data'!M77&gt;=Body!$BQ$13,'Zdroj data'!M77&lt;=Body!$BS$13),Body!$BQ$6,IF(AND('Zdroj data'!M77&gt;=Body!$BT$13,'Zdroj data'!M77&lt;=Body!$BV$13),Body!$BT$6,IF(AND('Zdroj data'!M77&gt;=Body!$BW$13,'Zdroj data'!M77&lt;=Body!$BY$13),Body!$BW$6,IF('Zdroj data'!M77&gt;=Body!$CB$13,Body!$BZ$6," ")))))))))),IF(Tabulka1[[#This Row],[kv.ek.]]=Body!$AX$14,IF(AND('Zdroj data'!N77&gt;=Body!$AY$14,'Zdroj data'!N77&lt;=Body!$BA$14),Body!$AY$6,IF(AND('Zdroj data'!N77&gt;=Body!$BB$14,'Zdroj data'!N77&lt;=Body!$BD$14),Body!$BB$6,IF(AND('Zdroj data'!N77&gt;=Body!$BE$14,'Zdroj data'!N77&lt;=Body!$BG$14),Body!$BE$6,IF(AND('Zdroj data'!N77&gt;=Body!$BH$14,'Zdroj data'!N77&lt;=Body!$BJ$14),Body!$BH$6,IF(AND('Zdroj data'!N77&gt;=Body!$BK$14,'Zdroj data'!N77&lt;=Body!$BM$14),Body!$BK$6,IF(AND('Zdroj data'!N77&gt;=Body!$BN$14,'Zdroj data'!N77&lt;=Body!$BP$14),Body!$BN$6,IF(AND('Zdroj data'!N77&gt;=Body!$BQ$14,'Zdroj data'!N77&lt;=Body!$BS$14),Body!$BQ$6,IF(AND('Zdroj data'!N77&gt;=Body!$BT$14,'Zdroj data'!N77&lt;=Body!$BV$14),Body!$BT$6,IF(AND('Zdroj data'!N77&gt;=Body!$BW$14,'Zdroj data'!N77&lt;=Body!$BY$14),Body!$BW$6,IF('Zdroj data'!N77&gt;=Body!$CB$14,Body!$BZ$6," "))))))))))," "))</f>
        <v>1</v>
      </c>
      <c r="I77" s="264">
        <f>IF(Tabulka1[[#This Row],[kv.ek.]]=Body!$AX$13,IF(AND('Zdroj data'!N77&gt;=Body!$AY$13,'Zdroj data'!N77&lt;=Body!$BA$13),Body!$AY$6,IF(AND('Zdroj data'!N77&gt;=Body!$BB$13,'Zdroj data'!N77&lt;=Body!$BD$13),Body!$BB$6,IF(AND('Zdroj data'!N77&gt;=Body!$BE$13,'Zdroj data'!N77&lt;=Body!$BG$13),Body!$BE$6,IF(AND('Zdroj data'!N77&gt;=Body!$BH$13,'Zdroj data'!N77&lt;=Body!$BJ$13),Body!$BH$6,IF(AND('Zdroj data'!N77&gt;=Body!$BK$13,'Zdroj data'!N77&lt;=Body!$BM$13),Body!$BK$6,IF(AND('Zdroj data'!N77&gt;=Body!$BN$13,'Zdroj data'!N77&lt;=Body!$BP$13),Body!$BN$6,IF(AND('Zdroj data'!N77&gt;=Body!$BQ$13,'Zdroj data'!N77&lt;=Body!$BS$13),Body!$BQ$6,IF(AND('Zdroj data'!N77&gt;=Body!$BT$13,'Zdroj data'!N77&lt;=Body!$BV$13),Body!$BT$6,IF(AND('Zdroj data'!N77&gt;=Body!$BW$13,'Zdroj data'!N77&lt;=Body!$BY$13),Body!$BW$6,IF('Zdroj data'!N77&gt;=Body!$CB$13,Body!$BZ$6," ")))))))))),IF(Tabulka1[[#This Row],[kv.ek.]]=Body!$AX$14,IF(AND('Zdroj data'!O77&gt;=Body!$AY$14,'Zdroj data'!O77&lt;=Body!$BA$14),Body!$AY$6,IF(AND('Zdroj data'!O77&gt;=Body!$BB$14,'Zdroj data'!O77&lt;=Body!$BD$14),Body!$BB$6,IF(AND('Zdroj data'!O77&gt;=Body!$BE$14,'Zdroj data'!O77&lt;=Body!$BG$14),Body!$BE$6,IF(AND('Zdroj data'!O77&gt;=Body!$BH$14,'Zdroj data'!O77&lt;=Body!$BJ$14),Body!$BH$6,IF(AND('Zdroj data'!O77&gt;=Body!$BK$14,'Zdroj data'!O77&lt;=Body!$BM$14),Body!$BK$6,IF(AND('Zdroj data'!O77&gt;=Body!$BN$14,'Zdroj data'!O77&lt;=Body!$BP$14),Body!$BN$6,IF(AND('Zdroj data'!O77&gt;=Body!$BQ$14,'Zdroj data'!O77&lt;=Body!$BS$14),Body!$BQ$6,IF(AND('Zdroj data'!O77&gt;=Body!$BT$14,'Zdroj data'!O77&lt;=Body!$BV$14),Body!$BT$6,IF(AND('Zdroj data'!O77&gt;=Body!$BW$14,'Zdroj data'!O77&lt;=Body!$BY$14),Body!$BW$6,IF('Zdroj data'!O77&gt;=Body!$CB$14,Body!$BZ$6," "))))))))))," "))</f>
        <v>1</v>
      </c>
      <c r="J77" s="264">
        <f t="shared" si="22"/>
        <v>1</v>
      </c>
      <c r="K77" s="264">
        <f>IF(AG77=" ",AI77,AG77)</f>
        <v>1</v>
      </c>
      <c r="L77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77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2</v>
      </c>
      <c r="N77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</v>
      </c>
      <c r="O77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2</v>
      </c>
      <c r="P77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77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77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77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77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77" s="264">
        <f>IF('Zdroj data'!BB77=Body!$AY$25,Body!$AY$22,IF('Zdroj data'!BB77=Body!$BB$25,Body!$BB$22,IF('Zdroj data'!BB77=Body!$BE$25,Body!$BE$22,IF('Zdroj data'!BB77=Body!$BH$25,Body!$BH$22,IF('Zdroj data'!BB77=Body!BK$25,Body!$BK$22,IF('Zdroj data'!BB77=Body!$BN$25,Body!$BN$22,IF('Zdroj data'!BB77=Body!$BQ$25,Body!$BQ$22,IF('Zdroj data'!BB77=Body!$BT$25,Body!$BT$22,IF('Zdroj data'!BB77=Body!$BW$25,Body!$BW$22,IF('Zdroj data'!BB77=Body!$BZ$25,Body!$BZ$22," "))))))))))</f>
        <v>3</v>
      </c>
      <c r="V77" s="264">
        <f>IF(AND('Zdroj data'!BO77&gt;Body!$AY$27,'Zdroj data'!BO77&lt;=Body!$BA$27),Body!$AY$22,IF(AND('Zdroj data'!BO77&gt;=Body!$BB$27,'Zdroj data'!BO77&lt;=Body!$BD$27),Body!$BB$22,IF(AND('Zdroj data'!BO77&gt;=Body!$BE$27,'Zdroj data'!BO77&lt;=Body!$BG$27),Body!$BE$22,IF(AND('Zdroj data'!BO77&gt;=Body!$BH$27,'Zdroj data'!BO77&lt;=Body!$BJ$27),Body!$BH$22,IF(AND('Zdroj data'!BO77&gt;=Body!$BK$27,'Zdroj data'!BO77&lt;=Body!$BM$27),Body!$BK$22,IF(AND('Zdroj data'!BO77&gt;=Body!$BN$27,'Zdroj data'!BO77&lt;=Body!$BP$27),Body!$BN$22,IF(AND('Zdroj data'!BO77&gt;=Body!$BQ$27,'Zdroj data'!BO77&lt;=Body!$BS$27),Body!$BQ$22,IF(AND('Zdroj data'!BO77&gt;=Body!$BT$27,'Zdroj data'!BO77&lt;=Body!$BV$27),Body!$BT$22,IF(AND('Zdroj data'!BO77&gt;=Body!$BW$27,'Zdroj data'!BO77&lt;=Body!$BY$27),Body!$BW$22,IF('Zdroj data'!BO77&gt;=Body!$CB$27,$BZ$22," "))))))))))</f>
        <v>7</v>
      </c>
      <c r="W77" s="264">
        <f>IF(AND('Zdroj data'!BP77&gt;Body!$AY$27,'Zdroj data'!BP77&lt;=Body!$BA$27),Body!$AY$22,IF(AND('Zdroj data'!BP77&gt;=Body!$BB$27,'Zdroj data'!BP77&lt;=Body!$BD$27),Body!$BB$22,IF(AND('Zdroj data'!BP77&gt;=Body!$BE$27,'Zdroj data'!BP77&lt;=Body!$BG$27),Body!$BE$22,IF(AND('Zdroj data'!BP77&gt;=Body!$BH$27,'Zdroj data'!BP77&lt;=Body!$BJ$27),Body!$BH$22,IF(AND('Zdroj data'!BP77&gt;=Body!$BK$27,'Zdroj data'!BP77&lt;=Body!$BM$27),Body!$BK$22,IF(AND('Zdroj data'!BP77&gt;=Body!$BN$27,'Zdroj data'!BP77&lt;=Body!$BP$27),Body!$BN$22,IF(AND('Zdroj data'!BP77&gt;=Body!$BQ$27,'Zdroj data'!BP77&lt;=Body!$BS$27),Body!$BQ$22,IF(AND('Zdroj data'!BP77&gt;=Body!$BT$27,'Zdroj data'!BP77&lt;=Body!$BV$27),Body!$BT$22,IF(AND('Zdroj data'!BP77&gt;=Body!$BW$27,'Zdroj data'!BP77&lt;=Body!$BY$27),Body!$BW$22,IF('Zdroj data'!BP77&gt;=Body!$CB$27,$BZ$22," "))))))))))</f>
        <v>5</v>
      </c>
      <c r="X77" s="264">
        <f>IF('Zdroj data'!BA77=Body!$BB$28,$BB$22,IF('Zdroj data'!BA77=Body!$BE$28,$BE$22,IF(OR('Zdroj data'!BA77=Body!$BK$28,'Zdroj data'!BA77=Body!$BL$28,'Zdroj data'!BA77=Body!$BM$28),$BK$22,IF(OR('Zdroj data'!BA77=Body!$BT$28,'Zdroj data'!BA77=Body!$BV$28),$BT$22,IF(OR('Zdroj data'!BA77=Body!$BW$28,'Zdroj data'!BA77=Body!$BY$28),$BW$22,IF('Zdroj data'!BA77=Body!$BZ$28,$BZ$22," "))))))</f>
        <v>9</v>
      </c>
      <c r="Y77" s="264">
        <f>IF('Zdroj data'!AZ77=Body!$BZ$29,Body!$BZ$22,IF(OR('Zdroj data'!AZ77=$BT$29,'Zdroj data'!AZ77=$BU$29,'Zdroj data'!AZ77=$BV$29),$BT$22,IF(OR('Zdroj data'!AZ77=$BK$29,'Zdroj data'!AZ77=$BM$29),$BK$22,IF(OR('Zdroj data'!AZ77=$BE$29,'Zdroj data'!AZ77=$BG$29),$BE$22,IF(OR('Zdroj data'!AZ77=$AY$29,'Zdroj data'!AZ77=$BA$29),$AY$22," ")))))</f>
        <v>8</v>
      </c>
      <c r="Z77" s="264">
        <f>IF(AND('Zdroj data'!BF77="T",(OR('Zdroj data'!AZ77=Body!$AW$45,'Zdroj data'!AZ77=Body!$AW$46,'Zdroj data'!AZ77=Body!$AW$47,'Zdroj data'!AZ77=Body!$AW$48))),Body!$AY$22,IF(AND('Zdroj data'!BF77="T",(OR('Zdroj data'!AZ77=$AW$49,'Zdroj data'!AZ77=$AW$50,'Zdroj data'!AZ77=$AW$51,'Zdroj data'!AZ77=$AW$52))),$BZ$22,IF(AND(OR('Zdroj data'!BF77="VT",'Zdroj data'!BF77="T",'Zdroj data'!BF77="CH"),(OR('Zdroj data'!AZ77=$AW$43,'Zdroj data'!AZ77=$AW$44,))),$BZ$22,IF(AND('Zdroj data'!BF77="CH",(OR('Zdroj data'!AZ77=$AW$49,'Zdroj data'!AZ77=$AW$50,'Zdroj data'!AZ77=$AW$51,'Zdroj data'!AZ77=$AW$52))),$AY$22,IF(AND('Zdroj data'!BF77="CH",(OR('Zdroj data'!AZ77=$AW$45,'Zdroj data'!AZ77=$AW$46,'Zdroj data'!AZ77=$AW$47,'Zdroj data'!AZ77=$AW$48))),$BZ$22," ")))))</f>
        <v>10</v>
      </c>
      <c r="AA77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77" s="264">
        <f>IF(Tabulka1[[#This Row],[kv.ek.]]=Body!$BK$35,Body!$BK$34,IF(Tabulka1[[#This Row],[kv.ek.]]=Body!$BZ$35,Body!$BZ$34," "))</f>
        <v>5</v>
      </c>
      <c r="AC77" s="264" t="str">
        <f>IF(AND('Zdroj data'!BF77="T",(OR('Zdroj data'!AZ77=Body!$AW$45,'Zdroj data'!AZ77=Body!$AW$46,'Zdroj data'!AZ77=Body!$AW$47,'Zdroj data'!AZ77=Body!$AW$48))),Body!$AY$22,IF(AND('Zdroj data'!BF77="T",(OR('Zdroj data'!AZ77=$AW$49,'Zdroj data'!AZ77=$AW$50,'Zdroj data'!AZ77=$AW$51,'Zdroj data'!AZ77=$AW$52))),$BZ$22," "))</f>
        <v xml:space="preserve"> </v>
      </c>
      <c r="AD77" s="264">
        <f>IF(AND(OR('Zdroj data'!BF77="VT",'Zdroj data'!BF77="T",'Zdroj data'!BF77="CH"),(OR('Zdroj data'!AZ77=$AW$43,'Zdroj data'!AZ77=$AW$44,))),$BZ$22," ")</f>
        <v>10</v>
      </c>
      <c r="AE77" s="264" t="str">
        <f>IF(AND('Zdroj data'!BF77="CH",(OR('Zdroj data'!AZ77=$AW$49,'Zdroj data'!AZ77=$AW$50,'Zdroj data'!AZ77=$AW$51,'Zdroj data'!AZ77=$AW$52))),$AY$22,IF(AND('Zdroj data'!BF77="CH",(OR('Zdroj data'!AZ77=$AW$45,'Zdroj data'!AZ77=$AW$46,'Zdroj data'!AZ77=$AW$47,'Zdroj data'!AZ77=$AW$48))),$BZ$22," "))</f>
        <v xml:space="preserve"> </v>
      </c>
      <c r="AF77" s="264">
        <f>IF(AND('Zdroj data'!BG77="L",'Zdroj data'!AM77=Body!$AX$15),IF(AND('Zdroj data'!O77&gt;=Body!$AY$15,'Zdroj data'!O77&lt;=Body!$BA$15),Body!AY$6,IF(AND('Zdroj data'!O77&gt;=Body!$BB$15,'Zdroj data'!O77&lt;=Body!$BD$15),Body!BB$6,IF(AND('Zdroj data'!O77&gt;=Body!$BE$15,'Zdroj data'!O77&lt;=Body!$BG$15),Body!BE$6,IF(AND('Zdroj data'!O77&gt;=Body!$BH$15,'Zdroj data'!O77&lt;=Body!$BJ$15),Body!BH$6,IF(AND('Zdroj data'!O77&gt;=Body!$BK$15,'Zdroj data'!O77&lt;=Body!$BM$15),Body!BK$6,IF(AND('Zdroj data'!O77&gt;=Body!$BN$15,'Zdroj data'!O77&lt;=Body!$BP$15),Body!$BN$6,IF(AND('Zdroj data'!O77&gt;=Body!$BQ$15,'Zdroj data'!O77&lt;=Body!$BS$15),Body!$BQ$6,IF(AND('Zdroj data'!O77&gt;=Body!$BT$15,'Zdroj data'!O77&lt;=Body!$BV$15),Body!BT$6,IF(AND('Zdroj data'!O77&gt;=Body!$BW$15,'Zdroj data'!O77&lt;=Body!$BY$15),Body!$BW$6,IF('Zdroj data'!O77&gt;=Body!$CB$15,Body!$BZ$6," ")))))))))),IF(AND('Zdroj data'!BG77="ST",'Zdroj data'!AM77=Body!$AX$16),IF(AND('Zdroj data'!O77&gt;=Body!$AY$16,'Zdroj data'!O77&lt;=Body!$BA$16),Body!$AY$6,IF(AND('Zdroj data'!O77&gt;=Body!$BB$16,'Zdroj data'!O77&lt;=Body!$BD$16),Body!$BB$6,IF(AND('Zdroj data'!O77&gt;=Body!$BE$16,'Zdroj data'!O77&lt;=Body!$BG$16),Body!$BE$6,IF(AND('Zdroj data'!O77&gt;=Body!$BH$16,'Zdroj data'!O77&lt;=Body!$BJ$16),Body!$BH$6,IF(AND('Zdroj data'!O77&gt;=Body!$BK$16,'Zdroj data'!O77&lt;=Body!$BM$16),Body!$BK$6,IF(AND('Zdroj data'!O77&gt;=Body!$BN$16,'Zdroj data'!O77&lt;=Body!$BP$16),Body!$BN$6,IF(AND('Zdroj data'!O77&gt;=Body!$BQ$16,'Zdroj data'!O77&lt;=Body!$BS$16),Body!$BQ$6,IF(AND('Zdroj data'!O77&gt;=Body!$BT$16,'Zdroj data'!O77&lt;=Body!$BV$16),Body!$BT$6,IF(AND('Zdroj data'!O77&gt;=Body!$BW$16,'Zdroj data'!O77&lt;=Body!$BY$16),Body!$BW$6,IF('Zdroj data'!O77&gt;=Body!$CB$16,Body!$BZ$6," ")))))))))),IF(AND('Zdroj data'!BG77="T",'Zdroj data'!AM77=Body!$AX$17),IF(AND('Zdroj data'!O77&gt;=Body!$AY$17,'Zdroj data'!O77&lt;=Body!$BA$17),Body!$AY$6,IF(AND('Zdroj data'!O77&gt;=Body!$BB$17,'Zdroj data'!O77&lt;=Body!$BD$17),Body!$BB$6,IF(AND('Zdroj data'!O77&gt;=Body!$BE$17,'Zdroj data'!O77&lt;=Body!$BG$17),Body!$BE$6,IF(AND('Zdroj data'!O77&gt;=Body!$BH$17,'Zdroj data'!O77&lt;=Body!#REF!),Body!$BH$6,IF(AND('Zdroj data'!O77&gt;=Body!$BK$17,'Zdroj data'!O77&lt;=Body!$BM$17),Body!$BK$6,IF(AND('Zdroj data'!O77&gt;=Body!$BN$17,'Zdroj data'!O77&lt;=Body!$BP$17),Body!$BN$6,IF(AND('Zdroj data'!O77&gt;=Body!$BQ$17,'Zdroj data'!O77&lt;=Body!$BS$17),Body!$BQ$6,IF(AND('Zdroj data'!O77&gt;=Body!$BT$17,'Zdroj data'!O77&lt;=Body!$BV$17),Body!$BT$6,IF(AND('Zdroj data'!O77&gt;=Body!$BW$17,'Zdroj data'!O77&lt;=Body!$BY$17),Body!$BW$6,IF('Zdroj data'!O77&gt;=Body!$CB$17,Body!$BZ$6," "))))))))))," ")))</f>
        <v>1</v>
      </c>
      <c r="AG77" s="264">
        <f>IF(AND('Zdroj data'!$BG77="L",'Zdroj data'!$AM77=Body!$AX$15),IF(AND(Tabulka1[[#This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data'!$BG77="ST",'Zdroj data'!$AM77=Body!$AX$16),IF(AND(Tabulka1[[#This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data'!$BG77="T",'Zdroj data'!$AM77=Body!$AX$17),IF(AND(Tabulka1[[#This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77" s="264" t="str">
        <f>IF(AND('Zdroj data'!BG77="L",'Zdroj data'!AM77=Body!$AX$18),IF(AND('Zdroj data'!O77&gt;=Body!$AY$18,'Zdroj data'!O77&lt;=Body!$BA$18),Body!AY$6,IF(AND('Zdroj data'!O77&gt;=Body!$BB$18,'Zdroj data'!O77&lt;=Body!$BD$18),Body!BB$6,IF(AND('Zdroj data'!O77&gt;=Body!$BE$18,'Zdroj data'!O77&lt;=Body!$BG$18),Body!BE$6,IF(AND('Zdroj data'!O77&gt;=Body!$BH$18,'Zdroj data'!O77&lt;=Body!$BJ$18),Body!BH$6,IF(AND('Zdroj data'!O77&gt;=Body!$BK$18,'Zdroj data'!O77&lt;=Body!$BM$18),Body!$BK$6,IF(AND('Zdroj data'!O77&gt;=Body!$BN$18,'Zdroj data'!O77&lt;=Body!$BP$18),Body!BN$6,IF(AND('Zdroj data'!O77&gt;=Body!$BQ$18,'Zdroj data'!O77&lt;=Body!$BS$18),Body!$BQ$6,IF(AND('Zdroj data'!O77&gt;=Body!$BT$18,'Zdroj data'!O77&lt;=Body!$BV$18),Body!$BT$6,IF(AND('Zdroj data'!O77&gt;=Body!$BW$18,'Zdroj data'!O77&lt;=Body!$BY$18),Body!$BW$6,IF('Zdroj data'!O77&gt;=Body!$CB$18,Body!$BZ$6," ")))))))))),IF(AND('Zdroj data'!BG77="ST",'Zdroj data'!AM77=Body!$AX$19),IF(AND('Zdroj data'!O77&gt;=Body!$AY$19,'Zdroj data'!O77&lt;=Body!$BA$19),Body!$AY$6,IF(AND('Zdroj data'!O77&gt;=Body!$BB$19,'Zdroj data'!O77&lt;=Body!$BD$19),Body!$BB$6,IF(AND('Zdroj data'!O77&gt;=Body!$BE$19,'Zdroj data'!O77&lt;=Body!$BG$19),Body!$BE$6,IF(AND('Zdroj data'!O77&gt;=Body!$BH$19,'Zdroj data'!O77&lt;=Body!$BJ$19),Body!$BH$6,IF(AND('Zdroj data'!O77&gt;=Body!$BK$19,'Zdroj data'!O77&lt;=Body!$BM$19),Body!$BK$6,IF(AND('Zdroj data'!O77&gt;=Body!$BN$19,'Zdroj data'!O77&lt;=Body!$BP$19),Body!$BN$6,IF(AND('Zdroj data'!O77&gt;=Body!$BQ$19,'Zdroj data'!O77&lt;=Body!$BS$19),Body!$BQ$6,IF(AND('Zdroj data'!O77&gt;=Body!$BT$19,'Zdroj data'!O80&lt;=Body!$BV$19),Body!$BT$6,IF(AND('Zdroj data'!O77&gt;=Body!$BW$19,'Zdroj data'!O77&lt;=Body!$BY$19),Body!$BW$6,IF('Zdroj data'!O77&gt;=Body!$CB$19,Body!$BZ$6," ")))))))))),IF(AND('Zdroj data'!BG77="T",'Zdroj data'!AM77=Body!$AX$20),IF(AND('Zdroj data'!O77&gt;=Body!$AY$20,'Zdroj data'!O77&lt;=Body!$BA$20),Body!$AY$6,IF(AND('Zdroj data'!O77&gt;=Body!$BB$20,'Zdroj data'!O77&lt;=Body!$BD$20),Body!$BB$6,IF(AND('Zdroj data'!O77&gt;=Body!$BE$20,'Zdroj data'!O77&lt;=Body!$BG$20),Body!$BE$6,IF(AND('Zdroj data'!O77&gt;=Body!$BH$20,'Zdroj data'!O77&lt;=Body!$BJ$20),Body!$BH$6,IF(AND('Zdroj data'!O77&gt;=Body!$BK$20,'Zdroj data'!O77&lt;=Body!$BM$20),Body!$BK$6,IF(AND('Zdroj data'!O77&gt;=Body!$BN$20,'Zdroj data'!O77&lt;=Body!$BP$20),Body!$BN$6,IF(AND('Zdroj data'!O77&gt;=Body!$BQ$20,'Zdroj data'!O77&lt;=Body!$BS$20),Body!$BQ$6,IF(AND('Zdroj data'!O77&gt;=Body!$BT$20,'Zdroj data'!O77&lt;=Body!#REF!),Body!$BT$6,IF(AND('Zdroj data'!O77&gt;=Body!$BW$20,'Zdroj data'!O77&lt;=Body!$BY$20),Body!$BW$6,IF('Zdroj data'!O77&gt;=Body!$CB$20,Body!$BZ$6," "))))))))))," ")))</f>
        <v xml:space="preserve"> </v>
      </c>
      <c r="AI77" s="264" t="str">
        <f>IF(AND('Zdroj data'!$BG77="L",'Zdroj data'!$AM77=Body!$AX$18),IF(AND(Tabulka1[[#This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data'!$BG77="ST",'Zdroj data'!$AM77=Body!$AX$19),IF(AND(Tabulka1[[#This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data'!$BG77="T",'Zdroj data'!$AM77=Body!$AX$20),IF(AND(Tabulka1[[#This Row],[K2O_60]]&gt;=Body!$AY$20,'Zdroj data'!O77&lt;=Body!$BA$20),Body!$AY$6,IF(AND(Tabulka1[[#This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77" s="265">
        <f t="shared" si="13"/>
        <v>8.0000000000000071</v>
      </c>
      <c r="AK77" s="264">
        <f t="shared" si="14"/>
        <v>24.887089549075704</v>
      </c>
      <c r="AL77" s="264">
        <f t="shared" si="15"/>
        <v>22.502776505516966</v>
      </c>
      <c r="AM77" s="264">
        <f t="shared" si="16"/>
        <v>58.594094803551748</v>
      </c>
      <c r="AN77" s="264">
        <f t="shared" si="17"/>
        <v>59.418532346223785</v>
      </c>
      <c r="AO77" s="265">
        <f t="shared" si="21"/>
        <v>83.481184352627452</v>
      </c>
      <c r="AP77" s="265">
        <f t="shared" si="18"/>
        <v>81.921308851740747</v>
      </c>
      <c r="AQ77" s="318"/>
      <c r="AR77" s="338">
        <f t="shared" si="19"/>
        <v>173.4024932043682</v>
      </c>
      <c r="AS77" s="318"/>
      <c r="AT77" s="138"/>
      <c r="AU77" s="138"/>
    </row>
    <row r="78" spans="1:47" ht="15.5" x14ac:dyDescent="0.35">
      <c r="A78" s="270">
        <v>4055</v>
      </c>
      <c r="B78" s="156" t="s">
        <v>99</v>
      </c>
      <c r="C78" s="250" t="str">
        <f>VLOOKUP(B78,'Zdroj hloubka okresy'!$A$2:$D$171,2,FALSE)</f>
        <v>Kutna Hora</v>
      </c>
      <c r="D78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78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78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78" s="264">
        <f>IF(AND(Tabulka1[[#This Row],[hum_60]]&gt;AY84,Tabulka1[[#This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78" s="264">
        <f>IF(Tabulka1[[#This Row],[kv.ek.]]=Body!$AX$13,IF(AND('Zdroj data'!M78&gt;=Body!$AY$13,'Zdroj data'!M78&lt;=Body!$BA$13),Body!$AY$6,IF(AND('Zdroj data'!M78&gt;=Body!$BB$13,'Zdroj data'!M78&lt;=Body!$BD$13),Body!$BB$6,IF(AND('Zdroj data'!M78&gt;=Body!$BE$13,'Zdroj data'!M78&lt;=Body!$BG$13),Body!$BE$6,IF(AND('Zdroj data'!M78&gt;=Body!$BH$13,'Zdroj data'!M78&lt;=Body!$BJ$13),Body!$BH$6,IF(AND('Zdroj data'!M78&gt;=Body!$BK$13,'Zdroj data'!M78&lt;=Body!$BM$13),Body!$BK$6,IF(AND('Zdroj data'!M78&gt;=Body!$BN$13,'Zdroj data'!M78&lt;=Body!$BP$13),Body!$BN$6,IF(AND('Zdroj data'!M78&gt;=Body!$BQ$13,'Zdroj data'!M78&lt;=Body!$BS$13),Body!$BQ$6,IF(AND('Zdroj data'!M78&gt;=Body!$BT$13,'Zdroj data'!M78&lt;=Body!$BV$13),Body!$BT$6,IF(AND('Zdroj data'!M78&gt;=Body!$BW$13,'Zdroj data'!M78&lt;=Body!$BY$13),Body!$BW$6,IF('Zdroj data'!M78&gt;=Body!$CB$13,Body!$BZ$6," ")))))))))),IF(Tabulka1[[#This Row],[kv.ek.]]=Body!$AX$14,IF(AND('Zdroj data'!N78&gt;=Body!$AY$14,'Zdroj data'!N78&lt;=Body!$BA$14),Body!$AY$6,IF(AND('Zdroj data'!N78&gt;=Body!$BB$14,'Zdroj data'!N78&lt;=Body!$BD$14),Body!$BB$6,IF(AND('Zdroj data'!N78&gt;=Body!$BE$14,'Zdroj data'!N78&lt;=Body!$BG$14),Body!$BE$6,IF(AND('Zdroj data'!N78&gt;=Body!$BH$14,'Zdroj data'!N78&lt;=Body!$BJ$14),Body!$BH$6,IF(AND('Zdroj data'!N78&gt;=Body!$BK$14,'Zdroj data'!N78&lt;=Body!$BM$14),Body!$BK$6,IF(AND('Zdroj data'!N78&gt;=Body!$BN$14,'Zdroj data'!N78&lt;=Body!$BP$14),Body!$BN$6,IF(AND('Zdroj data'!N78&gt;=Body!$BQ$14,'Zdroj data'!N78&lt;=Body!$BS$14),Body!$BQ$6,IF(AND('Zdroj data'!N78&gt;=Body!$BT$14,'Zdroj data'!N78&lt;=Body!$BV$14),Body!$BT$6,IF(AND('Zdroj data'!N78&gt;=Body!$BW$14,'Zdroj data'!N78&lt;=Body!$BY$14),Body!$BW$6,IF('Zdroj data'!N78&gt;=Body!$CB$14,Body!$BZ$6," "))))))))))," "))</f>
        <v>1</v>
      </c>
      <c r="I78" s="264">
        <f>IF(Tabulka1[[#This Row],[kv.ek.]]=Body!$AX$13,IF(AND('Zdroj data'!N78&gt;=Body!$AY$13,'Zdroj data'!N78&lt;=Body!$BA$13),Body!$AY$6,IF(AND('Zdroj data'!N78&gt;=Body!$BB$13,'Zdroj data'!N78&lt;=Body!$BD$13),Body!$BB$6,IF(AND('Zdroj data'!N78&gt;=Body!$BE$13,'Zdroj data'!N78&lt;=Body!$BG$13),Body!$BE$6,IF(AND('Zdroj data'!N78&gt;=Body!$BH$13,'Zdroj data'!N78&lt;=Body!$BJ$13),Body!$BH$6,IF(AND('Zdroj data'!N78&gt;=Body!$BK$13,'Zdroj data'!N78&lt;=Body!$BM$13),Body!$BK$6,IF(AND('Zdroj data'!N78&gt;=Body!$BN$13,'Zdroj data'!N78&lt;=Body!$BP$13),Body!$BN$6,IF(AND('Zdroj data'!N78&gt;=Body!$BQ$13,'Zdroj data'!N78&lt;=Body!$BS$13),Body!$BQ$6,IF(AND('Zdroj data'!N78&gt;=Body!$BT$13,'Zdroj data'!N78&lt;=Body!$BV$13),Body!$BT$6,IF(AND('Zdroj data'!N78&gt;=Body!$BW$13,'Zdroj data'!N78&lt;=Body!$BY$13),Body!$BW$6,IF('Zdroj data'!N78&gt;=Body!$CB$13,Body!$BZ$6," ")))))))))),IF(Tabulka1[[#This Row],[kv.ek.]]=Body!$AX$14,IF(AND('Zdroj data'!O78&gt;=Body!$AY$14,'Zdroj data'!O78&lt;=Body!$BA$14),Body!$AY$6,IF(AND('Zdroj data'!O78&gt;=Body!$BB$14,'Zdroj data'!O78&lt;=Body!$BD$14),Body!$BB$6,IF(AND('Zdroj data'!O78&gt;=Body!$BE$14,'Zdroj data'!O78&lt;=Body!$BG$14),Body!$BE$6,IF(AND('Zdroj data'!O78&gt;=Body!$BH$14,'Zdroj data'!O78&lt;=Body!$BJ$14),Body!$BH$6,IF(AND('Zdroj data'!O78&gt;=Body!$BK$14,'Zdroj data'!O78&lt;=Body!$BM$14),Body!$BK$6,IF(AND('Zdroj data'!O78&gt;=Body!$BN$14,'Zdroj data'!O78&lt;=Body!$BP$14),Body!$BN$6,IF(AND('Zdroj data'!O78&gt;=Body!$BQ$14,'Zdroj data'!O78&lt;=Body!$BS$14),Body!$BQ$6,IF(AND('Zdroj data'!O78&gt;=Body!$BT$14,'Zdroj data'!O78&lt;=Body!$BV$14),Body!$BT$6,IF(AND('Zdroj data'!O78&gt;=Body!$BW$14,'Zdroj data'!O78&lt;=Body!$BY$14),Body!$BW$6,IF('Zdroj data'!O78&gt;=Body!$CB$14,Body!$BZ$6," "))))))))))," "))</f>
        <v>1</v>
      </c>
      <c r="J78" s="264">
        <f t="shared" si="22"/>
        <v>1</v>
      </c>
      <c r="K78" s="264">
        <f t="shared" si="22"/>
        <v>1</v>
      </c>
      <c r="L78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2</v>
      </c>
      <c r="M78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2</v>
      </c>
      <c r="N78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4</v>
      </c>
      <c r="O78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4</v>
      </c>
      <c r="P78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78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78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78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78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78" s="264">
        <f>IF('Zdroj data'!BB78=Body!$AY$25,Body!$AY$22,IF('Zdroj data'!BB78=Body!$BB$25,Body!$BB$22,IF('Zdroj data'!BB78=Body!$BE$25,Body!$BE$22,IF('Zdroj data'!BB78=Body!$BH$25,Body!$BH$22,IF('Zdroj data'!BB78=Body!BK$25,Body!$BK$22,IF('Zdroj data'!BB78=Body!$BN$25,Body!$BN$22,IF('Zdroj data'!BB78=Body!$BQ$25,Body!$BQ$22,IF('Zdroj data'!BB78=Body!$BT$25,Body!$BT$22,IF('Zdroj data'!BB78=Body!$BW$25,Body!$BW$22,IF('Zdroj data'!BB78=Body!$BZ$25,Body!$BZ$22," "))))))))))</f>
        <v>5</v>
      </c>
      <c r="V78" s="264">
        <f>IF(AND('Zdroj data'!BO78&gt;Body!$AY$27,'Zdroj data'!BO78&lt;=Body!$BA$27),Body!$AY$22,IF(AND('Zdroj data'!BO78&gt;=Body!$BB$27,'Zdroj data'!BO78&lt;=Body!$BD$27),Body!$BB$22,IF(AND('Zdroj data'!BO78&gt;=Body!$BE$27,'Zdroj data'!BO78&lt;=Body!$BG$27),Body!$BE$22,IF(AND('Zdroj data'!BO78&gt;=Body!$BH$27,'Zdroj data'!BO78&lt;=Body!$BJ$27),Body!$BH$22,IF(AND('Zdroj data'!BO78&gt;=Body!$BK$27,'Zdroj data'!BO78&lt;=Body!$BM$27),Body!$BK$22,IF(AND('Zdroj data'!BO78&gt;=Body!$BN$27,'Zdroj data'!BO78&lt;=Body!$BP$27),Body!$BN$22,IF(AND('Zdroj data'!BO78&gt;=Body!$BQ$27,'Zdroj data'!BO78&lt;=Body!$BS$27),Body!$BQ$22,IF(AND('Zdroj data'!BO78&gt;=Body!$BT$27,'Zdroj data'!BO78&lt;=Body!$BV$27),Body!$BT$22,IF(AND('Zdroj data'!BO78&gt;=Body!$BW$27,'Zdroj data'!BO78&lt;=Body!$BY$27),Body!$BW$22,IF('Zdroj data'!BO78&gt;=Body!$CB$27,$BZ$22," "))))))))))</f>
        <v>7</v>
      </c>
      <c r="W78" s="264">
        <f>IF(AND('Zdroj data'!BP78&gt;Body!$AY$27,'Zdroj data'!BP78&lt;=Body!$BA$27),Body!$AY$22,IF(AND('Zdroj data'!BP78&gt;=Body!$BB$27,'Zdroj data'!BP78&lt;=Body!$BD$27),Body!$BB$22,IF(AND('Zdroj data'!BP78&gt;=Body!$BE$27,'Zdroj data'!BP78&lt;=Body!$BG$27),Body!$BE$22,IF(AND('Zdroj data'!BP78&gt;=Body!$BH$27,'Zdroj data'!BP78&lt;=Body!$BJ$27),Body!$BH$22,IF(AND('Zdroj data'!BP78&gt;=Body!$BK$27,'Zdroj data'!BP78&lt;=Body!$BM$27),Body!$BK$22,IF(AND('Zdroj data'!BP78&gt;=Body!$BN$27,'Zdroj data'!BP78&lt;=Body!$BP$27),Body!$BN$22,IF(AND('Zdroj data'!BP78&gt;=Body!$BQ$27,'Zdroj data'!BP78&lt;=Body!$BS$27),Body!$BQ$22,IF(AND('Zdroj data'!BP78&gt;=Body!$BT$27,'Zdroj data'!BP78&lt;=Body!$BV$27),Body!$BT$22,IF(AND('Zdroj data'!BP78&gt;=Body!$BW$27,'Zdroj data'!BP78&lt;=Body!$BY$27),Body!$BW$22,IF('Zdroj data'!BP78&gt;=Body!$CB$27,$BZ$22," "))))))))))</f>
        <v>7</v>
      </c>
      <c r="X78" s="264">
        <f>IF('Zdroj data'!BA78=Body!$BB$28,$BB$22,IF('Zdroj data'!BA78=Body!$BE$28,$BE$22,IF(OR('Zdroj data'!BA78=Body!$BK$28,'Zdroj data'!BA78=Body!$BL$28,'Zdroj data'!BA78=Body!$BM$28),$BK$22,IF(OR('Zdroj data'!BA78=Body!$BT$28,'Zdroj data'!BA78=Body!$BV$28),$BT$22,IF(OR('Zdroj data'!BA78=Body!$BW$28,'Zdroj data'!BA78=Body!$BY$28),$BW$22,IF('Zdroj data'!BA78=Body!$BZ$28,$BZ$22," "))))))</f>
        <v>9</v>
      </c>
      <c r="Y78" s="264">
        <f>IF('Zdroj data'!AZ78=Body!$BZ$29,Body!$BZ$22,IF(OR('Zdroj data'!AZ78=$BT$29,'Zdroj data'!AZ78=$BU$29,'Zdroj data'!AZ78=$BV$29),$BT$22,IF(OR('Zdroj data'!AZ78=$BK$29,'Zdroj data'!AZ78=$BM$29),$BK$22,IF(OR('Zdroj data'!AZ78=$BE$29,'Zdroj data'!AZ78=$BG$29),$BE$22,IF(OR('Zdroj data'!AZ78=$AY$29,'Zdroj data'!AZ78=$BA$29),$AY$22," ")))))</f>
        <v>10</v>
      </c>
      <c r="Z78" s="264">
        <f>IF(AND('Zdroj data'!BF78="T",(OR('Zdroj data'!AZ78=Body!$AW$45,'Zdroj data'!AZ78=Body!$AW$46,'Zdroj data'!AZ78=Body!$AW$47,'Zdroj data'!AZ78=Body!$AW$48))),Body!$AY$22,IF(AND('Zdroj data'!BF78="T",(OR('Zdroj data'!AZ78=$AW$49,'Zdroj data'!AZ78=$AW$50,'Zdroj data'!AZ78=$AW$51,'Zdroj data'!AZ78=$AW$52))),$BZ$22,IF(AND(OR('Zdroj data'!BF78="VT",'Zdroj data'!BF78="T",'Zdroj data'!BF78="CH"),(OR('Zdroj data'!AZ78=$AW$43,'Zdroj data'!AZ78=$AW$44,))),$BZ$22,IF(AND('Zdroj data'!BF78="CH",(OR('Zdroj data'!AZ78=$AW$49,'Zdroj data'!AZ78=$AW$50,'Zdroj data'!AZ78=$AW$51,'Zdroj data'!AZ78=$AW$52))),$AY$22,IF(AND('Zdroj data'!BF78="CH",(OR('Zdroj data'!AZ78=$AW$45,'Zdroj data'!AZ78=$AW$46,'Zdroj data'!AZ78=$AW$47,'Zdroj data'!AZ78=$AW$48))),$BZ$22," ")))))</f>
        <v>10</v>
      </c>
      <c r="AA78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78" s="264">
        <f>IF(Tabulka1[[#This Row],[kv.ek.]]=Body!$BK$35,Body!$BK$34,IF(Tabulka1[[#This Row],[kv.ek.]]=Body!$BZ$35,Body!$BZ$34," "))</f>
        <v>5</v>
      </c>
      <c r="AC78" s="264" t="str">
        <f>IF(AND('Zdroj data'!BF78="T",(OR('Zdroj data'!AZ78=Body!$AW$45,'Zdroj data'!AZ78=Body!$AW$46,'Zdroj data'!AZ78=Body!$AW$47,'Zdroj data'!AZ78=Body!$AW$48))),Body!$AY$22,IF(AND('Zdroj data'!BF78="T",(OR('Zdroj data'!AZ78=$AW$49,'Zdroj data'!AZ78=$AW$50,'Zdroj data'!AZ78=$AW$51,'Zdroj data'!AZ78=$AW$52))),$BZ$22," "))</f>
        <v xml:space="preserve"> </v>
      </c>
      <c r="AD78" s="264">
        <f>IF(AND(OR('Zdroj data'!BF78="VT",'Zdroj data'!BF78="T",'Zdroj data'!BF78="CH"),(OR('Zdroj data'!AZ78=$AW$43,'Zdroj data'!AZ78=$AW$44,))),$BZ$22," ")</f>
        <v>10</v>
      </c>
      <c r="AE78" s="264" t="str">
        <f>IF(AND('Zdroj data'!BF78="CH",(OR('Zdroj data'!AZ78=$AW$49,'Zdroj data'!AZ78=$AW$50,'Zdroj data'!AZ78=$AW$51,'Zdroj data'!AZ78=$AW$52))),$AY$22,IF(AND('Zdroj data'!BF78="CH",(OR('Zdroj data'!AZ78=$AW$45,'Zdroj data'!AZ78=$AW$46,'Zdroj data'!AZ78=$AW$47,'Zdroj data'!AZ78=$AW$48))),$BZ$22," "))</f>
        <v xml:space="preserve"> </v>
      </c>
      <c r="AF78" s="264">
        <f>IF(AND('Zdroj data'!BG78="L",'Zdroj data'!AM78=Body!$AX$15),IF(AND('Zdroj data'!O78&gt;=Body!$AY$15,'Zdroj data'!O78&lt;=Body!$BA$15),Body!AY$6,IF(AND('Zdroj data'!O78&gt;=Body!$BB$15,'Zdroj data'!O78&lt;=Body!$BD$15),Body!BB$6,IF(AND('Zdroj data'!O78&gt;=Body!$BE$15,'Zdroj data'!O78&lt;=Body!$BG$15),Body!BE$6,IF(AND('Zdroj data'!O78&gt;=Body!$BH$15,'Zdroj data'!O78&lt;=Body!$BJ$15),Body!BH$6,IF(AND('Zdroj data'!O78&gt;=Body!$BK$15,'Zdroj data'!O78&lt;=Body!$BM$15),Body!BK$6,IF(AND('Zdroj data'!O78&gt;=Body!$BN$15,'Zdroj data'!O78&lt;=Body!$BP$15),Body!$BN$6,IF(AND('Zdroj data'!O78&gt;=Body!$BQ$15,'Zdroj data'!O78&lt;=Body!$BS$15),Body!$BQ$6,IF(AND('Zdroj data'!O78&gt;=Body!$BT$15,'Zdroj data'!O78&lt;=Body!$BV$15),Body!BT$6,IF(AND('Zdroj data'!O78&gt;=Body!$BW$15,'Zdroj data'!O78&lt;=Body!$BY$15),Body!$BW$6,IF('Zdroj data'!O78&gt;=Body!$CB$15,Body!$BZ$6," ")))))))))),IF(AND('Zdroj data'!BG78="ST",'Zdroj data'!AM78=Body!$AX$16),IF(AND('Zdroj data'!O78&gt;=Body!$AY$16,'Zdroj data'!O78&lt;=Body!$BA$16),Body!$AY$6,IF(AND('Zdroj data'!O78&gt;=Body!$BB$16,'Zdroj data'!O78&lt;=Body!$BD$16),Body!$BB$6,IF(AND('Zdroj data'!O78&gt;=Body!$BE$16,'Zdroj data'!O78&lt;=Body!$BG$16),Body!$BE$6,IF(AND('Zdroj data'!O78&gt;=Body!$BH$16,'Zdroj data'!O78&lt;=Body!$BJ$16),Body!$BH$6,IF(AND('Zdroj data'!O78&gt;=Body!$BK$16,'Zdroj data'!O78&lt;=Body!$BM$16),Body!$BK$6,IF(AND('Zdroj data'!O78&gt;=Body!$BN$16,'Zdroj data'!O78&lt;=Body!$BP$16),Body!$BN$6,IF(AND('Zdroj data'!O78&gt;=Body!$BQ$16,'Zdroj data'!O78&lt;=Body!$BS$16),Body!$BQ$6,IF(AND('Zdroj data'!O78&gt;=Body!$BT$16,'Zdroj data'!O78&lt;=Body!$BV$16),Body!$BT$6,IF(AND('Zdroj data'!O78&gt;=Body!$BW$16,'Zdroj data'!O78&lt;=Body!$BY$16),Body!$BW$6,IF('Zdroj data'!O78&gt;=Body!$CB$16,Body!$BZ$6," ")))))))))),IF(AND('Zdroj data'!BG78="T",'Zdroj data'!AM78=Body!$AX$17),IF(AND('Zdroj data'!O78&gt;=Body!$AY$17,'Zdroj data'!O78&lt;=Body!$BA$17),Body!$AY$6,IF(AND('Zdroj data'!O78&gt;=Body!$BB$17,'Zdroj data'!O78&lt;=Body!$BD$17),Body!$BB$6,IF(AND('Zdroj data'!O78&gt;=Body!$BE$17,'Zdroj data'!O78&lt;=Body!$BG$17),Body!$BE$6,IF(AND('Zdroj data'!O78&gt;=Body!$BH$17,'Zdroj data'!O78&lt;=Body!#REF!),Body!$BH$6,IF(AND('Zdroj data'!O78&gt;=Body!$BK$17,'Zdroj data'!O78&lt;=Body!$BM$17),Body!$BK$6,IF(AND('Zdroj data'!O78&gt;=Body!$BN$17,'Zdroj data'!O78&lt;=Body!$BP$17),Body!$BN$6,IF(AND('Zdroj data'!O78&gt;=Body!$BQ$17,'Zdroj data'!O78&lt;=Body!$BS$17),Body!$BQ$6,IF(AND('Zdroj data'!O78&gt;=Body!$BT$17,'Zdroj data'!O78&lt;=Body!$BV$17),Body!$BT$6,IF(AND('Zdroj data'!O78&gt;=Body!$BW$17,'Zdroj data'!O78&lt;=Body!$BY$17),Body!$BW$6,IF('Zdroj data'!O78&gt;=Body!$CB$17,Body!$BZ$6," "))))))))))," ")))</f>
        <v>1</v>
      </c>
      <c r="AG78" s="264">
        <f>IF(AND('Zdroj data'!$BG78="L",'Zdroj data'!$AM78=Body!$AX$15),IF(AND(Tabulka1[[#This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data'!$BG78="ST",'Zdroj data'!$AM78=Body!$AX$16),IF(AND(Tabulka1[[#This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data'!$BG78="T",'Zdroj data'!$AM78=Body!$AX$17),IF(AND(Tabulka1[[#This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78" s="264" t="str">
        <f>IF(AND('Zdroj data'!BG78="L",'Zdroj data'!AM78=Body!$AX$18),IF(AND('Zdroj data'!O78&gt;=Body!$AY$18,'Zdroj data'!O78&lt;=Body!$BA$18),Body!AY$6,IF(AND('Zdroj data'!O78&gt;=Body!$BB$18,'Zdroj data'!O78&lt;=Body!$BD$18),Body!BB$6,IF(AND('Zdroj data'!O78&gt;=Body!$BE$18,'Zdroj data'!O78&lt;=Body!$BG$18),Body!BE$6,IF(AND('Zdroj data'!O78&gt;=Body!$BH$18,'Zdroj data'!O78&lt;=Body!$BJ$18),Body!BH$6,IF(AND('Zdroj data'!O78&gt;=Body!$BK$18,'Zdroj data'!O78&lt;=Body!$BM$18),Body!$BK$6,IF(AND('Zdroj data'!O78&gt;=Body!$BN$18,'Zdroj data'!O78&lt;=Body!$BP$18),Body!BN$6,IF(AND('Zdroj data'!O78&gt;=Body!$BQ$18,'Zdroj data'!O78&lt;=Body!$BS$18),Body!$BQ$6,IF(AND('Zdroj data'!O78&gt;=Body!$BT$18,'Zdroj data'!O78&lt;=Body!$BV$18),Body!$BT$6,IF(AND('Zdroj data'!O78&gt;=Body!$BW$18,'Zdroj data'!O78&lt;=Body!$BY$18),Body!$BW$6,IF('Zdroj data'!O78&gt;=Body!$CB$18,Body!$BZ$6," ")))))))))),IF(AND('Zdroj data'!BG78="ST",'Zdroj data'!AM78=Body!$AX$19),IF(AND('Zdroj data'!O78&gt;=Body!$AY$19,'Zdroj data'!O78&lt;=Body!$BA$19),Body!$AY$6,IF(AND('Zdroj data'!O78&gt;=Body!$BB$19,'Zdroj data'!O78&lt;=Body!$BD$19),Body!$BB$6,IF(AND('Zdroj data'!O78&gt;=Body!$BE$19,'Zdroj data'!O78&lt;=Body!$BG$19),Body!$BE$6,IF(AND('Zdroj data'!O78&gt;=Body!$BH$19,'Zdroj data'!O78&lt;=Body!$BJ$19),Body!$BH$6,IF(AND('Zdroj data'!O78&gt;=Body!$BK$19,'Zdroj data'!O78&lt;=Body!$BM$19),Body!$BK$6,IF(AND('Zdroj data'!O78&gt;=Body!$BN$19,'Zdroj data'!O78&lt;=Body!$BP$19),Body!$BN$6,IF(AND('Zdroj data'!O78&gt;=Body!$BQ$19,'Zdroj data'!O78&lt;=Body!$BS$19),Body!$BQ$6,IF(AND('Zdroj data'!O78&gt;=Body!$BT$19,'Zdroj data'!O81&lt;=Body!$BV$19),Body!$BT$6,IF(AND('Zdroj data'!O78&gt;=Body!$BW$19,'Zdroj data'!O78&lt;=Body!$BY$19),Body!$BW$6,IF('Zdroj data'!O78&gt;=Body!$CB$19,Body!$BZ$6," ")))))))))),IF(AND('Zdroj data'!BG78="T",'Zdroj data'!AM78=Body!$AX$20),IF(AND('Zdroj data'!O78&gt;=Body!$AY$20,'Zdroj data'!O78&lt;=Body!$BA$20),Body!$AY$6,IF(AND('Zdroj data'!O78&gt;=Body!$BB$20,'Zdroj data'!O78&lt;=Body!$BD$20),Body!$BB$6,IF(AND('Zdroj data'!O78&gt;=Body!$BE$20,'Zdroj data'!O78&lt;=Body!$BG$20),Body!$BE$6,IF(AND('Zdroj data'!O78&gt;=Body!$BH$20,'Zdroj data'!O78&lt;=Body!$BJ$20),Body!$BH$6,IF(AND('Zdroj data'!O78&gt;=Body!$BK$20,'Zdroj data'!O78&lt;=Body!$BM$20),Body!$BK$6,IF(AND('Zdroj data'!O78&gt;=Body!$BN$20,'Zdroj data'!O78&lt;=Body!$BP$20),Body!$BN$6,IF(AND('Zdroj data'!O78&gt;=Body!$BQ$20,'Zdroj data'!O78&lt;=Body!$BS$20),Body!$BQ$6,IF(AND('Zdroj data'!O78&gt;=Body!$BT$20,'Zdroj data'!O78&lt;=Body!#REF!),Body!$BT$6,IF(AND('Zdroj data'!O78&gt;=Body!$BW$20,'Zdroj data'!O78&lt;=Body!$BY$20),Body!$BW$6,IF('Zdroj data'!O78&gt;=Body!$CB$20,Body!$BZ$6," "))))))))))," ")))</f>
        <v xml:space="preserve"> </v>
      </c>
      <c r="AI78" s="264" t="str">
        <f>IF(AND('Zdroj data'!$BG78="L",'Zdroj data'!$AM78=Body!$AX$18),IF(AND(Tabulka1[[#This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data'!$BG78="ST",'Zdroj data'!$AM78=Body!$AX$19),IF(AND(Tabulka1[[#This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data'!$BG78="T",'Zdroj data'!$AM78=Body!$AX$20),IF(AND(Tabulka1[[#This Row],[K2O_60]]&gt;=Body!$AY$20,'Zdroj data'!O78&lt;=Body!$BA$20),Body!$AY$6,IF(AND(Tabulka1[[#This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78" s="265">
        <f t="shared" si="13"/>
        <v>8.0000000000000071</v>
      </c>
      <c r="AK78" s="264">
        <f t="shared" si="14"/>
        <v>22.230752243419634</v>
      </c>
      <c r="AL78" s="264">
        <f t="shared" si="15"/>
        <v>21.228020794594826</v>
      </c>
      <c r="AM78" s="264">
        <f t="shared" si="16"/>
        <v>75.416558095030766</v>
      </c>
      <c r="AN78" s="264">
        <f t="shared" si="17"/>
        <v>75.416558095030766</v>
      </c>
      <c r="AO78" s="265">
        <f t="shared" si="21"/>
        <v>97.647310338450396</v>
      </c>
      <c r="AP78" s="265">
        <f t="shared" si="18"/>
        <v>96.644578889625592</v>
      </c>
      <c r="AQ78" s="318"/>
      <c r="AR78" s="338">
        <f t="shared" si="19"/>
        <v>202.291889228076</v>
      </c>
      <c r="AS78" s="318"/>
      <c r="AT78" s="138"/>
      <c r="AU78" s="138"/>
    </row>
    <row r="79" spans="1:47" ht="15.5" x14ac:dyDescent="0.35">
      <c r="A79" s="270">
        <v>4058</v>
      </c>
      <c r="B79" s="156" t="s">
        <v>26</v>
      </c>
      <c r="C79" s="250" t="str">
        <f>VLOOKUP(B79,'Zdroj hloubka okresy'!$A$2:$D$171,2,FALSE)</f>
        <v>Kutna Hora</v>
      </c>
      <c r="D79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2</v>
      </c>
      <c r="E79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2</v>
      </c>
      <c r="F79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2</v>
      </c>
      <c r="G79" s="264">
        <f>IF(AND(Tabulka1[[#This Row],[hum_60]]&gt;AY85,Tabulka1[[#This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79" s="264">
        <f>IF(Tabulka1[[#This Row],[kv.ek.]]=Body!$AX$13,IF(AND('Zdroj data'!M79&gt;=Body!$AY$13,'Zdroj data'!M79&lt;=Body!$BA$13),Body!$AY$6,IF(AND('Zdroj data'!M79&gt;=Body!$BB$13,'Zdroj data'!M79&lt;=Body!$BD$13),Body!$BB$6,IF(AND('Zdroj data'!M79&gt;=Body!$BE$13,'Zdroj data'!M79&lt;=Body!$BG$13),Body!$BE$6,IF(AND('Zdroj data'!M79&gt;=Body!$BH$13,'Zdroj data'!M79&lt;=Body!$BJ$13),Body!$BH$6,IF(AND('Zdroj data'!M79&gt;=Body!$BK$13,'Zdroj data'!M79&lt;=Body!$BM$13),Body!$BK$6,IF(AND('Zdroj data'!M79&gt;=Body!$BN$13,'Zdroj data'!M79&lt;=Body!$BP$13),Body!$BN$6,IF(AND('Zdroj data'!M79&gt;=Body!$BQ$13,'Zdroj data'!M79&lt;=Body!$BS$13),Body!$BQ$6,IF(AND('Zdroj data'!M79&gt;=Body!$BT$13,'Zdroj data'!M79&lt;=Body!$BV$13),Body!$BT$6,IF(AND('Zdroj data'!M79&gt;=Body!$BW$13,'Zdroj data'!M79&lt;=Body!$BY$13),Body!$BW$6,IF('Zdroj data'!M79&gt;=Body!$CB$13,Body!$BZ$6," ")))))))))),IF(Tabulka1[[#This Row],[kv.ek.]]=Body!$AX$14,IF(AND('Zdroj data'!N79&gt;=Body!$AY$14,'Zdroj data'!N79&lt;=Body!$BA$14),Body!$AY$6,IF(AND('Zdroj data'!N79&gt;=Body!$BB$14,'Zdroj data'!N79&lt;=Body!$BD$14),Body!$BB$6,IF(AND('Zdroj data'!N79&gt;=Body!$BE$14,'Zdroj data'!N79&lt;=Body!$BG$14),Body!$BE$6,IF(AND('Zdroj data'!N79&gt;=Body!$BH$14,'Zdroj data'!N79&lt;=Body!$BJ$14),Body!$BH$6,IF(AND('Zdroj data'!N79&gt;=Body!$BK$14,'Zdroj data'!N79&lt;=Body!$BM$14),Body!$BK$6,IF(AND('Zdroj data'!N79&gt;=Body!$BN$14,'Zdroj data'!N79&lt;=Body!$BP$14),Body!$BN$6,IF(AND('Zdroj data'!N79&gt;=Body!$BQ$14,'Zdroj data'!N79&lt;=Body!$BS$14),Body!$BQ$6,IF(AND('Zdroj data'!N79&gt;=Body!$BT$14,'Zdroj data'!N79&lt;=Body!$BV$14),Body!$BT$6,IF(AND('Zdroj data'!N79&gt;=Body!$BW$14,'Zdroj data'!N79&lt;=Body!$BY$14),Body!$BW$6,IF('Zdroj data'!N79&gt;=Body!$CB$14,Body!$BZ$6," "))))))))))," "))</f>
        <v>1</v>
      </c>
      <c r="I79" s="264">
        <f>IF(Tabulka1[[#This Row],[kv.ek.]]=Body!$AX$13,IF(AND('Zdroj data'!N79&gt;=Body!$AY$13,'Zdroj data'!N79&lt;=Body!$BA$13),Body!$AY$6,IF(AND('Zdroj data'!N79&gt;=Body!$BB$13,'Zdroj data'!N79&lt;=Body!$BD$13),Body!$BB$6,IF(AND('Zdroj data'!N79&gt;=Body!$BE$13,'Zdroj data'!N79&lt;=Body!$BG$13),Body!$BE$6,IF(AND('Zdroj data'!N79&gt;=Body!$BH$13,'Zdroj data'!N79&lt;=Body!$BJ$13),Body!$BH$6,IF(AND('Zdroj data'!N79&gt;=Body!$BK$13,'Zdroj data'!N79&lt;=Body!$BM$13),Body!$BK$6,IF(AND('Zdroj data'!N79&gt;=Body!$BN$13,'Zdroj data'!N79&lt;=Body!$BP$13),Body!$BN$6,IF(AND('Zdroj data'!N79&gt;=Body!$BQ$13,'Zdroj data'!N79&lt;=Body!$BS$13),Body!$BQ$6,IF(AND('Zdroj data'!N79&gt;=Body!$BT$13,'Zdroj data'!N79&lt;=Body!$BV$13),Body!$BT$6,IF(AND('Zdroj data'!N79&gt;=Body!$BW$13,'Zdroj data'!N79&lt;=Body!$BY$13),Body!$BW$6,IF('Zdroj data'!N79&gt;=Body!$CB$13,Body!$BZ$6," ")))))))))),IF(Tabulka1[[#This Row],[kv.ek.]]=Body!$AX$14,IF(AND('Zdroj data'!O79&gt;=Body!$AY$14,'Zdroj data'!O79&lt;=Body!$BA$14),Body!$AY$6,IF(AND('Zdroj data'!O79&gt;=Body!$BB$14,'Zdroj data'!O79&lt;=Body!$BD$14),Body!$BB$6,IF(AND('Zdroj data'!O79&gt;=Body!$BE$14,'Zdroj data'!O79&lt;=Body!$BG$14),Body!$BE$6,IF(AND('Zdroj data'!O79&gt;=Body!$BH$14,'Zdroj data'!O79&lt;=Body!$BJ$14),Body!$BH$6,IF(AND('Zdroj data'!O79&gt;=Body!$BK$14,'Zdroj data'!O79&lt;=Body!$BM$14),Body!$BK$6,IF(AND('Zdroj data'!O79&gt;=Body!$BN$14,'Zdroj data'!O79&lt;=Body!$BP$14),Body!$BN$6,IF(AND('Zdroj data'!O79&gt;=Body!$BQ$14,'Zdroj data'!O79&lt;=Body!$BS$14),Body!$BQ$6,IF(AND('Zdroj data'!O79&gt;=Body!$BT$14,'Zdroj data'!O79&lt;=Body!$BV$14),Body!$BT$6,IF(AND('Zdroj data'!O79&gt;=Body!$BW$14,'Zdroj data'!O79&lt;=Body!$BY$14),Body!$BW$6,IF('Zdroj data'!O79&gt;=Body!$CB$14,Body!$BZ$6," "))))))))))," "))</f>
        <v>2</v>
      </c>
      <c r="J79" s="264">
        <f t="shared" si="22"/>
        <v>1</v>
      </c>
      <c r="K79" s="264">
        <f t="shared" si="22"/>
        <v>1</v>
      </c>
      <c r="L79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2</v>
      </c>
      <c r="M79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1</v>
      </c>
      <c r="N79" s="264" t="str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 xml:space="preserve"> </v>
      </c>
      <c r="O79" s="264" t="str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 xml:space="preserve"> </v>
      </c>
      <c r="P79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79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79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79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79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6</v>
      </c>
      <c r="U79" s="264">
        <f>IF('Zdroj data'!BB79=Body!$AY$25,Body!$AY$22,IF('Zdroj data'!BB79=Body!$BB$25,Body!$BB$22,IF('Zdroj data'!BB79=Body!$BE$25,Body!$BE$22,IF('Zdroj data'!BB79=Body!$BH$25,Body!$BH$22,IF('Zdroj data'!BB79=Body!BK$25,Body!$BK$22,IF('Zdroj data'!BB79=Body!$BN$25,Body!$BN$22,IF('Zdroj data'!BB79=Body!$BQ$25,Body!$BQ$22,IF('Zdroj data'!BB79=Body!$BT$25,Body!$BT$22,IF('Zdroj data'!BB79=Body!$BW$25,Body!$BW$22,IF('Zdroj data'!BB79=Body!$BZ$25,Body!$BZ$22," "))))))))))</f>
        <v>3</v>
      </c>
      <c r="V79" s="264">
        <f>IF(AND('Zdroj data'!BO79&gt;Body!$AY$27,'Zdroj data'!BO79&lt;=Body!$BA$27),Body!$AY$22,IF(AND('Zdroj data'!BO79&gt;=Body!$BB$27,'Zdroj data'!BO79&lt;=Body!$BD$27),Body!$BB$22,IF(AND('Zdroj data'!BO79&gt;=Body!$BE$27,'Zdroj data'!BO79&lt;=Body!$BG$27),Body!$BE$22,IF(AND('Zdroj data'!BO79&gt;=Body!$BH$27,'Zdroj data'!BO79&lt;=Body!$BJ$27),Body!$BH$22,IF(AND('Zdroj data'!BO79&gt;=Body!$BK$27,'Zdroj data'!BO79&lt;=Body!$BM$27),Body!$BK$22,IF(AND('Zdroj data'!BO79&gt;=Body!$BN$27,'Zdroj data'!BO79&lt;=Body!$BP$27),Body!$BN$22,IF(AND('Zdroj data'!BO79&gt;=Body!$BQ$27,'Zdroj data'!BO79&lt;=Body!$BS$27),Body!$BQ$22,IF(AND('Zdroj data'!BO79&gt;=Body!$BT$27,'Zdroj data'!BO79&lt;=Body!$BV$27),Body!$BT$22,IF(AND('Zdroj data'!BO79&gt;=Body!$BW$27,'Zdroj data'!BO79&lt;=Body!$BY$27),Body!$BW$22,IF('Zdroj data'!BO79&gt;=Body!$CB$27,$BZ$22," "))))))))))</f>
        <v>4</v>
      </c>
      <c r="W79" s="264">
        <f>IF(AND('Zdroj data'!BP79&gt;Body!$AY$27,'Zdroj data'!BP79&lt;=Body!$BA$27),Body!$AY$22,IF(AND('Zdroj data'!BP79&gt;=Body!$BB$27,'Zdroj data'!BP79&lt;=Body!$BD$27),Body!$BB$22,IF(AND('Zdroj data'!BP79&gt;=Body!$BE$27,'Zdroj data'!BP79&lt;=Body!$BG$27),Body!$BE$22,IF(AND('Zdroj data'!BP79&gt;=Body!$BH$27,'Zdroj data'!BP79&lt;=Body!$BJ$27),Body!$BH$22,IF(AND('Zdroj data'!BP79&gt;=Body!$BK$27,'Zdroj data'!BP79&lt;=Body!$BM$27),Body!$BK$22,IF(AND('Zdroj data'!BP79&gt;=Body!$BN$27,'Zdroj data'!BP79&lt;=Body!$BP$27),Body!$BN$22,IF(AND('Zdroj data'!BP79&gt;=Body!$BQ$27,'Zdroj data'!BP79&lt;=Body!$BS$27),Body!$BQ$22,IF(AND('Zdroj data'!BP79&gt;=Body!$BT$27,'Zdroj data'!BP79&lt;=Body!$BV$27),Body!$BT$22,IF(AND('Zdroj data'!BP79&gt;=Body!$BW$27,'Zdroj data'!BP79&lt;=Body!$BY$27),Body!$BW$22,IF('Zdroj data'!BP79&gt;=Body!$CB$27,$BZ$22," "))))))))))</f>
        <v>7</v>
      </c>
      <c r="X79" s="264">
        <f>IF('Zdroj data'!BA79=Body!$BB$28,$BB$22,IF('Zdroj data'!BA79=Body!$BE$28,$BE$22,IF(OR('Zdroj data'!BA79=Body!$BK$28,'Zdroj data'!BA79=Body!$BL$28,'Zdroj data'!BA79=Body!$BM$28),$BK$22,IF(OR('Zdroj data'!BA79=Body!$BT$28,'Zdroj data'!BA79=Body!$BV$28),$BT$22,IF(OR('Zdroj data'!BA79=Body!$BW$28,'Zdroj data'!BA79=Body!$BY$28),$BW$22,IF('Zdroj data'!BA79=Body!$BZ$28,$BZ$22," "))))))</f>
        <v>5</v>
      </c>
      <c r="Y79" s="264">
        <f>IF('Zdroj data'!AZ79=Body!$BZ$29,Body!$BZ$22,IF(OR('Zdroj data'!AZ79=$BT$29,'Zdroj data'!AZ79=$BU$29,'Zdroj data'!AZ79=$BV$29),$BT$22,IF(OR('Zdroj data'!AZ79=$BK$29,'Zdroj data'!AZ79=$BM$29),$BK$22,IF(OR('Zdroj data'!AZ79=$BE$29,'Zdroj data'!AZ79=$BG$29),$BE$22,IF(OR('Zdroj data'!AZ79=$AY$29,'Zdroj data'!AZ79=$BA$29),$AY$22," ")))))</f>
        <v>8</v>
      </c>
      <c r="Z79" s="264">
        <f>IF(AND('Zdroj data'!BF79="T",(OR('Zdroj data'!AZ79=Body!$AW$45,'Zdroj data'!AZ79=Body!$AW$46,'Zdroj data'!AZ79=Body!$AW$47,'Zdroj data'!AZ79=Body!$AW$48))),Body!$AY$22,IF(AND('Zdroj data'!BF79="T",(OR('Zdroj data'!AZ79=$AW$49,'Zdroj data'!AZ79=$AW$50,'Zdroj data'!AZ79=$AW$51,'Zdroj data'!AZ79=$AW$52))),$BZ$22,IF(AND(OR('Zdroj data'!BF79="VT",'Zdroj data'!BF79="T",'Zdroj data'!BF79="CH"),(OR('Zdroj data'!AZ79=$AW$43,'Zdroj data'!AZ79=$AW$44,))),$BZ$22,IF(AND('Zdroj data'!BF79="CH",(OR('Zdroj data'!AZ79=$AW$49,'Zdroj data'!AZ79=$AW$50,'Zdroj data'!AZ79=$AW$51,'Zdroj data'!AZ79=$AW$52))),$AY$22,IF(AND('Zdroj data'!BF79="CH",(OR('Zdroj data'!AZ79=$AW$45,'Zdroj data'!AZ79=$AW$46,'Zdroj data'!AZ79=$AW$47,'Zdroj data'!AZ79=$AW$48))),$BZ$22," ")))))</f>
        <v>10</v>
      </c>
      <c r="AA79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79" s="264">
        <f>IF(Tabulka1[[#This Row],[kv.ek.]]=Body!$BK$35,Body!$BK$34,IF(Tabulka1[[#This Row],[kv.ek.]]=Body!$BZ$35,Body!$BZ$34," "))</f>
        <v>10</v>
      </c>
      <c r="AC79" s="264" t="str">
        <f>IF(AND('Zdroj data'!BF79="T",(OR('Zdroj data'!AZ79=Body!$AW$45,'Zdroj data'!AZ79=Body!$AW$46,'Zdroj data'!AZ79=Body!$AW$47,'Zdroj data'!AZ79=Body!$AW$48))),Body!$AY$22,IF(AND('Zdroj data'!BF79="T",(OR('Zdroj data'!AZ79=$AW$49,'Zdroj data'!AZ79=$AW$50,'Zdroj data'!AZ79=$AW$51,'Zdroj data'!AZ79=$AW$52))),$BZ$22," "))</f>
        <v xml:space="preserve"> </v>
      </c>
      <c r="AD79" s="264">
        <f>IF(AND(OR('Zdroj data'!BF79="VT",'Zdroj data'!BF79="T",'Zdroj data'!BF79="CH"),(OR('Zdroj data'!AZ79=$AW$43,'Zdroj data'!AZ79=$AW$44,))),$BZ$22," ")</f>
        <v>10</v>
      </c>
      <c r="AE79" s="264" t="str">
        <f>IF(AND('Zdroj data'!BF79="CH",(OR('Zdroj data'!AZ79=$AW$49,'Zdroj data'!AZ79=$AW$50,'Zdroj data'!AZ79=$AW$51,'Zdroj data'!AZ79=$AW$52))),$AY$22,IF(AND('Zdroj data'!BF79="CH",(OR('Zdroj data'!AZ79=$AW$45,'Zdroj data'!AZ79=$AW$46,'Zdroj data'!AZ79=$AW$47,'Zdroj data'!AZ79=$AW$48))),$BZ$22," "))</f>
        <v xml:space="preserve"> </v>
      </c>
      <c r="AF79" s="264" t="str">
        <f>IF(AND('Zdroj data'!BG79="L",'Zdroj data'!AM79=Body!$AX$15),IF(AND('Zdroj data'!O79&gt;=Body!$AY$15,'Zdroj data'!O79&lt;=Body!$BA$15),Body!AY$6,IF(AND('Zdroj data'!O79&gt;=Body!$BB$15,'Zdroj data'!O79&lt;=Body!$BD$15),Body!BB$6,IF(AND('Zdroj data'!O79&gt;=Body!$BE$15,'Zdroj data'!O79&lt;=Body!$BG$15),Body!BE$6,IF(AND('Zdroj data'!O79&gt;=Body!$BH$15,'Zdroj data'!O79&lt;=Body!$BJ$15),Body!BH$6,IF(AND('Zdroj data'!O79&gt;=Body!$BK$15,'Zdroj data'!O79&lt;=Body!$BM$15),Body!BK$6,IF(AND('Zdroj data'!O79&gt;=Body!$BN$15,'Zdroj data'!O79&lt;=Body!$BP$15),Body!$BN$6,IF(AND('Zdroj data'!O79&gt;=Body!$BQ$15,'Zdroj data'!O79&lt;=Body!$BS$15),Body!$BQ$6,IF(AND('Zdroj data'!O79&gt;=Body!$BT$15,'Zdroj data'!O79&lt;=Body!$BV$15),Body!BT$6,IF(AND('Zdroj data'!O79&gt;=Body!$BW$15,'Zdroj data'!O79&lt;=Body!$BY$15),Body!$BW$6,IF('Zdroj data'!O79&gt;=Body!$CB$15,Body!$BZ$6," ")))))))))),IF(AND('Zdroj data'!BG79="ST",'Zdroj data'!AM79=Body!$AX$16),IF(AND('Zdroj data'!O79&gt;=Body!$AY$16,'Zdroj data'!O79&lt;=Body!$BA$16),Body!$AY$6,IF(AND('Zdroj data'!O79&gt;=Body!$BB$16,'Zdroj data'!O79&lt;=Body!$BD$16),Body!$BB$6,IF(AND('Zdroj data'!O79&gt;=Body!$BE$16,'Zdroj data'!O79&lt;=Body!$BG$16),Body!$BE$6,IF(AND('Zdroj data'!O79&gt;=Body!$BH$16,'Zdroj data'!O79&lt;=Body!$BJ$16),Body!$BH$6,IF(AND('Zdroj data'!O79&gt;=Body!$BK$16,'Zdroj data'!O79&lt;=Body!$BM$16),Body!$BK$6,IF(AND('Zdroj data'!O79&gt;=Body!$BN$16,'Zdroj data'!O79&lt;=Body!$BP$16),Body!$BN$6,IF(AND('Zdroj data'!O79&gt;=Body!$BQ$16,'Zdroj data'!O79&lt;=Body!$BS$16),Body!$BQ$6,IF(AND('Zdroj data'!O79&gt;=Body!$BT$16,'Zdroj data'!O79&lt;=Body!$BV$16),Body!$BT$6,IF(AND('Zdroj data'!O79&gt;=Body!$BW$16,'Zdroj data'!O79&lt;=Body!$BY$16),Body!$BW$6,IF('Zdroj data'!O79&gt;=Body!$CB$16,Body!$BZ$6," ")))))))))),IF(AND('Zdroj data'!BG79="T",'Zdroj data'!AM79=Body!$AX$17),IF(AND('Zdroj data'!O79&gt;=Body!$AY$17,'Zdroj data'!O79&lt;=Body!$BA$17),Body!$AY$6,IF(AND('Zdroj data'!O79&gt;=Body!$BB$17,'Zdroj data'!O79&lt;=Body!$BD$17),Body!$BB$6,IF(AND('Zdroj data'!O79&gt;=Body!$BE$17,'Zdroj data'!O79&lt;=Body!$BG$17),Body!$BE$6,IF(AND('Zdroj data'!O79&gt;=Body!$BH$17,'Zdroj data'!O79&lt;=Body!#REF!),Body!$BH$6,IF(AND('Zdroj data'!O79&gt;=Body!$BK$17,'Zdroj data'!O79&lt;=Body!$BM$17),Body!$BK$6,IF(AND('Zdroj data'!O79&gt;=Body!$BN$17,'Zdroj data'!O79&lt;=Body!$BP$17),Body!$BN$6,IF(AND('Zdroj data'!O79&gt;=Body!$BQ$17,'Zdroj data'!O79&lt;=Body!$BS$17),Body!$BQ$6,IF(AND('Zdroj data'!O79&gt;=Body!$BT$17,'Zdroj data'!O79&lt;=Body!$BV$17),Body!$BT$6,IF(AND('Zdroj data'!O79&gt;=Body!$BW$17,'Zdroj data'!O79&lt;=Body!$BY$17),Body!$BW$6,IF('Zdroj data'!O79&gt;=Body!$CB$17,Body!$BZ$6," "))))))))))," ")))</f>
        <v xml:space="preserve"> </v>
      </c>
      <c r="AG79" s="264" t="str">
        <f>IF(AND('Zdroj data'!$BG79="L",'Zdroj data'!$AM79=Body!$AX$15),IF(AND(Tabulka1[[#This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data'!$BG79="ST",'Zdroj data'!$AM79=Body!$AX$16),IF(AND(Tabulka1[[#This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data'!$BG79="T",'Zdroj data'!$AM79=Body!$AX$17),IF(AND(Tabulka1[[#This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79" s="264">
        <f>IF(AND('Zdroj data'!BG79="L",'Zdroj data'!AM79=Body!$AX$18),IF(AND('Zdroj data'!O79&gt;=Body!$AY$18,'Zdroj data'!O79&lt;=Body!$BA$18),Body!AY$6,IF(AND('Zdroj data'!O79&gt;=Body!$BB$18,'Zdroj data'!O79&lt;=Body!$BD$18),Body!BB$6,IF(AND('Zdroj data'!O79&gt;=Body!$BE$18,'Zdroj data'!O79&lt;=Body!$BG$18),Body!BE$6,IF(AND('Zdroj data'!O79&gt;=Body!$BH$18,'Zdroj data'!O79&lt;=Body!$BJ$18),Body!BH$6,IF(AND('Zdroj data'!O79&gt;=Body!$BK$18,'Zdroj data'!O79&lt;=Body!$BM$18),Body!$BK$6,IF(AND('Zdroj data'!O79&gt;=Body!$BN$18,'Zdroj data'!O79&lt;=Body!$BP$18),Body!BN$6,IF(AND('Zdroj data'!O79&gt;=Body!$BQ$18,'Zdroj data'!O79&lt;=Body!$BS$18),Body!$BQ$6,IF(AND('Zdroj data'!O79&gt;=Body!$BT$18,'Zdroj data'!O79&lt;=Body!$BV$18),Body!$BT$6,IF(AND('Zdroj data'!O79&gt;=Body!$BW$18,'Zdroj data'!O79&lt;=Body!$BY$18),Body!$BW$6,IF('Zdroj data'!O79&gt;=Body!$CB$18,Body!$BZ$6," ")))))))))),IF(AND('Zdroj data'!BG79="ST",'Zdroj data'!AM79=Body!$AX$19),IF(AND('Zdroj data'!O79&gt;=Body!$AY$19,'Zdroj data'!O79&lt;=Body!$BA$19),Body!$AY$6,IF(AND('Zdroj data'!O79&gt;=Body!$BB$19,'Zdroj data'!O79&lt;=Body!$BD$19),Body!$BB$6,IF(AND('Zdroj data'!O79&gt;=Body!$BE$19,'Zdroj data'!O79&lt;=Body!$BG$19),Body!$BE$6,IF(AND('Zdroj data'!O79&gt;=Body!$BH$19,'Zdroj data'!O79&lt;=Body!$BJ$19),Body!$BH$6,IF(AND('Zdroj data'!O79&gt;=Body!$BK$19,'Zdroj data'!O79&lt;=Body!$BM$19),Body!$BK$6,IF(AND('Zdroj data'!O79&gt;=Body!$BN$19,'Zdroj data'!O79&lt;=Body!$BP$19),Body!$BN$6,IF(AND('Zdroj data'!O79&gt;=Body!$BQ$19,'Zdroj data'!O79&lt;=Body!$BS$19),Body!$BQ$6,IF(AND('Zdroj data'!O79&gt;=Body!$BT$19,'Zdroj data'!#REF!&lt;=Body!$BV$19),Body!$BT$6,IF(AND('Zdroj data'!O79&gt;=Body!$BW$19,'Zdroj data'!O79&lt;=Body!$BY$19),Body!$BW$6,IF('Zdroj data'!O79&gt;=Body!$CB$19,Body!$BZ$6," ")))))))))),IF(AND('Zdroj data'!BG79="T",'Zdroj data'!AM79=Body!$AX$20),IF(AND('Zdroj data'!O79&gt;=Body!$AY$20,'Zdroj data'!O79&lt;=Body!$BA$20),Body!$AY$6,IF(AND('Zdroj data'!O79&gt;=Body!$BB$20,'Zdroj data'!O79&lt;=Body!$BD$20),Body!$BB$6,IF(AND('Zdroj data'!O79&gt;=Body!$BE$20,'Zdroj data'!O79&lt;=Body!$BG$20),Body!$BE$6,IF(AND('Zdroj data'!O79&gt;=Body!$BH$20,'Zdroj data'!O79&lt;=Body!$BJ$20),Body!$BH$6,IF(AND('Zdroj data'!O79&gt;=Body!$BK$20,'Zdroj data'!O79&lt;=Body!$BM$20),Body!$BK$6,IF(AND('Zdroj data'!O79&gt;=Body!$BN$20,'Zdroj data'!O79&lt;=Body!$BP$20),Body!$BN$6,IF(AND('Zdroj data'!O79&gt;=Body!$BQ$20,'Zdroj data'!O79&lt;=Body!$BS$20),Body!$BQ$6,IF(AND('Zdroj data'!O79&gt;=Body!$BT$20,'Zdroj data'!O79&lt;=Body!#REF!),Body!$BT$6,IF(AND('Zdroj data'!O79&gt;=Body!$BW$20,'Zdroj data'!O79&lt;=Body!$BY$20),Body!$BW$6,IF('Zdroj data'!O79&gt;=Body!$CB$20,Body!$BZ$6," "))))))))))," ")))</f>
        <v>1</v>
      </c>
      <c r="AI79" s="264">
        <f>IF(AND('Zdroj data'!$BG79="L",'Zdroj data'!$AM79=Body!$AX$18),IF(AND(Tabulka1[[#This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data'!$BG79="ST",'Zdroj data'!$AM79=Body!$AX$19),IF(AND(Tabulka1[[#This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data'!$BG79="T",'Zdroj data'!$AM79=Body!$AX$20),IF(AND(Tabulka1[[#This Row],[K2O_60]]&gt;=Body!$AY$20,'Zdroj data'!O79&lt;=Body!$BA$20),Body!$AY$6,IF(AND(Tabulka1[[#This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1</v>
      </c>
      <c r="AJ79" s="265">
        <f t="shared" si="13"/>
        <v>9.3333333333333428</v>
      </c>
      <c r="AK79" s="410"/>
      <c r="AL79" s="410"/>
      <c r="AM79" s="264">
        <f t="shared" si="16"/>
        <v>51.004089041641222</v>
      </c>
      <c r="AN79" s="264">
        <f t="shared" si="17"/>
        <v>51.724244706171191</v>
      </c>
      <c r="AO79" s="265" t="s">
        <v>867</v>
      </c>
      <c r="AP79" s="265" t="s">
        <v>867</v>
      </c>
      <c r="AQ79" s="318"/>
      <c r="AR79" s="338" t="e">
        <f t="shared" si="19"/>
        <v>#VALUE!</v>
      </c>
      <c r="AS79" s="318"/>
      <c r="AT79" s="138"/>
      <c r="AU79" s="138"/>
    </row>
    <row r="80" spans="1:47" ht="15.5" x14ac:dyDescent="0.35">
      <c r="A80" s="270">
        <v>4064</v>
      </c>
      <c r="B80" s="156" t="s">
        <v>104</v>
      </c>
      <c r="C80" s="250" t="str">
        <f>VLOOKUP(B80,'Zdroj hloubka okresy'!$A$2:$D$171,2,FALSE)</f>
        <v>Kutna Hora</v>
      </c>
      <c r="D80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80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80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80" s="264">
        <f>IF(AND(Tabulka1[[#This Row],[hum_60]]&gt;AY86,Tabulka1[[#This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80" s="264">
        <f>IF(Tabulka1[[#This Row],[kv.ek.]]=Body!$AX$13,IF(AND('Zdroj data'!M80&gt;=Body!$AY$13,'Zdroj data'!M80&lt;=Body!$BA$13),Body!$AY$6,IF(AND('Zdroj data'!M80&gt;=Body!$BB$13,'Zdroj data'!M80&lt;=Body!$BD$13),Body!$BB$6,IF(AND('Zdroj data'!M80&gt;=Body!$BE$13,'Zdroj data'!M80&lt;=Body!$BG$13),Body!$BE$6,IF(AND('Zdroj data'!M80&gt;=Body!$BH$13,'Zdroj data'!M80&lt;=Body!$BJ$13),Body!$BH$6,IF(AND('Zdroj data'!M80&gt;=Body!$BK$13,'Zdroj data'!M80&lt;=Body!$BM$13),Body!$BK$6,IF(AND('Zdroj data'!M80&gt;=Body!$BN$13,'Zdroj data'!M80&lt;=Body!$BP$13),Body!$BN$6,IF(AND('Zdroj data'!M80&gt;=Body!$BQ$13,'Zdroj data'!M80&lt;=Body!$BS$13),Body!$BQ$6,IF(AND('Zdroj data'!M80&gt;=Body!$BT$13,'Zdroj data'!M80&lt;=Body!$BV$13),Body!$BT$6,IF(AND('Zdroj data'!M80&gt;=Body!$BW$13,'Zdroj data'!M80&lt;=Body!$BY$13),Body!$BW$6,IF('Zdroj data'!M80&gt;=Body!$CB$13,Body!$BZ$6," ")))))))))),IF(Tabulka1[[#This Row],[kv.ek.]]=Body!$AX$14,IF(AND('Zdroj data'!N80&gt;=Body!$AY$14,'Zdroj data'!N80&lt;=Body!$BA$14),Body!$AY$6,IF(AND('Zdroj data'!N80&gt;=Body!$BB$14,'Zdroj data'!N80&lt;=Body!$BD$14),Body!$BB$6,IF(AND('Zdroj data'!N80&gt;=Body!$BE$14,'Zdroj data'!N80&lt;=Body!$BG$14),Body!$BE$6,IF(AND('Zdroj data'!N80&gt;=Body!$BH$14,'Zdroj data'!N80&lt;=Body!$BJ$14),Body!$BH$6,IF(AND('Zdroj data'!N80&gt;=Body!$BK$14,'Zdroj data'!N80&lt;=Body!$BM$14),Body!$BK$6,IF(AND('Zdroj data'!N80&gt;=Body!$BN$14,'Zdroj data'!N80&lt;=Body!$BP$14),Body!$BN$6,IF(AND('Zdroj data'!N80&gt;=Body!$BQ$14,'Zdroj data'!N80&lt;=Body!$BS$14),Body!$BQ$6,IF(AND('Zdroj data'!N80&gt;=Body!$BT$14,'Zdroj data'!N80&lt;=Body!$BV$14),Body!$BT$6,IF(AND('Zdroj data'!N80&gt;=Body!$BW$14,'Zdroj data'!N80&lt;=Body!$BY$14),Body!$BW$6,IF('Zdroj data'!N80&gt;=Body!$CB$14,Body!$BZ$6," "))))))))))," "))</f>
        <v>1</v>
      </c>
      <c r="I80" s="264">
        <f>IF(Tabulka1[[#This Row],[kv.ek.]]=Body!$AX$13,IF(AND('Zdroj data'!N80&gt;=Body!$AY$13,'Zdroj data'!N80&lt;=Body!$BA$13),Body!$AY$6,IF(AND('Zdroj data'!N80&gt;=Body!$BB$13,'Zdroj data'!N80&lt;=Body!$BD$13),Body!$BB$6,IF(AND('Zdroj data'!N80&gt;=Body!$BE$13,'Zdroj data'!N80&lt;=Body!$BG$13),Body!$BE$6,IF(AND('Zdroj data'!N80&gt;=Body!$BH$13,'Zdroj data'!N80&lt;=Body!$BJ$13),Body!$BH$6,IF(AND('Zdroj data'!N80&gt;=Body!$BK$13,'Zdroj data'!N80&lt;=Body!$BM$13),Body!$BK$6,IF(AND('Zdroj data'!N80&gt;=Body!$BN$13,'Zdroj data'!N80&lt;=Body!$BP$13),Body!$BN$6,IF(AND('Zdroj data'!N80&gt;=Body!$BQ$13,'Zdroj data'!N80&lt;=Body!$BS$13),Body!$BQ$6,IF(AND('Zdroj data'!N80&gt;=Body!$BT$13,'Zdroj data'!N80&lt;=Body!$BV$13),Body!$BT$6,IF(AND('Zdroj data'!N80&gt;=Body!$BW$13,'Zdroj data'!N80&lt;=Body!$BY$13),Body!$BW$6,IF('Zdroj data'!N80&gt;=Body!$CB$13,Body!$BZ$6," ")))))))))),IF(Tabulka1[[#This Row],[kv.ek.]]=Body!$AX$14,IF(AND('Zdroj data'!O80&gt;=Body!$AY$14,'Zdroj data'!O80&lt;=Body!$BA$14),Body!$AY$6,IF(AND('Zdroj data'!O80&gt;=Body!$BB$14,'Zdroj data'!O80&lt;=Body!$BD$14),Body!$BB$6,IF(AND('Zdroj data'!O80&gt;=Body!$BE$14,'Zdroj data'!O80&lt;=Body!$BG$14),Body!$BE$6,IF(AND('Zdroj data'!O80&gt;=Body!$BH$14,'Zdroj data'!O80&lt;=Body!$BJ$14),Body!$BH$6,IF(AND('Zdroj data'!O80&gt;=Body!$BK$14,'Zdroj data'!O80&lt;=Body!$BM$14),Body!$BK$6,IF(AND('Zdroj data'!O80&gt;=Body!$BN$14,'Zdroj data'!O80&lt;=Body!$BP$14),Body!$BN$6,IF(AND('Zdroj data'!O80&gt;=Body!$BQ$14,'Zdroj data'!O80&lt;=Body!$BS$14),Body!$BQ$6,IF(AND('Zdroj data'!O80&gt;=Body!$BT$14,'Zdroj data'!O80&lt;=Body!$BV$14),Body!$BT$6,IF(AND('Zdroj data'!O80&gt;=Body!$BW$14,'Zdroj data'!O80&lt;=Body!$BY$14),Body!$BW$6,IF('Zdroj data'!O80&gt;=Body!$CB$14,Body!$BZ$6," "))))))))))," "))</f>
        <v>1</v>
      </c>
      <c r="J80" s="264">
        <f t="shared" si="22"/>
        <v>5</v>
      </c>
      <c r="K80" s="264">
        <f t="shared" si="22"/>
        <v>3</v>
      </c>
      <c r="L80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80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80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80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6</v>
      </c>
      <c r="P80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80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80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80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9</v>
      </c>
      <c r="T80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80" s="264">
        <f>IF('Zdroj data'!BB80=Body!$AY$25,Body!$AY$22,IF('Zdroj data'!BB80=Body!$BB$25,Body!$BB$22,IF('Zdroj data'!BB80=Body!$BE$25,Body!$BE$22,IF('Zdroj data'!BB80=Body!$BH$25,Body!$BH$22,IF('Zdroj data'!BB80=Body!BK$25,Body!$BK$22,IF('Zdroj data'!BB80=Body!$BN$25,Body!$BN$22,IF('Zdroj data'!BB80=Body!$BQ$25,Body!$BQ$22,IF('Zdroj data'!BB80=Body!$BT$25,Body!$BT$22,IF('Zdroj data'!BB80=Body!$BW$25,Body!$BW$22,IF('Zdroj data'!BB80=Body!$BZ$25,Body!$BZ$22," "))))))))))</f>
        <v>3</v>
      </c>
      <c r="V80" s="264">
        <f>IF(AND('Zdroj data'!BO80&gt;Body!$AY$27,'Zdroj data'!BO80&lt;=Body!$BA$27),Body!$AY$22,IF(AND('Zdroj data'!BO80&gt;=Body!$BB$27,'Zdroj data'!BO80&lt;=Body!$BD$27),Body!$BB$22,IF(AND('Zdroj data'!BO80&gt;=Body!$BE$27,'Zdroj data'!BO80&lt;=Body!$BG$27),Body!$BE$22,IF(AND('Zdroj data'!BO80&gt;=Body!$BH$27,'Zdroj data'!BO80&lt;=Body!$BJ$27),Body!$BH$22,IF(AND('Zdroj data'!BO80&gt;=Body!$BK$27,'Zdroj data'!BO80&lt;=Body!$BM$27),Body!$BK$22,IF(AND('Zdroj data'!BO80&gt;=Body!$BN$27,'Zdroj data'!BO80&lt;=Body!$BP$27),Body!$BN$22,IF(AND('Zdroj data'!BO80&gt;=Body!$BQ$27,'Zdroj data'!BO80&lt;=Body!$BS$27),Body!$BQ$22,IF(AND('Zdroj data'!BO80&gt;=Body!$BT$27,'Zdroj data'!BO80&lt;=Body!$BV$27),Body!$BT$22,IF(AND('Zdroj data'!BO80&gt;=Body!$BW$27,'Zdroj data'!BO80&lt;=Body!$BY$27),Body!$BW$22,IF('Zdroj data'!BO80&gt;=Body!$CB$27,$BZ$22," "))))))))))</f>
        <v>6</v>
      </c>
      <c r="W80" s="264">
        <f>IF(AND('Zdroj data'!BP80&gt;Body!$AY$27,'Zdroj data'!BP80&lt;=Body!$BA$27),Body!$AY$22,IF(AND('Zdroj data'!BP80&gt;=Body!$BB$27,'Zdroj data'!BP80&lt;=Body!$BD$27),Body!$BB$22,IF(AND('Zdroj data'!BP80&gt;=Body!$BE$27,'Zdroj data'!BP80&lt;=Body!$BG$27),Body!$BE$22,IF(AND('Zdroj data'!BP80&gt;=Body!$BH$27,'Zdroj data'!BP80&lt;=Body!$BJ$27),Body!$BH$22,IF(AND('Zdroj data'!BP80&gt;=Body!$BK$27,'Zdroj data'!BP80&lt;=Body!$BM$27),Body!$BK$22,IF(AND('Zdroj data'!BP80&gt;=Body!$BN$27,'Zdroj data'!BP80&lt;=Body!$BP$27),Body!$BN$22,IF(AND('Zdroj data'!BP80&gt;=Body!$BQ$27,'Zdroj data'!BP80&lt;=Body!$BS$27),Body!$BQ$22,IF(AND('Zdroj data'!BP80&gt;=Body!$BT$27,'Zdroj data'!BP80&lt;=Body!$BV$27),Body!$BT$22,IF(AND('Zdroj data'!BP80&gt;=Body!$BW$27,'Zdroj data'!BP80&lt;=Body!$BY$27),Body!$BW$22,IF('Zdroj data'!BP80&gt;=Body!$CB$27,$BZ$22," "))))))))))</f>
        <v>5</v>
      </c>
      <c r="X80" s="264">
        <f>IF('Zdroj data'!BA80=Body!$BB$28,$BB$22,IF('Zdroj data'!BA80=Body!$BE$28,$BE$22,IF(OR('Zdroj data'!BA80=Body!$BK$28,'Zdroj data'!BA80=Body!$BL$28,'Zdroj data'!BA80=Body!$BM$28),$BK$22,IF(OR('Zdroj data'!BA80=Body!$BT$28,'Zdroj data'!BA80=Body!$BV$28),$BT$22,IF(OR('Zdroj data'!BA80=Body!$BW$28,'Zdroj data'!BA80=Body!$BY$28),$BW$22,IF('Zdroj data'!BA80=Body!$BZ$28,$BZ$22," "))))))</f>
        <v>10</v>
      </c>
      <c r="Y80" s="264">
        <f>IF('Zdroj data'!AZ80=Body!$BZ$29,Body!$BZ$22,IF(OR('Zdroj data'!AZ80=$BT$29,'Zdroj data'!AZ80=$BU$29,'Zdroj data'!AZ80=$BV$29),$BT$22,IF(OR('Zdroj data'!AZ80=$BK$29,'Zdroj data'!AZ80=$BM$29),$BK$22,IF(OR('Zdroj data'!AZ80=$BE$29,'Zdroj data'!AZ80=$BG$29),$BE$22,IF(OR('Zdroj data'!AZ80=$AY$29,'Zdroj data'!AZ80=$BA$29),$AY$22," ")))))</f>
        <v>10</v>
      </c>
      <c r="Z80" s="264">
        <f>IF(AND('Zdroj data'!BF80="T",(OR('Zdroj data'!AZ80=Body!$AW$45,'Zdroj data'!AZ80=Body!$AW$46,'Zdroj data'!AZ80=Body!$AW$47,'Zdroj data'!AZ80=Body!$AW$48))),Body!$AY$22,IF(AND('Zdroj data'!BF80="T",(OR('Zdroj data'!AZ80=$AW$49,'Zdroj data'!AZ80=$AW$50,'Zdroj data'!AZ80=$AW$51,'Zdroj data'!AZ80=$AW$52))),$BZ$22,IF(AND(OR('Zdroj data'!BF80="VT",'Zdroj data'!BF80="T",'Zdroj data'!BF80="CH"),(OR('Zdroj data'!AZ80=$AW$43,'Zdroj data'!AZ80=$AW$44,))),$BZ$22,IF(AND('Zdroj data'!BF80="CH",(OR('Zdroj data'!AZ80=$AW$49,'Zdroj data'!AZ80=$AW$50,'Zdroj data'!AZ80=$AW$51,'Zdroj data'!AZ80=$AW$52))),$AY$22,IF(AND('Zdroj data'!BF80="CH",(OR('Zdroj data'!AZ80=$AW$45,'Zdroj data'!AZ80=$AW$46,'Zdroj data'!AZ80=$AW$47,'Zdroj data'!AZ80=$AW$48))),$BZ$22," ")))))</f>
        <v>10</v>
      </c>
      <c r="AA80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80" s="264">
        <f>IF(Tabulka1[[#This Row],[kv.ek.]]=Body!$BK$35,Body!$BK$34,IF(Tabulka1[[#This Row],[kv.ek.]]=Body!$BZ$35,Body!$BZ$34," "))</f>
        <v>5</v>
      </c>
      <c r="AC80" s="264" t="str">
        <f>IF(AND('Zdroj data'!BF80="T",(OR('Zdroj data'!AZ80=Body!$AW$45,'Zdroj data'!AZ80=Body!$AW$46,'Zdroj data'!AZ80=Body!$AW$47,'Zdroj data'!AZ80=Body!$AW$48))),Body!$AY$22,IF(AND('Zdroj data'!BF80="T",(OR('Zdroj data'!AZ80=$AW$49,'Zdroj data'!AZ80=$AW$50,'Zdroj data'!AZ80=$AW$51,'Zdroj data'!AZ80=$AW$52))),$BZ$22," "))</f>
        <v xml:space="preserve"> </v>
      </c>
      <c r="AD80" s="264">
        <f>IF(AND(OR('Zdroj data'!BF80="VT",'Zdroj data'!BF80="T",'Zdroj data'!BF80="CH"),(OR('Zdroj data'!AZ80=$AW$43,'Zdroj data'!AZ80=$AW$44,))),$BZ$22," ")</f>
        <v>10</v>
      </c>
      <c r="AE80" s="264" t="str">
        <f>IF(AND('Zdroj data'!BF80="CH",(OR('Zdroj data'!AZ80=$AW$49,'Zdroj data'!AZ80=$AW$50,'Zdroj data'!AZ80=$AW$51,'Zdroj data'!AZ80=$AW$52))),$AY$22,IF(AND('Zdroj data'!BF80="CH",(OR('Zdroj data'!AZ80=$AW$45,'Zdroj data'!AZ80=$AW$46,'Zdroj data'!AZ80=$AW$47,'Zdroj data'!AZ80=$AW$48))),$BZ$22," "))</f>
        <v xml:space="preserve"> </v>
      </c>
      <c r="AF80" s="264">
        <f>IF(AND('Zdroj data'!BG80="L",'Zdroj data'!AM80=Body!$AX$15),IF(AND('Zdroj data'!O80&gt;=Body!$AY$15,'Zdroj data'!O80&lt;=Body!$BA$15),Body!AY$6,IF(AND('Zdroj data'!O80&gt;=Body!$BB$15,'Zdroj data'!O80&lt;=Body!$BD$15),Body!BB$6,IF(AND('Zdroj data'!O80&gt;=Body!$BE$15,'Zdroj data'!O80&lt;=Body!$BG$15),Body!BE$6,IF(AND('Zdroj data'!O80&gt;=Body!$BH$15,'Zdroj data'!O80&lt;=Body!$BJ$15),Body!BH$6,IF(AND('Zdroj data'!O80&gt;=Body!$BK$15,'Zdroj data'!O80&lt;=Body!$BM$15),Body!BK$6,IF(AND('Zdroj data'!O80&gt;=Body!$BN$15,'Zdroj data'!O80&lt;=Body!$BP$15),Body!$BN$6,IF(AND('Zdroj data'!O80&gt;=Body!$BQ$15,'Zdroj data'!O80&lt;=Body!$BS$15),Body!$BQ$6,IF(AND('Zdroj data'!O80&gt;=Body!$BT$15,'Zdroj data'!O80&lt;=Body!$BV$15),Body!BT$6,IF(AND('Zdroj data'!O80&gt;=Body!$BW$15,'Zdroj data'!O80&lt;=Body!$BY$15),Body!$BW$6,IF('Zdroj data'!O80&gt;=Body!$CB$15,Body!$BZ$6," ")))))))))),IF(AND('Zdroj data'!BG80="ST",'Zdroj data'!AM80=Body!$AX$16),IF(AND('Zdroj data'!O80&gt;=Body!$AY$16,'Zdroj data'!O80&lt;=Body!$BA$16),Body!$AY$6,IF(AND('Zdroj data'!O80&gt;=Body!$BB$16,'Zdroj data'!O80&lt;=Body!$BD$16),Body!$BB$6,IF(AND('Zdroj data'!O80&gt;=Body!$BE$16,'Zdroj data'!O80&lt;=Body!$BG$16),Body!$BE$6,IF(AND('Zdroj data'!O80&gt;=Body!$BH$16,'Zdroj data'!O80&lt;=Body!$BJ$16),Body!$BH$6,IF(AND('Zdroj data'!O80&gt;=Body!$BK$16,'Zdroj data'!O80&lt;=Body!$BM$16),Body!$BK$6,IF(AND('Zdroj data'!O80&gt;=Body!$BN$16,'Zdroj data'!O80&lt;=Body!$BP$16),Body!$BN$6,IF(AND('Zdroj data'!O80&gt;=Body!$BQ$16,'Zdroj data'!O80&lt;=Body!$BS$16),Body!$BQ$6,IF(AND('Zdroj data'!O80&gt;=Body!$BT$16,'Zdroj data'!O80&lt;=Body!$BV$16),Body!$BT$6,IF(AND('Zdroj data'!O80&gt;=Body!$BW$16,'Zdroj data'!O80&lt;=Body!$BY$16),Body!$BW$6,IF('Zdroj data'!O80&gt;=Body!$CB$16,Body!$BZ$6," ")))))))))),IF(AND('Zdroj data'!BG80="T",'Zdroj data'!AM80=Body!$AX$17),IF(AND('Zdroj data'!O80&gt;=Body!$AY$17,'Zdroj data'!O80&lt;=Body!$BA$17),Body!$AY$6,IF(AND('Zdroj data'!O80&gt;=Body!$BB$17,'Zdroj data'!O80&lt;=Body!$BD$17),Body!$BB$6,IF(AND('Zdroj data'!O80&gt;=Body!$BE$17,'Zdroj data'!O80&lt;=Body!$BG$17),Body!$BE$6,IF(AND('Zdroj data'!O80&gt;=Body!$BH$17,'Zdroj data'!O80&lt;=Body!#REF!),Body!$BH$6,IF(AND('Zdroj data'!O80&gt;=Body!$BK$17,'Zdroj data'!O80&lt;=Body!$BM$17),Body!$BK$6,IF(AND('Zdroj data'!O80&gt;=Body!$BN$17,'Zdroj data'!O80&lt;=Body!$BP$17),Body!$BN$6,IF(AND('Zdroj data'!O80&gt;=Body!$BQ$17,'Zdroj data'!O80&lt;=Body!$BS$17),Body!$BQ$6,IF(AND('Zdroj data'!O80&gt;=Body!$BT$17,'Zdroj data'!O80&lt;=Body!$BV$17),Body!$BT$6,IF(AND('Zdroj data'!O80&gt;=Body!$BW$17,'Zdroj data'!O80&lt;=Body!$BY$17),Body!$BW$6,IF('Zdroj data'!O80&gt;=Body!$CB$17,Body!$BZ$6," "))))))))))," ")))</f>
        <v>5</v>
      </c>
      <c r="AG80" s="264">
        <f>IF(AND('Zdroj data'!$BG80="L",'Zdroj data'!$AM80=Body!$AX$15),IF(AND(Tabulka1[[#This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data'!$BG80="ST",'Zdroj data'!$AM80=Body!$AX$16),IF(AND(Tabulka1[[#This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data'!$BG80="T",'Zdroj data'!$AM80=Body!$AX$17),IF(AND(Tabulka1[[#This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3</v>
      </c>
      <c r="AH80" s="264" t="str">
        <f>IF(AND('Zdroj data'!BG80="L",'Zdroj data'!AM80=Body!$AX$18),IF(AND('Zdroj data'!O80&gt;=Body!$AY$18,'Zdroj data'!O80&lt;=Body!$BA$18),Body!AY$6,IF(AND('Zdroj data'!O80&gt;=Body!$BB$18,'Zdroj data'!O80&lt;=Body!$BD$18),Body!BB$6,IF(AND('Zdroj data'!O80&gt;=Body!$BE$18,'Zdroj data'!O80&lt;=Body!$BG$18),Body!BE$6,IF(AND('Zdroj data'!O80&gt;=Body!$BH$18,'Zdroj data'!O80&lt;=Body!$BJ$18),Body!BH$6,IF(AND('Zdroj data'!O80&gt;=Body!$BK$18,'Zdroj data'!O80&lt;=Body!$BM$18),Body!$BK$6,IF(AND('Zdroj data'!O80&gt;=Body!$BN$18,'Zdroj data'!O80&lt;=Body!$BP$18),Body!BN$6,IF(AND('Zdroj data'!O80&gt;=Body!$BQ$18,'Zdroj data'!O80&lt;=Body!$BS$18),Body!$BQ$6,IF(AND('Zdroj data'!O80&gt;=Body!$BT$18,'Zdroj data'!O80&lt;=Body!$BV$18),Body!$BT$6,IF(AND('Zdroj data'!O80&gt;=Body!$BW$18,'Zdroj data'!O80&lt;=Body!$BY$18),Body!$BW$6,IF('Zdroj data'!O80&gt;=Body!$CB$18,Body!$BZ$6," ")))))))))),IF(AND('Zdroj data'!BG80="ST",'Zdroj data'!AM80=Body!$AX$19),IF(AND('Zdroj data'!O80&gt;=Body!$AY$19,'Zdroj data'!O80&lt;=Body!$BA$19),Body!$AY$6,IF(AND('Zdroj data'!O80&gt;=Body!$BB$19,'Zdroj data'!O80&lt;=Body!$BD$19),Body!$BB$6,IF(AND('Zdroj data'!O80&gt;=Body!$BE$19,'Zdroj data'!O80&lt;=Body!$BG$19),Body!$BE$6,IF(AND('Zdroj data'!O80&gt;=Body!$BH$19,'Zdroj data'!O80&lt;=Body!$BJ$19),Body!$BH$6,IF(AND('Zdroj data'!O80&gt;=Body!$BK$19,'Zdroj data'!O80&lt;=Body!$BM$19),Body!$BK$6,IF(AND('Zdroj data'!O80&gt;=Body!$BN$19,'Zdroj data'!O80&lt;=Body!$BP$19),Body!$BN$6,IF(AND('Zdroj data'!O80&gt;=Body!$BQ$19,'Zdroj data'!O80&lt;=Body!$BS$19),Body!$BQ$6,IF(AND('Zdroj data'!O80&gt;=Body!$BT$19,'Zdroj data'!#REF!&lt;=Body!$BV$19),Body!$BT$6,IF(AND('Zdroj data'!O80&gt;=Body!$BW$19,'Zdroj data'!O80&lt;=Body!$BY$19),Body!$BW$6,IF('Zdroj data'!O80&gt;=Body!$CB$19,Body!$BZ$6," ")))))))))),IF(AND('Zdroj data'!BG80="T",'Zdroj data'!AM80=Body!$AX$20),IF(AND('Zdroj data'!O80&gt;=Body!$AY$20,'Zdroj data'!O80&lt;=Body!$BA$20),Body!$AY$6,IF(AND('Zdroj data'!O80&gt;=Body!$BB$20,'Zdroj data'!O80&lt;=Body!$BD$20),Body!$BB$6,IF(AND('Zdroj data'!O80&gt;=Body!$BE$20,'Zdroj data'!O80&lt;=Body!$BG$20),Body!$BE$6,IF(AND('Zdroj data'!O80&gt;=Body!$BH$20,'Zdroj data'!O80&lt;=Body!$BJ$20),Body!$BH$6,IF(AND('Zdroj data'!O80&gt;=Body!$BK$20,'Zdroj data'!O80&lt;=Body!$BM$20),Body!$BK$6,IF(AND('Zdroj data'!O80&gt;=Body!$BN$20,'Zdroj data'!O80&lt;=Body!$BP$20),Body!$BN$6,IF(AND('Zdroj data'!O80&gt;=Body!$BQ$20,'Zdroj data'!O80&lt;=Body!$BS$20),Body!$BQ$6,IF(AND('Zdroj data'!O80&gt;=Body!$BT$20,'Zdroj data'!O80&lt;=Body!#REF!),Body!$BT$6,IF(AND('Zdroj data'!O80&gt;=Body!$BW$20,'Zdroj data'!O80&lt;=Body!$BY$20),Body!$BW$6,IF('Zdroj data'!O80&gt;=Body!$CB$20,Body!$BZ$6," "))))))))))," ")))</f>
        <v xml:space="preserve"> </v>
      </c>
      <c r="AI80" s="264" t="str">
        <f>IF(AND('Zdroj data'!$BG80="L",'Zdroj data'!$AM80=Body!$AX$18),IF(AND(Tabulka1[[#This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data'!$BG80="ST",'Zdroj data'!$AM80=Body!$AX$19),IF(AND(Tabulka1[[#This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data'!$BG80="T",'Zdroj data'!$AM80=Body!$AX$20),IF(AND(Tabulka1[[#This Row],[K2O_60]]&gt;=Body!$AY$20,'Zdroj data'!O80&lt;=Body!$BA$20),Body!$AY$6,IF(AND(Tabulka1[[#This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80" s="265">
        <f t="shared" si="13"/>
        <v>5.3333333333333375</v>
      </c>
      <c r="AK80" s="264">
        <f t="shared" si="14"/>
        <v>28.513184016166637</v>
      </c>
      <c r="AL80" s="264">
        <f t="shared" si="15"/>
        <v>26.012863558073857</v>
      </c>
      <c r="AM80" s="264">
        <f t="shared" si="16"/>
        <v>66.533155166514078</v>
      </c>
      <c r="AN80" s="264">
        <f t="shared" si="17"/>
        <v>64.988561959312094</v>
      </c>
      <c r="AO80" s="265">
        <f t="shared" si="21"/>
        <v>95.046339182680711</v>
      </c>
      <c r="AP80" s="265">
        <f t="shared" si="18"/>
        <v>91.001425517385954</v>
      </c>
      <c r="AQ80" s="318"/>
      <c r="AR80" s="338">
        <f t="shared" si="19"/>
        <v>191.38109803340001</v>
      </c>
      <c r="AS80" s="318"/>
      <c r="AT80" s="138"/>
      <c r="AU80" s="138"/>
    </row>
    <row r="81" spans="1:48" ht="15.5" x14ac:dyDescent="0.35">
      <c r="A81" s="270">
        <v>4067</v>
      </c>
      <c r="B81" s="156" t="s">
        <v>95</v>
      </c>
      <c r="C81" s="250" t="str">
        <f>VLOOKUP(B81,'Zdroj hloubka okresy'!$A$2:$D$171,2,FALSE)</f>
        <v>Kutna Hora</v>
      </c>
      <c r="D81" s="266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81" s="267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81" s="267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81" s="267">
        <f>IF(AND(Tabulka1[[#This Row],[hum_60]]&gt;AY87,Tabulka1[[#This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81" s="267">
        <f>IF(Tabulka1[[#This Row],[kv.ek.]]=Body!$AX$13,IF(AND('Zdroj data'!M81&gt;=Body!$AY$13,'Zdroj data'!M81&lt;=Body!$BA$13),Body!$AY$6,IF(AND('Zdroj data'!M81&gt;=Body!$BB$13,'Zdroj data'!M81&lt;=Body!$BD$13),Body!$BB$6,IF(AND('Zdroj data'!M81&gt;=Body!$BE$13,'Zdroj data'!M81&lt;=Body!$BG$13),Body!$BE$6,IF(AND('Zdroj data'!M81&gt;=Body!$BH$13,'Zdroj data'!M81&lt;=Body!$BJ$13),Body!$BH$6,IF(AND('Zdroj data'!M81&gt;=Body!$BK$13,'Zdroj data'!M81&lt;=Body!$BM$13),Body!$BK$6,IF(AND('Zdroj data'!M81&gt;=Body!$BN$13,'Zdroj data'!M81&lt;=Body!$BP$13),Body!$BN$6,IF(AND('Zdroj data'!M81&gt;=Body!$BQ$13,'Zdroj data'!M81&lt;=Body!$BS$13),Body!$BQ$6,IF(AND('Zdroj data'!M81&gt;=Body!$BT$13,'Zdroj data'!M81&lt;=Body!$BV$13),Body!$BT$6,IF(AND('Zdroj data'!M81&gt;=Body!$BW$13,'Zdroj data'!M81&lt;=Body!$BY$13),Body!$BW$6,IF('Zdroj data'!M81&gt;=Body!$CB$13,Body!$BZ$6," ")))))))))),IF(Tabulka1[[#This Row],[kv.ek.]]=Body!$AX$14,IF(AND('Zdroj data'!N81&gt;=Body!$AY$14,'Zdroj data'!N81&lt;=Body!$BA$14),Body!$AY$6,IF(AND('Zdroj data'!N81&gt;=Body!$BB$14,'Zdroj data'!N81&lt;=Body!$BD$14),Body!$BB$6,IF(AND('Zdroj data'!N81&gt;=Body!$BE$14,'Zdroj data'!N81&lt;=Body!$BG$14),Body!$BE$6,IF(AND('Zdroj data'!N81&gt;=Body!$BH$14,'Zdroj data'!N81&lt;=Body!$BJ$14),Body!$BH$6,IF(AND('Zdroj data'!N81&gt;=Body!$BK$14,'Zdroj data'!N81&lt;=Body!$BM$14),Body!$BK$6,IF(AND('Zdroj data'!N81&gt;=Body!$BN$14,'Zdroj data'!N81&lt;=Body!$BP$14),Body!$BN$6,IF(AND('Zdroj data'!N81&gt;=Body!$BQ$14,'Zdroj data'!N81&lt;=Body!$BS$14),Body!$BQ$6,IF(AND('Zdroj data'!N81&gt;=Body!$BT$14,'Zdroj data'!N81&lt;=Body!$BV$14),Body!$BT$6,IF(AND('Zdroj data'!N81&gt;=Body!$BW$14,'Zdroj data'!N81&lt;=Body!$BY$14),Body!$BW$6,IF('Zdroj data'!N81&gt;=Body!$CB$14,Body!$BZ$6," "))))))))))," "))</f>
        <v>1</v>
      </c>
      <c r="I81" s="264">
        <f>IF(Tabulka1[[#This Row],[kv.ek.]]=Body!$AX$13,IF(AND('Zdroj data'!N81&gt;=Body!$AY$13,'Zdroj data'!N81&lt;=Body!$BA$13),Body!$AY$6,IF(AND('Zdroj data'!N81&gt;=Body!$BB$13,'Zdroj data'!N81&lt;=Body!$BD$13),Body!$BB$6,IF(AND('Zdroj data'!N81&gt;=Body!$BE$13,'Zdroj data'!N81&lt;=Body!$BG$13),Body!$BE$6,IF(AND('Zdroj data'!N81&gt;=Body!$BH$13,'Zdroj data'!N81&lt;=Body!$BJ$13),Body!$BH$6,IF(AND('Zdroj data'!N81&gt;=Body!$BK$13,'Zdroj data'!N81&lt;=Body!$BM$13),Body!$BK$6,IF(AND('Zdroj data'!N81&gt;=Body!$BN$13,'Zdroj data'!N81&lt;=Body!$BP$13),Body!$BN$6,IF(AND('Zdroj data'!N81&gt;=Body!$BQ$13,'Zdroj data'!N81&lt;=Body!$BS$13),Body!$BQ$6,IF(AND('Zdroj data'!N81&gt;=Body!$BT$13,'Zdroj data'!N81&lt;=Body!$BV$13),Body!$BT$6,IF(AND('Zdroj data'!N81&gt;=Body!$BW$13,'Zdroj data'!N81&lt;=Body!$BY$13),Body!$BW$6,IF('Zdroj data'!N81&gt;=Body!$CB$13,Body!$BZ$6," ")))))))))),IF(Tabulka1[[#This Row],[kv.ek.]]=Body!$AX$14,IF(AND('Zdroj data'!O81&gt;=Body!$AY$14,'Zdroj data'!O81&lt;=Body!$BA$14),Body!$AY$6,IF(AND('Zdroj data'!O81&gt;=Body!$BB$14,'Zdroj data'!O81&lt;=Body!$BD$14),Body!$BB$6,IF(AND('Zdroj data'!O81&gt;=Body!$BE$14,'Zdroj data'!O81&lt;=Body!$BG$14),Body!$BE$6,IF(AND('Zdroj data'!O81&gt;=Body!$BH$14,'Zdroj data'!O81&lt;=Body!$BJ$14),Body!$BH$6,IF(AND('Zdroj data'!O81&gt;=Body!$BK$14,'Zdroj data'!O81&lt;=Body!$BM$14),Body!$BK$6,IF(AND('Zdroj data'!O81&gt;=Body!$BN$14,'Zdroj data'!O81&lt;=Body!$BP$14),Body!$BN$6,IF(AND('Zdroj data'!O81&gt;=Body!$BQ$14,'Zdroj data'!O81&lt;=Body!$BS$14),Body!$BQ$6,IF(AND('Zdroj data'!O81&gt;=Body!$BT$14,'Zdroj data'!O81&lt;=Body!$BV$14),Body!$BT$6,IF(AND('Zdroj data'!O81&gt;=Body!$BW$14,'Zdroj data'!O81&lt;=Body!$BY$14),Body!$BW$6,IF('Zdroj data'!O81&gt;=Body!$CB$14,Body!$BZ$6," "))))))))))," "))</f>
        <v>1</v>
      </c>
      <c r="J81" s="264">
        <f t="shared" si="22"/>
        <v>1</v>
      </c>
      <c r="K81" s="264">
        <f t="shared" si="22"/>
        <v>1</v>
      </c>
      <c r="L81" s="267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81" s="267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81" s="267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5</v>
      </c>
      <c r="O81" s="267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5</v>
      </c>
      <c r="P81" s="267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81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81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81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9</v>
      </c>
      <c r="T81" s="267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81" s="267">
        <f>IF('Zdroj data'!BB81=Body!$AY$25,Body!$AY$22,IF('Zdroj data'!BB81=Body!$BB$25,Body!$BB$22,IF('Zdroj data'!BB81=Body!$BE$25,Body!$BE$22,IF('Zdroj data'!BB81=Body!$BH$25,Body!$BH$22,IF('Zdroj data'!BB81=Body!BK$25,Body!$BK$22,IF('Zdroj data'!BB81=Body!$BN$25,Body!$BN$22,IF('Zdroj data'!BB81=Body!$BQ$25,Body!$BQ$22,IF('Zdroj data'!BB81=Body!$BT$25,Body!$BT$22,IF('Zdroj data'!BB81=Body!$BW$25,Body!$BW$22,IF('Zdroj data'!BB81=Body!$BZ$25,Body!$BZ$22," "))))))))))</f>
        <v>5</v>
      </c>
      <c r="V81" s="264">
        <f>IF(AND('Zdroj data'!BO81&gt;Body!$AY$27,'Zdroj data'!BO81&lt;=Body!$BA$27),Body!$AY$22,IF(AND('Zdroj data'!BO81&gt;=Body!$BB$27,'Zdroj data'!BO81&lt;=Body!$BD$27),Body!$BB$22,IF(AND('Zdroj data'!BO81&gt;=Body!$BE$27,'Zdroj data'!BO81&lt;=Body!$BG$27),Body!$BE$22,IF(AND('Zdroj data'!BO81&gt;=Body!$BH$27,'Zdroj data'!BO81&lt;=Body!$BJ$27),Body!$BH$22,IF(AND('Zdroj data'!BO81&gt;=Body!$BK$27,'Zdroj data'!BO81&lt;=Body!$BM$27),Body!$BK$22,IF(AND('Zdroj data'!BO81&gt;=Body!$BN$27,'Zdroj data'!BO81&lt;=Body!$BP$27),Body!$BN$22,IF(AND('Zdroj data'!BO81&gt;=Body!$BQ$27,'Zdroj data'!BO81&lt;=Body!$BS$27),Body!$BQ$22,IF(AND('Zdroj data'!BO81&gt;=Body!$BT$27,'Zdroj data'!BO81&lt;=Body!$BV$27),Body!$BT$22,IF(AND('Zdroj data'!BO81&gt;=Body!$BW$27,'Zdroj data'!BO81&lt;=Body!$BY$27),Body!$BW$22,IF('Zdroj data'!BO81&gt;=Body!$CB$27,$BZ$22," "))))))))))</f>
        <v>7</v>
      </c>
      <c r="W81" s="264">
        <f>IF(AND('Zdroj data'!BP81&gt;Body!$AY$27,'Zdroj data'!BP81&lt;=Body!$BA$27),Body!$AY$22,IF(AND('Zdroj data'!BP81&gt;=Body!$BB$27,'Zdroj data'!BP81&lt;=Body!$BD$27),Body!$BB$22,IF(AND('Zdroj data'!BP81&gt;=Body!$BE$27,'Zdroj data'!BP81&lt;=Body!$BG$27),Body!$BE$22,IF(AND('Zdroj data'!BP81&gt;=Body!$BH$27,'Zdroj data'!BP81&lt;=Body!$BJ$27),Body!$BH$22,IF(AND('Zdroj data'!BP81&gt;=Body!$BK$27,'Zdroj data'!BP81&lt;=Body!$BM$27),Body!$BK$22,IF(AND('Zdroj data'!BP81&gt;=Body!$BN$27,'Zdroj data'!BP81&lt;=Body!$BP$27),Body!$BN$22,IF(AND('Zdroj data'!BP81&gt;=Body!$BQ$27,'Zdroj data'!BP81&lt;=Body!$BS$27),Body!$BQ$22,IF(AND('Zdroj data'!BP81&gt;=Body!$BT$27,'Zdroj data'!BP81&lt;=Body!$BV$27),Body!$BT$22,IF(AND('Zdroj data'!BP81&gt;=Body!$BW$27,'Zdroj data'!BP81&lt;=Body!$BY$27),Body!$BW$22,IF('Zdroj data'!BP81&gt;=Body!$CB$27,$BZ$22," "))))))))))</f>
        <v>6</v>
      </c>
      <c r="X81" s="267">
        <f>IF('Zdroj data'!BA81=Body!$BB$28,$BB$22,IF('Zdroj data'!BA81=Body!$BE$28,$BE$22,IF(OR('Zdroj data'!BA81=Body!$BK$28,'Zdroj data'!BA81=Body!$BL$28,'Zdroj data'!BA81=Body!$BM$28),$BK$22,IF(OR('Zdroj data'!BA81=Body!$BT$28,'Zdroj data'!BA81=Body!$BV$28),$BT$22,IF(OR('Zdroj data'!BA81=Body!$BW$28,'Zdroj data'!BA81=Body!$BY$28),$BW$22,IF('Zdroj data'!BA81=Body!$BZ$28,$BZ$22," "))))))</f>
        <v>9</v>
      </c>
      <c r="Y81" s="267">
        <f>IF('Zdroj data'!AZ81=Body!$BZ$29,Body!$BZ$22,IF(OR('Zdroj data'!AZ81=$BT$29,'Zdroj data'!AZ81=$BU$29,'Zdroj data'!AZ81=$BV$29),$BT$22,IF(OR('Zdroj data'!AZ81=$BK$29,'Zdroj data'!AZ81=$BM$29),$BK$22,IF(OR('Zdroj data'!AZ81=$BE$29,'Zdroj data'!AZ81=$BG$29),$BE$22,IF(OR('Zdroj data'!AZ81=$AY$29,'Zdroj data'!AZ81=$BA$29),$AY$22," ")))))</f>
        <v>10</v>
      </c>
      <c r="Z81" s="267">
        <f>IF(AND('Zdroj data'!BF81="T",(OR('Zdroj data'!AZ81=Body!$AW$45,'Zdroj data'!AZ81=Body!$AW$46,'Zdroj data'!AZ81=Body!$AW$47,'Zdroj data'!AZ81=Body!$AW$48))),Body!$AY$22,IF(AND('Zdroj data'!BF81="T",(OR('Zdroj data'!AZ81=$AW$49,'Zdroj data'!AZ81=$AW$50,'Zdroj data'!AZ81=$AW$51,'Zdroj data'!AZ81=$AW$52))),$BZ$22,IF(AND(OR('Zdroj data'!BF81="VT",'Zdroj data'!BF81="T",'Zdroj data'!BF81="CH"),(OR('Zdroj data'!AZ81=$AW$43,'Zdroj data'!AZ81=$AW$44,))),$BZ$22,IF(AND('Zdroj data'!BF81="CH",(OR('Zdroj data'!AZ81=$AW$49,'Zdroj data'!AZ81=$AW$50,'Zdroj data'!AZ81=$AW$51,'Zdroj data'!AZ81=$AW$52))),$AY$22,IF(AND('Zdroj data'!BF81="CH",(OR('Zdroj data'!AZ81=$AW$45,'Zdroj data'!AZ81=$AW$46,'Zdroj data'!AZ81=$AW$47,'Zdroj data'!AZ81=$AW$48))),$BZ$22," ")))))</f>
        <v>10</v>
      </c>
      <c r="AA81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81" s="264">
        <f>IF(Tabulka1[[#This Row],[kv.ek.]]=Body!$BK$35,Body!$BK$34,IF(Tabulka1[[#This Row],[kv.ek.]]=Body!$BZ$35,Body!$BZ$34," "))</f>
        <v>5</v>
      </c>
      <c r="AC81" s="267" t="str">
        <f>IF(AND('Zdroj data'!BF81="T",(OR('Zdroj data'!AZ81=Body!$AW$45,'Zdroj data'!AZ81=Body!$AW$46,'Zdroj data'!AZ81=Body!$AW$47,'Zdroj data'!AZ81=Body!$AW$48))),Body!$AY$22,IF(AND('Zdroj data'!BF81="T",(OR('Zdroj data'!AZ81=$AW$49,'Zdroj data'!AZ81=$AW$50,'Zdroj data'!AZ81=$AW$51,'Zdroj data'!AZ81=$AW$52))),$BZ$22," "))</f>
        <v xml:space="preserve"> </v>
      </c>
      <c r="AD81" s="267">
        <f>IF(AND(OR('Zdroj data'!BF81="VT",'Zdroj data'!BF81="T",'Zdroj data'!BF81="CH"),(OR('Zdroj data'!AZ81=$AW$43,'Zdroj data'!AZ81=$AW$44,))),$BZ$22," ")</f>
        <v>10</v>
      </c>
      <c r="AE81" s="267" t="str">
        <f>IF(AND('Zdroj data'!BF81="CH",(OR('Zdroj data'!AZ81=$AW$49,'Zdroj data'!AZ81=$AW$50,'Zdroj data'!AZ81=$AW$51,'Zdroj data'!AZ81=$AW$52))),$AY$22,IF(AND('Zdroj data'!BF81="CH",(OR('Zdroj data'!AZ81=$AW$45,'Zdroj data'!AZ81=$AW$46,'Zdroj data'!AZ81=$AW$47,'Zdroj data'!AZ81=$AW$48))),$BZ$22," "))</f>
        <v xml:space="preserve"> </v>
      </c>
      <c r="AF81" s="267">
        <f>IF(AND('Zdroj data'!BG81="L",'Zdroj data'!AM81=Body!$AX$15),IF(AND('Zdroj data'!O81&gt;=Body!$AY$15,'Zdroj data'!O81&lt;=Body!$BA$15),Body!AY$6,IF(AND('Zdroj data'!O81&gt;=Body!$BB$15,'Zdroj data'!O81&lt;=Body!$BD$15),Body!BB$6,IF(AND('Zdroj data'!O81&gt;=Body!$BE$15,'Zdroj data'!O81&lt;=Body!$BG$15),Body!BE$6,IF(AND('Zdroj data'!O81&gt;=Body!$BH$15,'Zdroj data'!O81&lt;=Body!$BJ$15),Body!BH$6,IF(AND('Zdroj data'!O81&gt;=Body!$BK$15,'Zdroj data'!O81&lt;=Body!$BM$15),Body!BK$6,IF(AND('Zdroj data'!O81&gt;=Body!$BN$15,'Zdroj data'!O81&lt;=Body!$BP$15),Body!$BN$6,IF(AND('Zdroj data'!O81&gt;=Body!$BQ$15,'Zdroj data'!O81&lt;=Body!$BS$15),Body!$BQ$6,IF(AND('Zdroj data'!O81&gt;=Body!$BT$15,'Zdroj data'!O81&lt;=Body!$BV$15),Body!BT$6,IF(AND('Zdroj data'!O81&gt;=Body!$BW$15,'Zdroj data'!O81&lt;=Body!$BY$15),Body!$BW$6,IF('Zdroj data'!O81&gt;=Body!$CB$15,Body!$BZ$6," ")))))))))),IF(AND('Zdroj data'!BG81="ST",'Zdroj data'!AM81=Body!$AX$16),IF(AND('Zdroj data'!O81&gt;=Body!$AY$16,'Zdroj data'!O81&lt;=Body!$BA$16),Body!$AY$6,IF(AND('Zdroj data'!O81&gt;=Body!$BB$16,'Zdroj data'!O81&lt;=Body!$BD$16),Body!$BB$6,IF(AND('Zdroj data'!O81&gt;=Body!$BE$16,'Zdroj data'!O81&lt;=Body!$BG$16),Body!$BE$6,IF(AND('Zdroj data'!O81&gt;=Body!$BH$16,'Zdroj data'!O81&lt;=Body!$BJ$16),Body!$BH$6,IF(AND('Zdroj data'!O81&gt;=Body!$BK$16,'Zdroj data'!O81&lt;=Body!$BM$16),Body!$BK$6,IF(AND('Zdroj data'!O81&gt;=Body!$BN$16,'Zdroj data'!O81&lt;=Body!$BP$16),Body!$BN$6,IF(AND('Zdroj data'!O81&gt;=Body!$BQ$16,'Zdroj data'!O81&lt;=Body!$BS$16),Body!$BQ$6,IF(AND('Zdroj data'!O81&gt;=Body!$BT$16,'Zdroj data'!O81&lt;=Body!$BV$16),Body!$BT$6,IF(AND('Zdroj data'!O81&gt;=Body!$BW$16,'Zdroj data'!O81&lt;=Body!$BY$16),Body!$BW$6,IF('Zdroj data'!O81&gt;=Body!$CB$16,Body!$BZ$6," ")))))))))),IF(AND('Zdroj data'!BG81="T",'Zdroj data'!AM81=Body!$AX$17),IF(AND('Zdroj data'!O81&gt;=Body!$AY$17,'Zdroj data'!O81&lt;=Body!$BA$17),Body!$AY$6,IF(AND('Zdroj data'!O81&gt;=Body!$BB$17,'Zdroj data'!O81&lt;=Body!$BD$17),Body!$BB$6,IF(AND('Zdroj data'!O81&gt;=Body!$BE$17,'Zdroj data'!O81&lt;=Body!$BG$17),Body!$BE$6,IF(AND('Zdroj data'!O81&gt;=Body!$BH$17,'Zdroj data'!O81&lt;=Body!#REF!),Body!$BH$6,IF(AND('Zdroj data'!O81&gt;=Body!$BK$17,'Zdroj data'!O81&lt;=Body!$BM$17),Body!$BK$6,IF(AND('Zdroj data'!O81&gt;=Body!$BN$17,'Zdroj data'!O81&lt;=Body!$BP$17),Body!$BN$6,IF(AND('Zdroj data'!O81&gt;=Body!$BQ$17,'Zdroj data'!O81&lt;=Body!$BS$17),Body!$BQ$6,IF(AND('Zdroj data'!O81&gt;=Body!$BT$17,'Zdroj data'!O81&lt;=Body!$BV$17),Body!$BT$6,IF(AND('Zdroj data'!O81&gt;=Body!$BW$17,'Zdroj data'!O81&lt;=Body!$BY$17),Body!$BW$6,IF('Zdroj data'!O81&gt;=Body!$CB$17,Body!$BZ$6," "))))))))))," ")))</f>
        <v>1</v>
      </c>
      <c r="AG81" s="267">
        <f>IF(AND('Zdroj data'!$BG81="L",'Zdroj data'!$AM81=Body!$AX$15),IF(AND(Tabulka1[[#This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data'!$BG81="ST",'Zdroj data'!$AM81=Body!$AX$16),IF(AND(Tabulka1[[#This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data'!$BG81="T",'Zdroj data'!$AM81=Body!$AX$17),IF(AND(Tabulka1[[#This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81" s="267" t="str">
        <f>IF(AND('Zdroj data'!BG81="L",'Zdroj data'!AM81=Body!$AX$18),IF(AND('Zdroj data'!O81&gt;=Body!$AY$18,'Zdroj data'!O81&lt;=Body!$BA$18),Body!AY$6,IF(AND('Zdroj data'!O81&gt;=Body!$BB$18,'Zdroj data'!O81&lt;=Body!$BD$18),Body!BB$6,IF(AND('Zdroj data'!O81&gt;=Body!$BE$18,'Zdroj data'!O81&lt;=Body!$BG$18),Body!BE$6,IF(AND('Zdroj data'!O81&gt;=Body!$BH$18,'Zdroj data'!O81&lt;=Body!$BJ$18),Body!BH$6,IF(AND('Zdroj data'!O81&gt;=Body!$BK$18,'Zdroj data'!O81&lt;=Body!$BM$18),Body!$BK$6,IF(AND('Zdroj data'!O81&gt;=Body!$BN$18,'Zdroj data'!O81&lt;=Body!$BP$18),Body!BN$6,IF(AND('Zdroj data'!O81&gt;=Body!$BQ$18,'Zdroj data'!O81&lt;=Body!$BS$18),Body!$BQ$6,IF(AND('Zdroj data'!O81&gt;=Body!$BT$18,'Zdroj data'!O81&lt;=Body!$BV$18),Body!$BT$6,IF(AND('Zdroj data'!O81&gt;=Body!$BW$18,'Zdroj data'!O81&lt;=Body!$BY$18),Body!$BW$6,IF('Zdroj data'!O81&gt;=Body!$CB$18,Body!$BZ$6," ")))))))))),IF(AND('Zdroj data'!BG81="ST",'Zdroj data'!AM81=Body!$AX$19),IF(AND('Zdroj data'!O81&gt;=Body!$AY$19,'Zdroj data'!O81&lt;=Body!$BA$19),Body!$AY$6,IF(AND('Zdroj data'!O81&gt;=Body!$BB$19,'Zdroj data'!O81&lt;=Body!$BD$19),Body!$BB$6,IF(AND('Zdroj data'!O81&gt;=Body!$BE$19,'Zdroj data'!O81&lt;=Body!$BG$19),Body!$BE$6,IF(AND('Zdroj data'!O81&gt;=Body!$BH$19,'Zdroj data'!O81&lt;=Body!$BJ$19),Body!$BH$6,IF(AND('Zdroj data'!O81&gt;=Body!$BK$19,'Zdroj data'!O81&lt;=Body!$BM$19),Body!$BK$6,IF(AND('Zdroj data'!O81&gt;=Body!$BN$19,'Zdroj data'!O81&lt;=Body!$BP$19),Body!$BN$6,IF(AND('Zdroj data'!O81&gt;=Body!$BQ$19,'Zdroj data'!O81&lt;=Body!$BS$19),Body!$BQ$6,IF(AND('Zdroj data'!O81&gt;=Body!$BT$19,'Zdroj data'!#REF!&lt;=Body!$BV$19),Body!$BT$6,IF(AND('Zdroj data'!O81&gt;=Body!$BW$19,'Zdroj data'!O81&lt;=Body!$BY$19),Body!$BW$6,IF('Zdroj data'!O81&gt;=Body!$CB$19,Body!$BZ$6," ")))))))))),IF(AND('Zdroj data'!BG81="T",'Zdroj data'!AM81=Body!$AX$20),IF(AND('Zdroj data'!O81&gt;=Body!$AY$20,'Zdroj data'!O81&lt;=Body!$BA$20),Body!$AY$6,IF(AND('Zdroj data'!O81&gt;=Body!$BB$20,'Zdroj data'!O81&lt;=Body!$BD$20),Body!$BB$6,IF(AND('Zdroj data'!O81&gt;=Body!$BE$20,'Zdroj data'!O81&lt;=Body!$BG$20),Body!$BE$6,IF(AND('Zdroj data'!O81&gt;=Body!$BH$20,'Zdroj data'!O81&lt;=Body!$BJ$20),Body!$BH$6,IF(AND('Zdroj data'!O81&gt;=Body!$BK$20,'Zdroj data'!O81&lt;=Body!$BM$20),Body!$BK$6,IF(AND('Zdroj data'!O81&gt;=Body!$BN$20,'Zdroj data'!O81&lt;=Body!$BP$20),Body!$BN$6,IF(AND('Zdroj data'!O81&gt;=Body!$BQ$20,'Zdroj data'!O81&lt;=Body!$BS$20),Body!$BQ$6,IF(AND('Zdroj data'!O81&gt;=Body!$BT$20,'Zdroj data'!O81&lt;=Body!#REF!),Body!$BT$6,IF(AND('Zdroj data'!O81&gt;=Body!$BW$20,'Zdroj data'!O81&lt;=Body!$BY$20),Body!$BW$6,IF('Zdroj data'!O81&gt;=Body!$CB$20,Body!$BZ$6," "))))))))))," ")))</f>
        <v xml:space="preserve"> </v>
      </c>
      <c r="AI81" s="267" t="str">
        <f>IF(AND('Zdroj data'!$BG81="L",'Zdroj data'!$AM81=Body!$AX$18),IF(AND(Tabulka1[[#This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data'!$BG81="ST",'Zdroj data'!$AM81=Body!$AX$19),IF(AND(Tabulka1[[#This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data'!$BG81="T",'Zdroj data'!$AM81=Body!$AX$20),IF(AND(Tabulka1[[#This Row],[K2O_60]]&gt;=Body!$AY$20,'Zdroj data'!O81&lt;=Body!$BA$20),Body!$AY$6,IF(AND(Tabulka1[[#This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81" s="265">
        <f t="shared" si="13"/>
        <v>8.0000000000000071</v>
      </c>
      <c r="AK81" s="264">
        <f t="shared" si="14"/>
        <v>26.195232061050525</v>
      </c>
      <c r="AL81" s="264">
        <f t="shared" si="15"/>
        <v>26.087043783793057</v>
      </c>
      <c r="AM81" s="264">
        <f t="shared" si="16"/>
        <v>71.502934137954767</v>
      </c>
      <c r="AN81" s="264">
        <f t="shared" si="17"/>
        <v>62.131093016600801</v>
      </c>
      <c r="AO81" s="265">
        <f t="shared" si="21"/>
        <v>97.6981661990053</v>
      </c>
      <c r="AP81" s="265">
        <f t="shared" si="18"/>
        <v>88.218136800393864</v>
      </c>
      <c r="AQ81" s="318"/>
      <c r="AR81" s="338">
        <f t="shared" si="19"/>
        <v>193.91630299939916</v>
      </c>
      <c r="AS81" s="318"/>
      <c r="AT81" s="251"/>
      <c r="AU81" s="138"/>
    </row>
    <row r="82" spans="1:48" ht="15.5" x14ac:dyDescent="0.35">
      <c r="A82" s="270">
        <v>4322</v>
      </c>
      <c r="B82" s="156" t="s">
        <v>551</v>
      </c>
      <c r="C82" s="250" t="str">
        <f>VLOOKUP(B82,'Zdroj hloubka okresy'!$A$2:$D$171,2,FALSE)</f>
        <v>Pribram</v>
      </c>
      <c r="D82" s="266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3</v>
      </c>
      <c r="E82" s="267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3</v>
      </c>
      <c r="F82" s="267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6</v>
      </c>
      <c r="G82" s="267">
        <f>IF(AND(Tabulka1[[#This Row],[hum_60]]&gt;AY88,Tabulka1[[#This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4</v>
      </c>
      <c r="H82" s="267">
        <f>IF(Tabulka1[[#This Row],[kv.ek.]]=Body!$AX$13,IF(AND('Zdroj data'!M82&gt;=Body!$AY$13,'Zdroj data'!M82&lt;=Body!$BA$13),Body!$AY$6,IF(AND('Zdroj data'!M82&gt;=Body!$BB$13,'Zdroj data'!M82&lt;=Body!$BD$13),Body!$BB$6,IF(AND('Zdroj data'!M82&gt;=Body!$BE$13,'Zdroj data'!M82&lt;=Body!$BG$13),Body!$BE$6,IF(AND('Zdroj data'!M82&gt;=Body!$BH$13,'Zdroj data'!M82&lt;=Body!$BJ$13),Body!$BH$6,IF(AND('Zdroj data'!M82&gt;=Body!$BK$13,'Zdroj data'!M82&lt;=Body!$BM$13),Body!$BK$6,IF(AND('Zdroj data'!M82&gt;=Body!$BN$13,'Zdroj data'!M82&lt;=Body!$BP$13),Body!$BN$6,IF(AND('Zdroj data'!M82&gt;=Body!$BQ$13,'Zdroj data'!M82&lt;=Body!$BS$13),Body!$BQ$6,IF(AND('Zdroj data'!M82&gt;=Body!$BT$13,'Zdroj data'!M82&lt;=Body!$BV$13),Body!$BT$6,IF(AND('Zdroj data'!M82&gt;=Body!$BW$13,'Zdroj data'!M82&lt;=Body!$BY$13),Body!$BW$6,IF('Zdroj data'!M82&gt;=Body!$CB$13,Body!$BZ$6," ")))))))))),IF(Tabulka1[[#This Row],[kv.ek.]]=Body!$AX$14,IF(AND('Zdroj data'!N82&gt;=Body!$AY$14,'Zdroj data'!N82&lt;=Body!$BA$14),Body!$AY$6,IF(AND('Zdroj data'!N82&gt;=Body!$BB$14,'Zdroj data'!N82&lt;=Body!$BD$14),Body!$BB$6,IF(AND('Zdroj data'!N82&gt;=Body!$BE$14,'Zdroj data'!N82&lt;=Body!$BG$14),Body!$BE$6,IF(AND('Zdroj data'!N82&gt;=Body!$BH$14,'Zdroj data'!N82&lt;=Body!$BJ$14),Body!$BH$6,IF(AND('Zdroj data'!N82&gt;=Body!$BK$14,'Zdroj data'!N82&lt;=Body!$BM$14),Body!$BK$6,IF(AND('Zdroj data'!N82&gt;=Body!$BN$14,'Zdroj data'!N82&lt;=Body!$BP$14),Body!$BN$6,IF(AND('Zdroj data'!N82&gt;=Body!$BQ$14,'Zdroj data'!N82&lt;=Body!$BS$14),Body!$BQ$6,IF(AND('Zdroj data'!N82&gt;=Body!$BT$14,'Zdroj data'!N82&lt;=Body!$BV$14),Body!$BT$6,IF(AND('Zdroj data'!N82&gt;=Body!$BW$14,'Zdroj data'!N82&lt;=Body!$BY$14),Body!$BW$6,IF('Zdroj data'!N82&gt;=Body!$CB$14,Body!$BZ$6," "))))))))))," "))</f>
        <v>1</v>
      </c>
      <c r="I82" s="264">
        <f>IF(Tabulka1[[#This Row],[kv.ek.]]=Body!$AX$13,IF(AND('Zdroj data'!N82&gt;=Body!$AY$13,'Zdroj data'!N82&lt;=Body!$BA$13),Body!$AY$6,IF(AND('Zdroj data'!N82&gt;=Body!$BB$13,'Zdroj data'!N82&lt;=Body!$BD$13),Body!$BB$6,IF(AND('Zdroj data'!N82&gt;=Body!$BE$13,'Zdroj data'!N82&lt;=Body!$BG$13),Body!$BE$6,IF(AND('Zdroj data'!N82&gt;=Body!$BH$13,'Zdroj data'!N82&lt;=Body!$BJ$13),Body!$BH$6,IF(AND('Zdroj data'!N82&gt;=Body!$BK$13,'Zdroj data'!N82&lt;=Body!$BM$13),Body!$BK$6,IF(AND('Zdroj data'!N82&gt;=Body!$BN$13,'Zdroj data'!N82&lt;=Body!$BP$13),Body!$BN$6,IF(AND('Zdroj data'!N82&gt;=Body!$BQ$13,'Zdroj data'!N82&lt;=Body!$BS$13),Body!$BQ$6,IF(AND('Zdroj data'!N82&gt;=Body!$BT$13,'Zdroj data'!N82&lt;=Body!$BV$13),Body!$BT$6,IF(AND('Zdroj data'!N82&gt;=Body!$BW$13,'Zdroj data'!N82&lt;=Body!$BY$13),Body!$BW$6,IF('Zdroj data'!N82&gt;=Body!$CB$13,Body!$BZ$6," ")))))))))),IF(Tabulka1[[#This Row],[kv.ek.]]=Body!$AX$14,IF(AND('Zdroj data'!O82&gt;=Body!$AY$14,'Zdroj data'!O82&lt;=Body!$BA$14),Body!$AY$6,IF(AND('Zdroj data'!O82&gt;=Body!$BB$14,'Zdroj data'!O82&lt;=Body!$BD$14),Body!$BB$6,IF(AND('Zdroj data'!O82&gt;=Body!$BE$14,'Zdroj data'!O82&lt;=Body!$BG$14),Body!$BE$6,IF(AND('Zdroj data'!O82&gt;=Body!$BH$14,'Zdroj data'!O82&lt;=Body!$BJ$14),Body!$BH$6,IF(AND('Zdroj data'!O82&gt;=Body!$BK$14,'Zdroj data'!O82&lt;=Body!$BM$14),Body!$BK$6,IF(AND('Zdroj data'!O82&gt;=Body!$BN$14,'Zdroj data'!O82&lt;=Body!$BP$14),Body!$BN$6,IF(AND('Zdroj data'!O82&gt;=Body!$BQ$14,'Zdroj data'!O82&lt;=Body!$BS$14),Body!$BQ$6,IF(AND('Zdroj data'!O82&gt;=Body!$BT$14,'Zdroj data'!O82&lt;=Body!$BV$14),Body!$BT$6,IF(AND('Zdroj data'!O82&gt;=Body!$BW$14,'Zdroj data'!O82&lt;=Body!$BY$14),Body!$BW$6,IF('Zdroj data'!O82&gt;=Body!$CB$14,Body!$BZ$6," "))))))))))," "))</f>
        <v>1</v>
      </c>
      <c r="J82" s="264">
        <f t="shared" si="22"/>
        <v>6</v>
      </c>
      <c r="K82" s="264">
        <f t="shared" si="22"/>
        <v>5</v>
      </c>
      <c r="L82" s="267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82" s="267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82" s="267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3</v>
      </c>
      <c r="O82" s="267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3</v>
      </c>
      <c r="P82" s="267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82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82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82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82" s="267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82" s="267">
        <f>IF('Zdroj data'!BB82=Body!$AY$25,Body!$AY$22,IF('Zdroj data'!BB82=Body!$BB$25,Body!$BB$22,IF('Zdroj data'!BB82=Body!$BE$25,Body!$BE$22,IF('Zdroj data'!BB82=Body!$BH$25,Body!$BH$22,IF('Zdroj data'!BB82=Body!BK$25,Body!$BK$22,IF('Zdroj data'!BB82=Body!$BN$25,Body!$BN$22,IF('Zdroj data'!BB82=Body!$BQ$25,Body!$BQ$22,IF('Zdroj data'!BB82=Body!$BT$25,Body!$BT$22,IF('Zdroj data'!BB82=Body!$BW$25,Body!$BW$22,IF('Zdroj data'!BB82=Body!$BZ$25,Body!$BZ$22," "))))))))))</f>
        <v>5</v>
      </c>
      <c r="V82" s="264">
        <f>IF(AND('Zdroj data'!BO82&gt;Body!$AY$27,'Zdroj data'!BO82&lt;=Body!$BA$27),Body!$AY$22,IF(AND('Zdroj data'!BO82&gt;=Body!$BB$27,'Zdroj data'!BO82&lt;=Body!$BD$27),Body!$BB$22,IF(AND('Zdroj data'!BO82&gt;=Body!$BE$27,'Zdroj data'!BO82&lt;=Body!$BG$27),Body!$BE$22,IF(AND('Zdroj data'!BO82&gt;=Body!$BH$27,'Zdroj data'!BO82&lt;=Body!$BJ$27),Body!$BH$22,IF(AND('Zdroj data'!BO82&gt;=Body!$BK$27,'Zdroj data'!BO82&lt;=Body!$BM$27),Body!$BK$22,IF(AND('Zdroj data'!BO82&gt;=Body!$BN$27,'Zdroj data'!BO82&lt;=Body!$BP$27),Body!$BN$22,IF(AND('Zdroj data'!BO82&gt;=Body!$BQ$27,'Zdroj data'!BO82&lt;=Body!$BS$27),Body!$BQ$22,IF(AND('Zdroj data'!BO82&gt;=Body!$BT$27,'Zdroj data'!BO82&lt;=Body!$BV$27),Body!$BT$22,IF(AND('Zdroj data'!BO82&gt;=Body!$BW$27,'Zdroj data'!BO82&lt;=Body!$BY$27),Body!$BW$22,IF('Zdroj data'!BO82&gt;=Body!$CB$27,$BZ$22," "))))))))))</f>
        <v>6</v>
      </c>
      <c r="W82" s="264">
        <f>IF(AND('Zdroj data'!BP82&gt;Body!$AY$27,'Zdroj data'!BP82&lt;=Body!$BA$27),Body!$AY$22,IF(AND('Zdroj data'!BP82&gt;=Body!$BB$27,'Zdroj data'!BP82&lt;=Body!$BD$27),Body!$BB$22,IF(AND('Zdroj data'!BP82&gt;=Body!$BE$27,'Zdroj data'!BP82&lt;=Body!$BG$27),Body!$BE$22,IF(AND('Zdroj data'!BP82&gt;=Body!$BH$27,'Zdroj data'!BP82&lt;=Body!$BJ$27),Body!$BH$22,IF(AND('Zdroj data'!BP82&gt;=Body!$BK$27,'Zdroj data'!BP82&lt;=Body!$BM$27),Body!$BK$22,IF(AND('Zdroj data'!BP82&gt;=Body!$BN$27,'Zdroj data'!BP82&lt;=Body!$BP$27),Body!$BN$22,IF(AND('Zdroj data'!BP82&gt;=Body!$BQ$27,'Zdroj data'!BP82&lt;=Body!$BS$27),Body!$BQ$22,IF(AND('Zdroj data'!BP82&gt;=Body!$BT$27,'Zdroj data'!BP82&lt;=Body!$BV$27),Body!$BT$22,IF(AND('Zdroj data'!BP82&gt;=Body!$BW$27,'Zdroj data'!BP82&lt;=Body!$BY$27),Body!$BW$22,IF('Zdroj data'!BP82&gt;=Body!$CB$27,$BZ$22," "))))))))))</f>
        <v>6</v>
      </c>
      <c r="X82" s="267">
        <f>IF('Zdroj data'!BA82=Body!$BB$28,$BB$22,IF('Zdroj data'!BA82=Body!$BE$28,$BE$22,IF(OR('Zdroj data'!BA82=Body!$BK$28,'Zdroj data'!BA82=Body!$BL$28,'Zdroj data'!BA82=Body!$BM$28),$BK$22,IF(OR('Zdroj data'!BA82=Body!$BT$28,'Zdroj data'!BA82=Body!$BV$28),$BT$22,IF(OR('Zdroj data'!BA82=Body!$BW$28,'Zdroj data'!BA82=Body!$BY$28),$BW$22,IF('Zdroj data'!BA82=Body!$BZ$28,$BZ$22," "))))))</f>
        <v>5</v>
      </c>
      <c r="Y82" s="267">
        <f>IF('Zdroj data'!AZ82=Body!$BZ$29,Body!$BZ$22,IF(OR('Zdroj data'!AZ82=$BT$29,'Zdroj data'!AZ82=$BU$29,'Zdroj data'!AZ82=$BV$29),$BT$22,IF(OR('Zdroj data'!AZ82=$BK$29,'Zdroj data'!AZ82=$BM$29),$BK$22,IF(OR('Zdroj data'!AZ82=$BE$29,'Zdroj data'!AZ82=$BG$29),$BE$22,IF(OR('Zdroj data'!AZ82=$AY$29,'Zdroj data'!AZ82=$BA$29),$AY$22," ")))))</f>
        <v>8</v>
      </c>
      <c r="Z82" s="267">
        <f>IF(AND('Zdroj data'!BF82="T",(OR('Zdroj data'!AZ82=Body!$AW$45,'Zdroj data'!AZ82=Body!$AW$46,'Zdroj data'!AZ82=Body!$AW$47,'Zdroj data'!AZ82=Body!$AW$48))),Body!$AY$22,IF(AND('Zdroj data'!BF82="T",(OR('Zdroj data'!AZ82=$AW$49,'Zdroj data'!AZ82=$AW$50,'Zdroj data'!AZ82=$AW$51,'Zdroj data'!AZ82=$AW$52))),$BZ$22,IF(AND(OR('Zdroj data'!BF82="VT",'Zdroj data'!BF82="T",'Zdroj data'!BF82="CH"),(OR('Zdroj data'!AZ82=$AW$43,'Zdroj data'!AZ82=$AW$44,))),$BZ$22,IF(AND('Zdroj data'!BF82="CH",(OR('Zdroj data'!AZ82=$AW$49,'Zdroj data'!AZ82=$AW$50,'Zdroj data'!AZ82=$AW$51,'Zdroj data'!AZ82=$AW$52))),$AY$22,IF(AND('Zdroj data'!BF82="CH",(OR('Zdroj data'!AZ82=$AW$45,'Zdroj data'!AZ82=$AW$46,'Zdroj data'!AZ82=$AW$47,'Zdroj data'!AZ82=$AW$48))),$BZ$22," ")))))</f>
        <v>10</v>
      </c>
      <c r="AA82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82" s="264">
        <f>IF(Tabulka1[[#This Row],[kv.ek.]]=Body!$BK$35,Body!$BK$34,IF(Tabulka1[[#This Row],[kv.ek.]]=Body!$BZ$35,Body!$BZ$34," "))</f>
        <v>5</v>
      </c>
      <c r="AC82" s="267" t="str">
        <f>IF(AND('Zdroj data'!BF82="T",(OR('Zdroj data'!AZ82=Body!$AW$45,'Zdroj data'!AZ82=Body!$AW$46,'Zdroj data'!AZ82=Body!$AW$47,'Zdroj data'!AZ82=Body!$AW$48))),Body!$AY$22,IF(AND('Zdroj data'!BF82="T",(OR('Zdroj data'!AZ82=$AW$49,'Zdroj data'!AZ82=$AW$50,'Zdroj data'!AZ82=$AW$51,'Zdroj data'!AZ82=$AW$52))),$BZ$22," "))</f>
        <v xml:space="preserve"> </v>
      </c>
      <c r="AD82" s="267">
        <f>IF(AND(OR('Zdroj data'!BF82="VT",'Zdroj data'!BF82="T",'Zdroj data'!BF82="CH"),(OR('Zdroj data'!AZ82=$AW$43,'Zdroj data'!AZ82=$AW$44,))),$BZ$22," ")</f>
        <v>10</v>
      </c>
      <c r="AE82" s="267" t="str">
        <f>IF(AND('Zdroj data'!BF82="CH",(OR('Zdroj data'!AZ82=$AW$49,'Zdroj data'!AZ82=$AW$50,'Zdroj data'!AZ82=$AW$51,'Zdroj data'!AZ82=$AW$52))),$AY$22,IF(AND('Zdroj data'!BF82="CH",(OR('Zdroj data'!AZ82=$AW$45,'Zdroj data'!AZ82=$AW$46,'Zdroj data'!AZ82=$AW$47,'Zdroj data'!AZ82=$AW$48))),$BZ$22," "))</f>
        <v xml:space="preserve"> </v>
      </c>
      <c r="AF82" s="267">
        <f>IF(AND('Zdroj data'!BG82="L",'Zdroj data'!AM82=Body!$AX$15),IF(AND('Zdroj data'!O82&gt;=Body!$AY$15,'Zdroj data'!O82&lt;=Body!$BA$15),Body!AY$6,IF(AND('Zdroj data'!O82&gt;=Body!$BB$15,'Zdroj data'!O82&lt;=Body!$BD$15),Body!BB$6,IF(AND('Zdroj data'!O82&gt;=Body!$BE$15,'Zdroj data'!O82&lt;=Body!$BG$15),Body!BE$6,IF(AND('Zdroj data'!O82&gt;=Body!$BH$15,'Zdroj data'!O82&lt;=Body!$BJ$15),Body!BH$6,IF(AND('Zdroj data'!O82&gt;=Body!$BK$15,'Zdroj data'!O82&lt;=Body!$BM$15),Body!BK$6,IF(AND('Zdroj data'!O82&gt;=Body!$BN$15,'Zdroj data'!O82&lt;=Body!$BP$15),Body!$BN$6,IF(AND('Zdroj data'!O82&gt;=Body!$BQ$15,'Zdroj data'!O82&lt;=Body!$BS$15),Body!$BQ$6,IF(AND('Zdroj data'!O82&gt;=Body!$BT$15,'Zdroj data'!O82&lt;=Body!$BV$15),Body!BT$6,IF(AND('Zdroj data'!O82&gt;=Body!$BW$15,'Zdroj data'!O82&lt;=Body!$BY$15),Body!$BW$6,IF('Zdroj data'!O82&gt;=Body!$CB$15,Body!$BZ$6," ")))))))))),IF(AND('Zdroj data'!BG82="ST",'Zdroj data'!AM82=Body!$AX$16),IF(AND('Zdroj data'!O82&gt;=Body!$AY$16,'Zdroj data'!O82&lt;=Body!$BA$16),Body!$AY$6,IF(AND('Zdroj data'!O82&gt;=Body!$BB$16,'Zdroj data'!O82&lt;=Body!$BD$16),Body!$BB$6,IF(AND('Zdroj data'!O82&gt;=Body!$BE$16,'Zdroj data'!O82&lt;=Body!$BG$16),Body!$BE$6,IF(AND('Zdroj data'!O82&gt;=Body!$BH$16,'Zdroj data'!O82&lt;=Body!$BJ$16),Body!$BH$6,IF(AND('Zdroj data'!O82&gt;=Body!$BK$16,'Zdroj data'!O82&lt;=Body!$BM$16),Body!$BK$6,IF(AND('Zdroj data'!O82&gt;=Body!$BN$16,'Zdroj data'!O82&lt;=Body!$BP$16),Body!$BN$6,IF(AND('Zdroj data'!O82&gt;=Body!$BQ$16,'Zdroj data'!O82&lt;=Body!$BS$16),Body!$BQ$6,IF(AND('Zdroj data'!O82&gt;=Body!$BT$16,'Zdroj data'!O82&lt;=Body!$BV$16),Body!$BT$6,IF(AND('Zdroj data'!O82&gt;=Body!$BW$16,'Zdroj data'!O82&lt;=Body!$BY$16),Body!$BW$6,IF('Zdroj data'!O82&gt;=Body!$CB$16,Body!$BZ$6," ")))))))))),IF(AND('Zdroj data'!BG82="T",'Zdroj data'!AM82=Body!$AX$17),IF(AND('Zdroj data'!O82&gt;=Body!$AY$17,'Zdroj data'!O82&lt;=Body!$BA$17),Body!$AY$6,IF(AND('Zdroj data'!O82&gt;=Body!$BB$17,'Zdroj data'!O82&lt;=Body!$BD$17),Body!$BB$6,IF(AND('Zdroj data'!O82&gt;=Body!$BE$17,'Zdroj data'!O82&lt;=Body!$BG$17),Body!$BE$6,IF(AND('Zdroj data'!O82&gt;=Body!$BH$17,'Zdroj data'!O82&lt;=Body!BJ96),Body!$BH$6,IF(AND('Zdroj data'!O82&gt;=Body!$BK$17,'Zdroj data'!O82&lt;=Body!$BM$17),Body!$BK$6,IF(AND('Zdroj data'!O82&gt;=Body!$BN$17,'Zdroj data'!O82&lt;=Body!$BP$17),Body!$BN$6,IF(AND('Zdroj data'!O82&gt;=Body!$BQ$17,'Zdroj data'!O82&lt;=Body!$BS$17),Body!$BQ$6,IF(AND('Zdroj data'!O82&gt;=Body!$BT$17,'Zdroj data'!O82&lt;=Body!$BV$17),Body!$BT$6,IF(AND('Zdroj data'!O82&gt;=Body!$BW$17,'Zdroj data'!O82&lt;=Body!$BY$17),Body!$BW$6,IF('Zdroj data'!O82&gt;=Body!$CB$17,Body!$BZ$6," "))))))))))," ")))</f>
        <v>6</v>
      </c>
      <c r="AG82" s="267">
        <f>IF(AND('Zdroj data'!$BG82="L",'Zdroj data'!$AM82=Body!$AX$15),IF(AND(Tabulka1[[#This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data'!$BG82="ST",'Zdroj data'!$AM82=Body!$AX$16),IF(AND(Tabulka1[[#This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data'!$BG82="T",'Zdroj data'!$AM82=Body!$AX$17),IF(AND(Tabulka1[[#This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Row],[K2O_60]]&lt;=Body!BJ96),Body!$BH$6,IF(AND(Tabulka1[[#This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5</v>
      </c>
      <c r="AH82" s="267" t="str">
        <f>IF(AND('Zdroj data'!BG82="L",'Zdroj data'!AM82=Body!$AX$18),IF(AND('Zdroj data'!O82&gt;=Body!$AY$18,'Zdroj data'!O82&lt;=Body!$BA$18),Body!AY$6,IF(AND('Zdroj data'!O82&gt;=Body!$BB$18,'Zdroj data'!O82&lt;=Body!$BD$18),Body!BB$6,IF(AND('Zdroj data'!O82&gt;=Body!$BE$18,'Zdroj data'!O82&lt;=Body!$BG$18),Body!BE$6,IF(AND('Zdroj data'!O82&gt;=Body!$BH$18,'Zdroj data'!O82&lt;=Body!$BJ$18),Body!BH$6,IF(AND('Zdroj data'!O82&gt;=Body!$BK$18,'Zdroj data'!O82&lt;=Body!$BM$18),Body!$BK$6,IF(AND('Zdroj data'!O82&gt;=Body!$BN$18,'Zdroj data'!O82&lt;=Body!$BP$18),Body!BN$6,IF(AND('Zdroj data'!O82&gt;=Body!$BQ$18,'Zdroj data'!O82&lt;=Body!$BS$18),Body!$BQ$6,IF(AND('Zdroj data'!O82&gt;=Body!$BT$18,'Zdroj data'!O82&lt;=Body!$BV$18),Body!$BT$6,IF(AND('Zdroj data'!O82&gt;=Body!$BW$18,'Zdroj data'!O82&lt;=Body!$BY$18),Body!$BW$6,IF('Zdroj data'!O82&gt;=Body!$CB$18,Body!$BZ$6," ")))))))))),IF(AND('Zdroj data'!BG82="ST",'Zdroj data'!AM82=Body!$AX$19),IF(AND('Zdroj data'!O82&gt;=Body!$AY$19,'Zdroj data'!O82&lt;=Body!$BA$19),Body!$AY$6,IF(AND('Zdroj data'!O82&gt;=Body!$BB$19,'Zdroj data'!O82&lt;=Body!$BD$19),Body!$BB$6,IF(AND('Zdroj data'!O82&gt;=Body!$BE$19,'Zdroj data'!O82&lt;=Body!$BG$19),Body!$BE$6,IF(AND('Zdroj data'!O82&gt;=Body!$BH$19,'Zdroj data'!O82&lt;=Body!$BJ$19),Body!$BH$6,IF(AND('Zdroj data'!O82&gt;=Body!$BK$19,'Zdroj data'!O82&lt;=Body!$BM$19),Body!$BK$6,IF(AND('Zdroj data'!O82&gt;=Body!$BN$19,'Zdroj data'!O82&lt;=Body!$BP$19),Body!$BN$6,IF(AND('Zdroj data'!O82&gt;=Body!$BQ$19,'Zdroj data'!O82&lt;=Body!$BS$19),Body!$BQ$6,IF(AND('Zdroj data'!O82&gt;=Body!$BT$19,'Zdroj data'!O86&lt;=Body!$BV$19),Body!$BT$6,IF(AND('Zdroj data'!O82&gt;=Body!$BW$19,'Zdroj data'!O82&lt;=Body!$BY$19),Body!$BW$6,IF('Zdroj data'!O82&gt;=Body!$CB$19,Body!$BZ$6," ")))))))))),IF(AND('Zdroj data'!BG82="T",'Zdroj data'!AM82=Body!$AX$20),IF(AND('Zdroj data'!O82&gt;=Body!$AY$20,'Zdroj data'!O82&lt;=Body!$BA$20),Body!$AY$6,IF(AND('Zdroj data'!O82&gt;=Body!$BB$20,'Zdroj data'!O82&lt;=Body!$BD$20),Body!$BB$6,IF(AND('Zdroj data'!O82&gt;=Body!$BE$20,'Zdroj data'!O82&lt;=Body!$BG$20),Body!$BE$6,IF(AND('Zdroj data'!O82&gt;=Body!$BH$20,'Zdroj data'!O82&lt;=Body!$BJ$20),Body!$BH$6,IF(AND('Zdroj data'!O82&gt;=Body!$BK$20,'Zdroj data'!O82&lt;=Body!$BM$20),Body!$BK$6,IF(AND('Zdroj data'!O82&gt;=Body!$BN$20,'Zdroj data'!O82&lt;=Body!$BP$20),Body!$BN$6,IF(AND('Zdroj data'!O82&gt;=Body!$BQ$20,'Zdroj data'!O82&lt;=Body!$BS$20),Body!$BQ$6,IF(AND('Zdroj data'!O82&gt;=Body!$BT$20,'Zdroj data'!O82&lt;=Body!BV99),Body!$BT$6,IF(AND('Zdroj data'!O82&gt;=Body!$BW$20,'Zdroj data'!O82&lt;=Body!$BY$20),Body!$BW$6,IF('Zdroj data'!O82&gt;=Body!$CB$20,Body!$BZ$6," "))))))))))," ")))</f>
        <v xml:space="preserve"> </v>
      </c>
      <c r="AI82" s="267" t="str">
        <f>IF(AND('Zdroj data'!$BG82="L",'Zdroj data'!$AM82=Body!$AX$18),IF(AND(Tabulka1[[#This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data'!$BG82="ST",'Zdroj data'!$AM82=Body!$AX$19),IF(AND(Tabulka1[[#This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data'!$BG82="T",'Zdroj data'!$AM82=Body!$AX$20),IF(AND(Tabulka1[[#This Row],[K2O_60]]&gt;=Body!$AY$20,'Zdroj data'!O82&lt;=Body!$BA$20),Body!$AY$6,IF(AND(Tabulka1[[#This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Row],[K2O_60]]&lt;=Body!BV99),Body!$BT$6,IF(AND(Tabulka1[[#This Row],[K2O_60]]&gt;=Body!$BW$20,Tabulka1[[#This Row],[K2O_60]]&lt;=Body!$BY$20),Body!$BW$6,IF(Tabulka1[[#This Row],[K2O_60]]&gt;=Body!$CB$20,Body!$BZ$6," "))))))))))," ")))</f>
        <v xml:space="preserve"> </v>
      </c>
      <c r="AJ82" s="265">
        <f t="shared" si="13"/>
        <v>8.0000000000000071</v>
      </c>
      <c r="AK82" s="264">
        <f t="shared" si="14"/>
        <v>27.428937975641329</v>
      </c>
      <c r="AL82" s="264">
        <f t="shared" si="15"/>
        <v>21.641662983679517</v>
      </c>
      <c r="AM82" s="264">
        <f t="shared" si="16"/>
        <v>69.998389626588022</v>
      </c>
      <c r="AN82" s="264">
        <f t="shared" si="17"/>
        <v>58.257517755360041</v>
      </c>
      <c r="AO82" s="265">
        <f t="shared" si="21"/>
        <v>97.427327602229354</v>
      </c>
      <c r="AP82" s="265">
        <f t="shared" si="18"/>
        <v>79.899180739039565</v>
      </c>
      <c r="AQ82" s="318"/>
      <c r="AR82" s="338">
        <f t="shared" si="19"/>
        <v>185.32650834126892</v>
      </c>
      <c r="AS82" s="318"/>
      <c r="AT82" s="251"/>
      <c r="AU82" s="138"/>
    </row>
    <row r="83" spans="1:48" ht="15.5" x14ac:dyDescent="0.35">
      <c r="A83" s="270">
        <v>4325</v>
      </c>
      <c r="B83" s="156" t="s">
        <v>530</v>
      </c>
      <c r="C83" s="250" t="str">
        <f>VLOOKUP(B83,'Zdroj hloubka okresy'!$A$2:$D$171,2,FALSE)</f>
        <v>Pribram</v>
      </c>
      <c r="D83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3</v>
      </c>
      <c r="E83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83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83" s="264">
        <f>IF(AND(Tabulka1[[#This Row],[hum_60]]&gt;AY89,Tabulka1[[#This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83" s="264">
        <f>IF(Tabulka1[[#This Row],[kv.ek.]]=Body!$AX$13,IF(AND('Zdroj data'!M83&gt;=Body!$AY$13,'Zdroj data'!M83&lt;=Body!$BA$13),Body!$AY$6,IF(AND('Zdroj data'!M83&gt;=Body!$BB$13,'Zdroj data'!M83&lt;=Body!$BD$13),Body!$BB$6,IF(AND('Zdroj data'!M83&gt;=Body!$BE$13,'Zdroj data'!M83&lt;=Body!$BG$13),Body!$BE$6,IF(AND('Zdroj data'!M83&gt;=Body!$BH$13,'Zdroj data'!M83&lt;=Body!$BJ$13),Body!$BH$6,IF(AND('Zdroj data'!M83&gt;=Body!$BK$13,'Zdroj data'!M83&lt;=Body!$BM$13),Body!$BK$6,IF(AND('Zdroj data'!M83&gt;=Body!$BN$13,'Zdroj data'!M83&lt;=Body!$BP$13),Body!$BN$6,IF(AND('Zdroj data'!M83&gt;=Body!$BQ$13,'Zdroj data'!M83&lt;=Body!$BS$13),Body!$BQ$6,IF(AND('Zdroj data'!M83&gt;=Body!$BT$13,'Zdroj data'!M83&lt;=Body!$BV$13),Body!$BT$6,IF(AND('Zdroj data'!M83&gt;=Body!$BW$13,'Zdroj data'!M83&lt;=Body!$BY$13),Body!$BW$6,IF('Zdroj data'!M83&gt;=Body!$CB$13,Body!$BZ$6," ")))))))))),IF(Tabulka1[[#This Row],[kv.ek.]]=Body!$AX$14,IF(AND('Zdroj data'!N83&gt;=Body!$AY$14,'Zdroj data'!N83&lt;=Body!$BA$14),Body!$AY$6,IF(AND('Zdroj data'!N83&gt;=Body!$BB$14,'Zdroj data'!N83&lt;=Body!$BD$14),Body!$BB$6,IF(AND('Zdroj data'!N83&gt;=Body!$BE$14,'Zdroj data'!N83&lt;=Body!$BG$14),Body!$BE$6,IF(AND('Zdroj data'!N83&gt;=Body!$BH$14,'Zdroj data'!N83&lt;=Body!$BJ$14),Body!$BH$6,IF(AND('Zdroj data'!N83&gt;=Body!$BK$14,'Zdroj data'!N83&lt;=Body!$BM$14),Body!$BK$6,IF(AND('Zdroj data'!N83&gt;=Body!$BN$14,'Zdroj data'!N83&lt;=Body!$BP$14),Body!$BN$6,IF(AND('Zdroj data'!N83&gt;=Body!$BQ$14,'Zdroj data'!N83&lt;=Body!$BS$14),Body!$BQ$6,IF(AND('Zdroj data'!N83&gt;=Body!$BT$14,'Zdroj data'!N83&lt;=Body!$BV$14),Body!$BT$6,IF(AND('Zdroj data'!N83&gt;=Body!$BW$14,'Zdroj data'!N83&lt;=Body!$BY$14),Body!$BW$6,IF('Zdroj data'!N83&gt;=Body!$CB$14,Body!$BZ$6," "))))))))))," "))</f>
        <v>1</v>
      </c>
      <c r="I83" s="264">
        <f>IF(Tabulka1[[#This Row],[kv.ek.]]=Body!$AX$13,IF(AND('Zdroj data'!N83&gt;=Body!$AY$13,'Zdroj data'!N83&lt;=Body!$BA$13),Body!$AY$6,IF(AND('Zdroj data'!N83&gt;=Body!$BB$13,'Zdroj data'!N83&lt;=Body!$BD$13),Body!$BB$6,IF(AND('Zdroj data'!N83&gt;=Body!$BE$13,'Zdroj data'!N83&lt;=Body!$BG$13),Body!$BE$6,IF(AND('Zdroj data'!N83&gt;=Body!$BH$13,'Zdroj data'!N83&lt;=Body!$BJ$13),Body!$BH$6,IF(AND('Zdroj data'!N83&gt;=Body!$BK$13,'Zdroj data'!N83&lt;=Body!$BM$13),Body!$BK$6,IF(AND('Zdroj data'!N83&gt;=Body!$BN$13,'Zdroj data'!N83&lt;=Body!$BP$13),Body!$BN$6,IF(AND('Zdroj data'!N83&gt;=Body!$BQ$13,'Zdroj data'!N83&lt;=Body!$BS$13),Body!$BQ$6,IF(AND('Zdroj data'!N83&gt;=Body!$BT$13,'Zdroj data'!N83&lt;=Body!$BV$13),Body!$BT$6,IF(AND('Zdroj data'!N83&gt;=Body!$BW$13,'Zdroj data'!N83&lt;=Body!$BY$13),Body!$BW$6,IF('Zdroj data'!N83&gt;=Body!$CB$13,Body!$BZ$6," ")))))))))),IF(Tabulka1[[#This Row],[kv.ek.]]=Body!$AX$14,IF(AND('Zdroj data'!O83&gt;=Body!$AY$14,'Zdroj data'!O83&lt;=Body!$BA$14),Body!$AY$6,IF(AND('Zdroj data'!O83&gt;=Body!$BB$14,'Zdroj data'!O83&lt;=Body!$BD$14),Body!$BB$6,IF(AND('Zdroj data'!O83&gt;=Body!$BE$14,'Zdroj data'!O83&lt;=Body!$BG$14),Body!$BE$6,IF(AND('Zdroj data'!O83&gt;=Body!$BH$14,'Zdroj data'!O83&lt;=Body!$BJ$14),Body!$BH$6,IF(AND('Zdroj data'!O83&gt;=Body!$BK$14,'Zdroj data'!O83&lt;=Body!$BM$14),Body!$BK$6,IF(AND('Zdroj data'!O83&gt;=Body!$BN$14,'Zdroj data'!O83&lt;=Body!$BP$14),Body!$BN$6,IF(AND('Zdroj data'!O83&gt;=Body!$BQ$14,'Zdroj data'!O83&lt;=Body!$BS$14),Body!$BQ$6,IF(AND('Zdroj data'!O83&gt;=Body!$BT$14,'Zdroj data'!O83&lt;=Body!$BV$14),Body!$BT$6,IF(AND('Zdroj data'!O83&gt;=Body!$BW$14,'Zdroj data'!O83&lt;=Body!$BY$14),Body!$BW$6,IF('Zdroj data'!O83&gt;=Body!$CB$14,Body!$BZ$6," "))))))))))," "))</f>
        <v>1</v>
      </c>
      <c r="J83" s="264">
        <f>IF(AF83=" ",AH83,AF83)</f>
        <v>2</v>
      </c>
      <c r="K83" s="264">
        <f t="shared" si="22"/>
        <v>1</v>
      </c>
      <c r="L83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2</v>
      </c>
      <c r="M83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2</v>
      </c>
      <c r="N83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2</v>
      </c>
      <c r="O83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4</v>
      </c>
      <c r="P83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83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83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2</v>
      </c>
      <c r="S83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6</v>
      </c>
      <c r="T83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4</v>
      </c>
      <c r="U83" s="264">
        <f>IF('Zdroj data'!BB83=Body!$AY$25,Body!$AY$22,IF('Zdroj data'!BB83=Body!$BB$25,Body!$BB$22,IF('Zdroj data'!BB83=Body!$BE$25,Body!$BE$22,IF('Zdroj data'!BB83=Body!$BH$25,Body!$BH$22,IF('Zdroj data'!BB83=Body!BK$25,Body!$BK$22,IF('Zdroj data'!BB83=Body!$BN$25,Body!$BN$22,IF('Zdroj data'!BB83=Body!$BQ$25,Body!$BQ$22,IF('Zdroj data'!BB83=Body!$BT$25,Body!$BT$22,IF('Zdroj data'!BB83=Body!$BW$25,Body!$BW$22,IF('Zdroj data'!BB83=Body!$BZ$25,Body!$BZ$22," "))))))))))</f>
        <v>5</v>
      </c>
      <c r="V83" s="264">
        <f>IF(AND('Zdroj data'!BO83&gt;Body!$AY$27,'Zdroj data'!BO83&lt;=Body!$BA$27),Body!$AY$22,IF(AND('Zdroj data'!BO83&gt;=Body!$BB$27,'Zdroj data'!BO83&lt;=Body!$BD$27),Body!$BB$22,IF(AND('Zdroj data'!BO83&gt;=Body!$BE$27,'Zdroj data'!BO83&lt;=Body!$BG$27),Body!$BE$22,IF(AND('Zdroj data'!BO83&gt;=Body!$BH$27,'Zdroj data'!BO83&lt;=Body!$BJ$27),Body!$BH$22,IF(AND('Zdroj data'!BO83&gt;=Body!$BK$27,'Zdroj data'!BO83&lt;=Body!$BM$27),Body!$BK$22,IF(AND('Zdroj data'!BO83&gt;=Body!$BN$27,'Zdroj data'!BO83&lt;=Body!$BP$27),Body!$BN$22,IF(AND('Zdroj data'!BO83&gt;=Body!$BQ$27,'Zdroj data'!BO83&lt;=Body!$BS$27),Body!$BQ$22,IF(AND('Zdroj data'!BO83&gt;=Body!$BT$27,'Zdroj data'!BO83&lt;=Body!$BV$27),Body!$BT$22,IF(AND('Zdroj data'!BO83&gt;=Body!$BW$27,'Zdroj data'!BO83&lt;=Body!$BY$27),Body!$BW$22,IF('Zdroj data'!BO83&gt;=Body!$CB$27,$BZ$22," "))))))))))</f>
        <v>6</v>
      </c>
      <c r="W83" s="264">
        <f>IF(AND('Zdroj data'!BP83&gt;Body!$AY$27,'Zdroj data'!BP83&lt;=Body!$BA$27),Body!$AY$22,IF(AND('Zdroj data'!BP83&gt;=Body!$BB$27,'Zdroj data'!BP83&lt;=Body!$BD$27),Body!$BB$22,IF(AND('Zdroj data'!BP83&gt;=Body!$BE$27,'Zdroj data'!BP83&lt;=Body!$BG$27),Body!$BE$22,IF(AND('Zdroj data'!BP83&gt;=Body!$BH$27,'Zdroj data'!BP83&lt;=Body!$BJ$27),Body!$BH$22,IF(AND('Zdroj data'!BP83&gt;=Body!$BK$27,'Zdroj data'!BP83&lt;=Body!$BM$27),Body!$BK$22,IF(AND('Zdroj data'!BP83&gt;=Body!$BN$27,'Zdroj data'!BP83&lt;=Body!$BP$27),Body!$BN$22,IF(AND('Zdroj data'!BP83&gt;=Body!$BQ$27,'Zdroj data'!BP83&lt;=Body!$BS$27),Body!$BQ$22,IF(AND('Zdroj data'!BP83&gt;=Body!$BT$27,'Zdroj data'!BP83&lt;=Body!$BV$27),Body!$BT$22,IF(AND('Zdroj data'!BP83&gt;=Body!$BW$27,'Zdroj data'!BP83&lt;=Body!$BY$27),Body!$BW$22,IF('Zdroj data'!BP83&gt;=Body!$CB$27,$BZ$22," "))))))))))</f>
        <v>4</v>
      </c>
      <c r="X83" s="264">
        <f>IF('Zdroj data'!BA83=Body!$BB$28,$BB$22,IF('Zdroj data'!BA83=Body!$BE$28,$BE$22,IF(OR('Zdroj data'!BA83=Body!$BK$28,'Zdroj data'!BA83=Body!$BL$28,'Zdroj data'!BA83=Body!$BM$28),$BK$22,IF(OR('Zdroj data'!BA83=Body!$BT$28,'Zdroj data'!BA83=Body!$BV$28),$BT$22,IF(OR('Zdroj data'!BA83=Body!$BW$28,'Zdroj data'!BA83=Body!$BY$28),$BW$22,IF('Zdroj data'!BA83=Body!$BZ$28,$BZ$22," "))))))</f>
        <v>9</v>
      </c>
      <c r="Y83" s="264">
        <f>IF('Zdroj data'!AZ83=Body!$BZ$29,Body!$BZ$22,IF(OR('Zdroj data'!AZ83=$BT$29,'Zdroj data'!AZ83=$BU$29,'Zdroj data'!AZ83=$BV$29),$BT$22,IF(OR('Zdroj data'!AZ83=$BK$29,'Zdroj data'!AZ83=$BM$29),$BK$22,IF(OR('Zdroj data'!AZ83=$BE$29,'Zdroj data'!AZ83=$BG$29),$BE$22,IF(OR('Zdroj data'!AZ83=$AY$29,'Zdroj data'!AZ83=$BA$29),$AY$22," ")))))</f>
        <v>10</v>
      </c>
      <c r="Z83" s="264">
        <f>IF(AND('Zdroj data'!BF83="T",(OR('Zdroj data'!AZ83=Body!$AW$45,'Zdroj data'!AZ83=Body!$AW$46,'Zdroj data'!AZ83=Body!$AW$47,'Zdroj data'!AZ83=Body!$AW$48))),Body!$AY$22,IF(AND('Zdroj data'!BF83="T",(OR('Zdroj data'!AZ83=$AW$49,'Zdroj data'!AZ83=$AW$50,'Zdroj data'!AZ83=$AW$51,'Zdroj data'!AZ83=$AW$52))),$BZ$22,IF(AND(OR('Zdroj data'!BF83="VT",'Zdroj data'!BF83="T",'Zdroj data'!BF83="CH"),(OR('Zdroj data'!AZ83=$AW$43,'Zdroj data'!AZ83=$AW$44,))),$BZ$22,IF(AND('Zdroj data'!BF83="CH",(OR('Zdroj data'!AZ83=$AW$49,'Zdroj data'!AZ83=$AW$50,'Zdroj data'!AZ83=$AW$51,'Zdroj data'!AZ83=$AW$52))),$AY$22,IF(AND('Zdroj data'!BF83="CH",(OR('Zdroj data'!AZ83=$AW$45,'Zdroj data'!AZ83=$AW$46,'Zdroj data'!AZ83=$AW$47,'Zdroj data'!AZ83=$AW$48))),$BZ$22," ")))))</f>
        <v>10</v>
      </c>
      <c r="AA83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83" s="264">
        <f>IF(Tabulka1[[#This Row],[kv.ek.]]=Body!$BK$35,Body!$BK$34,IF(Tabulka1[[#This Row],[kv.ek.]]=Body!$BZ$35,Body!$BZ$34," "))</f>
        <v>5</v>
      </c>
      <c r="AC83" s="264" t="str">
        <f>IF(AND('Zdroj data'!BF83="T",(OR('Zdroj data'!AZ83=Body!$AW$45,'Zdroj data'!AZ83=Body!$AW$46,'Zdroj data'!AZ83=Body!$AW$47,'Zdroj data'!AZ83=Body!$AW$48))),Body!$AY$22,IF(AND('Zdroj data'!BF83="T",(OR('Zdroj data'!AZ83=$AW$49,'Zdroj data'!AZ83=$AW$50,'Zdroj data'!AZ83=$AW$51,'Zdroj data'!AZ83=$AW$52))),$BZ$22," "))</f>
        <v xml:space="preserve"> </v>
      </c>
      <c r="AD83" s="264">
        <f>IF(AND(OR('Zdroj data'!BF83="VT",'Zdroj data'!BF83="T",'Zdroj data'!BF83="CH"),(OR('Zdroj data'!AZ83=$AW$43,'Zdroj data'!AZ83=$AW$44,))),$BZ$22," ")</f>
        <v>10</v>
      </c>
      <c r="AE83" s="264" t="str">
        <f>IF(AND('Zdroj data'!BF83="CH",(OR('Zdroj data'!AZ83=$AW$49,'Zdroj data'!AZ83=$AW$50,'Zdroj data'!AZ83=$AW$51,'Zdroj data'!AZ83=$AW$52))),$AY$22,IF(AND('Zdroj data'!BF83="CH",(OR('Zdroj data'!AZ83=$AW$45,'Zdroj data'!AZ83=$AW$46,'Zdroj data'!AZ83=$AW$47,'Zdroj data'!AZ83=$AW$48))),$BZ$22," "))</f>
        <v xml:space="preserve"> </v>
      </c>
      <c r="AF83" s="264">
        <f>IF(AND('Zdroj data'!BG83="L",'Zdroj data'!AM83=Body!$AX$15),IF(AND('Zdroj data'!O83&gt;=Body!$AY$15,'Zdroj data'!O83&lt;=Body!$BA$15),Body!AY$6,IF(AND('Zdroj data'!O83&gt;=Body!$BB$15,'Zdroj data'!O83&lt;=Body!$BD$15),Body!BB$6,IF(AND('Zdroj data'!O83&gt;=Body!$BE$15,'Zdroj data'!O83&lt;=Body!$BG$15),Body!BE$6,IF(AND('Zdroj data'!O83&gt;=Body!$BH$15,'Zdroj data'!O83&lt;=Body!$BJ$15),Body!BH$6,IF(AND('Zdroj data'!O83&gt;=Body!$BK$15,'Zdroj data'!O83&lt;=Body!$BM$15),Body!BK$6,IF(AND('Zdroj data'!O83&gt;=Body!$BN$15,'Zdroj data'!O83&lt;=Body!$BP$15),Body!$BN$6,IF(AND('Zdroj data'!O83&gt;=Body!$BQ$15,'Zdroj data'!O83&lt;=Body!$BS$15),Body!$BQ$6,IF(AND('Zdroj data'!O83&gt;=Body!$BT$15,'Zdroj data'!O83&lt;=Body!$BV$15),Body!BT$6,IF(AND('Zdroj data'!O83&gt;=Body!$BW$15,'Zdroj data'!O83&lt;=Body!$BY$15),Body!$BW$6,IF('Zdroj data'!O83&gt;=Body!$CB$15,Body!$BZ$6," ")))))))))),IF(AND('Zdroj data'!BG83="ST",'Zdroj data'!AM83=Body!$AX$16),IF(AND('Zdroj data'!O83&gt;=Body!$AY$16,'Zdroj data'!O83&lt;=Body!$BA$16),Body!$AY$6,IF(AND('Zdroj data'!O83&gt;=Body!$BB$16,'Zdroj data'!O83&lt;=Body!$BD$16),Body!$BB$6,IF(AND('Zdroj data'!O83&gt;=Body!$BE$16,'Zdroj data'!O83&lt;=Body!$BG$16),Body!$BE$6,IF(AND('Zdroj data'!O83&gt;=Body!$BH$16,'Zdroj data'!O83&lt;=Body!$BJ$16),Body!$BH$6,IF(AND('Zdroj data'!O83&gt;=Body!$BK$16,'Zdroj data'!O83&lt;=Body!$BM$16),Body!$BK$6,IF(AND('Zdroj data'!O83&gt;=Body!$BN$16,'Zdroj data'!O83&lt;=Body!$BP$16),Body!$BN$6,IF(AND('Zdroj data'!O83&gt;=Body!$BQ$16,'Zdroj data'!O83&lt;=Body!$BS$16),Body!$BQ$6,IF(AND('Zdroj data'!O83&gt;=Body!$BT$16,'Zdroj data'!O83&lt;=Body!$BV$16),Body!$BT$6,IF(AND('Zdroj data'!O83&gt;=Body!$BW$16,'Zdroj data'!O83&lt;=Body!$BY$16),Body!$BW$6,IF('Zdroj data'!O83&gt;=Body!$CB$16,Body!$BZ$6," ")))))))))),IF(AND('Zdroj data'!BG83="T",'Zdroj data'!AM83=Body!$AX$17),IF(AND('Zdroj data'!O83&gt;=Body!$AY$17,'Zdroj data'!O83&lt;=Body!$BA$17),Body!$AY$6,IF(AND('Zdroj data'!O83&gt;=Body!$BB$17,'Zdroj data'!O83&lt;=Body!$BD$17),Body!$BB$6,IF(AND('Zdroj data'!O83&gt;=Body!$BE$17,'Zdroj data'!O83&lt;=Body!$BG$17),Body!$BE$6,IF(AND('Zdroj data'!O83&gt;=Body!$BH$17,'Zdroj data'!O83&lt;=Body!BJ97),Body!$BH$6,IF(AND('Zdroj data'!O83&gt;=Body!$BK$17,'Zdroj data'!O83&lt;=Body!$BM$17),Body!$BK$6,IF(AND('Zdroj data'!O83&gt;=Body!$BN$17,'Zdroj data'!O83&lt;=Body!$BP$17),Body!$BN$6,IF(AND('Zdroj data'!O83&gt;=Body!$BQ$17,'Zdroj data'!O83&lt;=Body!$BS$17),Body!$BQ$6,IF(AND('Zdroj data'!O83&gt;=Body!$BT$17,'Zdroj data'!O83&lt;=Body!$BV$17),Body!$BT$6,IF(AND('Zdroj data'!O83&gt;=Body!$BW$17,'Zdroj data'!O83&lt;=Body!$BY$17),Body!$BW$6,IF('Zdroj data'!O83&gt;=Body!$CB$17,Body!$BZ$6," "))))))))))," ")))</f>
        <v>2</v>
      </c>
      <c r="AG83" s="264">
        <f>IF(AND('Zdroj data'!$BG83="L",'Zdroj data'!$AM83=Body!$AX$15),IF(AND(Tabulka1[[#This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data'!$BG83="ST",'Zdroj data'!$AM83=Body!$AX$16),IF(AND(Tabulka1[[#This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data'!$BG83="T",'Zdroj data'!$AM83=Body!$AX$17),IF(AND(Tabulka1[[#This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Row],[K2O_60]]&lt;=Body!BJ97),Body!$BH$6,IF(AND(Tabulka1[[#This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83" s="264" t="str">
        <f>IF(AND('Zdroj data'!BG83="L",'Zdroj data'!AM83=Body!$AX$18),IF(AND('Zdroj data'!O83&gt;=Body!$AY$18,'Zdroj data'!O83&lt;=Body!$BA$18),Body!AY$6,IF(AND('Zdroj data'!O83&gt;=Body!$BB$18,'Zdroj data'!O83&lt;=Body!$BD$18),Body!BB$6,IF(AND('Zdroj data'!O83&gt;=Body!$BE$18,'Zdroj data'!O83&lt;=Body!$BG$18),Body!BE$6,IF(AND('Zdroj data'!O83&gt;=Body!$BH$18,'Zdroj data'!O83&lt;=Body!$BJ$18),Body!BH$6,IF(AND('Zdroj data'!O83&gt;=Body!$BK$18,'Zdroj data'!O83&lt;=Body!$BM$18),Body!$BK$6,IF(AND('Zdroj data'!O83&gt;=Body!$BN$18,'Zdroj data'!O83&lt;=Body!$BP$18),Body!BN$6,IF(AND('Zdroj data'!O83&gt;=Body!$BQ$18,'Zdroj data'!O83&lt;=Body!$BS$18),Body!$BQ$6,IF(AND('Zdroj data'!O83&gt;=Body!$BT$18,'Zdroj data'!O83&lt;=Body!$BV$18),Body!$BT$6,IF(AND('Zdroj data'!O83&gt;=Body!$BW$18,'Zdroj data'!O83&lt;=Body!$BY$18),Body!$BW$6,IF('Zdroj data'!O83&gt;=Body!$CB$18,Body!$BZ$6," ")))))))))),IF(AND('Zdroj data'!BG83="ST",'Zdroj data'!AM83=Body!$AX$19),IF(AND('Zdroj data'!O83&gt;=Body!$AY$19,'Zdroj data'!O83&lt;=Body!$BA$19),Body!$AY$6,IF(AND('Zdroj data'!O83&gt;=Body!$BB$19,'Zdroj data'!O83&lt;=Body!$BD$19),Body!$BB$6,IF(AND('Zdroj data'!O83&gt;=Body!$BE$19,'Zdroj data'!O83&lt;=Body!$BG$19),Body!$BE$6,IF(AND('Zdroj data'!O83&gt;=Body!$BH$19,'Zdroj data'!O83&lt;=Body!$BJ$19),Body!$BH$6,IF(AND('Zdroj data'!O83&gt;=Body!$BK$19,'Zdroj data'!O83&lt;=Body!$BM$19),Body!$BK$6,IF(AND('Zdroj data'!O83&gt;=Body!$BN$19,'Zdroj data'!O83&lt;=Body!$BP$19),Body!$BN$6,IF(AND('Zdroj data'!O83&gt;=Body!$BQ$19,'Zdroj data'!O83&lt;=Body!$BS$19),Body!$BQ$6,IF(AND('Zdroj data'!O83&gt;=Body!$BT$19,'Zdroj data'!O87&lt;=Body!$BV$19),Body!$BT$6,IF(AND('Zdroj data'!O83&gt;=Body!$BW$19,'Zdroj data'!O83&lt;=Body!$BY$19),Body!$BW$6,IF('Zdroj data'!O83&gt;=Body!$CB$19,Body!$BZ$6," ")))))))))),IF(AND('Zdroj data'!BG83="T",'Zdroj data'!AM83=Body!$AX$20),IF(AND('Zdroj data'!O83&gt;=Body!$AY$20,'Zdroj data'!O83&lt;=Body!$BA$20),Body!$AY$6,IF(AND('Zdroj data'!O83&gt;=Body!$BB$20,'Zdroj data'!O83&lt;=Body!$BD$20),Body!$BB$6,IF(AND('Zdroj data'!O83&gt;=Body!$BE$20,'Zdroj data'!O83&lt;=Body!$BG$20),Body!$BE$6,IF(AND('Zdroj data'!O83&gt;=Body!$BH$20,'Zdroj data'!O83&lt;=Body!$BJ$20),Body!$BH$6,IF(AND('Zdroj data'!O83&gt;=Body!$BK$20,'Zdroj data'!O83&lt;=Body!$BM$20),Body!$BK$6,IF(AND('Zdroj data'!O83&gt;=Body!$BN$20,'Zdroj data'!O83&lt;=Body!$BP$20),Body!$BN$6,IF(AND('Zdroj data'!O83&gt;=Body!$BQ$20,'Zdroj data'!O83&lt;=Body!$BS$20),Body!$BQ$6,IF(AND('Zdroj data'!O83&gt;=Body!$BT$20,'Zdroj data'!O83&lt;=Body!#REF!),Body!$BT$6,IF(AND('Zdroj data'!O83&gt;=Body!$BW$20,'Zdroj data'!O83&lt;=Body!$BY$20),Body!$BW$6,IF('Zdroj data'!O83&gt;=Body!$CB$20,Body!$BZ$6," "))))))))))," ")))</f>
        <v xml:space="preserve"> </v>
      </c>
      <c r="AI83" s="264" t="str">
        <f>IF(AND('Zdroj data'!$BG83="L",'Zdroj data'!$AM83=Body!$AX$18),IF(AND(Tabulka1[[#This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data'!$BG83="ST",'Zdroj data'!$AM83=Body!$AX$19),IF(AND(Tabulka1[[#This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data'!$BG83="T",'Zdroj data'!$AM83=Body!$AX$20),IF(AND(Tabulka1[[#This Row],[K2O_60]]&gt;=Body!$AY$20,'Zdroj data'!O83&lt;=Body!$BA$20),Body!$AY$6,IF(AND(Tabulka1[[#This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83" s="265">
        <f t="shared" si="13"/>
        <v>14.666666666666682</v>
      </c>
      <c r="AK83" s="264">
        <f t="shared" si="14"/>
        <v>20.412270038446412</v>
      </c>
      <c r="AL83" s="264">
        <f t="shared" si="15"/>
        <v>19.078427328119872</v>
      </c>
      <c r="AM83" s="264">
        <f t="shared" si="16"/>
        <v>58.217469059524817</v>
      </c>
      <c r="AN83" s="264">
        <f t="shared" si="17"/>
        <v>47.301034730968858</v>
      </c>
      <c r="AO83" s="265">
        <f t="shared" si="21"/>
        <v>78.629739097971225</v>
      </c>
      <c r="AP83" s="265">
        <f t="shared" si="18"/>
        <v>66.379462059088723</v>
      </c>
      <c r="AQ83" s="318"/>
      <c r="AR83" s="338">
        <f t="shared" si="19"/>
        <v>159.67586782372663</v>
      </c>
      <c r="AS83" s="318"/>
      <c r="AT83" s="138"/>
      <c r="AU83" s="138"/>
      <c r="AV83" t="s">
        <v>867</v>
      </c>
    </row>
    <row r="84" spans="1:48" ht="15.5" x14ac:dyDescent="0.35">
      <c r="A84" s="270">
        <v>4328</v>
      </c>
      <c r="B84" s="156" t="s">
        <v>533</v>
      </c>
      <c r="C84" s="250" t="str">
        <f>VLOOKUP(B84,'Zdroj hloubka okresy'!$A$2:$D$171,2,FALSE)</f>
        <v>Pribram</v>
      </c>
      <c r="D84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84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7</v>
      </c>
      <c r="F84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84" s="264">
        <f>IF(AND(Tabulka1[[#This Row],[hum_60]]&gt;AY90,Tabulka1[[#This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84" s="264">
        <f>IF(Tabulka1[[#This Row],[kv.ek.]]=Body!$AX$13,IF(AND('Zdroj data'!M84&gt;=Body!$AY$13,'Zdroj data'!M84&lt;=Body!$BA$13),Body!$AY$6,IF(AND('Zdroj data'!M84&gt;=Body!$BB$13,'Zdroj data'!M84&lt;=Body!$BD$13),Body!$BB$6,IF(AND('Zdroj data'!M84&gt;=Body!$BE$13,'Zdroj data'!M84&lt;=Body!$BG$13),Body!$BE$6,IF(AND('Zdroj data'!M84&gt;=Body!$BH$13,'Zdroj data'!M84&lt;=Body!$BJ$13),Body!$BH$6,IF(AND('Zdroj data'!M84&gt;=Body!$BK$13,'Zdroj data'!M84&lt;=Body!$BM$13),Body!$BK$6,IF(AND('Zdroj data'!M84&gt;=Body!$BN$13,'Zdroj data'!M84&lt;=Body!$BP$13),Body!$BN$6,IF(AND('Zdroj data'!M84&gt;=Body!$BQ$13,'Zdroj data'!M84&lt;=Body!$BS$13),Body!$BQ$6,IF(AND('Zdroj data'!M84&gt;=Body!$BT$13,'Zdroj data'!M84&lt;=Body!$BV$13),Body!$BT$6,IF(AND('Zdroj data'!M84&gt;=Body!$BW$13,'Zdroj data'!M84&lt;=Body!$BY$13),Body!$BW$6,IF('Zdroj data'!M84&gt;=Body!$CB$13,Body!$BZ$6," ")))))))))),IF(Tabulka1[[#This Row],[kv.ek.]]=Body!$AX$14,IF(AND('Zdroj data'!N84&gt;=Body!$AY$14,'Zdroj data'!N84&lt;=Body!$BA$14),Body!$AY$6,IF(AND('Zdroj data'!N84&gt;=Body!$BB$14,'Zdroj data'!N84&lt;=Body!$BD$14),Body!$BB$6,IF(AND('Zdroj data'!N84&gt;=Body!$BE$14,'Zdroj data'!N84&lt;=Body!$BG$14),Body!$BE$6,IF(AND('Zdroj data'!N84&gt;=Body!$BH$14,'Zdroj data'!N84&lt;=Body!$BJ$14),Body!$BH$6,IF(AND('Zdroj data'!N84&gt;=Body!$BK$14,'Zdroj data'!N84&lt;=Body!$BM$14),Body!$BK$6,IF(AND('Zdroj data'!N84&gt;=Body!$BN$14,'Zdroj data'!N84&lt;=Body!$BP$14),Body!$BN$6,IF(AND('Zdroj data'!N84&gt;=Body!$BQ$14,'Zdroj data'!N84&lt;=Body!$BS$14),Body!$BQ$6,IF(AND('Zdroj data'!N84&gt;=Body!$BT$14,'Zdroj data'!N84&lt;=Body!$BV$14),Body!$BT$6,IF(AND('Zdroj data'!N84&gt;=Body!$BW$14,'Zdroj data'!N84&lt;=Body!$BY$14),Body!$BW$6,IF('Zdroj data'!N84&gt;=Body!$CB$14,Body!$BZ$6," "))))))))))," "))</f>
        <v>1</v>
      </c>
      <c r="I84" s="264">
        <f>IF(Tabulka1[[#This Row],[kv.ek.]]=Body!$AX$13,IF(AND('Zdroj data'!N84&gt;=Body!$AY$13,'Zdroj data'!N84&lt;=Body!$BA$13),Body!$AY$6,IF(AND('Zdroj data'!N84&gt;=Body!$BB$13,'Zdroj data'!N84&lt;=Body!$BD$13),Body!$BB$6,IF(AND('Zdroj data'!N84&gt;=Body!$BE$13,'Zdroj data'!N84&lt;=Body!$BG$13),Body!$BE$6,IF(AND('Zdroj data'!N84&gt;=Body!$BH$13,'Zdroj data'!N84&lt;=Body!$BJ$13),Body!$BH$6,IF(AND('Zdroj data'!N84&gt;=Body!$BK$13,'Zdroj data'!N84&lt;=Body!$BM$13),Body!$BK$6,IF(AND('Zdroj data'!N84&gt;=Body!$BN$13,'Zdroj data'!N84&lt;=Body!$BP$13),Body!$BN$6,IF(AND('Zdroj data'!N84&gt;=Body!$BQ$13,'Zdroj data'!N84&lt;=Body!$BS$13),Body!$BQ$6,IF(AND('Zdroj data'!N84&gt;=Body!$BT$13,'Zdroj data'!N84&lt;=Body!$BV$13),Body!$BT$6,IF(AND('Zdroj data'!N84&gt;=Body!$BW$13,'Zdroj data'!N84&lt;=Body!$BY$13),Body!$BW$6,IF('Zdroj data'!N84&gt;=Body!$CB$13,Body!$BZ$6," ")))))))))),IF(Tabulka1[[#This Row],[kv.ek.]]=Body!$AX$14,IF(AND('Zdroj data'!O84&gt;=Body!$AY$14,'Zdroj data'!O84&lt;=Body!$BA$14),Body!$AY$6,IF(AND('Zdroj data'!O84&gt;=Body!$BB$14,'Zdroj data'!O84&lt;=Body!$BD$14),Body!$BB$6,IF(AND('Zdroj data'!O84&gt;=Body!$BE$14,'Zdroj data'!O84&lt;=Body!$BG$14),Body!$BE$6,IF(AND('Zdroj data'!O84&gt;=Body!$BH$14,'Zdroj data'!O84&lt;=Body!$BJ$14),Body!$BH$6,IF(AND('Zdroj data'!O84&gt;=Body!$BK$14,'Zdroj data'!O84&lt;=Body!$BM$14),Body!$BK$6,IF(AND('Zdroj data'!O84&gt;=Body!$BN$14,'Zdroj data'!O84&lt;=Body!$BP$14),Body!$BN$6,IF(AND('Zdroj data'!O84&gt;=Body!$BQ$14,'Zdroj data'!O84&lt;=Body!$BS$14),Body!$BQ$6,IF(AND('Zdroj data'!O84&gt;=Body!$BT$14,'Zdroj data'!O84&lt;=Body!$BV$14),Body!$BT$6,IF(AND('Zdroj data'!O84&gt;=Body!$BW$14,'Zdroj data'!O84&lt;=Body!$BY$14),Body!$BW$6,IF('Zdroj data'!O84&gt;=Body!$CB$14,Body!$BZ$6," "))))))))))," "))</f>
        <v>1</v>
      </c>
      <c r="J84" s="264">
        <f t="shared" ref="J84:K99" si="23">IF(AF84=" ",AH84,AF84)</f>
        <v>1</v>
      </c>
      <c r="K84" s="264">
        <f t="shared" si="22"/>
        <v>1</v>
      </c>
      <c r="L84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7</v>
      </c>
      <c r="M84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6</v>
      </c>
      <c r="N84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84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84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84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84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84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84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6</v>
      </c>
      <c r="U84" s="264">
        <f>IF('Zdroj data'!BB84=Body!$AY$25,Body!$AY$22,IF('Zdroj data'!BB84=Body!$BB$25,Body!$BB$22,IF('Zdroj data'!BB84=Body!$BE$25,Body!$BE$22,IF('Zdroj data'!BB84=Body!$BH$25,Body!$BH$22,IF('Zdroj data'!BB84=Body!BK$25,Body!$BK$22,IF('Zdroj data'!BB84=Body!$BN$25,Body!$BN$22,IF('Zdroj data'!BB84=Body!$BQ$25,Body!$BQ$22,IF('Zdroj data'!BB84=Body!$BT$25,Body!$BT$22,IF('Zdroj data'!BB84=Body!$BW$25,Body!$BW$22,IF('Zdroj data'!BB84=Body!$BZ$25,Body!$BZ$22," "))))))))))</f>
        <v>5</v>
      </c>
      <c r="V84" s="264">
        <f>IF(AND('Zdroj data'!BO84&gt;Body!$AY$27,'Zdroj data'!BO84&lt;=Body!$BA$27),Body!$AY$22,IF(AND('Zdroj data'!BO84&gt;=Body!$BB$27,'Zdroj data'!BO84&lt;=Body!$BD$27),Body!$BB$22,IF(AND('Zdroj data'!BO84&gt;=Body!$BE$27,'Zdroj data'!BO84&lt;=Body!$BG$27),Body!$BE$22,IF(AND('Zdroj data'!BO84&gt;=Body!$BH$27,'Zdroj data'!BO84&lt;=Body!$BJ$27),Body!$BH$22,IF(AND('Zdroj data'!BO84&gt;=Body!$BK$27,'Zdroj data'!BO84&lt;=Body!$BM$27),Body!$BK$22,IF(AND('Zdroj data'!BO84&gt;=Body!$BN$27,'Zdroj data'!BO84&lt;=Body!$BP$27),Body!$BN$22,IF(AND('Zdroj data'!BO84&gt;=Body!$BQ$27,'Zdroj data'!BO84&lt;=Body!$BS$27),Body!$BQ$22,IF(AND('Zdroj data'!BO84&gt;=Body!$BT$27,'Zdroj data'!BO84&lt;=Body!$BV$27),Body!$BT$22,IF(AND('Zdroj data'!BO84&gt;=Body!$BW$27,'Zdroj data'!BO84&lt;=Body!$BY$27),Body!$BW$22,IF('Zdroj data'!BO84&gt;=Body!$CB$27,$BZ$22," "))))))))))</f>
        <v>6</v>
      </c>
      <c r="W84" s="264">
        <f>IF(AND('Zdroj data'!BP84&gt;Body!$AY$27,'Zdroj data'!BP84&lt;=Body!$BA$27),Body!$AY$22,IF(AND('Zdroj data'!BP84&gt;=Body!$BB$27,'Zdroj data'!BP84&lt;=Body!$BD$27),Body!$BB$22,IF(AND('Zdroj data'!BP84&gt;=Body!$BE$27,'Zdroj data'!BP84&lt;=Body!$BG$27),Body!$BE$22,IF(AND('Zdroj data'!BP84&gt;=Body!$BH$27,'Zdroj data'!BP84&lt;=Body!$BJ$27),Body!$BH$22,IF(AND('Zdroj data'!BP84&gt;=Body!$BK$27,'Zdroj data'!BP84&lt;=Body!$BM$27),Body!$BK$22,IF(AND('Zdroj data'!BP84&gt;=Body!$BN$27,'Zdroj data'!BP84&lt;=Body!$BP$27),Body!$BN$22,IF(AND('Zdroj data'!BP84&gt;=Body!$BQ$27,'Zdroj data'!BP84&lt;=Body!$BS$27),Body!$BQ$22,IF(AND('Zdroj data'!BP84&gt;=Body!$BT$27,'Zdroj data'!BP84&lt;=Body!$BV$27),Body!$BT$22,IF(AND('Zdroj data'!BP84&gt;=Body!$BW$27,'Zdroj data'!BP84&lt;=Body!$BY$27),Body!$BW$22,IF('Zdroj data'!BP84&gt;=Body!$CB$27,$BZ$22," "))))))))))</f>
        <v>6</v>
      </c>
      <c r="X84" s="264">
        <f>IF('Zdroj data'!BA84=Body!$BB$28,$BB$22,IF('Zdroj data'!BA84=Body!$BE$28,$BE$22,IF(OR('Zdroj data'!BA84=Body!$BK$28,'Zdroj data'!BA84=Body!$BL$28,'Zdroj data'!BA84=Body!$BM$28),$BK$22,IF(OR('Zdroj data'!BA84=Body!$BT$28,'Zdroj data'!BA84=Body!$BV$28),$BT$22,IF(OR('Zdroj data'!BA84=Body!$BW$28,'Zdroj data'!BA84=Body!$BY$28),$BW$22,IF('Zdroj data'!BA84=Body!$BZ$28,$BZ$22," "))))))</f>
        <v>10</v>
      </c>
      <c r="Y84" s="264">
        <f>IF('Zdroj data'!AZ84=Body!$BZ$29,Body!$BZ$22,IF(OR('Zdroj data'!AZ84=$BT$29,'Zdroj data'!AZ84=$BU$29,'Zdroj data'!AZ84=$BV$29),$BT$22,IF(OR('Zdroj data'!AZ84=$BK$29,'Zdroj data'!AZ84=$BM$29),$BK$22,IF(OR('Zdroj data'!AZ84=$BE$29,'Zdroj data'!AZ84=$BG$29),$BE$22,IF(OR('Zdroj data'!AZ84=$AY$29,'Zdroj data'!AZ84=$BA$29),$AY$22," ")))))</f>
        <v>8</v>
      </c>
      <c r="Z84" s="264">
        <f>IF(AND('Zdroj data'!BF84="T",(OR('Zdroj data'!AZ84=Body!$AW$45,'Zdroj data'!AZ84=Body!$AW$46,'Zdroj data'!AZ84=Body!$AW$47,'Zdroj data'!AZ84=Body!$AW$48))),Body!$AY$22,IF(AND('Zdroj data'!BF84="T",(OR('Zdroj data'!AZ84=$AW$49,'Zdroj data'!AZ84=$AW$50,'Zdroj data'!AZ84=$AW$51,'Zdroj data'!AZ84=$AW$52))),$BZ$22,IF(AND(OR('Zdroj data'!BF84="VT",'Zdroj data'!BF84="T",'Zdroj data'!BF84="CH"),(OR('Zdroj data'!AZ84=$AW$43,'Zdroj data'!AZ84=$AW$44,))),$BZ$22,IF(AND('Zdroj data'!BF84="CH",(OR('Zdroj data'!AZ84=$AW$49,'Zdroj data'!AZ84=$AW$50,'Zdroj data'!AZ84=$AW$51,'Zdroj data'!AZ84=$AW$52))),$AY$22,IF(AND('Zdroj data'!BF84="CH",(OR('Zdroj data'!AZ84=$AW$45,'Zdroj data'!AZ84=$AW$46,'Zdroj data'!AZ84=$AW$47,'Zdroj data'!AZ84=$AW$48))),$BZ$22," ")))))</f>
        <v>10</v>
      </c>
      <c r="AA84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84" s="264">
        <f>IF(Tabulka1[[#This Row],[kv.ek.]]=Body!$BK$35,Body!$BK$34,IF(Tabulka1[[#This Row],[kv.ek.]]=Body!$BZ$35,Body!$BZ$34," "))</f>
        <v>5</v>
      </c>
      <c r="AC84" s="264" t="str">
        <f>IF(AND('Zdroj data'!BF84="T",(OR('Zdroj data'!AZ84=Body!$AW$45,'Zdroj data'!AZ84=Body!$AW$46,'Zdroj data'!AZ84=Body!$AW$47,'Zdroj data'!AZ84=Body!$AW$48))),Body!$AY$22,IF(AND('Zdroj data'!BF84="T",(OR('Zdroj data'!AZ84=$AW$49,'Zdroj data'!AZ84=$AW$50,'Zdroj data'!AZ84=$AW$51,'Zdroj data'!AZ84=$AW$52))),$BZ$22," "))</f>
        <v xml:space="preserve"> </v>
      </c>
      <c r="AD84" s="264">
        <f>IF(AND(OR('Zdroj data'!BF84="VT",'Zdroj data'!BF84="T",'Zdroj data'!BF84="CH"),(OR('Zdroj data'!AZ84=$AW$43,'Zdroj data'!AZ84=$AW$44,))),$BZ$22," ")</f>
        <v>10</v>
      </c>
      <c r="AE84" s="264" t="str">
        <f>IF(AND('Zdroj data'!BF84="CH",(OR('Zdroj data'!AZ84=$AW$49,'Zdroj data'!AZ84=$AW$50,'Zdroj data'!AZ84=$AW$51,'Zdroj data'!AZ84=$AW$52))),$AY$22,IF(AND('Zdroj data'!BF84="CH",(OR('Zdroj data'!AZ84=$AW$45,'Zdroj data'!AZ84=$AW$46,'Zdroj data'!AZ84=$AW$47,'Zdroj data'!AZ84=$AW$48))),$BZ$22," "))</f>
        <v xml:space="preserve"> </v>
      </c>
      <c r="AF84" s="264">
        <f>IF(AND('Zdroj data'!BG84="L",'Zdroj data'!AM84=Body!$AX$15),IF(AND('Zdroj data'!O84&gt;=Body!$AY$15,'Zdroj data'!O84&lt;=Body!$BA$15),Body!AY$6,IF(AND('Zdroj data'!O84&gt;=Body!$BB$15,'Zdroj data'!O84&lt;=Body!$BD$15),Body!BB$6,IF(AND('Zdroj data'!O84&gt;=Body!$BE$15,'Zdroj data'!O84&lt;=Body!$BG$15),Body!BE$6,IF(AND('Zdroj data'!O84&gt;=Body!$BH$15,'Zdroj data'!O84&lt;=Body!$BJ$15),Body!BH$6,IF(AND('Zdroj data'!O84&gt;=Body!$BK$15,'Zdroj data'!O84&lt;=Body!$BM$15),Body!BK$6,IF(AND('Zdroj data'!O84&gt;=Body!$BN$15,'Zdroj data'!O84&lt;=Body!$BP$15),Body!$BN$6,IF(AND('Zdroj data'!O84&gt;=Body!$BQ$15,'Zdroj data'!O84&lt;=Body!$BS$15),Body!$BQ$6,IF(AND('Zdroj data'!O84&gt;=Body!$BT$15,'Zdroj data'!O84&lt;=Body!$BV$15),Body!BT$6,IF(AND('Zdroj data'!O84&gt;=Body!$BW$15,'Zdroj data'!O84&lt;=Body!$BY$15),Body!$BW$6,IF('Zdroj data'!O84&gt;=Body!$CB$15,Body!$BZ$6," ")))))))))),IF(AND('Zdroj data'!BG84="ST",'Zdroj data'!AM84=Body!$AX$16),IF(AND('Zdroj data'!O84&gt;=Body!$AY$16,'Zdroj data'!O84&lt;=Body!$BA$16),Body!$AY$6,IF(AND('Zdroj data'!O84&gt;=Body!$BB$16,'Zdroj data'!O84&lt;=Body!$BD$16),Body!$BB$6,IF(AND('Zdroj data'!O84&gt;=Body!$BE$16,'Zdroj data'!O84&lt;=Body!$BG$16),Body!$BE$6,IF(AND('Zdroj data'!O84&gt;=Body!$BH$16,'Zdroj data'!O84&lt;=Body!$BJ$16),Body!$BH$6,IF(AND('Zdroj data'!O84&gt;=Body!$BK$16,'Zdroj data'!O84&lt;=Body!$BM$16),Body!$BK$6,IF(AND('Zdroj data'!O84&gt;=Body!$BN$16,'Zdroj data'!O84&lt;=Body!$BP$16),Body!$BN$6,IF(AND('Zdroj data'!O84&gt;=Body!$BQ$16,'Zdroj data'!O84&lt;=Body!$BS$16),Body!$BQ$6,IF(AND('Zdroj data'!O84&gt;=Body!$BT$16,'Zdroj data'!O84&lt;=Body!$BV$16),Body!$BT$6,IF(AND('Zdroj data'!O84&gt;=Body!$BW$16,'Zdroj data'!O84&lt;=Body!$BY$16),Body!$BW$6,IF('Zdroj data'!O84&gt;=Body!$CB$16,Body!$BZ$6," ")))))))))),IF(AND('Zdroj data'!BG84="T",'Zdroj data'!AM84=Body!$AX$17),IF(AND('Zdroj data'!O84&gt;=Body!$AY$17,'Zdroj data'!O84&lt;=Body!$BA$17),Body!$AY$6,IF(AND('Zdroj data'!O84&gt;=Body!$BB$17,'Zdroj data'!O84&lt;=Body!$BD$17),Body!$BB$6,IF(AND('Zdroj data'!O84&gt;=Body!$BE$17,'Zdroj data'!O84&lt;=Body!$BG$17),Body!$BE$6,IF(AND('Zdroj data'!O84&gt;=Body!$BH$17,'Zdroj data'!O84&lt;=Body!BJ98),Body!$BH$6,IF(AND('Zdroj data'!O84&gt;=Body!$BK$17,'Zdroj data'!O84&lt;=Body!$BM$17),Body!$BK$6,IF(AND('Zdroj data'!O84&gt;=Body!$BN$17,'Zdroj data'!O84&lt;=Body!$BP$17),Body!$BN$6,IF(AND('Zdroj data'!O84&gt;=Body!$BQ$17,'Zdroj data'!O84&lt;=Body!$BS$17),Body!$BQ$6,IF(AND('Zdroj data'!O84&gt;=Body!$BT$17,'Zdroj data'!O84&lt;=Body!$BV$17),Body!$BT$6,IF(AND('Zdroj data'!O84&gt;=Body!$BW$17,'Zdroj data'!O84&lt;=Body!$BY$17),Body!$BW$6,IF('Zdroj data'!O84&gt;=Body!$CB$17,Body!$BZ$6," "))))))))))," ")))</f>
        <v>1</v>
      </c>
      <c r="AG84" s="264">
        <f>IF(AND('Zdroj data'!$BG84="L",'Zdroj data'!$AM84=Body!$AX$15),IF(AND(Tabulka1[[#This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data'!$BG84="ST",'Zdroj data'!$AM84=Body!$AX$16),IF(AND(Tabulka1[[#This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data'!$BG84="T",'Zdroj data'!$AM84=Body!$AX$17),IF(AND(Tabulka1[[#This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Row],[K2O_60]]&lt;=Body!BJ98),Body!$BH$6,IF(AND(Tabulka1[[#This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84" s="264" t="str">
        <f>IF(AND('Zdroj data'!BG84="L",'Zdroj data'!AM84=Body!$AX$18),IF(AND('Zdroj data'!O84&gt;=Body!$AY$18,'Zdroj data'!O84&lt;=Body!$BA$18),Body!AY$6,IF(AND('Zdroj data'!O84&gt;=Body!$BB$18,'Zdroj data'!O84&lt;=Body!$BD$18),Body!BB$6,IF(AND('Zdroj data'!O84&gt;=Body!$BE$18,'Zdroj data'!O84&lt;=Body!$BG$18),Body!BE$6,IF(AND('Zdroj data'!O84&gt;=Body!$BH$18,'Zdroj data'!O84&lt;=Body!$BJ$18),Body!BH$6,IF(AND('Zdroj data'!O84&gt;=Body!$BK$18,'Zdroj data'!O84&lt;=Body!$BM$18),Body!$BK$6,IF(AND('Zdroj data'!O84&gt;=Body!$BN$18,'Zdroj data'!O84&lt;=Body!$BP$18),Body!BN$6,IF(AND('Zdroj data'!O84&gt;=Body!$BQ$18,'Zdroj data'!O84&lt;=Body!$BS$18),Body!$BQ$6,IF(AND('Zdroj data'!O84&gt;=Body!$BT$18,'Zdroj data'!O84&lt;=Body!$BV$18),Body!$BT$6,IF(AND('Zdroj data'!O84&gt;=Body!$BW$18,'Zdroj data'!O84&lt;=Body!$BY$18),Body!$BW$6,IF('Zdroj data'!O84&gt;=Body!$CB$18,Body!$BZ$6," ")))))))))),IF(AND('Zdroj data'!BG84="ST",'Zdroj data'!AM84=Body!$AX$19),IF(AND('Zdroj data'!O84&gt;=Body!$AY$19,'Zdroj data'!O84&lt;=Body!$BA$19),Body!$AY$6,IF(AND('Zdroj data'!O84&gt;=Body!$BB$19,'Zdroj data'!O84&lt;=Body!$BD$19),Body!$BB$6,IF(AND('Zdroj data'!O84&gt;=Body!$BE$19,'Zdroj data'!O84&lt;=Body!$BG$19),Body!$BE$6,IF(AND('Zdroj data'!O84&gt;=Body!$BH$19,'Zdroj data'!O84&lt;=Body!$BJ$19),Body!$BH$6,IF(AND('Zdroj data'!O84&gt;=Body!$BK$19,'Zdroj data'!O84&lt;=Body!$BM$19),Body!$BK$6,IF(AND('Zdroj data'!O84&gt;=Body!$BN$19,'Zdroj data'!O84&lt;=Body!$BP$19),Body!$BN$6,IF(AND('Zdroj data'!O84&gt;=Body!$BQ$19,'Zdroj data'!O84&lt;=Body!$BS$19),Body!$BQ$6,IF(AND('Zdroj data'!O84&gt;=Body!$BT$19,'Zdroj data'!O88&lt;=Body!$BV$19),Body!$BT$6,IF(AND('Zdroj data'!O84&gt;=Body!$BW$19,'Zdroj data'!O84&lt;=Body!$BY$19),Body!$BW$6,IF('Zdroj data'!O84&gt;=Body!$CB$19,Body!$BZ$6," ")))))))))),IF(AND('Zdroj data'!BG84="T",'Zdroj data'!AM84=Body!$AX$20),IF(AND('Zdroj data'!O84&gt;=Body!$AY$20,'Zdroj data'!O84&lt;=Body!$BA$20),Body!$AY$6,IF(AND('Zdroj data'!O84&gt;=Body!$BB$20,'Zdroj data'!O84&lt;=Body!$BD$20),Body!$BB$6,IF(AND('Zdroj data'!O84&gt;=Body!$BE$20,'Zdroj data'!O84&lt;=Body!$BG$20),Body!$BE$6,IF(AND('Zdroj data'!O84&gt;=Body!$BH$20,'Zdroj data'!O84&lt;=Body!$BJ$20),Body!$BH$6,IF(AND('Zdroj data'!O84&gt;=Body!$BK$20,'Zdroj data'!O84&lt;=Body!$BM$20),Body!$BK$6,IF(AND('Zdroj data'!O84&gt;=Body!$BN$20,'Zdroj data'!O84&lt;=Body!$BP$20),Body!$BN$6,IF(AND('Zdroj data'!O84&gt;=Body!$BQ$20,'Zdroj data'!O84&lt;=Body!$BS$20),Body!$BQ$6,IF(AND('Zdroj data'!O84&gt;=Body!$BT$20,'Zdroj data'!O84&lt;=Body!#REF!),Body!$BT$6,IF(AND('Zdroj data'!O84&gt;=Body!$BW$20,'Zdroj data'!O84&lt;=Body!$BY$20),Body!$BW$6,IF('Zdroj data'!O84&gt;=Body!$CB$20,Body!$BZ$6," "))))))))))," ")))</f>
        <v xml:space="preserve"> </v>
      </c>
      <c r="AI84" s="264" t="str">
        <f>IF(AND('Zdroj data'!$BG84="L",'Zdroj data'!$AM84=Body!$AX$18),IF(AND(Tabulka1[[#This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data'!$BG84="ST",'Zdroj data'!$AM84=Body!$AX$19),IF(AND(Tabulka1[[#This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data'!$BG84="T",'Zdroj data'!$AM84=Body!$AX$20),IF(AND(Tabulka1[[#This Row],[K2O_60]]&gt;=Body!$AY$20,'Zdroj data'!O84&lt;=Body!$BA$20),Body!$AY$6,IF(AND(Tabulka1[[#This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84" s="265">
        <f t="shared" si="13"/>
        <v>5.3333333333333375</v>
      </c>
      <c r="AK84" s="264">
        <f t="shared" si="14"/>
        <v>29.273566246199042</v>
      </c>
      <c r="AL84" s="264">
        <f t="shared" si="15"/>
        <v>24.017350088522832</v>
      </c>
      <c r="AM84" s="264">
        <f t="shared" si="16"/>
        <v>61.952800430740766</v>
      </c>
      <c r="AN84" s="264">
        <f t="shared" si="17"/>
        <v>58.039176473664781</v>
      </c>
      <c r="AO84" s="265">
        <f t="shared" si="21"/>
        <v>91.226366676939804</v>
      </c>
      <c r="AP84" s="265">
        <f t="shared" si="18"/>
        <v>82.056526562187614</v>
      </c>
      <c r="AQ84" s="318"/>
      <c r="AR84" s="338">
        <f t="shared" si="19"/>
        <v>178.61622657246076</v>
      </c>
      <c r="AS84" s="318"/>
      <c r="AT84" s="138"/>
      <c r="AU84" s="138"/>
    </row>
    <row r="85" spans="1:48" ht="15.5" x14ac:dyDescent="0.35">
      <c r="A85" s="270">
        <v>4331</v>
      </c>
      <c r="B85" s="156" t="s">
        <v>563</v>
      </c>
      <c r="C85" s="250" t="str">
        <f>VLOOKUP(B85,'Zdroj hloubka okresy'!$A$2:$D$171,2,FALSE)</f>
        <v>Pribram</v>
      </c>
      <c r="D85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85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85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85" s="264">
        <f>IF(AND(Tabulka1[[#This Row],[hum_60]]&gt;AY91,Tabulka1[[#This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85" s="264">
        <f>IF(Tabulka1[[#This Row],[kv.ek.]]=Body!$AX$13,IF(AND('Zdroj data'!M85&gt;=Body!$AY$13,'Zdroj data'!M85&lt;=Body!$BA$13),Body!$AY$6,IF(AND('Zdroj data'!M85&gt;=Body!$BB$13,'Zdroj data'!M85&lt;=Body!$BD$13),Body!$BB$6,IF(AND('Zdroj data'!M85&gt;=Body!$BE$13,'Zdroj data'!M85&lt;=Body!$BG$13),Body!$BE$6,IF(AND('Zdroj data'!M85&gt;=Body!$BH$13,'Zdroj data'!M85&lt;=Body!$BJ$13),Body!$BH$6,IF(AND('Zdroj data'!M85&gt;=Body!$BK$13,'Zdroj data'!M85&lt;=Body!$BM$13),Body!$BK$6,IF(AND('Zdroj data'!M85&gt;=Body!$BN$13,'Zdroj data'!M85&lt;=Body!$BP$13),Body!$BN$6,IF(AND('Zdroj data'!M85&gt;=Body!$BQ$13,'Zdroj data'!M85&lt;=Body!$BS$13),Body!$BQ$6,IF(AND('Zdroj data'!M85&gt;=Body!$BT$13,'Zdroj data'!M85&lt;=Body!$BV$13),Body!$BT$6,IF(AND('Zdroj data'!M85&gt;=Body!$BW$13,'Zdroj data'!M85&lt;=Body!$BY$13),Body!$BW$6,IF('Zdroj data'!M85&gt;=Body!$CB$13,Body!$BZ$6," ")))))))))),IF(Tabulka1[[#This Row],[kv.ek.]]=Body!$AX$14,IF(AND('Zdroj data'!N85&gt;=Body!$AY$14,'Zdroj data'!N85&lt;=Body!$BA$14),Body!$AY$6,IF(AND('Zdroj data'!N85&gt;=Body!$BB$14,'Zdroj data'!N85&lt;=Body!$BD$14),Body!$BB$6,IF(AND('Zdroj data'!N85&gt;=Body!$BE$14,'Zdroj data'!N85&lt;=Body!$BG$14),Body!$BE$6,IF(AND('Zdroj data'!N85&gt;=Body!$BH$14,'Zdroj data'!N85&lt;=Body!$BJ$14),Body!$BH$6,IF(AND('Zdroj data'!N85&gt;=Body!$BK$14,'Zdroj data'!N85&lt;=Body!$BM$14),Body!$BK$6,IF(AND('Zdroj data'!N85&gt;=Body!$BN$14,'Zdroj data'!N85&lt;=Body!$BP$14),Body!$BN$6,IF(AND('Zdroj data'!N85&gt;=Body!$BQ$14,'Zdroj data'!N85&lt;=Body!$BS$14),Body!$BQ$6,IF(AND('Zdroj data'!N85&gt;=Body!$BT$14,'Zdroj data'!N85&lt;=Body!$BV$14),Body!$BT$6,IF(AND('Zdroj data'!N85&gt;=Body!$BW$14,'Zdroj data'!N85&lt;=Body!$BY$14),Body!$BW$6,IF('Zdroj data'!N85&gt;=Body!$CB$14,Body!$BZ$6," "))))))))))," "))</f>
        <v>9</v>
      </c>
      <c r="I85" s="264">
        <f>IF(Tabulka1[[#This Row],[kv.ek.]]=Body!$AX$13,IF(AND('Zdroj data'!N85&gt;=Body!$AY$13,'Zdroj data'!N85&lt;=Body!$BA$13),Body!$AY$6,IF(AND('Zdroj data'!N85&gt;=Body!$BB$13,'Zdroj data'!N85&lt;=Body!$BD$13),Body!$BB$6,IF(AND('Zdroj data'!N85&gt;=Body!$BE$13,'Zdroj data'!N85&lt;=Body!$BG$13),Body!$BE$6,IF(AND('Zdroj data'!N85&gt;=Body!$BH$13,'Zdroj data'!N85&lt;=Body!$BJ$13),Body!$BH$6,IF(AND('Zdroj data'!N85&gt;=Body!$BK$13,'Zdroj data'!N85&lt;=Body!$BM$13),Body!$BK$6,IF(AND('Zdroj data'!N85&gt;=Body!$BN$13,'Zdroj data'!N85&lt;=Body!$BP$13),Body!$BN$6,IF(AND('Zdroj data'!N85&gt;=Body!$BQ$13,'Zdroj data'!N85&lt;=Body!$BS$13),Body!$BQ$6,IF(AND('Zdroj data'!N85&gt;=Body!$BT$13,'Zdroj data'!N85&lt;=Body!$BV$13),Body!$BT$6,IF(AND('Zdroj data'!N85&gt;=Body!$BW$13,'Zdroj data'!N85&lt;=Body!$BY$13),Body!$BW$6,IF('Zdroj data'!N85&gt;=Body!$CB$13,Body!$BZ$6," ")))))))))),IF(Tabulka1[[#This Row],[kv.ek.]]=Body!$AX$14,IF(AND('Zdroj data'!O85&gt;=Body!$AY$14,'Zdroj data'!O85&lt;=Body!$BA$14),Body!$AY$6,IF(AND('Zdroj data'!O85&gt;=Body!$BB$14,'Zdroj data'!O85&lt;=Body!$BD$14),Body!$BB$6,IF(AND('Zdroj data'!O85&gt;=Body!$BE$14,'Zdroj data'!O85&lt;=Body!$BG$14),Body!$BE$6,IF(AND('Zdroj data'!O85&gt;=Body!$BH$14,'Zdroj data'!O85&lt;=Body!$BJ$14),Body!$BH$6,IF(AND('Zdroj data'!O85&gt;=Body!$BK$14,'Zdroj data'!O85&lt;=Body!$BM$14),Body!$BK$6,IF(AND('Zdroj data'!O85&gt;=Body!$BN$14,'Zdroj data'!O85&lt;=Body!$BP$14),Body!$BN$6,IF(AND('Zdroj data'!O85&gt;=Body!$BQ$14,'Zdroj data'!O85&lt;=Body!$BS$14),Body!$BQ$6,IF(AND('Zdroj data'!O85&gt;=Body!$BT$14,'Zdroj data'!O85&lt;=Body!$BV$14),Body!$BT$6,IF(AND('Zdroj data'!O85&gt;=Body!$BW$14,'Zdroj data'!O85&lt;=Body!$BY$14),Body!$BW$6,IF('Zdroj data'!O85&gt;=Body!$CB$14,Body!$BZ$6," "))))))))))," "))</f>
        <v>8</v>
      </c>
      <c r="J85" s="264">
        <f t="shared" si="23"/>
        <v>3</v>
      </c>
      <c r="K85" s="264">
        <f t="shared" si="22"/>
        <v>2</v>
      </c>
      <c r="L85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85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85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85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6</v>
      </c>
      <c r="P85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85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85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85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85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85" s="264">
        <f>IF('Zdroj data'!BB85=Body!$AY$25,Body!$AY$22,IF('Zdroj data'!BB85=Body!$BB$25,Body!$BB$22,IF('Zdroj data'!BB85=Body!$BE$25,Body!$BE$22,IF('Zdroj data'!BB85=Body!$BH$25,Body!$BH$22,IF('Zdroj data'!BB85=Body!BK$25,Body!$BK$22,IF('Zdroj data'!BB85=Body!$BN$25,Body!$BN$22,IF('Zdroj data'!BB85=Body!$BQ$25,Body!$BQ$22,IF('Zdroj data'!BB85=Body!$BT$25,Body!$BT$22,IF('Zdroj data'!BB85=Body!$BW$25,Body!$BW$22,IF('Zdroj data'!BB85=Body!$BZ$25,Body!$BZ$22," "))))))))))</f>
        <v>5</v>
      </c>
      <c r="V85" s="264">
        <f>IF(AND('Zdroj data'!BO85&gt;Body!$AY$27,'Zdroj data'!BO85&lt;=Body!$BA$27),Body!$AY$22,IF(AND('Zdroj data'!BO85&gt;=Body!$BB$27,'Zdroj data'!BO85&lt;=Body!$BD$27),Body!$BB$22,IF(AND('Zdroj data'!BO85&gt;=Body!$BE$27,'Zdroj data'!BO85&lt;=Body!$BG$27),Body!$BE$22,IF(AND('Zdroj data'!BO85&gt;=Body!$BH$27,'Zdroj data'!BO85&lt;=Body!$BJ$27),Body!$BH$22,IF(AND('Zdroj data'!BO85&gt;=Body!$BK$27,'Zdroj data'!BO85&lt;=Body!$BM$27),Body!$BK$22,IF(AND('Zdroj data'!BO85&gt;=Body!$BN$27,'Zdroj data'!BO85&lt;=Body!$BP$27),Body!$BN$22,IF(AND('Zdroj data'!BO85&gt;=Body!$BQ$27,'Zdroj data'!BO85&lt;=Body!$BS$27),Body!$BQ$22,IF(AND('Zdroj data'!BO85&gt;=Body!$BT$27,'Zdroj data'!BO85&lt;=Body!$BV$27),Body!$BT$22,IF(AND('Zdroj data'!BO85&gt;=Body!$BW$27,'Zdroj data'!BO85&lt;=Body!$BY$27),Body!$BW$22,IF('Zdroj data'!BO85&gt;=Body!$CB$27,$BZ$22," "))))))))))</f>
        <v>6</v>
      </c>
      <c r="W85" s="264">
        <f>IF(AND('Zdroj data'!BP85&gt;Body!$AY$27,'Zdroj data'!BP85&lt;=Body!$BA$27),Body!$AY$22,IF(AND('Zdroj data'!BP85&gt;=Body!$BB$27,'Zdroj data'!BP85&lt;=Body!$BD$27),Body!$BB$22,IF(AND('Zdroj data'!BP85&gt;=Body!$BE$27,'Zdroj data'!BP85&lt;=Body!$BG$27),Body!$BE$22,IF(AND('Zdroj data'!BP85&gt;=Body!$BH$27,'Zdroj data'!BP85&lt;=Body!$BJ$27),Body!$BH$22,IF(AND('Zdroj data'!BP85&gt;=Body!$BK$27,'Zdroj data'!BP85&lt;=Body!$BM$27),Body!$BK$22,IF(AND('Zdroj data'!BP85&gt;=Body!$BN$27,'Zdroj data'!BP85&lt;=Body!$BP$27),Body!$BN$22,IF(AND('Zdroj data'!BP85&gt;=Body!$BQ$27,'Zdroj data'!BP85&lt;=Body!$BS$27),Body!$BQ$22,IF(AND('Zdroj data'!BP85&gt;=Body!$BT$27,'Zdroj data'!BP85&lt;=Body!$BV$27),Body!$BT$22,IF(AND('Zdroj data'!BP85&gt;=Body!$BW$27,'Zdroj data'!BP85&lt;=Body!$BY$27),Body!$BW$22,IF('Zdroj data'!BP85&gt;=Body!$CB$27,$BZ$22," "))))))))))</f>
        <v>5</v>
      </c>
      <c r="X85" s="264">
        <f>IF('Zdroj data'!BA85=Body!$BB$28,$BB$22,IF('Zdroj data'!BA85=Body!$BE$28,$BE$22,IF(OR('Zdroj data'!BA85=Body!$BK$28,'Zdroj data'!BA85=Body!$BL$28,'Zdroj data'!BA85=Body!$BM$28),$BK$22,IF(OR('Zdroj data'!BA85=Body!$BT$28,'Zdroj data'!BA85=Body!$BV$28),$BT$22,IF(OR('Zdroj data'!BA85=Body!$BW$28,'Zdroj data'!BA85=Body!$BY$28),$BW$22,IF('Zdroj data'!BA85=Body!$BZ$28,$BZ$22," "))))))</f>
        <v>9</v>
      </c>
      <c r="Y85" s="264">
        <f>IF('Zdroj data'!AZ85=Body!$BZ$29,Body!$BZ$22,IF(OR('Zdroj data'!AZ85=$BT$29,'Zdroj data'!AZ85=$BU$29,'Zdroj data'!AZ85=$BV$29),$BT$22,IF(OR('Zdroj data'!AZ85=$BK$29,'Zdroj data'!AZ85=$BM$29),$BK$22,IF(OR('Zdroj data'!AZ85=$BE$29,'Zdroj data'!AZ85=$BG$29),$BE$22,IF(OR('Zdroj data'!AZ85=$AY$29,'Zdroj data'!AZ85=$BA$29),$AY$22," ")))))</f>
        <v>3</v>
      </c>
      <c r="Z85" s="264">
        <f>IF(AND('Zdroj data'!BF85="T",(OR('Zdroj data'!AZ85=Body!$AW$45,'Zdroj data'!AZ85=Body!$AW$46,'Zdroj data'!AZ85=Body!$AW$47,'Zdroj data'!AZ85=Body!$AW$48))),Body!$AY$22,IF(AND('Zdroj data'!BF85="T",(OR('Zdroj data'!AZ85=$AW$49,'Zdroj data'!AZ85=$AW$50,'Zdroj data'!AZ85=$AW$51,'Zdroj data'!AZ85=$AW$52))),$BZ$22,IF(AND(OR('Zdroj data'!BF85="VT",'Zdroj data'!BF85="T",'Zdroj data'!BF85="CH"),(OR('Zdroj data'!AZ85=$AW$43,'Zdroj data'!AZ85=$AW$44,))),$BZ$22,IF(AND('Zdroj data'!BF85="CH",(OR('Zdroj data'!AZ85=$AW$49,'Zdroj data'!AZ85=$AW$50,'Zdroj data'!AZ85=$AW$51,'Zdroj data'!AZ85=$AW$52))),$AY$22,IF(AND('Zdroj data'!BF85="CH",(OR('Zdroj data'!AZ85=$AW$45,'Zdroj data'!AZ85=$AW$46,'Zdroj data'!AZ85=$AW$47,'Zdroj data'!AZ85=$AW$48))),$BZ$22," ")))))</f>
        <v>10</v>
      </c>
      <c r="AA85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85" s="264">
        <f>IF(Tabulka1[[#This Row],[kv.ek.]]=Body!$BK$35,Body!$BK$34,IF(Tabulka1[[#This Row],[kv.ek.]]=Body!$BZ$35,Body!$BZ$34," "))</f>
        <v>10</v>
      </c>
      <c r="AC85" s="264">
        <f>IF(AND('Zdroj data'!BF85="T",(OR('Zdroj data'!AZ85=Body!$AW$45,'Zdroj data'!AZ85=Body!$AW$46,'Zdroj data'!AZ85=Body!$AW$47,'Zdroj data'!AZ85=Body!$AW$48))),Body!$AY$22,IF(AND('Zdroj data'!BF85="T",(OR('Zdroj data'!AZ85=$AW$49,'Zdroj data'!AZ85=$AW$50,'Zdroj data'!AZ85=$AW$51,'Zdroj data'!AZ85=$AW$52))),$BZ$22," "))</f>
        <v>10</v>
      </c>
      <c r="AD85" s="264" t="str">
        <f>IF(AND(OR('Zdroj data'!BF85="VT",'Zdroj data'!BF85="T",'Zdroj data'!BF85="CH"),(OR('Zdroj data'!AZ85=$AW$43,'Zdroj data'!AZ85=$AW$44,))),$BZ$22," ")</f>
        <v xml:space="preserve"> </v>
      </c>
      <c r="AE85" s="264" t="str">
        <f>IF(AND('Zdroj data'!BF85="CH",(OR('Zdroj data'!AZ85=$AW$49,'Zdroj data'!AZ85=$AW$50,'Zdroj data'!AZ85=$AW$51,'Zdroj data'!AZ85=$AW$52))),$AY$22,IF(AND('Zdroj data'!BF85="CH",(OR('Zdroj data'!AZ85=$AW$45,'Zdroj data'!AZ85=$AW$46,'Zdroj data'!AZ85=$AW$47,'Zdroj data'!AZ85=$AW$48))),$BZ$22," "))</f>
        <v xml:space="preserve"> </v>
      </c>
      <c r="AF85" s="264" t="str">
        <f>IF(AND('Zdroj data'!BG85="L",'Zdroj data'!AM85=Body!$AX$15),IF(AND('Zdroj data'!O85&gt;=Body!$AY$15,'Zdroj data'!O85&lt;=Body!$BA$15),Body!AY$6,IF(AND('Zdroj data'!O85&gt;=Body!$BB$15,'Zdroj data'!O85&lt;=Body!$BD$15),Body!BB$6,IF(AND('Zdroj data'!O85&gt;=Body!$BE$15,'Zdroj data'!O85&lt;=Body!$BG$15),Body!BE$6,IF(AND('Zdroj data'!O85&gt;=Body!$BH$15,'Zdroj data'!O85&lt;=Body!$BJ$15),Body!BH$6,IF(AND('Zdroj data'!O85&gt;=Body!$BK$15,'Zdroj data'!O85&lt;=Body!$BM$15),Body!BK$6,IF(AND('Zdroj data'!O85&gt;=Body!$BN$15,'Zdroj data'!O85&lt;=Body!$BP$15),Body!$BN$6,IF(AND('Zdroj data'!O85&gt;=Body!$BQ$15,'Zdroj data'!O85&lt;=Body!$BS$15),Body!$BQ$6,IF(AND('Zdroj data'!O85&gt;=Body!$BT$15,'Zdroj data'!O85&lt;=Body!$BV$15),Body!BT$6,IF(AND('Zdroj data'!O85&gt;=Body!$BW$15,'Zdroj data'!O85&lt;=Body!$BY$15),Body!$BW$6,IF('Zdroj data'!O85&gt;=Body!$CB$15,Body!$BZ$6," ")))))))))),IF(AND('Zdroj data'!BG85="ST",'Zdroj data'!AM85=Body!$AX$16),IF(AND('Zdroj data'!O85&gt;=Body!$AY$16,'Zdroj data'!O85&lt;=Body!$BA$16),Body!$AY$6,IF(AND('Zdroj data'!O85&gt;=Body!$BB$16,'Zdroj data'!O85&lt;=Body!$BD$16),Body!$BB$6,IF(AND('Zdroj data'!O85&gt;=Body!$BE$16,'Zdroj data'!O85&lt;=Body!$BG$16),Body!$BE$6,IF(AND('Zdroj data'!O85&gt;=Body!$BH$16,'Zdroj data'!O85&lt;=Body!$BJ$16),Body!$BH$6,IF(AND('Zdroj data'!O85&gt;=Body!$BK$16,'Zdroj data'!O85&lt;=Body!$BM$16),Body!$BK$6,IF(AND('Zdroj data'!O85&gt;=Body!$BN$16,'Zdroj data'!O85&lt;=Body!$BP$16),Body!$BN$6,IF(AND('Zdroj data'!O85&gt;=Body!$BQ$16,'Zdroj data'!O85&lt;=Body!$BS$16),Body!$BQ$6,IF(AND('Zdroj data'!O85&gt;=Body!$BT$16,'Zdroj data'!O85&lt;=Body!$BV$16),Body!$BT$6,IF(AND('Zdroj data'!O85&gt;=Body!$BW$16,'Zdroj data'!O85&lt;=Body!$BY$16),Body!$BW$6,IF('Zdroj data'!O85&gt;=Body!$CB$16,Body!$BZ$6," ")))))))))),IF(AND('Zdroj data'!BG85="T",'Zdroj data'!AM85=Body!$AX$17),IF(AND('Zdroj data'!O85&gt;=Body!$AY$17,'Zdroj data'!O85&lt;=Body!$BA$17),Body!$AY$6,IF(AND('Zdroj data'!O85&gt;=Body!$BB$17,'Zdroj data'!O85&lt;=Body!$BD$17),Body!$BB$6,IF(AND('Zdroj data'!O85&gt;=Body!$BE$17,'Zdroj data'!O85&lt;=Body!$BG$17),Body!$BE$6,IF(AND('Zdroj data'!O85&gt;=Body!$BH$17,'Zdroj data'!O85&lt;=Body!BJ99),Body!$BH$6,IF(AND('Zdroj data'!O85&gt;=Body!$BK$17,'Zdroj data'!O85&lt;=Body!$BM$17),Body!$BK$6,IF(AND('Zdroj data'!O85&gt;=Body!$BN$17,'Zdroj data'!O85&lt;=Body!$BP$17),Body!$BN$6,IF(AND('Zdroj data'!O85&gt;=Body!$BQ$17,'Zdroj data'!O85&lt;=Body!$BS$17),Body!$BQ$6,IF(AND('Zdroj data'!O85&gt;=Body!$BT$17,'Zdroj data'!O85&lt;=Body!$BV$17),Body!$BT$6,IF(AND('Zdroj data'!O85&gt;=Body!$BW$17,'Zdroj data'!O85&lt;=Body!$BY$17),Body!$BW$6,IF('Zdroj data'!O85&gt;=Body!$CB$17,Body!$BZ$6," "))))))))))," ")))</f>
        <v xml:space="preserve"> </v>
      </c>
      <c r="AG85" s="264" t="str">
        <f>IF(AND('Zdroj data'!$BG85="L",'Zdroj data'!$AM85=Body!$AX$15),IF(AND(Tabulka1[[#This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data'!$BG85="ST",'Zdroj data'!$AM85=Body!$AX$16),IF(AND(Tabulka1[[#This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data'!$BG85="T",'Zdroj data'!$AM85=Body!$AX$17),IF(AND(Tabulka1[[#This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Row],[K2O_60]]&lt;=Body!BJ99),Body!$BH$6,IF(AND(Tabulka1[[#This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85" s="264">
        <f>IF(AND('Zdroj data'!BG85="L",'Zdroj data'!AM85=Body!$AX$18),IF(AND('Zdroj data'!O85&gt;=Body!$AY$18,'Zdroj data'!O85&lt;=Body!$BA$18),Body!AY$6,IF(AND('Zdroj data'!O85&gt;=Body!$BB$18,'Zdroj data'!O85&lt;=Body!$BD$18),Body!BB$6,IF(AND('Zdroj data'!O85&gt;=Body!$BE$18,'Zdroj data'!O85&lt;=Body!$BG$18),Body!BE$6,IF(AND('Zdroj data'!O85&gt;=Body!$BH$18,'Zdroj data'!O85&lt;=Body!$BJ$18),Body!BH$6,IF(AND('Zdroj data'!O85&gt;=Body!$BK$18,'Zdroj data'!O85&lt;=Body!$BM$18),Body!$BK$6,IF(AND('Zdroj data'!O85&gt;=Body!$BN$18,'Zdroj data'!O85&lt;=Body!$BP$18),Body!BN$6,IF(AND('Zdroj data'!O85&gt;=Body!$BQ$18,'Zdroj data'!O85&lt;=Body!$BS$18),Body!$BQ$6,IF(AND('Zdroj data'!O85&gt;=Body!$BT$18,'Zdroj data'!O85&lt;=Body!$BV$18),Body!$BT$6,IF(AND('Zdroj data'!O85&gt;=Body!$BW$18,'Zdroj data'!O85&lt;=Body!$BY$18),Body!$BW$6,IF('Zdroj data'!O85&gt;=Body!$CB$18,Body!$BZ$6," ")))))))))),IF(AND('Zdroj data'!BG85="ST",'Zdroj data'!AM85=Body!$AX$19),IF(AND('Zdroj data'!O85&gt;=Body!$AY$19,'Zdroj data'!O85&lt;=Body!$BA$19),Body!$AY$6,IF(AND('Zdroj data'!O85&gt;=Body!$BB$19,'Zdroj data'!O85&lt;=Body!$BD$19),Body!$BB$6,IF(AND('Zdroj data'!O85&gt;=Body!$BE$19,'Zdroj data'!O85&lt;=Body!$BG$19),Body!$BE$6,IF(AND('Zdroj data'!O85&gt;=Body!$BH$19,'Zdroj data'!O85&lt;=Body!$BJ$19),Body!$BH$6,IF(AND('Zdroj data'!O85&gt;=Body!$BK$19,'Zdroj data'!O85&lt;=Body!$BM$19),Body!$BK$6,IF(AND('Zdroj data'!O85&gt;=Body!$BN$19,'Zdroj data'!O85&lt;=Body!$BP$19),Body!$BN$6,IF(AND('Zdroj data'!O85&gt;=Body!$BQ$19,'Zdroj data'!O85&lt;=Body!$BS$19),Body!$BQ$6,IF(AND('Zdroj data'!O85&gt;=Body!$BT$19,'Zdroj data'!O89&lt;=Body!$BV$19),Body!$BT$6,IF(AND('Zdroj data'!O85&gt;=Body!$BW$19,'Zdroj data'!O85&lt;=Body!$BY$19),Body!$BW$6,IF('Zdroj data'!O85&gt;=Body!$CB$19,Body!$BZ$6," ")))))))))),IF(AND('Zdroj data'!BG85="T",'Zdroj data'!AM85=Body!$AX$20),IF(AND('Zdroj data'!O85&gt;=Body!$AY$20,'Zdroj data'!O85&lt;=Body!$BA$20),Body!$AY$6,IF(AND('Zdroj data'!O85&gt;=Body!$BB$20,'Zdroj data'!O85&lt;=Body!$BD$20),Body!$BB$6,IF(AND('Zdroj data'!O85&gt;=Body!$BE$20,'Zdroj data'!O85&lt;=Body!$BG$20),Body!$BE$6,IF(AND('Zdroj data'!O85&gt;=Body!$BH$20,'Zdroj data'!O85&lt;=Body!$BJ$20),Body!$BH$6,IF(AND('Zdroj data'!O85&gt;=Body!$BK$20,'Zdroj data'!O85&lt;=Body!$BM$20),Body!$BK$6,IF(AND('Zdroj data'!O85&gt;=Body!$BN$20,'Zdroj data'!O85&lt;=Body!$BP$20),Body!$BN$6,IF(AND('Zdroj data'!O85&gt;=Body!$BQ$20,'Zdroj data'!O85&lt;=Body!$BS$20),Body!$BQ$6,IF(AND('Zdroj data'!O85&gt;=Body!$BT$20,'Zdroj data'!O85&lt;=Body!#REF!),Body!$BT$6,IF(AND('Zdroj data'!O85&gt;=Body!$BW$20,'Zdroj data'!O85&lt;=Body!$BY$20),Body!$BW$6,IF('Zdroj data'!O85&gt;=Body!$CB$20,Body!$BZ$6," "))))))))))," ")))</f>
        <v>3</v>
      </c>
      <c r="AI85" s="264">
        <f>IF(AND('Zdroj data'!$BG85="L",'Zdroj data'!$AM85=Body!$AX$18),IF(AND(Tabulka1[[#This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data'!$BG85="ST",'Zdroj data'!$AM85=Body!$AX$19),IF(AND(Tabulka1[[#This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data'!$BG85="T",'Zdroj data'!$AM85=Body!$AX$20),IF(AND(Tabulka1[[#This Row],[K2O_60]]&gt;=Body!$AY$20,'Zdroj data'!O85&lt;=Body!$BA$20),Body!$AY$6,IF(AND(Tabulka1[[#This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2</v>
      </c>
      <c r="AJ85" s="265">
        <f t="shared" si="13"/>
        <v>16.000000000000014</v>
      </c>
      <c r="AK85" s="264">
        <f t="shared" si="14"/>
        <v>27.999323223443682</v>
      </c>
      <c r="AL85" s="264">
        <f t="shared" si="15"/>
        <v>25.707067052224073</v>
      </c>
      <c r="AM85" s="264">
        <f t="shared" si="16"/>
        <v>58.92037109332415</v>
      </c>
      <c r="AN85" s="264">
        <f t="shared" si="17"/>
        <v>61.289401843198164</v>
      </c>
      <c r="AO85" s="265">
        <f t="shared" si="21"/>
        <v>86.919694316767831</v>
      </c>
      <c r="AP85" s="265">
        <f t="shared" si="18"/>
        <v>86.99646889542224</v>
      </c>
      <c r="AQ85" s="318"/>
      <c r="AR85" s="338">
        <f t="shared" si="19"/>
        <v>189.9161632121901</v>
      </c>
      <c r="AS85" s="318"/>
      <c r="AT85" s="138"/>
      <c r="AU85" s="138"/>
    </row>
    <row r="86" spans="1:48" ht="15.5" x14ac:dyDescent="0.35">
      <c r="A86" s="270">
        <v>4334</v>
      </c>
      <c r="B86" s="156" t="s">
        <v>532</v>
      </c>
      <c r="C86" s="250" t="str">
        <f>VLOOKUP(B86,'Zdroj hloubka okresy'!$A$2:$D$171,2,FALSE)</f>
        <v>Pribram</v>
      </c>
      <c r="D86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8</v>
      </c>
      <c r="E86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9</v>
      </c>
      <c r="F86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86" s="264">
        <f>IF(AND(Tabulka1[[#This Row],[hum_60]]&gt;AY92,Tabulka1[[#This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86" s="264">
        <f>IF(Tabulka1[[#This Row],[kv.ek.]]=Body!$AX$13,IF(AND('Zdroj data'!M86&gt;=Body!$AY$13,'Zdroj data'!M86&lt;=Body!$BA$13),Body!$AY$6,IF(AND('Zdroj data'!M86&gt;=Body!$BB$13,'Zdroj data'!M86&lt;=Body!$BD$13),Body!$BB$6,IF(AND('Zdroj data'!M86&gt;=Body!$BE$13,'Zdroj data'!M86&lt;=Body!$BG$13),Body!$BE$6,IF(AND('Zdroj data'!M86&gt;=Body!$BH$13,'Zdroj data'!M86&lt;=Body!$BJ$13),Body!$BH$6,IF(AND('Zdroj data'!M86&gt;=Body!$BK$13,'Zdroj data'!M86&lt;=Body!$BM$13),Body!$BK$6,IF(AND('Zdroj data'!M86&gt;=Body!$BN$13,'Zdroj data'!M86&lt;=Body!$BP$13),Body!$BN$6,IF(AND('Zdroj data'!M86&gt;=Body!$BQ$13,'Zdroj data'!M86&lt;=Body!$BS$13),Body!$BQ$6,IF(AND('Zdroj data'!M86&gt;=Body!$BT$13,'Zdroj data'!M86&lt;=Body!$BV$13),Body!$BT$6,IF(AND('Zdroj data'!M86&gt;=Body!$BW$13,'Zdroj data'!M86&lt;=Body!$BY$13),Body!$BW$6,IF('Zdroj data'!M86&gt;=Body!$CB$13,Body!$BZ$6," ")))))))))),IF(Tabulka1[[#This Row],[kv.ek.]]=Body!$AX$14,IF(AND('Zdroj data'!N86&gt;=Body!$AY$14,'Zdroj data'!N86&lt;=Body!$BA$14),Body!$AY$6,IF(AND('Zdroj data'!N86&gt;=Body!$BB$14,'Zdroj data'!N86&lt;=Body!$BD$14),Body!$BB$6,IF(AND('Zdroj data'!N86&gt;=Body!$BE$14,'Zdroj data'!N86&lt;=Body!$BG$14),Body!$BE$6,IF(AND('Zdroj data'!N86&gt;=Body!$BH$14,'Zdroj data'!N86&lt;=Body!$BJ$14),Body!$BH$6,IF(AND('Zdroj data'!N86&gt;=Body!$BK$14,'Zdroj data'!N86&lt;=Body!$BM$14),Body!$BK$6,IF(AND('Zdroj data'!N86&gt;=Body!$BN$14,'Zdroj data'!N86&lt;=Body!$BP$14),Body!$BN$6,IF(AND('Zdroj data'!N86&gt;=Body!$BQ$14,'Zdroj data'!N86&lt;=Body!$BS$14),Body!$BQ$6,IF(AND('Zdroj data'!N86&gt;=Body!$BT$14,'Zdroj data'!N86&lt;=Body!$BV$14),Body!$BT$6,IF(AND('Zdroj data'!N86&gt;=Body!$BW$14,'Zdroj data'!N86&lt;=Body!$BY$14),Body!$BW$6,IF('Zdroj data'!N86&gt;=Body!$CB$14,Body!$BZ$6," "))))))))))," "))</f>
        <v>1</v>
      </c>
      <c r="I86" s="264">
        <f>IF(Tabulka1[[#This Row],[kv.ek.]]=Body!$AX$13,IF(AND('Zdroj data'!N86&gt;=Body!$AY$13,'Zdroj data'!N86&lt;=Body!$BA$13),Body!$AY$6,IF(AND('Zdroj data'!N86&gt;=Body!$BB$13,'Zdroj data'!N86&lt;=Body!$BD$13),Body!$BB$6,IF(AND('Zdroj data'!N86&gt;=Body!$BE$13,'Zdroj data'!N86&lt;=Body!$BG$13),Body!$BE$6,IF(AND('Zdroj data'!N86&gt;=Body!$BH$13,'Zdroj data'!N86&lt;=Body!$BJ$13),Body!$BH$6,IF(AND('Zdroj data'!N86&gt;=Body!$BK$13,'Zdroj data'!N86&lt;=Body!$BM$13),Body!$BK$6,IF(AND('Zdroj data'!N86&gt;=Body!$BN$13,'Zdroj data'!N86&lt;=Body!$BP$13),Body!$BN$6,IF(AND('Zdroj data'!N86&gt;=Body!$BQ$13,'Zdroj data'!N86&lt;=Body!$BS$13),Body!$BQ$6,IF(AND('Zdroj data'!N86&gt;=Body!$BT$13,'Zdroj data'!N86&lt;=Body!$BV$13),Body!$BT$6,IF(AND('Zdroj data'!N86&gt;=Body!$BW$13,'Zdroj data'!N86&lt;=Body!$BY$13),Body!$BW$6,IF('Zdroj data'!N86&gt;=Body!$CB$13,Body!$BZ$6," ")))))))))),IF(Tabulka1[[#This Row],[kv.ek.]]=Body!$AX$14,IF(AND('Zdroj data'!O86&gt;=Body!$AY$14,'Zdroj data'!O86&lt;=Body!$BA$14),Body!$AY$6,IF(AND('Zdroj data'!O86&gt;=Body!$BB$14,'Zdroj data'!O86&lt;=Body!$BD$14),Body!$BB$6,IF(AND('Zdroj data'!O86&gt;=Body!$BE$14,'Zdroj data'!O86&lt;=Body!$BG$14),Body!$BE$6,IF(AND('Zdroj data'!O86&gt;=Body!$BH$14,'Zdroj data'!O86&lt;=Body!$BJ$14),Body!$BH$6,IF(AND('Zdroj data'!O86&gt;=Body!$BK$14,'Zdroj data'!O86&lt;=Body!$BM$14),Body!$BK$6,IF(AND('Zdroj data'!O86&gt;=Body!$BN$14,'Zdroj data'!O86&lt;=Body!$BP$14),Body!$BN$6,IF(AND('Zdroj data'!O86&gt;=Body!$BQ$14,'Zdroj data'!O86&lt;=Body!$BS$14),Body!$BQ$6,IF(AND('Zdroj data'!O86&gt;=Body!$BT$14,'Zdroj data'!O86&lt;=Body!$BV$14),Body!$BT$6,IF(AND('Zdroj data'!O86&gt;=Body!$BW$14,'Zdroj data'!O86&lt;=Body!$BY$14),Body!$BW$6,IF('Zdroj data'!O86&gt;=Body!$CB$14,Body!$BZ$6," "))))))))))," "))</f>
        <v>7</v>
      </c>
      <c r="J86" s="264">
        <f t="shared" si="23"/>
        <v>2</v>
      </c>
      <c r="K86" s="264">
        <f t="shared" si="22"/>
        <v>2</v>
      </c>
      <c r="L86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86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86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86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86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86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86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86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86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86" s="264">
        <f>IF('Zdroj data'!BB86=Body!$AY$25,Body!$AY$22,IF('Zdroj data'!BB86=Body!$BB$25,Body!$BB$22,IF('Zdroj data'!BB86=Body!$BE$25,Body!$BE$22,IF('Zdroj data'!BB86=Body!$BH$25,Body!$BH$22,IF('Zdroj data'!BB86=Body!BK$25,Body!$BK$22,IF('Zdroj data'!BB86=Body!$BN$25,Body!$BN$22,IF('Zdroj data'!BB86=Body!$BQ$25,Body!$BQ$22,IF('Zdroj data'!BB86=Body!$BT$25,Body!$BT$22,IF('Zdroj data'!BB86=Body!$BW$25,Body!$BW$22,IF('Zdroj data'!BB86=Body!$BZ$25,Body!$BZ$22," "))))))))))</f>
        <v>5</v>
      </c>
      <c r="V86" s="264">
        <f>IF(AND('Zdroj data'!BO86&gt;Body!$AY$27,'Zdroj data'!BO86&lt;=Body!$BA$27),Body!$AY$22,IF(AND('Zdroj data'!BO86&gt;=Body!$BB$27,'Zdroj data'!BO86&lt;=Body!$BD$27),Body!$BB$22,IF(AND('Zdroj data'!BO86&gt;=Body!$BE$27,'Zdroj data'!BO86&lt;=Body!$BG$27),Body!$BE$22,IF(AND('Zdroj data'!BO86&gt;=Body!$BH$27,'Zdroj data'!BO86&lt;=Body!$BJ$27),Body!$BH$22,IF(AND('Zdroj data'!BO86&gt;=Body!$BK$27,'Zdroj data'!BO86&lt;=Body!$BM$27),Body!$BK$22,IF(AND('Zdroj data'!BO86&gt;=Body!$BN$27,'Zdroj data'!BO86&lt;=Body!$BP$27),Body!$BN$22,IF(AND('Zdroj data'!BO86&gt;=Body!$BQ$27,'Zdroj data'!BO86&lt;=Body!$BS$27),Body!$BQ$22,IF(AND('Zdroj data'!BO86&gt;=Body!$BT$27,'Zdroj data'!BO86&lt;=Body!$BV$27),Body!$BT$22,IF(AND('Zdroj data'!BO86&gt;=Body!$BW$27,'Zdroj data'!BO86&lt;=Body!$BY$27),Body!$BW$22,IF('Zdroj data'!BO86&gt;=Body!$CB$27,$BZ$22," "))))))))))</f>
        <v>6</v>
      </c>
      <c r="W86" s="264">
        <f>IF(AND('Zdroj data'!BP86&gt;Body!$AY$27,'Zdroj data'!BP86&lt;=Body!$BA$27),Body!$AY$22,IF(AND('Zdroj data'!BP86&gt;=Body!$BB$27,'Zdroj data'!BP86&lt;=Body!$BD$27),Body!$BB$22,IF(AND('Zdroj data'!BP86&gt;=Body!$BE$27,'Zdroj data'!BP86&lt;=Body!$BG$27),Body!$BE$22,IF(AND('Zdroj data'!BP86&gt;=Body!$BH$27,'Zdroj data'!BP86&lt;=Body!$BJ$27),Body!$BH$22,IF(AND('Zdroj data'!BP86&gt;=Body!$BK$27,'Zdroj data'!BP86&lt;=Body!$BM$27),Body!$BK$22,IF(AND('Zdroj data'!BP86&gt;=Body!$BN$27,'Zdroj data'!BP86&lt;=Body!$BP$27),Body!$BN$22,IF(AND('Zdroj data'!BP86&gt;=Body!$BQ$27,'Zdroj data'!BP86&lt;=Body!$BS$27),Body!$BQ$22,IF(AND('Zdroj data'!BP86&gt;=Body!$BT$27,'Zdroj data'!BP86&lt;=Body!$BV$27),Body!$BT$22,IF(AND('Zdroj data'!BP86&gt;=Body!$BW$27,'Zdroj data'!BP86&lt;=Body!$BY$27),Body!$BW$22,IF('Zdroj data'!BP86&gt;=Body!$CB$27,$BZ$22," "))))))))))</f>
        <v>7</v>
      </c>
      <c r="X86" s="264">
        <f>IF('Zdroj data'!BA86=Body!$BB$28,$BB$22,IF('Zdroj data'!BA86=Body!$BE$28,$BE$22,IF(OR('Zdroj data'!BA86=Body!$BK$28,'Zdroj data'!BA86=Body!$BL$28,'Zdroj data'!BA86=Body!$BM$28),$BK$22,IF(OR('Zdroj data'!BA86=Body!$BT$28,'Zdroj data'!BA86=Body!$BV$28),$BT$22,IF(OR('Zdroj data'!BA86=Body!$BW$28,'Zdroj data'!BA86=Body!$BY$28),$BW$22,IF('Zdroj data'!BA86=Body!$BZ$28,$BZ$22," "))))))</f>
        <v>5</v>
      </c>
      <c r="Y86" s="264">
        <f>IF('Zdroj data'!AZ86=Body!$BZ$29,Body!$BZ$22,IF(OR('Zdroj data'!AZ86=$BT$29,'Zdroj data'!AZ86=$BU$29,'Zdroj data'!AZ86=$BV$29),$BT$22,IF(OR('Zdroj data'!AZ86=$BK$29,'Zdroj data'!AZ86=$BM$29),$BK$22,IF(OR('Zdroj data'!AZ86=$BE$29,'Zdroj data'!AZ86=$BG$29),$BE$22,IF(OR('Zdroj data'!AZ86=$AY$29,'Zdroj data'!AZ86=$BA$29),$AY$22," ")))))</f>
        <v>5</v>
      </c>
      <c r="Z86" s="264">
        <f>IF(AND('Zdroj data'!BF86="T",(OR('Zdroj data'!AZ86=Body!$AW$45,'Zdroj data'!AZ86=Body!$AW$46,'Zdroj data'!AZ86=Body!$AW$47,'Zdroj data'!AZ86=Body!$AW$48))),Body!$AY$22,IF(AND('Zdroj data'!BF86="T",(OR('Zdroj data'!AZ86=$AW$49,'Zdroj data'!AZ86=$AW$50,'Zdroj data'!AZ86=$AW$51,'Zdroj data'!AZ86=$AW$52))),$BZ$22,IF(AND(OR('Zdroj data'!BF86="VT",'Zdroj data'!BF86="T",'Zdroj data'!BF86="CH"),(OR('Zdroj data'!AZ86=$AW$43,'Zdroj data'!AZ86=$AW$44,))),$BZ$22,IF(AND('Zdroj data'!BF86="CH",(OR('Zdroj data'!AZ86=$AW$49,'Zdroj data'!AZ86=$AW$50,'Zdroj data'!AZ86=$AW$51,'Zdroj data'!AZ86=$AW$52))),$AY$22,IF(AND('Zdroj data'!BF86="CH",(OR('Zdroj data'!AZ86=$AW$45,'Zdroj data'!AZ86=$AW$46,'Zdroj data'!AZ86=$AW$47,'Zdroj data'!AZ86=$AW$48))),$BZ$22," ")))))</f>
        <v>1</v>
      </c>
      <c r="AA86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86" s="264">
        <f>IF(Tabulka1[[#This Row],[kv.ek.]]=Body!$BK$35,Body!$BK$34,IF(Tabulka1[[#This Row],[kv.ek.]]=Body!$BZ$35,Body!$BZ$34," "))</f>
        <v>10</v>
      </c>
      <c r="AC86" s="264">
        <f>IF(AND('Zdroj data'!BF86="T",(OR('Zdroj data'!AZ86=Body!$AW$45,'Zdroj data'!AZ86=Body!$AW$46,'Zdroj data'!AZ86=Body!$AW$47,'Zdroj data'!AZ86=Body!$AW$48))),Body!$AY$22,IF(AND('Zdroj data'!BF86="T",(OR('Zdroj data'!AZ86=$AW$49,'Zdroj data'!AZ86=$AW$50,'Zdroj data'!AZ86=$AW$51,'Zdroj data'!AZ86=$AW$52))),$BZ$22," "))</f>
        <v>1</v>
      </c>
      <c r="AD86" s="264" t="str">
        <f>IF(AND(OR('Zdroj data'!BF86="VT",'Zdroj data'!BF86="T",'Zdroj data'!BF86="CH"),(OR('Zdroj data'!AZ86=$AW$43,'Zdroj data'!AZ86=$AW$44,))),$BZ$22," ")</f>
        <v xml:space="preserve"> </v>
      </c>
      <c r="AE86" s="264" t="str">
        <f>IF(AND('Zdroj data'!BF86="CH",(OR('Zdroj data'!AZ86=$AW$49,'Zdroj data'!AZ86=$AW$50,'Zdroj data'!AZ86=$AW$51,'Zdroj data'!AZ86=$AW$52))),$AY$22,IF(AND('Zdroj data'!BF86="CH",(OR('Zdroj data'!AZ86=$AW$45,'Zdroj data'!AZ86=$AW$46,'Zdroj data'!AZ86=$AW$47,'Zdroj data'!AZ86=$AW$48))),$BZ$22," "))</f>
        <v xml:space="preserve"> </v>
      </c>
      <c r="AF86" s="264" t="str">
        <f>IF(AND('Zdroj data'!BG86="L",'Zdroj data'!AM86=Body!$AX$15),IF(AND('Zdroj data'!O86&gt;=Body!$AY$15,'Zdroj data'!O86&lt;=Body!$BA$15),Body!AY$6,IF(AND('Zdroj data'!O86&gt;=Body!$BB$15,'Zdroj data'!O86&lt;=Body!$BD$15),Body!BB$6,IF(AND('Zdroj data'!O86&gt;=Body!$BE$15,'Zdroj data'!O86&lt;=Body!$BG$15),Body!BE$6,IF(AND('Zdroj data'!O86&gt;=Body!$BH$15,'Zdroj data'!O86&lt;=Body!$BJ$15),Body!BH$6,IF(AND('Zdroj data'!O86&gt;=Body!$BK$15,'Zdroj data'!O86&lt;=Body!$BM$15),Body!BK$6,IF(AND('Zdroj data'!O86&gt;=Body!$BN$15,'Zdroj data'!O86&lt;=Body!$BP$15),Body!$BN$6,IF(AND('Zdroj data'!O86&gt;=Body!$BQ$15,'Zdroj data'!O86&lt;=Body!$BS$15),Body!$BQ$6,IF(AND('Zdroj data'!O86&gt;=Body!$BT$15,'Zdroj data'!O86&lt;=Body!$BV$15),Body!BT$6,IF(AND('Zdroj data'!O86&gt;=Body!$BW$15,'Zdroj data'!O86&lt;=Body!$BY$15),Body!$BW$6,IF('Zdroj data'!O86&gt;=Body!$CB$15,Body!$BZ$6," ")))))))))),IF(AND('Zdroj data'!BG86="ST",'Zdroj data'!AM86=Body!$AX$16),IF(AND('Zdroj data'!O86&gt;=Body!$AY$16,'Zdroj data'!O86&lt;=Body!$BA$16),Body!$AY$6,IF(AND('Zdroj data'!O86&gt;=Body!$BB$16,'Zdroj data'!O86&lt;=Body!$BD$16),Body!$BB$6,IF(AND('Zdroj data'!O86&gt;=Body!$BE$16,'Zdroj data'!O86&lt;=Body!$BG$16),Body!$BE$6,IF(AND('Zdroj data'!O86&gt;=Body!$BH$16,'Zdroj data'!O86&lt;=Body!$BJ$16),Body!$BH$6,IF(AND('Zdroj data'!O86&gt;=Body!$BK$16,'Zdroj data'!O86&lt;=Body!$BM$16),Body!$BK$6,IF(AND('Zdroj data'!O86&gt;=Body!$BN$16,'Zdroj data'!O86&lt;=Body!$BP$16),Body!$BN$6,IF(AND('Zdroj data'!O86&gt;=Body!$BQ$16,'Zdroj data'!O86&lt;=Body!$BS$16),Body!$BQ$6,IF(AND('Zdroj data'!O86&gt;=Body!$BT$16,'Zdroj data'!O86&lt;=Body!$BV$16),Body!$BT$6,IF(AND('Zdroj data'!O86&gt;=Body!$BW$16,'Zdroj data'!O86&lt;=Body!$BY$16),Body!$BW$6,IF('Zdroj data'!O86&gt;=Body!$CB$16,Body!$BZ$6," ")))))))))),IF(AND('Zdroj data'!BG86="T",'Zdroj data'!AM86=Body!$AX$17),IF(AND('Zdroj data'!O86&gt;=Body!$AY$17,'Zdroj data'!O86&lt;=Body!$BA$17),Body!$AY$6,IF(AND('Zdroj data'!O86&gt;=Body!$BB$17,'Zdroj data'!O86&lt;=Body!$BD$17),Body!$BB$6,IF(AND('Zdroj data'!O86&gt;=Body!$BE$17,'Zdroj data'!O86&lt;=Body!$BG$17),Body!$BE$6,IF(AND('Zdroj data'!O86&gt;=Body!$BH$17,'Zdroj data'!O86&lt;=Body!#REF!),Body!$BH$6,IF(AND('Zdroj data'!O86&gt;=Body!$BK$17,'Zdroj data'!O86&lt;=Body!$BM$17),Body!$BK$6,IF(AND('Zdroj data'!O86&gt;=Body!$BN$17,'Zdroj data'!O86&lt;=Body!$BP$17),Body!$BN$6,IF(AND('Zdroj data'!O86&gt;=Body!$BQ$17,'Zdroj data'!O86&lt;=Body!$BS$17),Body!$BQ$6,IF(AND('Zdroj data'!O86&gt;=Body!$BT$17,'Zdroj data'!O86&lt;=Body!$BV$17),Body!$BT$6,IF(AND('Zdroj data'!O86&gt;=Body!$BW$17,'Zdroj data'!O86&lt;=Body!$BY$17),Body!$BW$6,IF('Zdroj data'!O86&gt;=Body!$CB$17,Body!$BZ$6," "))))))))))," ")))</f>
        <v xml:space="preserve"> </v>
      </c>
      <c r="AG86" s="264" t="str">
        <f>IF(AND('Zdroj data'!$BG86="L",'Zdroj data'!$AM86=Body!$AX$15),IF(AND(Tabulka1[[#This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data'!$BG86="ST",'Zdroj data'!$AM86=Body!$AX$16),IF(AND(Tabulka1[[#This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data'!$BG86="T",'Zdroj data'!$AM86=Body!$AX$17),IF(AND(Tabulka1[[#This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86" s="264">
        <f>IF(AND('Zdroj data'!BG86="L",'Zdroj data'!AM86=Body!$AX$18),IF(AND('Zdroj data'!O86&gt;=Body!$AY$18,'Zdroj data'!O86&lt;=Body!$BA$18),Body!AY$6,IF(AND('Zdroj data'!O86&gt;=Body!$BB$18,'Zdroj data'!O86&lt;=Body!$BD$18),Body!BB$6,IF(AND('Zdroj data'!O86&gt;=Body!$BE$18,'Zdroj data'!O86&lt;=Body!$BG$18),Body!BE$6,IF(AND('Zdroj data'!O86&gt;=Body!$BH$18,'Zdroj data'!O86&lt;=Body!$BJ$18),Body!BH$6,IF(AND('Zdroj data'!O86&gt;=Body!$BK$18,'Zdroj data'!O86&lt;=Body!$BM$18),Body!$BK$6,IF(AND('Zdroj data'!O86&gt;=Body!$BN$18,'Zdroj data'!O86&lt;=Body!$BP$18),Body!BN$6,IF(AND('Zdroj data'!O86&gt;=Body!$BQ$18,'Zdroj data'!O86&lt;=Body!$BS$18),Body!$BQ$6,IF(AND('Zdroj data'!O86&gt;=Body!$BT$18,'Zdroj data'!O86&lt;=Body!$BV$18),Body!$BT$6,IF(AND('Zdroj data'!O86&gt;=Body!$BW$18,'Zdroj data'!O86&lt;=Body!$BY$18),Body!$BW$6,IF('Zdroj data'!O86&gt;=Body!$CB$18,Body!$BZ$6," ")))))))))),IF(AND('Zdroj data'!BG86="ST",'Zdroj data'!AM86=Body!$AX$19),IF(AND('Zdroj data'!O86&gt;=Body!$AY$19,'Zdroj data'!O86&lt;=Body!$BA$19),Body!$AY$6,IF(AND('Zdroj data'!O86&gt;=Body!$BB$19,'Zdroj data'!O86&lt;=Body!$BD$19),Body!$BB$6,IF(AND('Zdroj data'!O86&gt;=Body!$BE$19,'Zdroj data'!O86&lt;=Body!$BG$19),Body!$BE$6,IF(AND('Zdroj data'!O86&gt;=Body!$BH$19,'Zdroj data'!O86&lt;=Body!$BJ$19),Body!$BH$6,IF(AND('Zdroj data'!O86&gt;=Body!$BK$19,'Zdroj data'!O86&lt;=Body!$BM$19),Body!$BK$6,IF(AND('Zdroj data'!O86&gt;=Body!$BN$19,'Zdroj data'!O86&lt;=Body!$BP$19),Body!$BN$6,IF(AND('Zdroj data'!O86&gt;=Body!$BQ$19,'Zdroj data'!O86&lt;=Body!$BS$19),Body!$BQ$6,IF(AND('Zdroj data'!O86&gt;=Body!$BT$19,'Zdroj data'!O90&lt;=Body!$BV$19),Body!$BT$6,IF(AND('Zdroj data'!O86&gt;=Body!$BW$19,'Zdroj data'!O86&lt;=Body!$BY$19),Body!$BW$6,IF('Zdroj data'!O86&gt;=Body!$CB$19,Body!$BZ$6," ")))))))))),IF(AND('Zdroj data'!BG86="T",'Zdroj data'!AM86=Body!$AX$20),IF(AND('Zdroj data'!O86&gt;=Body!$AY$20,'Zdroj data'!O86&lt;=Body!$BA$20),Body!$AY$6,IF(AND('Zdroj data'!O86&gt;=Body!$BB$20,'Zdroj data'!O86&lt;=Body!$BD$20),Body!$BB$6,IF(AND('Zdroj data'!O86&gt;=Body!$BE$20,'Zdroj data'!O86&lt;=Body!$BG$20),Body!$BE$6,IF(AND('Zdroj data'!O86&gt;=Body!$BH$20,'Zdroj data'!O86&lt;=Body!$BJ$20),Body!$BH$6,IF(AND('Zdroj data'!O86&gt;=Body!$BK$20,'Zdroj data'!O86&lt;=Body!$BM$20),Body!$BK$6,IF(AND('Zdroj data'!O86&gt;=Body!$BN$20,'Zdroj data'!O86&lt;=Body!$BP$20),Body!$BN$6,IF(AND('Zdroj data'!O86&gt;=Body!$BQ$20,'Zdroj data'!O86&lt;=Body!$BS$20),Body!$BQ$6,IF(AND('Zdroj data'!O86&gt;=Body!$BT$20,'Zdroj data'!O86&lt;=Body!#REF!),Body!$BT$6,IF(AND('Zdroj data'!O86&gt;=Body!$BW$20,'Zdroj data'!O86&lt;=Body!$BY$20),Body!$BW$6,IF('Zdroj data'!O86&gt;=Body!$CB$20,Body!$BZ$6," "))))))))))," ")))</f>
        <v>2</v>
      </c>
      <c r="AI86" s="264">
        <f>IF(AND('Zdroj data'!$BG86="L",'Zdroj data'!$AM86=Body!$AX$18),IF(AND(Tabulka1[[#This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data'!$BG86="ST",'Zdroj data'!$AM86=Body!$AX$19),IF(AND(Tabulka1[[#This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data'!$BG86="T",'Zdroj data'!$AM86=Body!$AX$20),IF(AND(Tabulka1[[#This Row],[K2O_60]]&gt;=Body!$AY$20,'Zdroj data'!O86&lt;=Body!$BA$20),Body!$AY$6,IF(AND(Tabulka1[[#This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2</v>
      </c>
      <c r="AJ86" s="265">
        <f t="shared" si="13"/>
        <v>9.3333333333333428</v>
      </c>
      <c r="AK86" s="264">
        <f t="shared" si="14"/>
        <v>27.146695647747485</v>
      </c>
      <c r="AL86" s="264">
        <f t="shared" si="15"/>
        <v>26.555508499840833</v>
      </c>
      <c r="AM86" s="264">
        <f t="shared" si="16"/>
        <v>53.444118759272527</v>
      </c>
      <c r="AN86" s="264">
        <f t="shared" si="17"/>
        <v>54.988711966474511</v>
      </c>
      <c r="AO86" s="265">
        <f t="shared" si="21"/>
        <v>80.590814407020019</v>
      </c>
      <c r="AP86" s="265">
        <f t="shared" si="18"/>
        <v>81.544220466315352</v>
      </c>
      <c r="AQ86" s="318"/>
      <c r="AR86" s="338">
        <f t="shared" si="19"/>
        <v>171.46836820666871</v>
      </c>
      <c r="AS86" s="318"/>
      <c r="AT86" s="138"/>
      <c r="AU86" s="138"/>
    </row>
    <row r="87" spans="1:48" ht="15.5" x14ac:dyDescent="0.35">
      <c r="A87" s="270">
        <v>4339</v>
      </c>
      <c r="B87" s="156" t="s">
        <v>507</v>
      </c>
      <c r="C87" s="250" t="str">
        <f>VLOOKUP(B87,'Zdroj hloubka okresy'!$A$2:$D$171,2,FALSE)</f>
        <v>Pribram</v>
      </c>
      <c r="D87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7</v>
      </c>
      <c r="E87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87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6</v>
      </c>
      <c r="G87" s="264">
        <f>IF(AND(Tabulka1[[#This Row],[hum_60]]&gt;AY93,Tabulka1[[#This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4</v>
      </c>
      <c r="H87" s="264">
        <f>IF(Tabulka1[[#This Row],[kv.ek.]]=Body!$AX$13,IF(AND('Zdroj data'!M87&gt;=Body!$AY$13,'Zdroj data'!M87&lt;=Body!$BA$13),Body!$AY$6,IF(AND('Zdroj data'!M87&gt;=Body!$BB$13,'Zdroj data'!M87&lt;=Body!$BD$13),Body!$BB$6,IF(AND('Zdroj data'!M87&gt;=Body!$BE$13,'Zdroj data'!M87&lt;=Body!$BG$13),Body!$BE$6,IF(AND('Zdroj data'!M87&gt;=Body!$BH$13,'Zdroj data'!M87&lt;=Body!$BJ$13),Body!$BH$6,IF(AND('Zdroj data'!M87&gt;=Body!$BK$13,'Zdroj data'!M87&lt;=Body!$BM$13),Body!$BK$6,IF(AND('Zdroj data'!M87&gt;=Body!$BN$13,'Zdroj data'!M87&lt;=Body!$BP$13),Body!$BN$6,IF(AND('Zdroj data'!M87&gt;=Body!$BQ$13,'Zdroj data'!M87&lt;=Body!$BS$13),Body!$BQ$6,IF(AND('Zdroj data'!M87&gt;=Body!$BT$13,'Zdroj data'!M87&lt;=Body!$BV$13),Body!$BT$6,IF(AND('Zdroj data'!M87&gt;=Body!$BW$13,'Zdroj data'!M87&lt;=Body!$BY$13),Body!$BW$6,IF('Zdroj data'!M87&gt;=Body!$CB$13,Body!$BZ$6," ")))))))))),IF(Tabulka1[[#This Row],[kv.ek.]]=Body!$AX$14,IF(AND('Zdroj data'!N87&gt;=Body!$AY$14,'Zdroj data'!N87&lt;=Body!$BA$14),Body!$AY$6,IF(AND('Zdroj data'!N87&gt;=Body!$BB$14,'Zdroj data'!N87&lt;=Body!$BD$14),Body!$BB$6,IF(AND('Zdroj data'!N87&gt;=Body!$BE$14,'Zdroj data'!N87&lt;=Body!$BG$14),Body!$BE$6,IF(AND('Zdroj data'!N87&gt;=Body!$BH$14,'Zdroj data'!N87&lt;=Body!$BJ$14),Body!$BH$6,IF(AND('Zdroj data'!N87&gt;=Body!$BK$14,'Zdroj data'!N87&lt;=Body!$BM$14),Body!$BK$6,IF(AND('Zdroj data'!N87&gt;=Body!$BN$14,'Zdroj data'!N87&lt;=Body!$BP$14),Body!$BN$6,IF(AND('Zdroj data'!N87&gt;=Body!$BQ$14,'Zdroj data'!N87&lt;=Body!$BS$14),Body!$BQ$6,IF(AND('Zdroj data'!N87&gt;=Body!$BT$14,'Zdroj data'!N87&lt;=Body!$BV$14),Body!$BT$6,IF(AND('Zdroj data'!N87&gt;=Body!$BW$14,'Zdroj data'!N87&lt;=Body!$BY$14),Body!$BW$6,IF('Zdroj data'!N87&gt;=Body!$CB$14,Body!$BZ$6," "))))))))))," "))</f>
        <v>2</v>
      </c>
      <c r="I87" s="264">
        <f>IF(Tabulka1[[#This Row],[kv.ek.]]=Body!$AX$13,IF(AND('Zdroj data'!N87&gt;=Body!$AY$13,'Zdroj data'!N87&lt;=Body!$BA$13),Body!$AY$6,IF(AND('Zdroj data'!N87&gt;=Body!$BB$13,'Zdroj data'!N87&lt;=Body!$BD$13),Body!$BB$6,IF(AND('Zdroj data'!N87&gt;=Body!$BE$13,'Zdroj data'!N87&lt;=Body!$BG$13),Body!$BE$6,IF(AND('Zdroj data'!N87&gt;=Body!$BH$13,'Zdroj data'!N87&lt;=Body!$BJ$13),Body!$BH$6,IF(AND('Zdroj data'!N87&gt;=Body!$BK$13,'Zdroj data'!N87&lt;=Body!$BM$13),Body!$BK$6,IF(AND('Zdroj data'!N87&gt;=Body!$BN$13,'Zdroj data'!N87&lt;=Body!$BP$13),Body!$BN$6,IF(AND('Zdroj data'!N87&gt;=Body!$BQ$13,'Zdroj data'!N87&lt;=Body!$BS$13),Body!$BQ$6,IF(AND('Zdroj data'!N87&gt;=Body!$BT$13,'Zdroj data'!N87&lt;=Body!$BV$13),Body!$BT$6,IF(AND('Zdroj data'!N87&gt;=Body!$BW$13,'Zdroj data'!N87&lt;=Body!$BY$13),Body!$BW$6,IF('Zdroj data'!N87&gt;=Body!$CB$13,Body!$BZ$6," ")))))))))),IF(Tabulka1[[#This Row],[kv.ek.]]=Body!$AX$14,IF(AND('Zdroj data'!O87&gt;=Body!$AY$14,'Zdroj data'!O87&lt;=Body!$BA$14),Body!$AY$6,IF(AND('Zdroj data'!O87&gt;=Body!$BB$14,'Zdroj data'!O87&lt;=Body!$BD$14),Body!$BB$6,IF(AND('Zdroj data'!O87&gt;=Body!$BE$14,'Zdroj data'!O87&lt;=Body!$BG$14),Body!$BE$6,IF(AND('Zdroj data'!O87&gt;=Body!$BH$14,'Zdroj data'!O87&lt;=Body!$BJ$14),Body!$BH$6,IF(AND('Zdroj data'!O87&gt;=Body!$BK$14,'Zdroj data'!O87&lt;=Body!$BM$14),Body!$BK$6,IF(AND('Zdroj data'!O87&gt;=Body!$BN$14,'Zdroj data'!O87&lt;=Body!$BP$14),Body!$BN$6,IF(AND('Zdroj data'!O87&gt;=Body!$BQ$14,'Zdroj data'!O87&lt;=Body!$BS$14),Body!$BQ$6,IF(AND('Zdroj data'!O87&gt;=Body!$BT$14,'Zdroj data'!O87&lt;=Body!$BV$14),Body!$BT$6,IF(AND('Zdroj data'!O87&gt;=Body!$BW$14,'Zdroj data'!O87&lt;=Body!$BY$14),Body!$BW$6,IF('Zdroj data'!O87&gt;=Body!$CB$14,Body!$BZ$6," "))))))))))," "))</f>
        <v>9</v>
      </c>
      <c r="J87" s="264">
        <f t="shared" si="23"/>
        <v>3</v>
      </c>
      <c r="K87" s="264">
        <f t="shared" si="22"/>
        <v>2</v>
      </c>
      <c r="L87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87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87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87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6</v>
      </c>
      <c r="P87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87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87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87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87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87" s="264">
        <f>IF('Zdroj data'!BB87=Body!$AY$25,Body!$AY$22,IF('Zdroj data'!BB87=Body!$BB$25,Body!$BB$22,IF('Zdroj data'!BB87=Body!$BE$25,Body!$BE$22,IF('Zdroj data'!BB87=Body!$BH$25,Body!$BH$22,IF('Zdroj data'!BB87=Body!BK$25,Body!$BK$22,IF('Zdroj data'!BB87=Body!$BN$25,Body!$BN$22,IF('Zdroj data'!BB87=Body!$BQ$25,Body!$BQ$22,IF('Zdroj data'!BB87=Body!$BT$25,Body!$BT$22,IF('Zdroj data'!BB87=Body!$BW$25,Body!$BW$22,IF('Zdroj data'!BB87=Body!$BZ$25,Body!$BZ$22," "))))))))))</f>
        <v>5</v>
      </c>
      <c r="V87" s="264">
        <f>IF(AND('Zdroj data'!BO87&gt;Body!$AY$27,'Zdroj data'!BO87&lt;=Body!$BA$27),Body!$AY$22,IF(AND('Zdroj data'!BO87&gt;=Body!$BB$27,'Zdroj data'!BO87&lt;=Body!$BD$27),Body!$BB$22,IF(AND('Zdroj data'!BO87&gt;=Body!$BE$27,'Zdroj data'!BO87&lt;=Body!$BG$27),Body!$BE$22,IF(AND('Zdroj data'!BO87&gt;=Body!$BH$27,'Zdroj data'!BO87&lt;=Body!$BJ$27),Body!$BH$22,IF(AND('Zdroj data'!BO87&gt;=Body!$BK$27,'Zdroj data'!BO87&lt;=Body!$BM$27),Body!$BK$22,IF(AND('Zdroj data'!BO87&gt;=Body!$BN$27,'Zdroj data'!BO87&lt;=Body!$BP$27),Body!$BN$22,IF(AND('Zdroj data'!BO87&gt;=Body!$BQ$27,'Zdroj data'!BO87&lt;=Body!$BS$27),Body!$BQ$22,IF(AND('Zdroj data'!BO87&gt;=Body!$BT$27,'Zdroj data'!BO87&lt;=Body!$BV$27),Body!$BT$22,IF(AND('Zdroj data'!BO87&gt;=Body!$BW$27,'Zdroj data'!BO87&lt;=Body!$BY$27),Body!$BW$22,IF('Zdroj data'!BO87&gt;=Body!$CB$27,$BZ$22," "))))))))))</f>
        <v>6</v>
      </c>
      <c r="W87" s="264">
        <f>IF(AND('Zdroj data'!BP87&gt;Body!$AY$27,'Zdroj data'!BP87&lt;=Body!$BA$27),Body!$AY$22,IF(AND('Zdroj data'!BP87&gt;=Body!$BB$27,'Zdroj data'!BP87&lt;=Body!$BD$27),Body!$BB$22,IF(AND('Zdroj data'!BP87&gt;=Body!$BE$27,'Zdroj data'!BP87&lt;=Body!$BG$27),Body!$BE$22,IF(AND('Zdroj data'!BP87&gt;=Body!$BH$27,'Zdroj data'!BP87&lt;=Body!$BJ$27),Body!$BH$22,IF(AND('Zdroj data'!BP87&gt;=Body!$BK$27,'Zdroj data'!BP87&lt;=Body!$BM$27),Body!$BK$22,IF(AND('Zdroj data'!BP87&gt;=Body!$BN$27,'Zdroj data'!BP87&lt;=Body!$BP$27),Body!$BN$22,IF(AND('Zdroj data'!BP87&gt;=Body!$BQ$27,'Zdroj data'!BP87&lt;=Body!$BS$27),Body!$BQ$22,IF(AND('Zdroj data'!BP87&gt;=Body!$BT$27,'Zdroj data'!BP87&lt;=Body!$BV$27),Body!$BT$22,IF(AND('Zdroj data'!BP87&gt;=Body!$BW$27,'Zdroj data'!BP87&lt;=Body!$BY$27),Body!$BW$22,IF('Zdroj data'!BP87&gt;=Body!$CB$27,$BZ$22," "))))))))))</f>
        <v>6</v>
      </c>
      <c r="X87" s="264">
        <f>IF('Zdroj data'!BA87=Body!$BB$28,$BB$22,IF('Zdroj data'!BA87=Body!$BE$28,$BE$22,IF(OR('Zdroj data'!BA87=Body!$BK$28,'Zdroj data'!BA87=Body!$BL$28,'Zdroj data'!BA87=Body!$BM$28),$BK$22,IF(OR('Zdroj data'!BA87=Body!$BT$28,'Zdroj data'!BA87=Body!$BV$28),$BT$22,IF(OR('Zdroj data'!BA87=Body!$BW$28,'Zdroj data'!BA87=Body!$BY$28),$BW$22,IF('Zdroj data'!BA87=Body!$BZ$28,$BZ$22," "))))))</f>
        <v>5</v>
      </c>
      <c r="Y87" s="264">
        <f>IF('Zdroj data'!AZ87=Body!$BZ$29,Body!$BZ$22,IF(OR('Zdroj data'!AZ87=$BT$29,'Zdroj data'!AZ87=$BU$29,'Zdroj data'!AZ87=$BV$29),$BT$22,IF(OR('Zdroj data'!AZ87=$BK$29,'Zdroj data'!AZ87=$BM$29),$BK$22,IF(OR('Zdroj data'!AZ87=$BE$29,'Zdroj data'!AZ87=$BG$29),$BE$22,IF(OR('Zdroj data'!AZ87=$AY$29,'Zdroj data'!AZ87=$BA$29),$AY$22," ")))))</f>
        <v>10</v>
      </c>
      <c r="Z87" s="264">
        <f>IF(AND('Zdroj data'!BF87="T",(OR('Zdroj data'!AZ87=Body!$AW$45,'Zdroj data'!AZ87=Body!$AW$46,'Zdroj data'!AZ87=Body!$AW$47,'Zdroj data'!AZ87=Body!$AW$48))),Body!$AY$22,IF(AND('Zdroj data'!BF87="T",(OR('Zdroj data'!AZ87=$AW$49,'Zdroj data'!AZ87=$AW$50,'Zdroj data'!AZ87=$AW$51,'Zdroj data'!AZ87=$AW$52))),$BZ$22,IF(AND(OR('Zdroj data'!BF87="VT",'Zdroj data'!BF87="T",'Zdroj data'!BF87="CH"),(OR('Zdroj data'!AZ87=$AW$43,'Zdroj data'!AZ87=$AW$44,))),$BZ$22,IF(AND('Zdroj data'!BF87="CH",(OR('Zdroj data'!AZ87=$AW$49,'Zdroj data'!AZ87=$AW$50,'Zdroj data'!AZ87=$AW$51,'Zdroj data'!AZ87=$AW$52))),$AY$22,IF(AND('Zdroj data'!BF87="CH",(OR('Zdroj data'!AZ87=$AW$45,'Zdroj data'!AZ87=$AW$46,'Zdroj data'!AZ87=$AW$47,'Zdroj data'!AZ87=$AW$48))),$BZ$22," ")))))</f>
        <v>10</v>
      </c>
      <c r="AA87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87" s="264">
        <f>IF(Tabulka1[[#This Row],[kv.ek.]]=Body!$BK$35,Body!$BK$34,IF(Tabulka1[[#This Row],[kv.ek.]]=Body!$BZ$35,Body!$BZ$34," "))</f>
        <v>10</v>
      </c>
      <c r="AC87" s="264" t="str">
        <f>IF(AND('Zdroj data'!BF87="T",(OR('Zdroj data'!AZ87=Body!$AW$45,'Zdroj data'!AZ87=Body!$AW$46,'Zdroj data'!AZ87=Body!$AW$47,'Zdroj data'!AZ87=Body!$AW$48))),Body!$AY$22,IF(AND('Zdroj data'!BF87="T",(OR('Zdroj data'!AZ87=$AW$49,'Zdroj data'!AZ87=$AW$50,'Zdroj data'!AZ87=$AW$51,'Zdroj data'!AZ87=$AW$52))),$BZ$22," "))</f>
        <v xml:space="preserve"> </v>
      </c>
      <c r="AD87" s="264">
        <f>IF(AND(OR('Zdroj data'!BF87="VT",'Zdroj data'!BF87="T",'Zdroj data'!BF87="CH"),(OR('Zdroj data'!AZ87=$AW$43,'Zdroj data'!AZ87=$AW$44,))),$BZ$22," ")</f>
        <v>10</v>
      </c>
      <c r="AE87" s="264" t="str">
        <f>IF(AND('Zdroj data'!BF87="CH",(OR('Zdroj data'!AZ87=$AW$49,'Zdroj data'!AZ87=$AW$50,'Zdroj data'!AZ87=$AW$51,'Zdroj data'!AZ87=$AW$52))),$AY$22,IF(AND('Zdroj data'!BF87="CH",(OR('Zdroj data'!AZ87=$AW$45,'Zdroj data'!AZ87=$AW$46,'Zdroj data'!AZ87=$AW$47,'Zdroj data'!AZ87=$AW$48))),$BZ$22," "))</f>
        <v xml:space="preserve"> </v>
      </c>
      <c r="AF87" s="264" t="str">
        <f>IF(AND('Zdroj data'!BG87="L",'Zdroj data'!AM87=Body!$AX$15),IF(AND('Zdroj data'!O87&gt;=Body!$AY$15,'Zdroj data'!O87&lt;=Body!$BA$15),Body!AY$6,IF(AND('Zdroj data'!O87&gt;=Body!$BB$15,'Zdroj data'!O87&lt;=Body!$BD$15),Body!BB$6,IF(AND('Zdroj data'!O87&gt;=Body!$BE$15,'Zdroj data'!O87&lt;=Body!$BG$15),Body!BE$6,IF(AND('Zdroj data'!O87&gt;=Body!$BH$15,'Zdroj data'!O87&lt;=Body!$BJ$15),Body!BH$6,IF(AND('Zdroj data'!O87&gt;=Body!$BK$15,'Zdroj data'!O87&lt;=Body!$BM$15),Body!BK$6,IF(AND('Zdroj data'!O87&gt;=Body!$BN$15,'Zdroj data'!O87&lt;=Body!$BP$15),Body!$BN$6,IF(AND('Zdroj data'!O87&gt;=Body!$BQ$15,'Zdroj data'!O87&lt;=Body!$BS$15),Body!$BQ$6,IF(AND('Zdroj data'!O87&gt;=Body!$BT$15,'Zdroj data'!O87&lt;=Body!$BV$15),Body!BT$6,IF(AND('Zdroj data'!O87&gt;=Body!$BW$15,'Zdroj data'!O87&lt;=Body!$BY$15),Body!$BW$6,IF('Zdroj data'!O87&gt;=Body!$CB$15,Body!$BZ$6," ")))))))))),IF(AND('Zdroj data'!BG87="ST",'Zdroj data'!AM87=Body!$AX$16),IF(AND('Zdroj data'!O87&gt;=Body!$AY$16,'Zdroj data'!O87&lt;=Body!$BA$16),Body!$AY$6,IF(AND('Zdroj data'!O87&gt;=Body!$BB$16,'Zdroj data'!O87&lt;=Body!$BD$16),Body!$BB$6,IF(AND('Zdroj data'!O87&gt;=Body!$BE$16,'Zdroj data'!O87&lt;=Body!$BG$16),Body!$BE$6,IF(AND('Zdroj data'!O87&gt;=Body!$BH$16,'Zdroj data'!O87&lt;=Body!$BJ$16),Body!$BH$6,IF(AND('Zdroj data'!O87&gt;=Body!$BK$16,'Zdroj data'!O87&lt;=Body!$BM$16),Body!$BK$6,IF(AND('Zdroj data'!O87&gt;=Body!$BN$16,'Zdroj data'!O87&lt;=Body!$BP$16),Body!$BN$6,IF(AND('Zdroj data'!O87&gt;=Body!$BQ$16,'Zdroj data'!O87&lt;=Body!$BS$16),Body!$BQ$6,IF(AND('Zdroj data'!O87&gt;=Body!$BT$16,'Zdroj data'!O87&lt;=Body!$BV$16),Body!$BT$6,IF(AND('Zdroj data'!O87&gt;=Body!$BW$16,'Zdroj data'!O87&lt;=Body!$BY$16),Body!$BW$6,IF('Zdroj data'!O87&gt;=Body!$CB$16,Body!$BZ$6," ")))))))))),IF(AND('Zdroj data'!BG87="T",'Zdroj data'!AM87=Body!$AX$17),IF(AND('Zdroj data'!O87&gt;=Body!$AY$17,'Zdroj data'!O87&lt;=Body!$BA$17),Body!$AY$6,IF(AND('Zdroj data'!O87&gt;=Body!$BB$17,'Zdroj data'!O87&lt;=Body!$BD$17),Body!$BB$6,IF(AND('Zdroj data'!O87&gt;=Body!$BE$17,'Zdroj data'!O87&lt;=Body!$BG$17),Body!$BE$6,IF(AND('Zdroj data'!O87&gt;=Body!$BH$17,'Zdroj data'!O87&lt;=Body!#REF!),Body!$BH$6,IF(AND('Zdroj data'!O87&gt;=Body!$BK$17,'Zdroj data'!O87&lt;=Body!$BM$17),Body!$BK$6,IF(AND('Zdroj data'!O87&gt;=Body!$BN$17,'Zdroj data'!O87&lt;=Body!$BP$17),Body!$BN$6,IF(AND('Zdroj data'!O87&gt;=Body!$BQ$17,'Zdroj data'!O87&lt;=Body!$BS$17),Body!$BQ$6,IF(AND('Zdroj data'!O87&gt;=Body!$BT$17,'Zdroj data'!O87&lt;=Body!$BV$17),Body!$BT$6,IF(AND('Zdroj data'!O87&gt;=Body!$BW$17,'Zdroj data'!O87&lt;=Body!$BY$17),Body!$BW$6,IF('Zdroj data'!O87&gt;=Body!$CB$17,Body!$BZ$6," "))))))))))," ")))</f>
        <v xml:space="preserve"> </v>
      </c>
      <c r="AG87" s="264" t="str">
        <f>IF(AND('Zdroj data'!$BG87="L",'Zdroj data'!$AM87=Body!$AX$15),IF(AND(Tabulka1[[#This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data'!$BG87="ST",'Zdroj data'!$AM87=Body!$AX$16),IF(AND(Tabulka1[[#This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data'!$BG87="T",'Zdroj data'!$AM87=Body!$AX$17),IF(AND(Tabulka1[[#This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87" s="264">
        <f>IF(AND('Zdroj data'!BG87="L",'Zdroj data'!AM87=Body!$AX$18),IF(AND('Zdroj data'!O87&gt;=Body!$AY$18,'Zdroj data'!O87&lt;=Body!$BA$18),Body!AY$6,IF(AND('Zdroj data'!O87&gt;=Body!$BB$18,'Zdroj data'!O87&lt;=Body!$BD$18),Body!BB$6,IF(AND('Zdroj data'!O87&gt;=Body!$BE$18,'Zdroj data'!O87&lt;=Body!$BG$18),Body!BE$6,IF(AND('Zdroj data'!O87&gt;=Body!$BH$18,'Zdroj data'!O87&lt;=Body!$BJ$18),Body!BH$6,IF(AND('Zdroj data'!O87&gt;=Body!$BK$18,'Zdroj data'!O87&lt;=Body!$BM$18),Body!$BK$6,IF(AND('Zdroj data'!O87&gt;=Body!$BN$18,'Zdroj data'!O87&lt;=Body!$BP$18),Body!BN$6,IF(AND('Zdroj data'!O87&gt;=Body!$BQ$18,'Zdroj data'!O87&lt;=Body!$BS$18),Body!$BQ$6,IF(AND('Zdroj data'!O87&gt;=Body!$BT$18,'Zdroj data'!O87&lt;=Body!$BV$18),Body!$BT$6,IF(AND('Zdroj data'!O87&gt;=Body!$BW$18,'Zdroj data'!O87&lt;=Body!$BY$18),Body!$BW$6,IF('Zdroj data'!O87&gt;=Body!$CB$18,Body!$BZ$6," ")))))))))),IF(AND('Zdroj data'!BG87="ST",'Zdroj data'!AM87=Body!$AX$19),IF(AND('Zdroj data'!O87&gt;=Body!$AY$19,'Zdroj data'!O87&lt;=Body!$BA$19),Body!$AY$6,IF(AND('Zdroj data'!O87&gt;=Body!$BB$19,'Zdroj data'!O87&lt;=Body!$BD$19),Body!$BB$6,IF(AND('Zdroj data'!O87&gt;=Body!$BE$19,'Zdroj data'!O87&lt;=Body!$BG$19),Body!$BE$6,IF(AND('Zdroj data'!O87&gt;=Body!$BH$19,'Zdroj data'!O87&lt;=Body!$BJ$19),Body!$BH$6,IF(AND('Zdroj data'!O87&gt;=Body!$BK$19,'Zdroj data'!O87&lt;=Body!$BM$19),Body!$BK$6,IF(AND('Zdroj data'!O87&gt;=Body!$BN$19,'Zdroj data'!O87&lt;=Body!$BP$19),Body!$BN$6,IF(AND('Zdroj data'!O87&gt;=Body!$BQ$19,'Zdroj data'!O87&lt;=Body!$BS$19),Body!$BQ$6,IF(AND('Zdroj data'!O87&gt;=Body!$BT$19,'Zdroj data'!O91&lt;=Body!$BV$19),Body!$BT$6,IF(AND('Zdroj data'!O87&gt;=Body!$BW$19,'Zdroj data'!O87&lt;=Body!$BY$19),Body!$BW$6,IF('Zdroj data'!O87&gt;=Body!$CB$19,Body!$BZ$6," ")))))))))),IF(AND('Zdroj data'!BG87="T",'Zdroj data'!AM87=Body!$AX$20),IF(AND('Zdroj data'!O87&gt;=Body!$AY$20,'Zdroj data'!O87&lt;=Body!$BA$20),Body!$AY$6,IF(AND('Zdroj data'!O87&gt;=Body!$BB$20,'Zdroj data'!O87&lt;=Body!$BD$20),Body!$BB$6,IF(AND('Zdroj data'!O87&gt;=Body!$BE$20,'Zdroj data'!O87&lt;=Body!$BG$20),Body!$BE$6,IF(AND('Zdroj data'!O87&gt;=Body!$BH$20,'Zdroj data'!O87&lt;=Body!$BJ$20),Body!$BH$6,IF(AND('Zdroj data'!O87&gt;=Body!$BK$20,'Zdroj data'!O87&lt;=Body!$BM$20),Body!$BK$6,IF(AND('Zdroj data'!O87&gt;=Body!$BN$20,'Zdroj data'!O87&lt;=Body!$BP$20),Body!$BN$6,IF(AND('Zdroj data'!O87&gt;=Body!$BQ$20,'Zdroj data'!O87&lt;=Body!$BS$20),Body!$BQ$6,IF(AND('Zdroj data'!O87&gt;=Body!$BT$20,'Zdroj data'!O87&lt;=Body!#REF!),Body!$BT$6,IF(AND('Zdroj data'!O87&gt;=Body!$BW$20,'Zdroj data'!O87&lt;=Body!$BY$20),Body!$BW$6,IF('Zdroj data'!O87&gt;=Body!$CB$20,Body!$BZ$6," "))))))))))," ")))</f>
        <v>3</v>
      </c>
      <c r="AI87" s="264">
        <f>IF(AND('Zdroj data'!$BG87="L",'Zdroj data'!$AM87=Body!$AX$18),IF(AND(Tabulka1[[#This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data'!$BG87="ST",'Zdroj data'!$AM87=Body!$AX$19),IF(AND(Tabulka1[[#This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data'!$BG87="T",'Zdroj data'!$AM87=Body!$AX$20),IF(AND(Tabulka1[[#This Row],[K2O_60]]&gt;=Body!$AY$20,'Zdroj data'!O87&lt;=Body!$BA$20),Body!$AY$6,IF(AND(Tabulka1[[#This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2</v>
      </c>
      <c r="AJ87" s="265">
        <f t="shared" si="13"/>
        <v>9.3333333333333428</v>
      </c>
      <c r="AK87" s="264">
        <f t="shared" si="14"/>
        <v>30.820533413701035</v>
      </c>
      <c r="AL87" s="264">
        <f t="shared" si="15"/>
        <v>29.347195986981358</v>
      </c>
      <c r="AM87" s="264">
        <f t="shared" si="16"/>
        <v>70.915738747524202</v>
      </c>
      <c r="AN87" s="264">
        <f t="shared" si="17"/>
        <v>67.002114790448204</v>
      </c>
      <c r="AO87" s="265">
        <f t="shared" si="21"/>
        <v>101.73627216122523</v>
      </c>
      <c r="AP87" s="265">
        <f t="shared" si="18"/>
        <v>96.349310777429565</v>
      </c>
      <c r="AQ87" s="318"/>
      <c r="AR87" s="338">
        <f t="shared" si="19"/>
        <v>207.41891627198814</v>
      </c>
      <c r="AS87" s="318"/>
      <c r="AT87" s="138"/>
      <c r="AU87" s="138"/>
    </row>
    <row r="88" spans="1:48" ht="15.5" x14ac:dyDescent="0.35">
      <c r="A88" s="270">
        <v>4342</v>
      </c>
      <c r="B88" s="156" t="s">
        <v>552</v>
      </c>
      <c r="C88" s="250" t="str">
        <f>VLOOKUP(B88,'Zdroj hloubka okresy'!$A$2:$D$171,2,FALSE)</f>
        <v>Pribram</v>
      </c>
      <c r="D88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88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88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7</v>
      </c>
      <c r="G88" s="264">
        <f>IF(AND(Tabulka1[[#This Row],[hum_60]]&gt;AY94,Tabulka1[[#This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4</v>
      </c>
      <c r="H88" s="264">
        <f>IF(Tabulka1[[#This Row],[kv.ek.]]=Body!$AX$13,IF(AND('Zdroj data'!M88&gt;=Body!$AY$13,'Zdroj data'!M88&lt;=Body!$BA$13),Body!$AY$6,IF(AND('Zdroj data'!M88&gt;=Body!$BB$13,'Zdroj data'!M88&lt;=Body!$BD$13),Body!$BB$6,IF(AND('Zdroj data'!M88&gt;=Body!$BE$13,'Zdroj data'!M88&lt;=Body!$BG$13),Body!$BE$6,IF(AND('Zdroj data'!M88&gt;=Body!$BH$13,'Zdroj data'!M88&lt;=Body!$BJ$13),Body!$BH$6,IF(AND('Zdroj data'!M88&gt;=Body!$BK$13,'Zdroj data'!M88&lt;=Body!$BM$13),Body!$BK$6,IF(AND('Zdroj data'!M88&gt;=Body!$BN$13,'Zdroj data'!M88&lt;=Body!$BP$13),Body!$BN$6,IF(AND('Zdroj data'!M88&gt;=Body!$BQ$13,'Zdroj data'!M88&lt;=Body!$BS$13),Body!$BQ$6,IF(AND('Zdroj data'!M88&gt;=Body!$BT$13,'Zdroj data'!M88&lt;=Body!$BV$13),Body!$BT$6,IF(AND('Zdroj data'!M88&gt;=Body!$BW$13,'Zdroj data'!M88&lt;=Body!$BY$13),Body!$BW$6,IF('Zdroj data'!M88&gt;=Body!$CB$13,Body!$BZ$6," ")))))))))),IF(Tabulka1[[#This Row],[kv.ek.]]=Body!$AX$14,IF(AND('Zdroj data'!N88&gt;=Body!$AY$14,'Zdroj data'!N88&lt;=Body!$BA$14),Body!$AY$6,IF(AND('Zdroj data'!N88&gt;=Body!$BB$14,'Zdroj data'!N88&lt;=Body!$BD$14),Body!$BB$6,IF(AND('Zdroj data'!N88&gt;=Body!$BE$14,'Zdroj data'!N88&lt;=Body!$BG$14),Body!$BE$6,IF(AND('Zdroj data'!N88&gt;=Body!$BH$14,'Zdroj data'!N88&lt;=Body!$BJ$14),Body!$BH$6,IF(AND('Zdroj data'!N88&gt;=Body!$BK$14,'Zdroj data'!N88&lt;=Body!$BM$14),Body!$BK$6,IF(AND('Zdroj data'!N88&gt;=Body!$BN$14,'Zdroj data'!N88&lt;=Body!$BP$14),Body!$BN$6,IF(AND('Zdroj data'!N88&gt;=Body!$BQ$14,'Zdroj data'!N88&lt;=Body!$BS$14),Body!$BQ$6,IF(AND('Zdroj data'!N88&gt;=Body!$BT$14,'Zdroj data'!N88&lt;=Body!$BV$14),Body!$BT$6,IF(AND('Zdroj data'!N88&gt;=Body!$BW$14,'Zdroj data'!N88&lt;=Body!$BY$14),Body!$BW$6,IF('Zdroj data'!N88&gt;=Body!$CB$14,Body!$BZ$6," "))))))))))," "))</f>
        <v>1</v>
      </c>
      <c r="I88" s="264">
        <f>IF(Tabulka1[[#This Row],[kv.ek.]]=Body!$AX$13,IF(AND('Zdroj data'!N88&gt;=Body!$AY$13,'Zdroj data'!N88&lt;=Body!$BA$13),Body!$AY$6,IF(AND('Zdroj data'!N88&gt;=Body!$BB$13,'Zdroj data'!N88&lt;=Body!$BD$13),Body!$BB$6,IF(AND('Zdroj data'!N88&gt;=Body!$BE$13,'Zdroj data'!N88&lt;=Body!$BG$13),Body!$BE$6,IF(AND('Zdroj data'!N88&gt;=Body!$BH$13,'Zdroj data'!N88&lt;=Body!$BJ$13),Body!$BH$6,IF(AND('Zdroj data'!N88&gt;=Body!$BK$13,'Zdroj data'!N88&lt;=Body!$BM$13),Body!$BK$6,IF(AND('Zdroj data'!N88&gt;=Body!$BN$13,'Zdroj data'!N88&lt;=Body!$BP$13),Body!$BN$6,IF(AND('Zdroj data'!N88&gt;=Body!$BQ$13,'Zdroj data'!N88&lt;=Body!$BS$13),Body!$BQ$6,IF(AND('Zdroj data'!N88&gt;=Body!$BT$13,'Zdroj data'!N88&lt;=Body!$BV$13),Body!$BT$6,IF(AND('Zdroj data'!N88&gt;=Body!$BW$13,'Zdroj data'!N88&lt;=Body!$BY$13),Body!$BW$6,IF('Zdroj data'!N88&gt;=Body!$CB$13,Body!$BZ$6," ")))))))))),IF(Tabulka1[[#This Row],[kv.ek.]]=Body!$AX$14,IF(AND('Zdroj data'!O88&gt;=Body!$AY$14,'Zdroj data'!O88&lt;=Body!$BA$14),Body!$AY$6,IF(AND('Zdroj data'!O88&gt;=Body!$BB$14,'Zdroj data'!O88&lt;=Body!$BD$14),Body!$BB$6,IF(AND('Zdroj data'!O88&gt;=Body!$BE$14,'Zdroj data'!O88&lt;=Body!$BG$14),Body!$BE$6,IF(AND('Zdroj data'!O88&gt;=Body!$BH$14,'Zdroj data'!O88&lt;=Body!$BJ$14),Body!$BH$6,IF(AND('Zdroj data'!O88&gt;=Body!$BK$14,'Zdroj data'!O88&lt;=Body!$BM$14),Body!$BK$6,IF(AND('Zdroj data'!O88&gt;=Body!$BN$14,'Zdroj data'!O88&lt;=Body!$BP$14),Body!$BN$6,IF(AND('Zdroj data'!O88&gt;=Body!$BQ$14,'Zdroj data'!O88&lt;=Body!$BS$14),Body!$BQ$6,IF(AND('Zdroj data'!O88&gt;=Body!$BT$14,'Zdroj data'!O88&lt;=Body!$BV$14),Body!$BT$6,IF(AND('Zdroj data'!O88&gt;=Body!$BW$14,'Zdroj data'!O88&lt;=Body!$BY$14),Body!$BW$6,IF('Zdroj data'!O88&gt;=Body!$CB$14,Body!$BZ$6," "))))))))))," "))</f>
        <v>10</v>
      </c>
      <c r="J88" s="264">
        <f t="shared" si="23"/>
        <v>4</v>
      </c>
      <c r="K88" s="264">
        <f t="shared" si="23"/>
        <v>2</v>
      </c>
      <c r="L88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88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88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4</v>
      </c>
      <c r="O88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4</v>
      </c>
      <c r="P88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88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88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88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88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88" s="264">
        <f>IF('Zdroj data'!BB88=Body!$AY$25,Body!$AY$22,IF('Zdroj data'!BB88=Body!$BB$25,Body!$BB$22,IF('Zdroj data'!BB88=Body!$BE$25,Body!$BE$22,IF('Zdroj data'!BB88=Body!$BH$25,Body!$BH$22,IF('Zdroj data'!BB88=Body!BK$25,Body!$BK$22,IF('Zdroj data'!BB88=Body!$BN$25,Body!$BN$22,IF('Zdroj data'!BB88=Body!$BQ$25,Body!$BQ$22,IF('Zdroj data'!BB88=Body!$BT$25,Body!$BT$22,IF('Zdroj data'!BB88=Body!$BW$25,Body!$BW$22,IF('Zdroj data'!BB88=Body!$BZ$25,Body!$BZ$22," "))))))))))</f>
        <v>3</v>
      </c>
      <c r="V88" s="264">
        <f>IF(AND('Zdroj data'!BO88&gt;Body!$AY$27,'Zdroj data'!BO88&lt;=Body!$BA$27),Body!$AY$22,IF(AND('Zdroj data'!BO88&gt;=Body!$BB$27,'Zdroj data'!BO88&lt;=Body!$BD$27),Body!$BB$22,IF(AND('Zdroj data'!BO88&gt;=Body!$BE$27,'Zdroj data'!BO88&lt;=Body!$BG$27),Body!$BE$22,IF(AND('Zdroj data'!BO88&gt;=Body!$BH$27,'Zdroj data'!BO88&lt;=Body!$BJ$27),Body!$BH$22,IF(AND('Zdroj data'!BO88&gt;=Body!$BK$27,'Zdroj data'!BO88&lt;=Body!$BM$27),Body!$BK$22,IF(AND('Zdroj data'!BO88&gt;=Body!$BN$27,'Zdroj data'!BO88&lt;=Body!$BP$27),Body!$BN$22,IF(AND('Zdroj data'!BO88&gt;=Body!$BQ$27,'Zdroj data'!BO88&lt;=Body!$BS$27),Body!$BQ$22,IF(AND('Zdroj data'!BO88&gt;=Body!$BT$27,'Zdroj data'!BO88&lt;=Body!$BV$27),Body!$BT$22,IF(AND('Zdroj data'!BO88&gt;=Body!$BW$27,'Zdroj data'!BO88&lt;=Body!$BY$27),Body!$BW$22,IF('Zdroj data'!BO88&gt;=Body!$CB$27,$BZ$22," "))))))))))</f>
        <v>6</v>
      </c>
      <c r="W88" s="264">
        <f>IF(AND('Zdroj data'!BP88&gt;Body!$AY$27,'Zdroj data'!BP88&lt;=Body!$BA$27),Body!$AY$22,IF(AND('Zdroj data'!BP88&gt;=Body!$BB$27,'Zdroj data'!BP88&lt;=Body!$BD$27),Body!$BB$22,IF(AND('Zdroj data'!BP88&gt;=Body!$BE$27,'Zdroj data'!BP88&lt;=Body!$BG$27),Body!$BE$22,IF(AND('Zdroj data'!BP88&gt;=Body!$BH$27,'Zdroj data'!BP88&lt;=Body!$BJ$27),Body!$BH$22,IF(AND('Zdroj data'!BP88&gt;=Body!$BK$27,'Zdroj data'!BP88&lt;=Body!$BM$27),Body!$BK$22,IF(AND('Zdroj data'!BP88&gt;=Body!$BN$27,'Zdroj data'!BP88&lt;=Body!$BP$27),Body!$BN$22,IF(AND('Zdroj data'!BP88&gt;=Body!$BQ$27,'Zdroj data'!BP88&lt;=Body!$BS$27),Body!$BQ$22,IF(AND('Zdroj data'!BP88&gt;=Body!$BT$27,'Zdroj data'!BP88&lt;=Body!$BV$27),Body!$BT$22,IF(AND('Zdroj data'!BP88&gt;=Body!$BW$27,'Zdroj data'!BP88&lt;=Body!$BY$27),Body!$BW$22,IF('Zdroj data'!BP88&gt;=Body!$CB$27,$BZ$22," "))))))))))</f>
        <v>7</v>
      </c>
      <c r="X88" s="264">
        <f>IF('Zdroj data'!BA88=Body!$BB$28,$BB$22,IF('Zdroj data'!BA88=Body!$BE$28,$BE$22,IF(OR('Zdroj data'!BA88=Body!$BK$28,'Zdroj data'!BA88=Body!$BL$28,'Zdroj data'!BA88=Body!$BM$28),$BK$22,IF(OR('Zdroj data'!BA88=Body!$BT$28,'Zdroj data'!BA88=Body!$BV$28),$BT$22,IF(OR('Zdroj data'!BA88=Body!$BW$28,'Zdroj data'!BA88=Body!$BY$28),$BW$22,IF('Zdroj data'!BA88=Body!$BZ$28,$BZ$22," "))))))</f>
        <v>8</v>
      </c>
      <c r="Y88" s="264">
        <f>IF('Zdroj data'!AZ88=Body!$BZ$29,Body!$BZ$22,IF(OR('Zdroj data'!AZ88=$BT$29,'Zdroj data'!AZ88=$BU$29,'Zdroj data'!AZ88=$BV$29),$BT$22,IF(OR('Zdroj data'!AZ88=$BK$29,'Zdroj data'!AZ88=$BM$29),$BK$22,IF(OR('Zdroj data'!AZ88=$BE$29,'Zdroj data'!AZ88=$BG$29),$BE$22,IF(OR('Zdroj data'!AZ88=$AY$29,'Zdroj data'!AZ88=$BA$29),$AY$22," ")))))</f>
        <v>8</v>
      </c>
      <c r="Z88" s="264">
        <f>IF(AND('Zdroj data'!BF88="T",(OR('Zdroj data'!AZ88=Body!$AW$45,'Zdroj data'!AZ88=Body!$AW$46,'Zdroj data'!AZ88=Body!$AW$47,'Zdroj data'!AZ88=Body!$AW$48))),Body!$AY$22,IF(AND('Zdroj data'!BF88="T",(OR('Zdroj data'!AZ88=$AW$49,'Zdroj data'!AZ88=$AW$50,'Zdroj data'!AZ88=$AW$51,'Zdroj data'!AZ88=$AW$52))),$BZ$22,IF(AND(OR('Zdroj data'!BF88="VT",'Zdroj data'!BF88="T",'Zdroj data'!BF88="CH"),(OR('Zdroj data'!AZ88=$AW$43,'Zdroj data'!AZ88=$AW$44,))),$BZ$22,IF(AND('Zdroj data'!BF88="CH",(OR('Zdroj data'!AZ88=$AW$49,'Zdroj data'!AZ88=$AW$50,'Zdroj data'!AZ88=$AW$51,'Zdroj data'!AZ88=$AW$52))),$AY$22,IF(AND('Zdroj data'!BF88="CH",(OR('Zdroj data'!AZ88=$AW$45,'Zdroj data'!AZ88=$AW$46,'Zdroj data'!AZ88=$AW$47,'Zdroj data'!AZ88=$AW$48))),$BZ$22," ")))))</f>
        <v>10</v>
      </c>
      <c r="AA88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</v>
      </c>
      <c r="AB88" s="264">
        <f>IF(Tabulka1[[#This Row],[kv.ek.]]=Body!$BK$35,Body!$BK$34,IF(Tabulka1[[#This Row],[kv.ek.]]=Body!$BZ$35,Body!$BZ$34," "))</f>
        <v>10</v>
      </c>
      <c r="AC88" s="264" t="str">
        <f>IF(AND('Zdroj data'!BF88="T",(OR('Zdroj data'!AZ88=Body!$AW$45,'Zdroj data'!AZ88=Body!$AW$46,'Zdroj data'!AZ88=Body!$AW$47,'Zdroj data'!AZ88=Body!$AW$48))),Body!$AY$22,IF(AND('Zdroj data'!BF88="T",(OR('Zdroj data'!AZ88=$AW$49,'Zdroj data'!AZ88=$AW$50,'Zdroj data'!AZ88=$AW$51,'Zdroj data'!AZ88=$AW$52))),$BZ$22," "))</f>
        <v xml:space="preserve"> </v>
      </c>
      <c r="AD88" s="264">
        <f>IF(AND(OR('Zdroj data'!BF88="VT",'Zdroj data'!BF88="T",'Zdroj data'!BF88="CH"),(OR('Zdroj data'!AZ88=$AW$43,'Zdroj data'!AZ88=$AW$44,))),$BZ$22," ")</f>
        <v>10</v>
      </c>
      <c r="AE88" s="264" t="str">
        <f>IF(AND('Zdroj data'!BF88="CH",(OR('Zdroj data'!AZ88=$AW$49,'Zdroj data'!AZ88=$AW$50,'Zdroj data'!AZ88=$AW$51,'Zdroj data'!AZ88=$AW$52))),$AY$22,IF(AND('Zdroj data'!BF88="CH",(OR('Zdroj data'!AZ88=$AW$45,'Zdroj data'!AZ88=$AW$46,'Zdroj data'!AZ88=$AW$47,'Zdroj data'!AZ88=$AW$48))),$BZ$22," "))</f>
        <v xml:space="preserve"> </v>
      </c>
      <c r="AF88" s="264" t="str">
        <f>IF(AND('Zdroj data'!BG88="L",'Zdroj data'!AM88=Body!$AX$15),IF(AND('Zdroj data'!O88&gt;=Body!$AY$15,'Zdroj data'!O88&lt;=Body!$BA$15),Body!AY$6,IF(AND('Zdroj data'!O88&gt;=Body!$BB$15,'Zdroj data'!O88&lt;=Body!$BD$15),Body!BB$6,IF(AND('Zdroj data'!O88&gt;=Body!$BE$15,'Zdroj data'!O88&lt;=Body!$BG$15),Body!BE$6,IF(AND('Zdroj data'!O88&gt;=Body!$BH$15,'Zdroj data'!O88&lt;=Body!$BJ$15),Body!BH$6,IF(AND('Zdroj data'!O88&gt;=Body!$BK$15,'Zdroj data'!O88&lt;=Body!$BM$15),Body!BK$6,IF(AND('Zdroj data'!O88&gt;=Body!$BN$15,'Zdroj data'!O88&lt;=Body!$BP$15),Body!$BN$6,IF(AND('Zdroj data'!O88&gt;=Body!$BQ$15,'Zdroj data'!O88&lt;=Body!$BS$15),Body!$BQ$6,IF(AND('Zdroj data'!O88&gt;=Body!$BT$15,'Zdroj data'!O88&lt;=Body!$BV$15),Body!BT$6,IF(AND('Zdroj data'!O88&gt;=Body!$BW$15,'Zdroj data'!O88&lt;=Body!$BY$15),Body!$BW$6,IF('Zdroj data'!O88&gt;=Body!$CB$15,Body!$BZ$6," ")))))))))),IF(AND('Zdroj data'!BG88="ST",'Zdroj data'!AM88=Body!$AX$16),IF(AND('Zdroj data'!O88&gt;=Body!$AY$16,'Zdroj data'!O88&lt;=Body!$BA$16),Body!$AY$6,IF(AND('Zdroj data'!O88&gt;=Body!$BB$16,'Zdroj data'!O88&lt;=Body!$BD$16),Body!$BB$6,IF(AND('Zdroj data'!O88&gt;=Body!$BE$16,'Zdroj data'!O88&lt;=Body!$BG$16),Body!$BE$6,IF(AND('Zdroj data'!O88&gt;=Body!$BH$16,'Zdroj data'!O88&lt;=Body!$BJ$16),Body!$BH$6,IF(AND('Zdroj data'!O88&gt;=Body!$BK$16,'Zdroj data'!O88&lt;=Body!$BM$16),Body!$BK$6,IF(AND('Zdroj data'!O88&gt;=Body!$BN$16,'Zdroj data'!O88&lt;=Body!$BP$16),Body!$BN$6,IF(AND('Zdroj data'!O88&gt;=Body!$BQ$16,'Zdroj data'!O88&lt;=Body!$BS$16),Body!$BQ$6,IF(AND('Zdroj data'!O88&gt;=Body!$BT$16,'Zdroj data'!O88&lt;=Body!$BV$16),Body!$BT$6,IF(AND('Zdroj data'!O88&gt;=Body!$BW$16,'Zdroj data'!O88&lt;=Body!$BY$16),Body!$BW$6,IF('Zdroj data'!O88&gt;=Body!$CB$16,Body!$BZ$6," ")))))))))),IF(AND('Zdroj data'!BG88="T",'Zdroj data'!AM88=Body!$AX$17),IF(AND('Zdroj data'!O88&gt;=Body!$AY$17,'Zdroj data'!O88&lt;=Body!$BA$17),Body!$AY$6,IF(AND('Zdroj data'!O88&gt;=Body!$BB$17,'Zdroj data'!O88&lt;=Body!$BD$17),Body!$BB$6,IF(AND('Zdroj data'!O88&gt;=Body!$BE$17,'Zdroj data'!O88&lt;=Body!$BG$17),Body!$BE$6,IF(AND('Zdroj data'!O88&gt;=Body!$BH$17,'Zdroj data'!O88&lt;=Body!#REF!),Body!$BH$6,IF(AND('Zdroj data'!O88&gt;=Body!$BK$17,'Zdroj data'!O88&lt;=Body!$BM$17),Body!$BK$6,IF(AND('Zdroj data'!O88&gt;=Body!$BN$17,'Zdroj data'!O88&lt;=Body!$BP$17),Body!$BN$6,IF(AND('Zdroj data'!O88&gt;=Body!$BQ$17,'Zdroj data'!O88&lt;=Body!$BS$17),Body!$BQ$6,IF(AND('Zdroj data'!O88&gt;=Body!$BT$17,'Zdroj data'!O88&lt;=Body!$BV$17),Body!$BT$6,IF(AND('Zdroj data'!O88&gt;=Body!$BW$17,'Zdroj data'!O88&lt;=Body!$BY$17),Body!$BW$6,IF('Zdroj data'!O88&gt;=Body!$CB$17,Body!$BZ$6," "))))))))))," ")))</f>
        <v xml:space="preserve"> </v>
      </c>
      <c r="AG88" s="264" t="str">
        <f>IF(AND('Zdroj data'!$BG88="L",'Zdroj data'!$AM88=Body!$AX$15),IF(AND(Tabulka1[[#This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data'!$BG88="ST",'Zdroj data'!$AM88=Body!$AX$16),IF(AND(Tabulka1[[#This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data'!$BG88="T",'Zdroj data'!$AM88=Body!$AX$17),IF(AND(Tabulka1[[#This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88" s="264">
        <f>IF(AND('Zdroj data'!BG88="L",'Zdroj data'!AM88=Body!$AX$18),IF(AND('Zdroj data'!O88&gt;=Body!$AY$18,'Zdroj data'!O88&lt;=Body!$BA$18),Body!AY$6,IF(AND('Zdroj data'!O88&gt;=Body!$BB$18,'Zdroj data'!O88&lt;=Body!$BD$18),Body!BB$6,IF(AND('Zdroj data'!O88&gt;=Body!$BE$18,'Zdroj data'!O88&lt;=Body!$BG$18),Body!BE$6,IF(AND('Zdroj data'!O88&gt;=Body!$BH$18,'Zdroj data'!O88&lt;=Body!$BJ$18),Body!BH$6,IF(AND('Zdroj data'!O88&gt;=Body!$BK$18,'Zdroj data'!O88&lt;=Body!$BM$18),Body!$BK$6,IF(AND('Zdroj data'!O88&gt;=Body!$BN$18,'Zdroj data'!O88&lt;=Body!$BP$18),Body!BN$6,IF(AND('Zdroj data'!O88&gt;=Body!$BQ$18,'Zdroj data'!O88&lt;=Body!$BS$18),Body!$BQ$6,IF(AND('Zdroj data'!O88&gt;=Body!$BT$18,'Zdroj data'!O88&lt;=Body!$BV$18),Body!$BT$6,IF(AND('Zdroj data'!O88&gt;=Body!$BW$18,'Zdroj data'!O88&lt;=Body!$BY$18),Body!$BW$6,IF('Zdroj data'!O88&gt;=Body!$CB$18,Body!$BZ$6," ")))))))))),IF(AND('Zdroj data'!BG88="ST",'Zdroj data'!AM88=Body!$AX$19),IF(AND('Zdroj data'!O88&gt;=Body!$AY$19,'Zdroj data'!O88&lt;=Body!$BA$19),Body!$AY$6,IF(AND('Zdroj data'!O88&gt;=Body!$BB$19,'Zdroj data'!O88&lt;=Body!$BD$19),Body!$BB$6,IF(AND('Zdroj data'!O88&gt;=Body!$BE$19,'Zdroj data'!O88&lt;=Body!$BG$19),Body!$BE$6,IF(AND('Zdroj data'!O88&gt;=Body!$BH$19,'Zdroj data'!O88&lt;=Body!$BJ$19),Body!$BH$6,IF(AND('Zdroj data'!O88&gt;=Body!$BK$19,'Zdroj data'!O88&lt;=Body!$BM$19),Body!$BK$6,IF(AND('Zdroj data'!O88&gt;=Body!$BN$19,'Zdroj data'!O88&lt;=Body!$BP$19),Body!$BN$6,IF(AND('Zdroj data'!O88&gt;=Body!$BQ$19,'Zdroj data'!O88&lt;=Body!$BS$19),Body!$BQ$6,IF(AND('Zdroj data'!O88&gt;=Body!$BT$19,'Zdroj data'!O92&lt;=Body!$BV$19),Body!$BT$6,IF(AND('Zdroj data'!O88&gt;=Body!$BW$19,'Zdroj data'!O88&lt;=Body!$BY$19),Body!$BW$6,IF('Zdroj data'!O88&gt;=Body!$CB$19,Body!$BZ$6," ")))))))))),IF(AND('Zdroj data'!BG88="T",'Zdroj data'!AM88=Body!$AX$20),IF(AND('Zdroj data'!O88&gt;=Body!$AY$20,'Zdroj data'!O88&lt;=Body!$BA$20),Body!$AY$6,IF(AND('Zdroj data'!O88&gt;=Body!$BB$20,'Zdroj data'!O88&lt;=Body!$BD$20),Body!$BB$6,IF(AND('Zdroj data'!O88&gt;=Body!$BE$20,'Zdroj data'!O88&lt;=Body!$BG$20),Body!$BE$6,IF(AND('Zdroj data'!O88&gt;=Body!$BH$20,'Zdroj data'!O88&lt;=Body!$BJ$20),Body!$BH$6,IF(AND('Zdroj data'!O88&gt;=Body!$BK$20,'Zdroj data'!O88&lt;=Body!$BM$20),Body!$BK$6,IF(AND('Zdroj data'!O88&gt;=Body!$BN$20,'Zdroj data'!O88&lt;=Body!$BP$20),Body!$BN$6,IF(AND('Zdroj data'!O88&gt;=Body!$BQ$20,'Zdroj data'!O88&lt;=Body!$BS$20),Body!$BQ$6,IF(AND('Zdroj data'!O88&gt;=Body!$BT$20,'Zdroj data'!O88&lt;=Body!#REF!),Body!$BT$6,IF(AND('Zdroj data'!O88&gt;=Body!$BW$20,'Zdroj data'!O88&lt;=Body!$BY$20),Body!$BW$6,IF('Zdroj data'!O88&gt;=Body!$CB$20,Body!$BZ$6," "))))))))))," ")))</f>
        <v>4</v>
      </c>
      <c r="AI88" s="264">
        <f>IF(AND('Zdroj data'!$BG88="L",'Zdroj data'!$AM88=Body!$AX$18),IF(AND(Tabulka1[[#This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data'!$BG88="ST",'Zdroj data'!$AM88=Body!$AX$19),IF(AND(Tabulka1[[#This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data'!$BG88="T",'Zdroj data'!$AM88=Body!$AX$20),IF(AND(Tabulka1[[#This Row],[K2O_60]]&gt;=Body!$AY$20,'Zdroj data'!O88&lt;=Body!$BA$20),Body!$AY$6,IF(AND(Tabulka1[[#This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2</v>
      </c>
      <c r="AJ88" s="265">
        <f t="shared" si="13"/>
        <v>4.0000000000000036</v>
      </c>
      <c r="AK88" s="264">
        <f t="shared" si="14"/>
        <v>27.581425845484183</v>
      </c>
      <c r="AL88" s="264">
        <f t="shared" si="15"/>
        <v>24.188648635725563</v>
      </c>
      <c r="AM88" s="264">
        <f t="shared" si="16"/>
        <v>60.224069018349617</v>
      </c>
      <c r="AN88" s="264">
        <f t="shared" si="17"/>
        <v>61.768662225551608</v>
      </c>
      <c r="AO88" s="265">
        <f t="shared" si="21"/>
        <v>87.8054948638338</v>
      </c>
      <c r="AP88" s="265">
        <f t="shared" si="18"/>
        <v>85.957310861277165</v>
      </c>
      <c r="AQ88" s="318"/>
      <c r="AR88" s="338">
        <f t="shared" si="19"/>
        <v>177.76280572511098</v>
      </c>
      <c r="AS88" s="318"/>
      <c r="AT88" s="138"/>
      <c r="AU88" s="138"/>
    </row>
    <row r="89" spans="1:48" ht="15.5" x14ac:dyDescent="0.35">
      <c r="A89" s="270">
        <v>4345</v>
      </c>
      <c r="B89" s="156" t="s">
        <v>558</v>
      </c>
      <c r="C89" s="250" t="str">
        <f>VLOOKUP(B89,'Zdroj hloubka okresy'!$A$2:$D$171,2,FALSE)</f>
        <v>Pribram</v>
      </c>
      <c r="D89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89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89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89" s="264">
        <f>IF(AND(Tabulka1[[#This Row],[hum_60]]&gt;AY95,Tabulka1[[#This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89" s="264">
        <f>IF(Tabulka1[[#This Row],[kv.ek.]]=Body!$AX$13,IF(AND('Zdroj data'!M89&gt;=Body!$AY$13,'Zdroj data'!M89&lt;=Body!$BA$13),Body!$AY$6,IF(AND('Zdroj data'!M89&gt;=Body!$BB$13,'Zdroj data'!M89&lt;=Body!$BD$13),Body!$BB$6,IF(AND('Zdroj data'!M89&gt;=Body!$BE$13,'Zdroj data'!M89&lt;=Body!$BG$13),Body!$BE$6,IF(AND('Zdroj data'!M89&gt;=Body!$BH$13,'Zdroj data'!M89&lt;=Body!$BJ$13),Body!$BH$6,IF(AND('Zdroj data'!M89&gt;=Body!$BK$13,'Zdroj data'!M89&lt;=Body!$BM$13),Body!$BK$6,IF(AND('Zdroj data'!M89&gt;=Body!$BN$13,'Zdroj data'!M89&lt;=Body!$BP$13),Body!$BN$6,IF(AND('Zdroj data'!M89&gt;=Body!$BQ$13,'Zdroj data'!M89&lt;=Body!$BS$13),Body!$BQ$6,IF(AND('Zdroj data'!M89&gt;=Body!$BT$13,'Zdroj data'!M89&lt;=Body!$BV$13),Body!$BT$6,IF(AND('Zdroj data'!M89&gt;=Body!$BW$13,'Zdroj data'!M89&lt;=Body!$BY$13),Body!$BW$6,IF('Zdroj data'!M89&gt;=Body!$CB$13,Body!$BZ$6," ")))))))))),IF(Tabulka1[[#This Row],[kv.ek.]]=Body!$AX$14,IF(AND('Zdroj data'!N89&gt;=Body!$AY$14,'Zdroj data'!N89&lt;=Body!$BA$14),Body!$AY$6,IF(AND('Zdroj data'!N89&gt;=Body!$BB$14,'Zdroj data'!N89&lt;=Body!$BD$14),Body!$BB$6,IF(AND('Zdroj data'!N89&gt;=Body!$BE$14,'Zdroj data'!N89&lt;=Body!$BG$14),Body!$BE$6,IF(AND('Zdroj data'!N89&gt;=Body!$BH$14,'Zdroj data'!N89&lt;=Body!$BJ$14),Body!$BH$6,IF(AND('Zdroj data'!N89&gt;=Body!$BK$14,'Zdroj data'!N89&lt;=Body!$BM$14),Body!$BK$6,IF(AND('Zdroj data'!N89&gt;=Body!$BN$14,'Zdroj data'!N89&lt;=Body!$BP$14),Body!$BN$6,IF(AND('Zdroj data'!N89&gt;=Body!$BQ$14,'Zdroj data'!N89&lt;=Body!$BS$14),Body!$BQ$6,IF(AND('Zdroj data'!N89&gt;=Body!$BT$14,'Zdroj data'!N89&lt;=Body!$BV$14),Body!$BT$6,IF(AND('Zdroj data'!N89&gt;=Body!$BW$14,'Zdroj data'!N89&lt;=Body!$BY$14),Body!$BW$6,IF('Zdroj data'!N89&gt;=Body!$CB$14,Body!$BZ$6," "))))))))))," "))</f>
        <v>1</v>
      </c>
      <c r="I89" s="264">
        <f>IF(Tabulka1[[#This Row],[kv.ek.]]=Body!$AX$13,IF(AND('Zdroj data'!N89&gt;=Body!$AY$13,'Zdroj data'!N89&lt;=Body!$BA$13),Body!$AY$6,IF(AND('Zdroj data'!N89&gt;=Body!$BB$13,'Zdroj data'!N89&lt;=Body!$BD$13),Body!$BB$6,IF(AND('Zdroj data'!N89&gt;=Body!$BE$13,'Zdroj data'!N89&lt;=Body!$BG$13),Body!$BE$6,IF(AND('Zdroj data'!N89&gt;=Body!$BH$13,'Zdroj data'!N89&lt;=Body!$BJ$13),Body!$BH$6,IF(AND('Zdroj data'!N89&gt;=Body!$BK$13,'Zdroj data'!N89&lt;=Body!$BM$13),Body!$BK$6,IF(AND('Zdroj data'!N89&gt;=Body!$BN$13,'Zdroj data'!N89&lt;=Body!$BP$13),Body!$BN$6,IF(AND('Zdroj data'!N89&gt;=Body!$BQ$13,'Zdroj data'!N89&lt;=Body!$BS$13),Body!$BQ$6,IF(AND('Zdroj data'!N89&gt;=Body!$BT$13,'Zdroj data'!N89&lt;=Body!$BV$13),Body!$BT$6,IF(AND('Zdroj data'!N89&gt;=Body!$BW$13,'Zdroj data'!N89&lt;=Body!$BY$13),Body!$BW$6,IF('Zdroj data'!N89&gt;=Body!$CB$13,Body!$BZ$6," ")))))))))),IF(Tabulka1[[#This Row],[kv.ek.]]=Body!$AX$14,IF(AND('Zdroj data'!O89&gt;=Body!$AY$14,'Zdroj data'!O89&lt;=Body!$BA$14),Body!$AY$6,IF(AND('Zdroj data'!O89&gt;=Body!$BB$14,'Zdroj data'!O89&lt;=Body!$BD$14),Body!$BB$6,IF(AND('Zdroj data'!O89&gt;=Body!$BE$14,'Zdroj data'!O89&lt;=Body!$BG$14),Body!$BE$6,IF(AND('Zdroj data'!O89&gt;=Body!$BH$14,'Zdroj data'!O89&lt;=Body!$BJ$14),Body!$BH$6,IF(AND('Zdroj data'!O89&gt;=Body!$BK$14,'Zdroj data'!O89&lt;=Body!$BM$14),Body!$BK$6,IF(AND('Zdroj data'!O89&gt;=Body!$BN$14,'Zdroj data'!O89&lt;=Body!$BP$14),Body!$BN$6,IF(AND('Zdroj data'!O89&gt;=Body!$BQ$14,'Zdroj data'!O89&lt;=Body!$BS$14),Body!$BQ$6,IF(AND('Zdroj data'!O89&gt;=Body!$BT$14,'Zdroj data'!O89&lt;=Body!$BV$14),Body!$BT$6,IF(AND('Zdroj data'!O89&gt;=Body!$BW$14,'Zdroj data'!O89&lt;=Body!$BY$14),Body!$BW$6,IF('Zdroj data'!O89&gt;=Body!$CB$14,Body!$BZ$6," "))))))))))," "))</f>
        <v>4</v>
      </c>
      <c r="J89" s="264">
        <f t="shared" si="23"/>
        <v>1</v>
      </c>
      <c r="K89" s="264">
        <f t="shared" si="23"/>
        <v>1</v>
      </c>
      <c r="L89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89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89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89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89" s="264">
        <f>IF(Tabulka1[[#This Row],[RVK]]=Body!$BE$10,Body!$BE$6,IF(Tabulka1[[#This Row],[RVK]]=Body!$BK$10,Body!$BK$6,IF(Tabulka1[[#This Row],[RVK]]=Body!$BN$10,Body!$BN$6,IF(Tabulka1[[#This Row],[RVK]]=Body!$BZ$10,Body!$BZ$6," "))))</f>
        <v>10</v>
      </c>
      <c r="Q89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2</v>
      </c>
      <c r="R89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2</v>
      </c>
      <c r="S89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3</v>
      </c>
      <c r="T89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2</v>
      </c>
      <c r="U89" s="264">
        <f>IF('Zdroj data'!BB89=Body!$AY$25,Body!$AY$22,IF('Zdroj data'!BB89=Body!$BB$25,Body!$BB$22,IF('Zdroj data'!BB89=Body!$BE$25,Body!$BE$22,IF('Zdroj data'!BB89=Body!$BH$25,Body!$BH$22,IF('Zdroj data'!BB89=Body!BK$25,Body!$BK$22,IF('Zdroj data'!BB89=Body!$BN$25,Body!$BN$22,IF('Zdroj data'!BB89=Body!$BQ$25,Body!$BQ$22,IF('Zdroj data'!BB89=Body!$BT$25,Body!$BT$22,IF('Zdroj data'!BB89=Body!$BW$25,Body!$BW$22,IF('Zdroj data'!BB89=Body!$BZ$25,Body!$BZ$22," "))))))))))</f>
        <v>5</v>
      </c>
      <c r="V89" s="264">
        <f>IF(AND('Zdroj data'!BO89&gt;Body!$AY$27,'Zdroj data'!BO89&lt;=Body!$BA$27),Body!$AY$22,IF(AND('Zdroj data'!BO89&gt;=Body!$BB$27,'Zdroj data'!BO89&lt;=Body!$BD$27),Body!$BB$22,IF(AND('Zdroj data'!BO89&gt;=Body!$BE$27,'Zdroj data'!BO89&lt;=Body!$BG$27),Body!$BE$22,IF(AND('Zdroj data'!BO89&gt;=Body!$BH$27,'Zdroj data'!BO89&lt;=Body!$BJ$27),Body!$BH$22,IF(AND('Zdroj data'!BO89&gt;=Body!$BK$27,'Zdroj data'!BO89&lt;=Body!$BM$27),Body!$BK$22,IF(AND('Zdroj data'!BO89&gt;=Body!$BN$27,'Zdroj data'!BO89&lt;=Body!$BP$27),Body!$BN$22,IF(AND('Zdroj data'!BO89&gt;=Body!$BQ$27,'Zdroj data'!BO89&lt;=Body!$BS$27),Body!$BQ$22,IF(AND('Zdroj data'!BO89&gt;=Body!$BT$27,'Zdroj data'!BO89&lt;=Body!$BV$27),Body!$BT$22,IF(AND('Zdroj data'!BO89&gt;=Body!$BW$27,'Zdroj data'!BO89&lt;=Body!$BY$27),Body!$BW$22,IF('Zdroj data'!BO89&gt;=Body!$CB$27,$BZ$22," "))))))))))</f>
        <v>6</v>
      </c>
      <c r="W89" s="264">
        <f>IF(AND('Zdroj data'!BP89&gt;Body!$AY$27,'Zdroj data'!BP89&lt;=Body!$BA$27),Body!$AY$22,IF(AND('Zdroj data'!BP89&gt;=Body!$BB$27,'Zdroj data'!BP89&lt;=Body!$BD$27),Body!$BB$22,IF(AND('Zdroj data'!BP89&gt;=Body!$BE$27,'Zdroj data'!BP89&lt;=Body!$BG$27),Body!$BE$22,IF(AND('Zdroj data'!BP89&gt;=Body!$BH$27,'Zdroj data'!BP89&lt;=Body!$BJ$27),Body!$BH$22,IF(AND('Zdroj data'!BP89&gt;=Body!$BK$27,'Zdroj data'!BP89&lt;=Body!$BM$27),Body!$BK$22,IF(AND('Zdroj data'!BP89&gt;=Body!$BN$27,'Zdroj data'!BP89&lt;=Body!$BP$27),Body!$BN$22,IF(AND('Zdroj data'!BP89&gt;=Body!$BQ$27,'Zdroj data'!BP89&lt;=Body!$BS$27),Body!$BQ$22,IF(AND('Zdroj data'!BP89&gt;=Body!$BT$27,'Zdroj data'!BP89&lt;=Body!$BV$27),Body!$BT$22,IF(AND('Zdroj data'!BP89&gt;=Body!$BW$27,'Zdroj data'!BP89&lt;=Body!$BY$27),Body!$BW$22,IF('Zdroj data'!BP89&gt;=Body!$CB$27,$BZ$22," "))))))))))</f>
        <v>5</v>
      </c>
      <c r="X89" s="264">
        <f>IF('Zdroj data'!BA89=Body!$BB$28,$BB$22,IF('Zdroj data'!BA89=Body!$BE$28,$BE$22,IF(OR('Zdroj data'!BA89=Body!$BK$28,'Zdroj data'!BA89=Body!$BL$28,'Zdroj data'!BA89=Body!$BM$28),$BK$22,IF(OR('Zdroj data'!BA89=Body!$BT$28,'Zdroj data'!BA89=Body!$BV$28),$BT$22,IF(OR('Zdroj data'!BA89=Body!$BW$28,'Zdroj data'!BA89=Body!$BY$28),$BW$22,IF('Zdroj data'!BA89=Body!$BZ$28,$BZ$22," "))))))</f>
        <v>5</v>
      </c>
      <c r="Y89" s="264">
        <f>IF('Zdroj data'!AZ89=Body!$BZ$29,Body!$BZ$22,IF(OR('Zdroj data'!AZ89=$BT$29,'Zdroj data'!AZ89=$BU$29,'Zdroj data'!AZ89=$BV$29),$BT$22,IF(OR('Zdroj data'!AZ89=$BK$29,'Zdroj data'!AZ89=$BM$29),$BK$22,IF(OR('Zdroj data'!AZ89=$BE$29,'Zdroj data'!AZ89=$BG$29),$BE$22,IF(OR('Zdroj data'!AZ89=$AY$29,'Zdroj data'!AZ89=$BA$29),$AY$22," ")))))</f>
        <v>8</v>
      </c>
      <c r="Z89" s="264">
        <f>IF(AND('Zdroj data'!BF89="T",(OR('Zdroj data'!AZ89=Body!$AW$45,'Zdroj data'!AZ89=Body!$AW$46,'Zdroj data'!AZ89=Body!$AW$47,'Zdroj data'!AZ89=Body!$AW$48))),Body!$AY$22,IF(AND('Zdroj data'!BF89="T",(OR('Zdroj data'!AZ89=$AW$49,'Zdroj data'!AZ89=$AW$50,'Zdroj data'!AZ89=$AW$51,'Zdroj data'!AZ89=$AW$52))),$BZ$22,IF(AND(OR('Zdroj data'!BF89="VT",'Zdroj data'!BF89="T",'Zdroj data'!BF89="CH"),(OR('Zdroj data'!AZ89=$AW$43,'Zdroj data'!AZ89=$AW$44,))),$BZ$22,IF(AND('Zdroj data'!BF89="CH",(OR('Zdroj data'!AZ89=$AW$49,'Zdroj data'!AZ89=$AW$50,'Zdroj data'!AZ89=$AW$51,'Zdroj data'!AZ89=$AW$52))),$AY$22,IF(AND('Zdroj data'!BF89="CH",(OR('Zdroj data'!AZ89=$AW$45,'Zdroj data'!AZ89=$AW$46,'Zdroj data'!AZ89=$AW$47,'Zdroj data'!AZ89=$AW$48))),$BZ$22," ")))))</f>
        <v>10</v>
      </c>
      <c r="AA89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89" s="264">
        <f>IF(Tabulka1[[#This Row],[kv.ek.]]=Body!$BK$35,Body!$BK$34,IF(Tabulka1[[#This Row],[kv.ek.]]=Body!$BZ$35,Body!$BZ$34," "))</f>
        <v>10</v>
      </c>
      <c r="AC89" s="264" t="str">
        <f>IF(AND('Zdroj data'!BF89="T",(OR('Zdroj data'!AZ89=Body!$AW$45,'Zdroj data'!AZ89=Body!$AW$46,'Zdroj data'!AZ89=Body!$AW$47,'Zdroj data'!AZ89=Body!$AW$48))),Body!$AY$22,IF(AND('Zdroj data'!BF89="T",(OR('Zdroj data'!AZ89=$AW$49,'Zdroj data'!AZ89=$AW$50,'Zdroj data'!AZ89=$AW$51,'Zdroj data'!AZ89=$AW$52))),$BZ$22," "))</f>
        <v xml:space="preserve"> </v>
      </c>
      <c r="AD89" s="264">
        <f>IF(AND(OR('Zdroj data'!BF89="VT",'Zdroj data'!BF89="T",'Zdroj data'!BF89="CH"),(OR('Zdroj data'!AZ89=$AW$43,'Zdroj data'!AZ89=$AW$44,))),$BZ$22," ")</f>
        <v>10</v>
      </c>
      <c r="AE89" s="264" t="str">
        <f>IF(AND('Zdroj data'!BF89="CH",(OR('Zdroj data'!AZ89=$AW$49,'Zdroj data'!AZ89=$AW$50,'Zdroj data'!AZ89=$AW$51,'Zdroj data'!AZ89=$AW$52))),$AY$22,IF(AND('Zdroj data'!BF89="CH",(OR('Zdroj data'!AZ89=$AW$45,'Zdroj data'!AZ89=$AW$46,'Zdroj data'!AZ89=$AW$47,'Zdroj data'!AZ89=$AW$48))),$BZ$22," "))</f>
        <v xml:space="preserve"> </v>
      </c>
      <c r="AF89" s="264" t="str">
        <f>IF(AND('Zdroj data'!BG89="L",'Zdroj data'!AM89=Body!$AX$15),IF(AND('Zdroj data'!O89&gt;=Body!$AY$15,'Zdroj data'!O89&lt;=Body!$BA$15),Body!AY$6,IF(AND('Zdroj data'!O89&gt;=Body!$BB$15,'Zdroj data'!O89&lt;=Body!$BD$15),Body!BB$6,IF(AND('Zdroj data'!O89&gt;=Body!$BE$15,'Zdroj data'!O89&lt;=Body!$BG$15),Body!BE$6,IF(AND('Zdroj data'!O89&gt;=Body!$BH$15,'Zdroj data'!O89&lt;=Body!$BJ$15),Body!BH$6,IF(AND('Zdroj data'!O89&gt;=Body!$BK$15,'Zdroj data'!O89&lt;=Body!$BM$15),Body!BK$6,IF(AND('Zdroj data'!O89&gt;=Body!$BN$15,'Zdroj data'!O89&lt;=Body!$BP$15),Body!$BN$6,IF(AND('Zdroj data'!O89&gt;=Body!$BQ$15,'Zdroj data'!O89&lt;=Body!$BS$15),Body!$BQ$6,IF(AND('Zdroj data'!O89&gt;=Body!$BT$15,'Zdroj data'!O89&lt;=Body!$BV$15),Body!BT$6,IF(AND('Zdroj data'!O89&gt;=Body!$BW$15,'Zdroj data'!O89&lt;=Body!$BY$15),Body!$BW$6,IF('Zdroj data'!O89&gt;=Body!$CB$15,Body!$BZ$6," ")))))))))),IF(AND('Zdroj data'!BG89="ST",'Zdroj data'!AM89=Body!$AX$16),IF(AND('Zdroj data'!O89&gt;=Body!$AY$16,'Zdroj data'!O89&lt;=Body!$BA$16),Body!$AY$6,IF(AND('Zdroj data'!O89&gt;=Body!$BB$16,'Zdroj data'!O89&lt;=Body!$BD$16),Body!$BB$6,IF(AND('Zdroj data'!O89&gt;=Body!$BE$16,'Zdroj data'!O89&lt;=Body!$BG$16),Body!$BE$6,IF(AND('Zdroj data'!O89&gt;=Body!$BH$16,'Zdroj data'!O89&lt;=Body!$BJ$16),Body!$BH$6,IF(AND('Zdroj data'!O89&gt;=Body!$BK$16,'Zdroj data'!O89&lt;=Body!$BM$16),Body!$BK$6,IF(AND('Zdroj data'!O89&gt;=Body!$BN$16,'Zdroj data'!O89&lt;=Body!$BP$16),Body!$BN$6,IF(AND('Zdroj data'!O89&gt;=Body!$BQ$16,'Zdroj data'!O89&lt;=Body!$BS$16),Body!$BQ$6,IF(AND('Zdroj data'!O89&gt;=Body!$BT$16,'Zdroj data'!O89&lt;=Body!$BV$16),Body!$BT$6,IF(AND('Zdroj data'!O89&gt;=Body!$BW$16,'Zdroj data'!O89&lt;=Body!$BY$16),Body!$BW$6,IF('Zdroj data'!O89&gt;=Body!$CB$16,Body!$BZ$6," ")))))))))),IF(AND('Zdroj data'!BG89="T",'Zdroj data'!AM89=Body!$AX$17),IF(AND('Zdroj data'!O89&gt;=Body!$AY$17,'Zdroj data'!O89&lt;=Body!$BA$17),Body!$AY$6,IF(AND('Zdroj data'!O89&gt;=Body!$BB$17,'Zdroj data'!O89&lt;=Body!$BD$17),Body!$BB$6,IF(AND('Zdroj data'!O89&gt;=Body!$BE$17,'Zdroj data'!O89&lt;=Body!$BG$17),Body!$BE$6,IF(AND('Zdroj data'!O89&gt;=Body!$BH$17,'Zdroj data'!O89&lt;=Body!#REF!),Body!$BH$6,IF(AND('Zdroj data'!O89&gt;=Body!$BK$17,'Zdroj data'!O89&lt;=Body!$BM$17),Body!$BK$6,IF(AND('Zdroj data'!O89&gt;=Body!$BN$17,'Zdroj data'!O89&lt;=Body!$BP$17),Body!$BN$6,IF(AND('Zdroj data'!O89&gt;=Body!$BQ$17,'Zdroj data'!O89&lt;=Body!$BS$17),Body!$BQ$6,IF(AND('Zdroj data'!O89&gt;=Body!$BT$17,'Zdroj data'!O89&lt;=Body!$BV$17),Body!$BT$6,IF(AND('Zdroj data'!O89&gt;=Body!$BW$17,'Zdroj data'!O89&lt;=Body!$BY$17),Body!$BW$6,IF('Zdroj data'!O89&gt;=Body!$CB$17,Body!$BZ$6," "))))))))))," ")))</f>
        <v xml:space="preserve"> </v>
      </c>
      <c r="AG89" s="264" t="str">
        <f>IF(AND('Zdroj data'!$BG89="L",'Zdroj data'!$AM89=Body!$AX$15),IF(AND(Tabulka1[[#This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data'!$BG89="ST",'Zdroj data'!$AM89=Body!$AX$16),IF(AND(Tabulka1[[#This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data'!$BG89="T",'Zdroj data'!$AM89=Body!$AX$17),IF(AND(Tabulka1[[#This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89" s="264">
        <f>IF(AND('Zdroj data'!BG89="L",'Zdroj data'!AM89=Body!$AX$18),IF(AND('Zdroj data'!O89&gt;=Body!$AY$18,'Zdroj data'!O89&lt;=Body!$BA$18),Body!AY$6,IF(AND('Zdroj data'!O89&gt;=Body!$BB$18,'Zdroj data'!O89&lt;=Body!$BD$18),Body!BB$6,IF(AND('Zdroj data'!O89&gt;=Body!$BE$18,'Zdroj data'!O89&lt;=Body!$BG$18),Body!BE$6,IF(AND('Zdroj data'!O89&gt;=Body!$BH$18,'Zdroj data'!O89&lt;=Body!$BJ$18),Body!BH$6,IF(AND('Zdroj data'!O89&gt;=Body!$BK$18,'Zdroj data'!O89&lt;=Body!$BM$18),Body!$BK$6,IF(AND('Zdroj data'!O89&gt;=Body!$BN$18,'Zdroj data'!O89&lt;=Body!$BP$18),Body!BN$6,IF(AND('Zdroj data'!O89&gt;=Body!$BQ$18,'Zdroj data'!O89&lt;=Body!$BS$18),Body!$BQ$6,IF(AND('Zdroj data'!O89&gt;=Body!$BT$18,'Zdroj data'!O89&lt;=Body!$BV$18),Body!$BT$6,IF(AND('Zdroj data'!O89&gt;=Body!$BW$18,'Zdroj data'!O89&lt;=Body!$BY$18),Body!$BW$6,IF('Zdroj data'!O89&gt;=Body!$CB$18,Body!$BZ$6," ")))))))))),IF(AND('Zdroj data'!BG89="ST",'Zdroj data'!AM89=Body!$AX$19),IF(AND('Zdroj data'!O89&gt;=Body!$AY$19,'Zdroj data'!O89&lt;=Body!$BA$19),Body!$AY$6,IF(AND('Zdroj data'!O89&gt;=Body!$BB$19,'Zdroj data'!O89&lt;=Body!$BD$19),Body!$BB$6,IF(AND('Zdroj data'!O89&gt;=Body!$BE$19,'Zdroj data'!O89&lt;=Body!$BG$19),Body!$BE$6,IF(AND('Zdroj data'!O89&gt;=Body!$BH$19,'Zdroj data'!O89&lt;=Body!$BJ$19),Body!$BH$6,IF(AND('Zdroj data'!O89&gt;=Body!$BK$19,'Zdroj data'!O89&lt;=Body!$BM$19),Body!$BK$6,IF(AND('Zdroj data'!O89&gt;=Body!$BN$19,'Zdroj data'!O89&lt;=Body!$BP$19),Body!$BN$6,IF(AND('Zdroj data'!O89&gt;=Body!$BQ$19,'Zdroj data'!O89&lt;=Body!$BS$19),Body!$BQ$6,IF(AND('Zdroj data'!O89&gt;=Body!$BT$19,'Zdroj data'!O93&lt;=Body!$BV$19),Body!$BT$6,IF(AND('Zdroj data'!O89&gt;=Body!$BW$19,'Zdroj data'!O89&lt;=Body!$BY$19),Body!$BW$6,IF('Zdroj data'!O89&gt;=Body!$CB$19,Body!$BZ$6," ")))))))))),IF(AND('Zdroj data'!BG89="T",'Zdroj data'!AM89=Body!$AX$20),IF(AND('Zdroj data'!O89&gt;=Body!$AY$20,'Zdroj data'!O89&lt;=Body!$BA$20),Body!$AY$6,IF(AND('Zdroj data'!O89&gt;=Body!$BB$20,'Zdroj data'!O89&lt;=Body!$BD$20),Body!$BB$6,IF(AND('Zdroj data'!O89&gt;=Body!$BE$20,'Zdroj data'!O89&lt;=Body!$BG$20),Body!$BE$6,IF(AND('Zdroj data'!O89&gt;=Body!$BH$20,'Zdroj data'!O89&lt;=Body!$BJ$20),Body!$BH$6,IF(AND('Zdroj data'!O89&gt;=Body!$BK$20,'Zdroj data'!O89&lt;=Body!$BM$20),Body!$BK$6,IF(AND('Zdroj data'!O89&gt;=Body!$BN$20,'Zdroj data'!O89&lt;=Body!$BP$20),Body!$BN$6,IF(AND('Zdroj data'!O89&gt;=Body!$BQ$20,'Zdroj data'!O89&lt;=Body!$BS$20),Body!$BQ$6,IF(AND('Zdroj data'!O89&gt;=Body!$BT$20,'Zdroj data'!O89&lt;=Body!#REF!),Body!$BT$6,IF(AND('Zdroj data'!O89&gt;=Body!$BW$20,'Zdroj data'!O89&lt;=Body!$BY$20),Body!$BW$6,IF('Zdroj data'!O89&gt;=Body!$CB$20,Body!$BZ$6," "))))))))))," ")))</f>
        <v>1</v>
      </c>
      <c r="AI89" s="264">
        <f>IF(AND('Zdroj data'!$BG89="L",'Zdroj data'!$AM89=Body!$AX$18),IF(AND(Tabulka1[[#This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data'!$BG89="ST",'Zdroj data'!$AM89=Body!$AX$19),IF(AND(Tabulka1[[#This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data'!$BG89="T",'Zdroj data'!$AM89=Body!$AX$20),IF(AND(Tabulka1[[#This Row],[K2O_60]]&gt;=Body!$AY$20,'Zdroj data'!O89&lt;=Body!$BA$20),Body!$AY$6,IF(AND(Tabulka1[[#This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1</v>
      </c>
      <c r="AJ89" s="265">
        <f t="shared" si="13"/>
        <v>16.000000000000014</v>
      </c>
      <c r="AK89" s="264">
        <f t="shared" si="14"/>
        <v>25.994643038589228</v>
      </c>
      <c r="AL89" s="264">
        <f t="shared" si="15"/>
        <v>27.477016759406499</v>
      </c>
      <c r="AM89" s="264">
        <f t="shared" si="16"/>
        <v>42.603021927056076</v>
      </c>
      <c r="AN89" s="264">
        <f t="shared" si="17"/>
        <v>37.144804762778094</v>
      </c>
      <c r="AO89" s="265">
        <f t="shared" si="21"/>
        <v>68.597664965645308</v>
      </c>
      <c r="AP89" s="265">
        <f t="shared" si="18"/>
        <v>64.62182152218459</v>
      </c>
      <c r="AQ89" s="318"/>
      <c r="AR89" s="338">
        <f t="shared" si="19"/>
        <v>149.2194864878299</v>
      </c>
      <c r="AS89" s="318"/>
      <c r="AT89" s="138"/>
      <c r="AU89" s="138"/>
    </row>
    <row r="90" spans="1:48" ht="15.5" x14ac:dyDescent="0.35">
      <c r="A90" s="270">
        <v>4351</v>
      </c>
      <c r="B90" s="156" t="s">
        <v>110</v>
      </c>
      <c r="C90" s="250" t="str">
        <f>VLOOKUP(B90,'Zdroj hloubka okresy'!$A$2:$D$171,2,FALSE)</f>
        <v>Pribram</v>
      </c>
      <c r="D90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90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90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90" s="264">
        <f>IF(AND(Tabulka1[[#This Row],[hum_60]]&gt;AY96,Tabulka1[[#This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90" s="264">
        <f>IF(Tabulka1[[#This Row],[kv.ek.]]=Body!$AX$13,IF(AND('Zdroj data'!M90&gt;=Body!$AY$13,'Zdroj data'!M90&lt;=Body!$BA$13),Body!$AY$6,IF(AND('Zdroj data'!M90&gt;=Body!$BB$13,'Zdroj data'!M90&lt;=Body!$BD$13),Body!$BB$6,IF(AND('Zdroj data'!M90&gt;=Body!$BE$13,'Zdroj data'!M90&lt;=Body!$BG$13),Body!$BE$6,IF(AND('Zdroj data'!M90&gt;=Body!$BH$13,'Zdroj data'!M90&lt;=Body!$BJ$13),Body!$BH$6,IF(AND('Zdroj data'!M90&gt;=Body!$BK$13,'Zdroj data'!M90&lt;=Body!$BM$13),Body!$BK$6,IF(AND('Zdroj data'!M90&gt;=Body!$BN$13,'Zdroj data'!M90&lt;=Body!$BP$13),Body!$BN$6,IF(AND('Zdroj data'!M90&gt;=Body!$BQ$13,'Zdroj data'!M90&lt;=Body!$BS$13),Body!$BQ$6,IF(AND('Zdroj data'!M90&gt;=Body!$BT$13,'Zdroj data'!M90&lt;=Body!$BV$13),Body!$BT$6,IF(AND('Zdroj data'!M90&gt;=Body!$BW$13,'Zdroj data'!M90&lt;=Body!$BY$13),Body!$BW$6,IF('Zdroj data'!M90&gt;=Body!$CB$13,Body!$BZ$6," ")))))))))),IF(Tabulka1[[#This Row],[kv.ek.]]=Body!$AX$14,IF(AND('Zdroj data'!N90&gt;=Body!$AY$14,'Zdroj data'!N90&lt;=Body!$BA$14),Body!$AY$6,IF(AND('Zdroj data'!N90&gt;=Body!$BB$14,'Zdroj data'!N90&lt;=Body!$BD$14),Body!$BB$6,IF(AND('Zdroj data'!N90&gt;=Body!$BE$14,'Zdroj data'!N90&lt;=Body!$BG$14),Body!$BE$6,IF(AND('Zdroj data'!N90&gt;=Body!$BH$14,'Zdroj data'!N90&lt;=Body!$BJ$14),Body!$BH$6,IF(AND('Zdroj data'!N90&gt;=Body!$BK$14,'Zdroj data'!N90&lt;=Body!$BM$14),Body!$BK$6,IF(AND('Zdroj data'!N90&gt;=Body!$BN$14,'Zdroj data'!N90&lt;=Body!$BP$14),Body!$BN$6,IF(AND('Zdroj data'!N90&gt;=Body!$BQ$14,'Zdroj data'!N90&lt;=Body!$BS$14),Body!$BQ$6,IF(AND('Zdroj data'!N90&gt;=Body!$BT$14,'Zdroj data'!N90&lt;=Body!$BV$14),Body!$BT$6,IF(AND('Zdroj data'!N90&gt;=Body!$BW$14,'Zdroj data'!N90&lt;=Body!$BY$14),Body!$BW$6,IF('Zdroj data'!N90&gt;=Body!$CB$14,Body!$BZ$6," "))))))))))," "))</f>
        <v>1</v>
      </c>
      <c r="I90" s="264">
        <f>IF(Tabulka1[[#This Row],[kv.ek.]]=Body!$AX$13,IF(AND('Zdroj data'!N90&gt;=Body!$AY$13,'Zdroj data'!N90&lt;=Body!$BA$13),Body!$AY$6,IF(AND('Zdroj data'!N90&gt;=Body!$BB$13,'Zdroj data'!N90&lt;=Body!$BD$13),Body!$BB$6,IF(AND('Zdroj data'!N90&gt;=Body!$BE$13,'Zdroj data'!N90&lt;=Body!$BG$13),Body!$BE$6,IF(AND('Zdroj data'!N90&gt;=Body!$BH$13,'Zdroj data'!N90&lt;=Body!$BJ$13),Body!$BH$6,IF(AND('Zdroj data'!N90&gt;=Body!$BK$13,'Zdroj data'!N90&lt;=Body!$BM$13),Body!$BK$6,IF(AND('Zdroj data'!N90&gt;=Body!$BN$13,'Zdroj data'!N90&lt;=Body!$BP$13),Body!$BN$6,IF(AND('Zdroj data'!N90&gt;=Body!$BQ$13,'Zdroj data'!N90&lt;=Body!$BS$13),Body!$BQ$6,IF(AND('Zdroj data'!N90&gt;=Body!$BT$13,'Zdroj data'!N90&lt;=Body!$BV$13),Body!$BT$6,IF(AND('Zdroj data'!N90&gt;=Body!$BW$13,'Zdroj data'!N90&lt;=Body!$BY$13),Body!$BW$6,IF('Zdroj data'!N90&gt;=Body!$CB$13,Body!$BZ$6," ")))))))))),IF(Tabulka1[[#This Row],[kv.ek.]]=Body!$AX$14,IF(AND('Zdroj data'!O90&gt;=Body!$AY$14,'Zdroj data'!O90&lt;=Body!$BA$14),Body!$AY$6,IF(AND('Zdroj data'!O90&gt;=Body!$BB$14,'Zdroj data'!O90&lt;=Body!$BD$14),Body!$BB$6,IF(AND('Zdroj data'!O90&gt;=Body!$BE$14,'Zdroj data'!O90&lt;=Body!$BG$14),Body!$BE$6,IF(AND('Zdroj data'!O90&gt;=Body!$BH$14,'Zdroj data'!O90&lt;=Body!$BJ$14),Body!$BH$6,IF(AND('Zdroj data'!O90&gt;=Body!$BK$14,'Zdroj data'!O90&lt;=Body!$BM$14),Body!$BK$6,IF(AND('Zdroj data'!O90&gt;=Body!$BN$14,'Zdroj data'!O90&lt;=Body!$BP$14),Body!$BN$6,IF(AND('Zdroj data'!O90&gt;=Body!$BQ$14,'Zdroj data'!O90&lt;=Body!$BS$14),Body!$BQ$6,IF(AND('Zdroj data'!O90&gt;=Body!$BT$14,'Zdroj data'!O90&lt;=Body!$BV$14),Body!$BT$6,IF(AND('Zdroj data'!O90&gt;=Body!$BW$14,'Zdroj data'!O90&lt;=Body!$BY$14),Body!$BW$6,IF('Zdroj data'!O90&gt;=Body!$CB$14,Body!$BZ$6," "))))))))))," "))</f>
        <v>1</v>
      </c>
      <c r="J90" s="264">
        <f t="shared" si="23"/>
        <v>1</v>
      </c>
      <c r="K90" s="264">
        <f t="shared" si="23"/>
        <v>1</v>
      </c>
      <c r="L90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1</v>
      </c>
      <c r="M90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1</v>
      </c>
      <c r="N90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3</v>
      </c>
      <c r="O90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4</v>
      </c>
      <c r="P90" s="264">
        <f>IF(Tabulka1[[#This Row],[RVK]]=Body!$BE$10,Body!$BE$6,IF(Tabulka1[[#This Row],[RVK]]=Body!$BK$10,Body!$BK$6,IF(Tabulka1[[#This Row],[RVK]]=Body!$BN$10,Body!$BN$6,IF(Tabulka1[[#This Row],[RVK]]=Body!$BZ$10,Body!$BZ$6," "))))</f>
        <v>10</v>
      </c>
      <c r="Q90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2</v>
      </c>
      <c r="R90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2</v>
      </c>
      <c r="S90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4</v>
      </c>
      <c r="T90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4</v>
      </c>
      <c r="U90" s="264">
        <f>IF('Zdroj data'!BB90=Body!$AY$25,Body!$AY$22,IF('Zdroj data'!BB90=Body!$BB$25,Body!$BB$22,IF('Zdroj data'!BB90=Body!$BE$25,Body!$BE$22,IF('Zdroj data'!BB90=Body!$BH$25,Body!$BH$22,IF('Zdroj data'!BB90=Body!BK$25,Body!$BK$22,IF('Zdroj data'!BB90=Body!$BN$25,Body!$BN$22,IF('Zdroj data'!BB90=Body!$BQ$25,Body!$BQ$22,IF('Zdroj data'!BB90=Body!$BT$25,Body!$BT$22,IF('Zdroj data'!BB90=Body!$BW$25,Body!$BW$22,IF('Zdroj data'!BB90=Body!$BZ$25,Body!$BZ$22," "))))))))))</f>
        <v>5</v>
      </c>
      <c r="V90" s="264">
        <f>IF(AND('Zdroj data'!BO90&gt;Body!$AY$27,'Zdroj data'!BO90&lt;=Body!$BA$27),Body!$AY$22,IF(AND('Zdroj data'!BO90&gt;=Body!$BB$27,'Zdroj data'!BO90&lt;=Body!$BD$27),Body!$BB$22,IF(AND('Zdroj data'!BO90&gt;=Body!$BE$27,'Zdroj data'!BO90&lt;=Body!$BG$27),Body!$BE$22,IF(AND('Zdroj data'!BO90&gt;=Body!$BH$27,'Zdroj data'!BO90&lt;=Body!$BJ$27),Body!$BH$22,IF(AND('Zdroj data'!BO90&gt;=Body!$BK$27,'Zdroj data'!BO90&lt;=Body!$BM$27),Body!$BK$22,IF(AND('Zdroj data'!BO90&gt;=Body!$BN$27,'Zdroj data'!BO90&lt;=Body!$BP$27),Body!$BN$22,IF(AND('Zdroj data'!BO90&gt;=Body!$BQ$27,'Zdroj data'!BO90&lt;=Body!$BS$27),Body!$BQ$22,IF(AND('Zdroj data'!BO90&gt;=Body!$BT$27,'Zdroj data'!BO90&lt;=Body!$BV$27),Body!$BT$22,IF(AND('Zdroj data'!BO90&gt;=Body!$BW$27,'Zdroj data'!BO90&lt;=Body!$BY$27),Body!$BW$22,IF('Zdroj data'!BO90&gt;=Body!$CB$27,$BZ$22," "))))))))))</f>
        <v>7</v>
      </c>
      <c r="W90" s="264">
        <f>IF(AND('Zdroj data'!BP90&gt;Body!$AY$27,'Zdroj data'!BP90&lt;=Body!$BA$27),Body!$AY$22,IF(AND('Zdroj data'!BP90&gt;=Body!$BB$27,'Zdroj data'!BP90&lt;=Body!$BD$27),Body!$BB$22,IF(AND('Zdroj data'!BP90&gt;=Body!$BE$27,'Zdroj data'!BP90&lt;=Body!$BG$27),Body!$BE$22,IF(AND('Zdroj data'!BP90&gt;=Body!$BH$27,'Zdroj data'!BP90&lt;=Body!$BJ$27),Body!$BH$22,IF(AND('Zdroj data'!BP90&gt;=Body!$BK$27,'Zdroj data'!BP90&lt;=Body!$BM$27),Body!$BK$22,IF(AND('Zdroj data'!BP90&gt;=Body!$BN$27,'Zdroj data'!BP90&lt;=Body!$BP$27),Body!$BN$22,IF(AND('Zdroj data'!BP90&gt;=Body!$BQ$27,'Zdroj data'!BP90&lt;=Body!$BS$27),Body!$BQ$22,IF(AND('Zdroj data'!BP90&gt;=Body!$BT$27,'Zdroj data'!BP90&lt;=Body!$BV$27),Body!$BT$22,IF(AND('Zdroj data'!BP90&gt;=Body!$BW$27,'Zdroj data'!BP90&lt;=Body!$BY$27),Body!$BW$22,IF('Zdroj data'!BP90&gt;=Body!$CB$27,$BZ$22," "))))))))))</f>
        <v>6</v>
      </c>
      <c r="X90" s="264">
        <f>IF('Zdroj data'!BA90=Body!$BB$28,$BB$22,IF('Zdroj data'!BA90=Body!$BE$28,$BE$22,IF(OR('Zdroj data'!BA90=Body!$BK$28,'Zdroj data'!BA90=Body!$BL$28,'Zdroj data'!BA90=Body!$BM$28),$BK$22,IF(OR('Zdroj data'!BA90=Body!$BT$28,'Zdroj data'!BA90=Body!$BV$28),$BT$22,IF(OR('Zdroj data'!BA90=Body!$BW$28,'Zdroj data'!BA90=Body!$BY$28),$BW$22,IF('Zdroj data'!BA90=Body!$BZ$28,$BZ$22," "))))))</f>
        <v>5</v>
      </c>
      <c r="Y90" s="264">
        <f>IF('Zdroj data'!AZ90=Body!$BZ$29,Body!$BZ$22,IF(OR('Zdroj data'!AZ90=$BT$29,'Zdroj data'!AZ90=$BU$29,'Zdroj data'!AZ90=$BV$29),$BT$22,IF(OR('Zdroj data'!AZ90=$BK$29,'Zdroj data'!AZ90=$BM$29),$BK$22,IF(OR('Zdroj data'!AZ90=$BE$29,'Zdroj data'!AZ90=$BG$29),$BE$22,IF(OR('Zdroj data'!AZ90=$AY$29,'Zdroj data'!AZ90=$BA$29),$AY$22," ")))))</f>
        <v>8</v>
      </c>
      <c r="Z90" s="264">
        <f>IF(AND('Zdroj data'!BF90="T",(OR('Zdroj data'!AZ90=Body!$AW$45,'Zdroj data'!AZ90=Body!$AW$46,'Zdroj data'!AZ90=Body!$AW$47,'Zdroj data'!AZ90=Body!$AW$48))),Body!$AY$22,IF(AND('Zdroj data'!BF90="T",(OR('Zdroj data'!AZ90=$AW$49,'Zdroj data'!AZ90=$AW$50,'Zdroj data'!AZ90=$AW$51,'Zdroj data'!AZ90=$AW$52))),$BZ$22,IF(AND(OR('Zdroj data'!BF90="VT",'Zdroj data'!BF90="T",'Zdroj data'!BF90="CH"),(OR('Zdroj data'!AZ90=$AW$43,'Zdroj data'!AZ90=$AW$44,))),$BZ$22,IF(AND('Zdroj data'!BF90="CH",(OR('Zdroj data'!AZ90=$AW$49,'Zdroj data'!AZ90=$AW$50,'Zdroj data'!AZ90=$AW$51,'Zdroj data'!AZ90=$AW$52))),$AY$22,IF(AND('Zdroj data'!BF90="CH",(OR('Zdroj data'!AZ90=$AW$45,'Zdroj data'!AZ90=$AW$46,'Zdroj data'!AZ90=$AW$47,'Zdroj data'!AZ90=$AW$48))),$BZ$22," ")))))</f>
        <v>10</v>
      </c>
      <c r="AA90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90" s="264">
        <f>IF(Tabulka1[[#This Row],[kv.ek.]]=Body!$BK$35,Body!$BK$34,IF(Tabulka1[[#This Row],[kv.ek.]]=Body!$BZ$35,Body!$BZ$34," "))</f>
        <v>5</v>
      </c>
      <c r="AC90" s="264" t="str">
        <f>IF(AND('Zdroj data'!BF90="T",(OR('Zdroj data'!AZ90=Body!$AW$45,'Zdroj data'!AZ90=Body!$AW$46,'Zdroj data'!AZ90=Body!$AW$47,'Zdroj data'!AZ90=Body!$AW$48))),Body!$AY$22,IF(AND('Zdroj data'!BF90="T",(OR('Zdroj data'!AZ90=$AW$49,'Zdroj data'!AZ90=$AW$50,'Zdroj data'!AZ90=$AW$51,'Zdroj data'!AZ90=$AW$52))),$BZ$22," "))</f>
        <v xml:space="preserve"> </v>
      </c>
      <c r="AD90" s="264">
        <f>IF(AND(OR('Zdroj data'!BF90="VT",'Zdroj data'!BF90="T",'Zdroj data'!BF90="CH"),(OR('Zdroj data'!AZ90=$AW$43,'Zdroj data'!AZ90=$AW$44,))),$BZ$22," ")</f>
        <v>10</v>
      </c>
      <c r="AE90" s="264" t="str">
        <f>IF(AND('Zdroj data'!BF90="CH",(OR('Zdroj data'!AZ90=$AW$49,'Zdroj data'!AZ90=$AW$50,'Zdroj data'!AZ90=$AW$51,'Zdroj data'!AZ90=$AW$52))),$AY$22,IF(AND('Zdroj data'!BF90="CH",(OR('Zdroj data'!AZ90=$AW$45,'Zdroj data'!AZ90=$AW$46,'Zdroj data'!AZ90=$AW$47,'Zdroj data'!AZ90=$AW$48))),$BZ$22," "))</f>
        <v xml:space="preserve"> </v>
      </c>
      <c r="AF90" s="264">
        <f>IF(AND('Zdroj data'!BG90="L",'Zdroj data'!AM90=Body!$AX$15),IF(AND('Zdroj data'!O90&gt;=Body!$AY$15,'Zdroj data'!O90&lt;=Body!$BA$15),Body!AY$6,IF(AND('Zdroj data'!O90&gt;=Body!$BB$15,'Zdroj data'!O90&lt;=Body!$BD$15),Body!BB$6,IF(AND('Zdroj data'!O90&gt;=Body!$BE$15,'Zdroj data'!O90&lt;=Body!$BG$15),Body!BE$6,IF(AND('Zdroj data'!O90&gt;=Body!$BH$15,'Zdroj data'!O90&lt;=Body!$BJ$15),Body!BH$6,IF(AND('Zdroj data'!O90&gt;=Body!$BK$15,'Zdroj data'!O90&lt;=Body!$BM$15),Body!BK$6,IF(AND('Zdroj data'!O90&gt;=Body!$BN$15,'Zdroj data'!O90&lt;=Body!$BP$15),Body!$BN$6,IF(AND('Zdroj data'!O90&gt;=Body!$BQ$15,'Zdroj data'!O90&lt;=Body!$BS$15),Body!$BQ$6,IF(AND('Zdroj data'!O90&gt;=Body!$BT$15,'Zdroj data'!O90&lt;=Body!$BV$15),Body!BT$6,IF(AND('Zdroj data'!O90&gt;=Body!$BW$15,'Zdroj data'!O90&lt;=Body!$BY$15),Body!$BW$6,IF('Zdroj data'!O90&gt;=Body!$CB$15,Body!$BZ$6," ")))))))))),IF(AND('Zdroj data'!BG90="ST",'Zdroj data'!AM90=Body!$AX$16),IF(AND('Zdroj data'!O90&gt;=Body!$AY$16,'Zdroj data'!O90&lt;=Body!$BA$16),Body!$AY$6,IF(AND('Zdroj data'!O90&gt;=Body!$BB$16,'Zdroj data'!O90&lt;=Body!$BD$16),Body!$BB$6,IF(AND('Zdroj data'!O90&gt;=Body!$BE$16,'Zdroj data'!O90&lt;=Body!$BG$16),Body!$BE$6,IF(AND('Zdroj data'!O90&gt;=Body!$BH$16,'Zdroj data'!O90&lt;=Body!$BJ$16),Body!$BH$6,IF(AND('Zdroj data'!O90&gt;=Body!$BK$16,'Zdroj data'!O90&lt;=Body!$BM$16),Body!$BK$6,IF(AND('Zdroj data'!O90&gt;=Body!$BN$16,'Zdroj data'!O90&lt;=Body!$BP$16),Body!$BN$6,IF(AND('Zdroj data'!O90&gt;=Body!$BQ$16,'Zdroj data'!O90&lt;=Body!$BS$16),Body!$BQ$6,IF(AND('Zdroj data'!O90&gt;=Body!$BT$16,'Zdroj data'!O90&lt;=Body!$BV$16),Body!$BT$6,IF(AND('Zdroj data'!O90&gt;=Body!$BW$16,'Zdroj data'!O90&lt;=Body!$BY$16),Body!$BW$6,IF('Zdroj data'!O90&gt;=Body!$CB$16,Body!$BZ$6," ")))))))))),IF(AND('Zdroj data'!BG90="T",'Zdroj data'!AM90=Body!$AX$17),IF(AND('Zdroj data'!O90&gt;=Body!$AY$17,'Zdroj data'!O90&lt;=Body!$BA$17),Body!$AY$6,IF(AND('Zdroj data'!O90&gt;=Body!$BB$17,'Zdroj data'!O90&lt;=Body!$BD$17),Body!$BB$6,IF(AND('Zdroj data'!O90&gt;=Body!$BE$17,'Zdroj data'!O90&lt;=Body!$BG$17),Body!$BE$6,IF(AND('Zdroj data'!O90&gt;=Body!$BH$17,'Zdroj data'!O90&lt;=Body!#REF!),Body!$BH$6,IF(AND('Zdroj data'!O90&gt;=Body!$BK$17,'Zdroj data'!O90&lt;=Body!$BM$17),Body!$BK$6,IF(AND('Zdroj data'!O90&gt;=Body!$BN$17,'Zdroj data'!O90&lt;=Body!$BP$17),Body!$BN$6,IF(AND('Zdroj data'!O90&gt;=Body!$BQ$17,'Zdroj data'!O90&lt;=Body!$BS$17),Body!$BQ$6,IF(AND('Zdroj data'!O90&gt;=Body!$BT$17,'Zdroj data'!O90&lt;=Body!$BV$17),Body!$BT$6,IF(AND('Zdroj data'!O90&gt;=Body!$BW$17,'Zdroj data'!O90&lt;=Body!$BY$17),Body!$BW$6,IF('Zdroj data'!O90&gt;=Body!$CB$17,Body!$BZ$6," "))))))))))," ")))</f>
        <v>1</v>
      </c>
      <c r="AG90" s="264">
        <f>IF(AND('Zdroj data'!$BG90="L",'Zdroj data'!$AM90=Body!$AX$15),IF(AND(Tabulka1[[#This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data'!$BG90="ST",'Zdroj data'!$AM90=Body!$AX$16),IF(AND(Tabulka1[[#This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data'!$BG90="T",'Zdroj data'!$AM90=Body!$AX$17),IF(AND(Tabulka1[[#This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90" s="264" t="str">
        <f>IF(AND('Zdroj data'!BG90="L",'Zdroj data'!AM90=Body!$AX$18),IF(AND('Zdroj data'!O90&gt;=Body!$AY$18,'Zdroj data'!O90&lt;=Body!$BA$18),Body!AY$6,IF(AND('Zdroj data'!O90&gt;=Body!$BB$18,'Zdroj data'!O90&lt;=Body!$BD$18),Body!BB$6,IF(AND('Zdroj data'!O90&gt;=Body!$BE$18,'Zdroj data'!O90&lt;=Body!$BG$18),Body!BE$6,IF(AND('Zdroj data'!O90&gt;=Body!$BH$18,'Zdroj data'!O90&lt;=Body!$BJ$18),Body!BH$6,IF(AND('Zdroj data'!O90&gt;=Body!$BK$18,'Zdroj data'!O90&lt;=Body!$BM$18),Body!$BK$6,IF(AND('Zdroj data'!O90&gt;=Body!$BN$18,'Zdroj data'!O90&lt;=Body!$BP$18),Body!BN$6,IF(AND('Zdroj data'!O90&gt;=Body!$BQ$18,'Zdroj data'!O90&lt;=Body!$BS$18),Body!$BQ$6,IF(AND('Zdroj data'!O90&gt;=Body!$BT$18,'Zdroj data'!O90&lt;=Body!$BV$18),Body!$BT$6,IF(AND('Zdroj data'!O90&gt;=Body!$BW$18,'Zdroj data'!O90&lt;=Body!$BY$18),Body!$BW$6,IF('Zdroj data'!O90&gt;=Body!$CB$18,Body!$BZ$6," ")))))))))),IF(AND('Zdroj data'!BG90="ST",'Zdroj data'!AM90=Body!$AX$19),IF(AND('Zdroj data'!O90&gt;=Body!$AY$19,'Zdroj data'!O90&lt;=Body!$BA$19),Body!$AY$6,IF(AND('Zdroj data'!O90&gt;=Body!$BB$19,'Zdroj data'!O90&lt;=Body!$BD$19),Body!$BB$6,IF(AND('Zdroj data'!O90&gt;=Body!$BE$19,'Zdroj data'!O90&lt;=Body!$BG$19),Body!$BE$6,IF(AND('Zdroj data'!O90&gt;=Body!$BH$19,'Zdroj data'!O90&lt;=Body!$BJ$19),Body!$BH$6,IF(AND('Zdroj data'!O90&gt;=Body!$BK$19,'Zdroj data'!O90&lt;=Body!$BM$19),Body!$BK$6,IF(AND('Zdroj data'!O90&gt;=Body!$BN$19,'Zdroj data'!O90&lt;=Body!$BP$19),Body!$BN$6,IF(AND('Zdroj data'!O90&gt;=Body!$BQ$19,'Zdroj data'!O90&lt;=Body!$BS$19),Body!$BQ$6,IF(AND('Zdroj data'!O90&gt;=Body!$BT$19,'Zdroj data'!O94&lt;=Body!$BV$19),Body!$BT$6,IF(AND('Zdroj data'!O90&gt;=Body!$BW$19,'Zdroj data'!O90&lt;=Body!$BY$19),Body!$BW$6,IF('Zdroj data'!O90&gt;=Body!$CB$19,Body!$BZ$6," ")))))))))),IF(AND('Zdroj data'!BG90="T",'Zdroj data'!AM90=Body!$AX$20),IF(AND('Zdroj data'!O90&gt;=Body!$AY$20,'Zdroj data'!O90&lt;=Body!$BA$20),Body!$AY$6,IF(AND('Zdroj data'!O90&gt;=Body!$BB$20,'Zdroj data'!O90&lt;=Body!$BD$20),Body!$BB$6,IF(AND('Zdroj data'!O90&gt;=Body!$BE$20,'Zdroj data'!O90&lt;=Body!$BG$20),Body!$BE$6,IF(AND('Zdroj data'!O90&gt;=Body!$BH$20,'Zdroj data'!O90&lt;=Body!$BJ$20),Body!$BH$6,IF(AND('Zdroj data'!O90&gt;=Body!$BK$20,'Zdroj data'!O90&lt;=Body!$BM$20),Body!$BK$6,IF(AND('Zdroj data'!O90&gt;=Body!$BN$20,'Zdroj data'!O90&lt;=Body!$BP$20),Body!$BN$6,IF(AND('Zdroj data'!O90&gt;=Body!$BQ$20,'Zdroj data'!O90&lt;=Body!$BS$20),Body!$BQ$6,IF(AND('Zdroj data'!O90&gt;=Body!$BT$20,'Zdroj data'!O90&lt;=Body!#REF!),Body!$BT$6,IF(AND('Zdroj data'!O90&gt;=Body!$BW$20,'Zdroj data'!O90&lt;=Body!$BY$20),Body!$BW$6,IF('Zdroj data'!O90&gt;=Body!$CB$20,Body!$BZ$6," "))))))))))," ")))</f>
        <v xml:space="preserve"> </v>
      </c>
      <c r="AI90" s="264" t="str">
        <f>IF(AND('Zdroj data'!$BG90="L",'Zdroj data'!$AM90=Body!$AX$18),IF(AND(Tabulka1[[#This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data'!$BG90="ST",'Zdroj data'!$AM90=Body!$AX$19),IF(AND(Tabulka1[[#This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data'!$BG90="T",'Zdroj data'!$AM90=Body!$AX$20),IF(AND(Tabulka1[[#This Row],[K2O_60]]&gt;=Body!$AY$20,'Zdroj data'!O90&lt;=Body!$BA$20),Body!$AY$6,IF(AND(Tabulka1[[#This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90" s="265">
        <f t="shared" si="13"/>
        <v>14.666666666666682</v>
      </c>
      <c r="AK90" s="264">
        <f t="shared" si="14"/>
        <v>21.50293258473517</v>
      </c>
      <c r="AL90" s="264">
        <f t="shared" si="15"/>
        <v>20.431653424317336</v>
      </c>
      <c r="AM90" s="264">
        <f t="shared" si="16"/>
        <v>48.061239091334052</v>
      </c>
      <c r="AN90" s="264">
        <f t="shared" si="17"/>
        <v>46.516645884132068</v>
      </c>
      <c r="AO90" s="265">
        <f t="shared" si="21"/>
        <v>69.564171676069222</v>
      </c>
      <c r="AP90" s="265">
        <f t="shared" si="18"/>
        <v>66.948299308449407</v>
      </c>
      <c r="AQ90" s="318"/>
      <c r="AR90" s="338">
        <f t="shared" si="19"/>
        <v>151.17913765118533</v>
      </c>
      <c r="AS90" s="318"/>
      <c r="AT90" s="138"/>
      <c r="AU90" s="138"/>
    </row>
    <row r="91" spans="1:48" ht="15.5" x14ac:dyDescent="0.35">
      <c r="A91" s="270">
        <v>4354</v>
      </c>
      <c r="B91" s="156" t="s">
        <v>527</v>
      </c>
      <c r="C91" s="250" t="str">
        <f>VLOOKUP(B91,'Zdroj hloubka okresy'!$A$2:$D$171,2,FALSE)</f>
        <v>Pribram</v>
      </c>
      <c r="D91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7</v>
      </c>
      <c r="E91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91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91" s="264">
        <f>IF(AND(Tabulka1[[#This Row],[hum_60]]&gt;AY97,Tabulka1[[#This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91" s="264">
        <f>IF(Tabulka1[[#This Row],[kv.ek.]]=Body!$AX$13,IF(AND('Zdroj data'!M91&gt;=Body!$AY$13,'Zdroj data'!M91&lt;=Body!$BA$13),Body!$AY$6,IF(AND('Zdroj data'!M91&gt;=Body!$BB$13,'Zdroj data'!M91&lt;=Body!$BD$13),Body!$BB$6,IF(AND('Zdroj data'!M91&gt;=Body!$BE$13,'Zdroj data'!M91&lt;=Body!$BG$13),Body!$BE$6,IF(AND('Zdroj data'!M91&gt;=Body!$BH$13,'Zdroj data'!M91&lt;=Body!$BJ$13),Body!$BH$6,IF(AND('Zdroj data'!M91&gt;=Body!$BK$13,'Zdroj data'!M91&lt;=Body!$BM$13),Body!$BK$6,IF(AND('Zdroj data'!M91&gt;=Body!$BN$13,'Zdroj data'!M91&lt;=Body!$BP$13),Body!$BN$6,IF(AND('Zdroj data'!M91&gt;=Body!$BQ$13,'Zdroj data'!M91&lt;=Body!$BS$13),Body!$BQ$6,IF(AND('Zdroj data'!M91&gt;=Body!$BT$13,'Zdroj data'!M91&lt;=Body!$BV$13),Body!$BT$6,IF(AND('Zdroj data'!M91&gt;=Body!$BW$13,'Zdroj data'!M91&lt;=Body!$BY$13),Body!$BW$6,IF('Zdroj data'!M91&gt;=Body!$CB$13,Body!$BZ$6," ")))))))))),IF(Tabulka1[[#This Row],[kv.ek.]]=Body!$AX$14,IF(AND('Zdroj data'!N91&gt;=Body!$AY$14,'Zdroj data'!N91&lt;=Body!$BA$14),Body!$AY$6,IF(AND('Zdroj data'!N91&gt;=Body!$BB$14,'Zdroj data'!N91&lt;=Body!$BD$14),Body!$BB$6,IF(AND('Zdroj data'!N91&gt;=Body!$BE$14,'Zdroj data'!N91&lt;=Body!$BG$14),Body!$BE$6,IF(AND('Zdroj data'!N91&gt;=Body!$BH$14,'Zdroj data'!N91&lt;=Body!$BJ$14),Body!$BH$6,IF(AND('Zdroj data'!N91&gt;=Body!$BK$14,'Zdroj data'!N91&lt;=Body!$BM$14),Body!$BK$6,IF(AND('Zdroj data'!N91&gt;=Body!$BN$14,'Zdroj data'!N91&lt;=Body!$BP$14),Body!$BN$6,IF(AND('Zdroj data'!N91&gt;=Body!$BQ$14,'Zdroj data'!N91&lt;=Body!$BS$14),Body!$BQ$6,IF(AND('Zdroj data'!N91&gt;=Body!$BT$14,'Zdroj data'!N91&lt;=Body!$BV$14),Body!$BT$6,IF(AND('Zdroj data'!N91&gt;=Body!$BW$14,'Zdroj data'!N91&lt;=Body!$BY$14),Body!$BW$6,IF('Zdroj data'!N91&gt;=Body!$CB$14,Body!$BZ$6," "))))))))))," "))</f>
        <v>1</v>
      </c>
      <c r="I91" s="264">
        <f>IF(Tabulka1[[#This Row],[kv.ek.]]=Body!$AX$13,IF(AND('Zdroj data'!N91&gt;=Body!$AY$13,'Zdroj data'!N91&lt;=Body!$BA$13),Body!$AY$6,IF(AND('Zdroj data'!N91&gt;=Body!$BB$13,'Zdroj data'!N91&lt;=Body!$BD$13),Body!$BB$6,IF(AND('Zdroj data'!N91&gt;=Body!$BE$13,'Zdroj data'!N91&lt;=Body!$BG$13),Body!$BE$6,IF(AND('Zdroj data'!N91&gt;=Body!$BH$13,'Zdroj data'!N91&lt;=Body!$BJ$13),Body!$BH$6,IF(AND('Zdroj data'!N91&gt;=Body!$BK$13,'Zdroj data'!N91&lt;=Body!$BM$13),Body!$BK$6,IF(AND('Zdroj data'!N91&gt;=Body!$BN$13,'Zdroj data'!N91&lt;=Body!$BP$13),Body!$BN$6,IF(AND('Zdroj data'!N91&gt;=Body!$BQ$13,'Zdroj data'!N91&lt;=Body!$BS$13),Body!$BQ$6,IF(AND('Zdroj data'!N91&gt;=Body!$BT$13,'Zdroj data'!N91&lt;=Body!$BV$13),Body!$BT$6,IF(AND('Zdroj data'!N91&gt;=Body!$BW$13,'Zdroj data'!N91&lt;=Body!$BY$13),Body!$BW$6,IF('Zdroj data'!N91&gt;=Body!$CB$13,Body!$BZ$6," ")))))))))),IF(Tabulka1[[#This Row],[kv.ek.]]=Body!$AX$14,IF(AND('Zdroj data'!O91&gt;=Body!$AY$14,'Zdroj data'!O91&lt;=Body!$BA$14),Body!$AY$6,IF(AND('Zdroj data'!O91&gt;=Body!$BB$14,'Zdroj data'!O91&lt;=Body!$BD$14),Body!$BB$6,IF(AND('Zdroj data'!O91&gt;=Body!$BE$14,'Zdroj data'!O91&lt;=Body!$BG$14),Body!$BE$6,IF(AND('Zdroj data'!O91&gt;=Body!$BH$14,'Zdroj data'!O91&lt;=Body!$BJ$14),Body!$BH$6,IF(AND('Zdroj data'!O91&gt;=Body!$BK$14,'Zdroj data'!O91&lt;=Body!$BM$14),Body!$BK$6,IF(AND('Zdroj data'!O91&gt;=Body!$BN$14,'Zdroj data'!O91&lt;=Body!$BP$14),Body!$BN$6,IF(AND('Zdroj data'!O91&gt;=Body!$BQ$14,'Zdroj data'!O91&lt;=Body!$BS$14),Body!$BQ$6,IF(AND('Zdroj data'!O91&gt;=Body!$BT$14,'Zdroj data'!O91&lt;=Body!$BV$14),Body!$BT$6,IF(AND('Zdroj data'!O91&gt;=Body!$BW$14,'Zdroj data'!O91&lt;=Body!$BY$14),Body!$BW$6,IF('Zdroj data'!O91&gt;=Body!$CB$14,Body!$BZ$6," "))))))))))," "))</f>
        <v>1</v>
      </c>
      <c r="J91" s="264">
        <f t="shared" si="23"/>
        <v>2</v>
      </c>
      <c r="K91" s="264">
        <f t="shared" si="23"/>
        <v>1</v>
      </c>
      <c r="L91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91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91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91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5</v>
      </c>
      <c r="P91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91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91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91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91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91" s="264">
        <f>IF('Zdroj data'!BB91=Body!$AY$25,Body!$AY$22,IF('Zdroj data'!BB91=Body!$BB$25,Body!$BB$22,IF('Zdroj data'!BB91=Body!$BE$25,Body!$BE$22,IF('Zdroj data'!BB91=Body!$BH$25,Body!$BH$22,IF('Zdroj data'!BB91=Body!BK$25,Body!$BK$22,IF('Zdroj data'!BB91=Body!$BN$25,Body!$BN$22,IF('Zdroj data'!BB91=Body!$BQ$25,Body!$BQ$22,IF('Zdroj data'!BB91=Body!$BT$25,Body!$BT$22,IF('Zdroj data'!BB91=Body!$BW$25,Body!$BW$22,IF('Zdroj data'!BB91=Body!$BZ$25,Body!$BZ$22," "))))))))))</f>
        <v>6</v>
      </c>
      <c r="V91" s="264">
        <f>IF(AND('Zdroj data'!BO91&gt;Body!$AY$27,'Zdroj data'!BO91&lt;=Body!$BA$27),Body!$AY$22,IF(AND('Zdroj data'!BO91&gt;=Body!$BB$27,'Zdroj data'!BO91&lt;=Body!$BD$27),Body!$BB$22,IF(AND('Zdroj data'!BO91&gt;=Body!$BE$27,'Zdroj data'!BO91&lt;=Body!$BG$27),Body!$BE$22,IF(AND('Zdroj data'!BO91&gt;=Body!$BH$27,'Zdroj data'!BO91&lt;=Body!$BJ$27),Body!$BH$22,IF(AND('Zdroj data'!BO91&gt;=Body!$BK$27,'Zdroj data'!BO91&lt;=Body!$BM$27),Body!$BK$22,IF(AND('Zdroj data'!BO91&gt;=Body!$BN$27,'Zdroj data'!BO91&lt;=Body!$BP$27),Body!$BN$22,IF(AND('Zdroj data'!BO91&gt;=Body!$BQ$27,'Zdroj data'!BO91&lt;=Body!$BS$27),Body!$BQ$22,IF(AND('Zdroj data'!BO91&gt;=Body!$BT$27,'Zdroj data'!BO91&lt;=Body!$BV$27),Body!$BT$22,IF(AND('Zdroj data'!BO91&gt;=Body!$BW$27,'Zdroj data'!BO91&lt;=Body!$BY$27),Body!$BW$22,IF('Zdroj data'!BO91&gt;=Body!$CB$27,$BZ$22," "))))))))))</f>
        <v>6</v>
      </c>
      <c r="W91" s="264">
        <f>IF(AND('Zdroj data'!BP91&gt;Body!$AY$27,'Zdroj data'!BP91&lt;=Body!$BA$27),Body!$AY$22,IF(AND('Zdroj data'!BP91&gt;=Body!$BB$27,'Zdroj data'!BP91&lt;=Body!$BD$27),Body!$BB$22,IF(AND('Zdroj data'!BP91&gt;=Body!$BE$27,'Zdroj data'!BP91&lt;=Body!$BG$27),Body!$BE$22,IF(AND('Zdroj data'!BP91&gt;=Body!$BH$27,'Zdroj data'!BP91&lt;=Body!$BJ$27),Body!$BH$22,IF(AND('Zdroj data'!BP91&gt;=Body!$BK$27,'Zdroj data'!BP91&lt;=Body!$BM$27),Body!$BK$22,IF(AND('Zdroj data'!BP91&gt;=Body!$BN$27,'Zdroj data'!BP91&lt;=Body!$BP$27),Body!$BN$22,IF(AND('Zdroj data'!BP91&gt;=Body!$BQ$27,'Zdroj data'!BP91&lt;=Body!$BS$27),Body!$BQ$22,IF(AND('Zdroj data'!BP91&gt;=Body!$BT$27,'Zdroj data'!BP91&lt;=Body!$BV$27),Body!$BT$22,IF(AND('Zdroj data'!BP91&gt;=Body!$BW$27,'Zdroj data'!BP91&lt;=Body!$BY$27),Body!$BW$22,IF('Zdroj data'!BP91&gt;=Body!$CB$27,$BZ$22," "))))))))))</f>
        <v>6</v>
      </c>
      <c r="X91" s="264">
        <f>IF('Zdroj data'!BA91=Body!$BB$28,$BB$22,IF('Zdroj data'!BA91=Body!$BE$28,$BE$22,IF(OR('Zdroj data'!BA91=Body!$BK$28,'Zdroj data'!BA91=Body!$BL$28,'Zdroj data'!BA91=Body!$BM$28),$BK$22,IF(OR('Zdroj data'!BA91=Body!$BT$28,'Zdroj data'!BA91=Body!$BV$28),$BT$22,IF(OR('Zdroj data'!BA91=Body!$BW$28,'Zdroj data'!BA91=Body!$BY$28),$BW$22,IF('Zdroj data'!BA91=Body!$BZ$28,$BZ$22," "))))))</f>
        <v>9</v>
      </c>
      <c r="Y91" s="264">
        <f>IF('Zdroj data'!AZ91=Body!$BZ$29,Body!$BZ$22,IF(OR('Zdroj data'!AZ91=$BT$29,'Zdroj data'!AZ91=$BU$29,'Zdroj data'!AZ91=$BV$29),$BT$22,IF(OR('Zdroj data'!AZ91=$BK$29,'Zdroj data'!AZ91=$BM$29),$BK$22,IF(OR('Zdroj data'!AZ91=$BE$29,'Zdroj data'!AZ91=$BG$29),$BE$22,IF(OR('Zdroj data'!AZ91=$AY$29,'Zdroj data'!AZ91=$BA$29),$AY$22," ")))))</f>
        <v>8</v>
      </c>
      <c r="Z91" s="264">
        <f>IF(AND('Zdroj data'!BF91="T",(OR('Zdroj data'!AZ91=Body!$AW$45,'Zdroj data'!AZ91=Body!$AW$46,'Zdroj data'!AZ91=Body!$AW$47,'Zdroj data'!AZ91=Body!$AW$48))),Body!$AY$22,IF(AND('Zdroj data'!BF91="T",(OR('Zdroj data'!AZ91=$AW$49,'Zdroj data'!AZ91=$AW$50,'Zdroj data'!AZ91=$AW$51,'Zdroj data'!AZ91=$AW$52))),$BZ$22,IF(AND(OR('Zdroj data'!BF91="VT",'Zdroj data'!BF91="T",'Zdroj data'!BF91="CH"),(OR('Zdroj data'!AZ91=$AW$43,'Zdroj data'!AZ91=$AW$44,))),$BZ$22,IF(AND('Zdroj data'!BF91="CH",(OR('Zdroj data'!AZ91=$AW$49,'Zdroj data'!AZ91=$AW$50,'Zdroj data'!AZ91=$AW$51,'Zdroj data'!AZ91=$AW$52))),$AY$22,IF(AND('Zdroj data'!BF91="CH",(OR('Zdroj data'!AZ91=$AW$45,'Zdroj data'!AZ91=$AW$46,'Zdroj data'!AZ91=$AW$47,'Zdroj data'!AZ91=$AW$48))),$BZ$22," ")))))</f>
        <v>10</v>
      </c>
      <c r="AA91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91" s="264">
        <f>IF(Tabulka1[[#This Row],[kv.ek.]]=Body!$BK$35,Body!$BK$34,IF(Tabulka1[[#This Row],[kv.ek.]]=Body!$BZ$35,Body!$BZ$34," "))</f>
        <v>5</v>
      </c>
      <c r="AC91" s="264" t="str">
        <f>IF(AND('Zdroj data'!BF91="T",(OR('Zdroj data'!AZ91=Body!$AW$45,'Zdroj data'!AZ91=Body!$AW$46,'Zdroj data'!AZ91=Body!$AW$47,'Zdroj data'!AZ91=Body!$AW$48))),Body!$AY$22,IF(AND('Zdroj data'!BF91="T",(OR('Zdroj data'!AZ91=$AW$49,'Zdroj data'!AZ91=$AW$50,'Zdroj data'!AZ91=$AW$51,'Zdroj data'!AZ91=$AW$52))),$BZ$22," "))</f>
        <v xml:space="preserve"> </v>
      </c>
      <c r="AD91" s="264">
        <f>IF(AND(OR('Zdroj data'!BF91="VT",'Zdroj data'!BF91="T",'Zdroj data'!BF91="CH"),(OR('Zdroj data'!AZ91=$AW$43,'Zdroj data'!AZ91=$AW$44,))),$BZ$22," ")</f>
        <v>10</v>
      </c>
      <c r="AE91" s="264" t="str">
        <f>IF(AND('Zdroj data'!BF91="CH",(OR('Zdroj data'!AZ91=$AW$49,'Zdroj data'!AZ91=$AW$50,'Zdroj data'!AZ91=$AW$51,'Zdroj data'!AZ91=$AW$52))),$AY$22,IF(AND('Zdroj data'!BF91="CH",(OR('Zdroj data'!AZ91=$AW$45,'Zdroj data'!AZ91=$AW$46,'Zdroj data'!AZ91=$AW$47,'Zdroj data'!AZ91=$AW$48))),$BZ$22," "))</f>
        <v xml:space="preserve"> </v>
      </c>
      <c r="AF91" s="264">
        <f>IF(AND('Zdroj data'!BG91="L",'Zdroj data'!AM91=Body!$AX$15),IF(AND('Zdroj data'!O91&gt;=Body!$AY$15,'Zdroj data'!O91&lt;=Body!$BA$15),Body!AY$6,IF(AND('Zdroj data'!O91&gt;=Body!$BB$15,'Zdroj data'!O91&lt;=Body!$BD$15),Body!BB$6,IF(AND('Zdroj data'!O91&gt;=Body!$BE$15,'Zdroj data'!O91&lt;=Body!$BG$15),Body!BE$6,IF(AND('Zdroj data'!O91&gt;=Body!$BH$15,'Zdroj data'!O91&lt;=Body!$BJ$15),Body!BH$6,IF(AND('Zdroj data'!O91&gt;=Body!$BK$15,'Zdroj data'!O91&lt;=Body!$BM$15),Body!BK$6,IF(AND('Zdroj data'!O91&gt;=Body!$BN$15,'Zdroj data'!O91&lt;=Body!$BP$15),Body!$BN$6,IF(AND('Zdroj data'!O91&gt;=Body!$BQ$15,'Zdroj data'!O91&lt;=Body!$BS$15),Body!$BQ$6,IF(AND('Zdroj data'!O91&gt;=Body!$BT$15,'Zdroj data'!O91&lt;=Body!$BV$15),Body!BT$6,IF(AND('Zdroj data'!O91&gt;=Body!$BW$15,'Zdroj data'!O91&lt;=Body!$BY$15),Body!$BW$6,IF('Zdroj data'!O91&gt;=Body!$CB$15,Body!$BZ$6," ")))))))))),IF(AND('Zdroj data'!BG91="ST",'Zdroj data'!AM91=Body!$AX$16),IF(AND('Zdroj data'!O91&gt;=Body!$AY$16,'Zdroj data'!O91&lt;=Body!$BA$16),Body!$AY$6,IF(AND('Zdroj data'!O91&gt;=Body!$BB$16,'Zdroj data'!O91&lt;=Body!$BD$16),Body!$BB$6,IF(AND('Zdroj data'!O91&gt;=Body!$BE$16,'Zdroj data'!O91&lt;=Body!$BG$16),Body!$BE$6,IF(AND('Zdroj data'!O91&gt;=Body!$BH$16,'Zdroj data'!O91&lt;=Body!$BJ$16),Body!$BH$6,IF(AND('Zdroj data'!O91&gt;=Body!$BK$16,'Zdroj data'!O91&lt;=Body!$BM$16),Body!$BK$6,IF(AND('Zdroj data'!O91&gt;=Body!$BN$16,'Zdroj data'!O91&lt;=Body!$BP$16),Body!$BN$6,IF(AND('Zdroj data'!O91&gt;=Body!$BQ$16,'Zdroj data'!O91&lt;=Body!$BS$16),Body!$BQ$6,IF(AND('Zdroj data'!O91&gt;=Body!$BT$16,'Zdroj data'!O91&lt;=Body!$BV$16),Body!$BT$6,IF(AND('Zdroj data'!O91&gt;=Body!$BW$16,'Zdroj data'!O91&lt;=Body!$BY$16),Body!$BW$6,IF('Zdroj data'!O91&gt;=Body!$CB$16,Body!$BZ$6," ")))))))))),IF(AND('Zdroj data'!BG91="T",'Zdroj data'!AM91=Body!$AX$17),IF(AND('Zdroj data'!O91&gt;=Body!$AY$17,'Zdroj data'!O91&lt;=Body!$BA$17),Body!$AY$6,IF(AND('Zdroj data'!O91&gt;=Body!$BB$17,'Zdroj data'!O91&lt;=Body!$BD$17),Body!$BB$6,IF(AND('Zdroj data'!O91&gt;=Body!$BE$17,'Zdroj data'!O91&lt;=Body!$BG$17),Body!$BE$6,IF(AND('Zdroj data'!O91&gt;=Body!$BH$17,'Zdroj data'!O91&lt;=Body!#REF!),Body!$BH$6,IF(AND('Zdroj data'!O91&gt;=Body!$BK$17,'Zdroj data'!O91&lt;=Body!$BM$17),Body!$BK$6,IF(AND('Zdroj data'!O91&gt;=Body!$BN$17,'Zdroj data'!O91&lt;=Body!$BP$17),Body!$BN$6,IF(AND('Zdroj data'!O91&gt;=Body!$BQ$17,'Zdroj data'!O91&lt;=Body!$BS$17),Body!$BQ$6,IF(AND('Zdroj data'!O91&gt;=Body!$BT$17,'Zdroj data'!O91&lt;=Body!$BV$17),Body!$BT$6,IF(AND('Zdroj data'!O91&gt;=Body!$BW$17,'Zdroj data'!O91&lt;=Body!$BY$17),Body!$BW$6,IF('Zdroj data'!O91&gt;=Body!$CB$17,Body!$BZ$6," "))))))))))," ")))</f>
        <v>2</v>
      </c>
      <c r="AG91" s="264">
        <f>IF(AND('Zdroj data'!$BG91="L",'Zdroj data'!$AM91=Body!$AX$15),IF(AND(Tabulka1[[#This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data'!$BG91="ST",'Zdroj data'!$AM91=Body!$AX$16),IF(AND(Tabulka1[[#This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data'!$BG91="T",'Zdroj data'!$AM91=Body!$AX$17),IF(AND(Tabulka1[[#This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91" s="264" t="str">
        <f>IF(AND('Zdroj data'!BG91="L",'Zdroj data'!AM91=Body!$AX$18),IF(AND('Zdroj data'!O91&gt;=Body!$AY$18,'Zdroj data'!O91&lt;=Body!$BA$18),Body!AY$6,IF(AND('Zdroj data'!O91&gt;=Body!$BB$18,'Zdroj data'!O91&lt;=Body!$BD$18),Body!BB$6,IF(AND('Zdroj data'!O91&gt;=Body!$BE$18,'Zdroj data'!O91&lt;=Body!$BG$18),Body!BE$6,IF(AND('Zdroj data'!O91&gt;=Body!$BH$18,'Zdroj data'!O91&lt;=Body!$BJ$18),Body!BH$6,IF(AND('Zdroj data'!O91&gt;=Body!$BK$18,'Zdroj data'!O91&lt;=Body!$BM$18),Body!$BK$6,IF(AND('Zdroj data'!O91&gt;=Body!$BN$18,'Zdroj data'!O91&lt;=Body!$BP$18),Body!BN$6,IF(AND('Zdroj data'!O91&gt;=Body!$BQ$18,'Zdroj data'!O91&lt;=Body!$BS$18),Body!$BQ$6,IF(AND('Zdroj data'!O91&gt;=Body!$BT$18,'Zdroj data'!O91&lt;=Body!$BV$18),Body!$BT$6,IF(AND('Zdroj data'!O91&gt;=Body!$BW$18,'Zdroj data'!O91&lt;=Body!$BY$18),Body!$BW$6,IF('Zdroj data'!O91&gt;=Body!$CB$18,Body!$BZ$6," ")))))))))),IF(AND('Zdroj data'!BG91="ST",'Zdroj data'!AM91=Body!$AX$19),IF(AND('Zdroj data'!O91&gt;=Body!$AY$19,'Zdroj data'!O91&lt;=Body!$BA$19),Body!$AY$6,IF(AND('Zdroj data'!O91&gt;=Body!$BB$19,'Zdroj data'!O91&lt;=Body!$BD$19),Body!$BB$6,IF(AND('Zdroj data'!O91&gt;=Body!$BE$19,'Zdroj data'!O91&lt;=Body!$BG$19),Body!$BE$6,IF(AND('Zdroj data'!O91&gt;=Body!$BH$19,'Zdroj data'!O91&lt;=Body!$BJ$19),Body!$BH$6,IF(AND('Zdroj data'!O91&gt;=Body!$BK$19,'Zdroj data'!O91&lt;=Body!$BM$19),Body!$BK$6,IF(AND('Zdroj data'!O91&gt;=Body!$BN$19,'Zdroj data'!O91&lt;=Body!$BP$19),Body!$BN$6,IF(AND('Zdroj data'!O91&gt;=Body!$BQ$19,'Zdroj data'!O91&lt;=Body!$BS$19),Body!$BQ$6,IF(AND('Zdroj data'!O91&gt;=Body!$BT$19,'Zdroj data'!O95&lt;=Body!$BV$19),Body!$BT$6,IF(AND('Zdroj data'!O91&gt;=Body!$BW$19,'Zdroj data'!O91&lt;=Body!$BY$19),Body!$BW$6,IF('Zdroj data'!O91&gt;=Body!$CB$19,Body!$BZ$6," ")))))))))),IF(AND('Zdroj data'!BG91="T",'Zdroj data'!AM91=Body!$AX$20),IF(AND('Zdroj data'!O91&gt;=Body!$AY$20,'Zdroj data'!O91&lt;=Body!$BA$20),Body!$AY$6,IF(AND('Zdroj data'!O91&gt;=Body!$BB$20,'Zdroj data'!O91&lt;=Body!$BD$20),Body!$BB$6,IF(AND('Zdroj data'!O91&gt;=Body!$BE$20,'Zdroj data'!O91&lt;=Body!$BG$20),Body!$BE$6,IF(AND('Zdroj data'!O91&gt;=Body!$BH$20,'Zdroj data'!O91&lt;=Body!$BJ$20),Body!$BH$6,IF(AND('Zdroj data'!O91&gt;=Body!$BK$20,'Zdroj data'!O91&lt;=Body!$BM$20),Body!$BK$6,IF(AND('Zdroj data'!O91&gt;=Body!$BN$20,'Zdroj data'!O91&lt;=Body!$BP$20),Body!$BN$6,IF(AND('Zdroj data'!O91&gt;=Body!$BQ$20,'Zdroj data'!O91&lt;=Body!$BS$20),Body!$BQ$6,IF(AND('Zdroj data'!O91&gt;=Body!$BT$20,'Zdroj data'!O91&lt;=Body!#REF!),Body!$BT$6,IF(AND('Zdroj data'!O91&gt;=Body!$BW$20,'Zdroj data'!O91&lt;=Body!$BY$20),Body!$BW$6,IF('Zdroj data'!O91&gt;=Body!$CB$20,Body!$BZ$6," "))))))))))," ")))</f>
        <v xml:space="preserve"> </v>
      </c>
      <c r="AI91" s="264" t="str">
        <f>IF(AND('Zdroj data'!$BG91="L",'Zdroj data'!$AM91=Body!$AX$18),IF(AND(Tabulka1[[#This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data'!$BG91="ST",'Zdroj data'!$AM91=Body!$AX$19),IF(AND(Tabulka1[[#This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data'!$BG91="T",'Zdroj data'!$AM91=Body!$AX$20),IF(AND(Tabulka1[[#This Row],[K2O_60]]&gt;=Body!$AY$20,'Zdroj data'!O91&lt;=Body!$BA$20),Body!$AY$6,IF(AND(Tabulka1[[#This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91" s="265">
        <f t="shared" si="13"/>
        <v>5.3333333333333375</v>
      </c>
      <c r="AK91" s="264">
        <f t="shared" si="14"/>
        <v>29.885032316399343</v>
      </c>
      <c r="AL91" s="264">
        <f t="shared" si="15"/>
        <v>23.271761864463215</v>
      </c>
      <c r="AM91" s="264">
        <f t="shared" si="16"/>
        <v>63.295865045322039</v>
      </c>
      <c r="AN91" s="264">
        <f t="shared" si="17"/>
        <v>63.295865045322039</v>
      </c>
      <c r="AO91" s="265">
        <f t="shared" si="21"/>
        <v>93.180897361721378</v>
      </c>
      <c r="AP91" s="265">
        <f t="shared" si="18"/>
        <v>86.567626909785247</v>
      </c>
      <c r="AQ91" s="318"/>
      <c r="AR91" s="338">
        <f t="shared" si="19"/>
        <v>185.08185760483997</v>
      </c>
      <c r="AS91" s="318"/>
      <c r="AT91" s="138"/>
      <c r="AU91" s="138"/>
    </row>
    <row r="92" spans="1:48" ht="15.5" x14ac:dyDescent="0.35">
      <c r="A92" s="270">
        <v>4357</v>
      </c>
      <c r="B92" s="156" t="s">
        <v>114</v>
      </c>
      <c r="C92" s="250" t="str">
        <f>VLOOKUP(B92,'Zdroj hloubka okresy'!$A$2:$D$171,2,FALSE)</f>
        <v>Pribram</v>
      </c>
      <c r="D92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92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92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92" s="264">
        <f>IF(AND(Tabulka1[[#This Row],[hum_60]]&gt;AY98,Tabulka1[[#This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92" s="264">
        <f>IF(Tabulka1[[#This Row],[kv.ek.]]=Body!$AX$13,IF(AND('Zdroj data'!M92&gt;=Body!$AY$13,'Zdroj data'!M92&lt;=Body!$BA$13),Body!$AY$6,IF(AND('Zdroj data'!M92&gt;=Body!$BB$13,'Zdroj data'!M92&lt;=Body!$BD$13),Body!$BB$6,IF(AND('Zdroj data'!M92&gt;=Body!$BE$13,'Zdroj data'!M92&lt;=Body!$BG$13),Body!$BE$6,IF(AND('Zdroj data'!M92&gt;=Body!$BH$13,'Zdroj data'!M92&lt;=Body!$BJ$13),Body!$BH$6,IF(AND('Zdroj data'!M92&gt;=Body!$BK$13,'Zdroj data'!M92&lt;=Body!$BM$13),Body!$BK$6,IF(AND('Zdroj data'!M92&gt;=Body!$BN$13,'Zdroj data'!M92&lt;=Body!$BP$13),Body!$BN$6,IF(AND('Zdroj data'!M92&gt;=Body!$BQ$13,'Zdroj data'!M92&lt;=Body!$BS$13),Body!$BQ$6,IF(AND('Zdroj data'!M92&gt;=Body!$BT$13,'Zdroj data'!M92&lt;=Body!$BV$13),Body!$BT$6,IF(AND('Zdroj data'!M92&gt;=Body!$BW$13,'Zdroj data'!M92&lt;=Body!$BY$13),Body!$BW$6,IF('Zdroj data'!M92&gt;=Body!$CB$13,Body!$BZ$6," ")))))))))),IF(Tabulka1[[#This Row],[kv.ek.]]=Body!$AX$14,IF(AND('Zdroj data'!N92&gt;=Body!$AY$14,'Zdroj data'!N92&lt;=Body!$BA$14),Body!$AY$6,IF(AND('Zdroj data'!N92&gt;=Body!$BB$14,'Zdroj data'!N92&lt;=Body!$BD$14),Body!$BB$6,IF(AND('Zdroj data'!N92&gt;=Body!$BE$14,'Zdroj data'!N92&lt;=Body!$BG$14),Body!$BE$6,IF(AND('Zdroj data'!N92&gt;=Body!$BH$14,'Zdroj data'!N92&lt;=Body!$BJ$14),Body!$BH$6,IF(AND('Zdroj data'!N92&gt;=Body!$BK$14,'Zdroj data'!N92&lt;=Body!$BM$14),Body!$BK$6,IF(AND('Zdroj data'!N92&gt;=Body!$BN$14,'Zdroj data'!N92&lt;=Body!$BP$14),Body!$BN$6,IF(AND('Zdroj data'!N92&gt;=Body!$BQ$14,'Zdroj data'!N92&lt;=Body!$BS$14),Body!$BQ$6,IF(AND('Zdroj data'!N92&gt;=Body!$BT$14,'Zdroj data'!N92&lt;=Body!$BV$14),Body!$BT$6,IF(AND('Zdroj data'!N92&gt;=Body!$BW$14,'Zdroj data'!N92&lt;=Body!$BY$14),Body!$BW$6,IF('Zdroj data'!N92&gt;=Body!$CB$14,Body!$BZ$6," "))))))))))," "))</f>
        <v>1</v>
      </c>
      <c r="I92" s="264">
        <f>IF(Tabulka1[[#This Row],[kv.ek.]]=Body!$AX$13,IF(AND('Zdroj data'!N92&gt;=Body!$AY$13,'Zdroj data'!N92&lt;=Body!$BA$13),Body!$AY$6,IF(AND('Zdroj data'!N92&gt;=Body!$BB$13,'Zdroj data'!N92&lt;=Body!$BD$13),Body!$BB$6,IF(AND('Zdroj data'!N92&gt;=Body!$BE$13,'Zdroj data'!N92&lt;=Body!$BG$13),Body!$BE$6,IF(AND('Zdroj data'!N92&gt;=Body!$BH$13,'Zdroj data'!N92&lt;=Body!$BJ$13),Body!$BH$6,IF(AND('Zdroj data'!N92&gt;=Body!$BK$13,'Zdroj data'!N92&lt;=Body!$BM$13),Body!$BK$6,IF(AND('Zdroj data'!N92&gt;=Body!$BN$13,'Zdroj data'!N92&lt;=Body!$BP$13),Body!$BN$6,IF(AND('Zdroj data'!N92&gt;=Body!$BQ$13,'Zdroj data'!N92&lt;=Body!$BS$13),Body!$BQ$6,IF(AND('Zdroj data'!N92&gt;=Body!$BT$13,'Zdroj data'!N92&lt;=Body!$BV$13),Body!$BT$6,IF(AND('Zdroj data'!N92&gt;=Body!$BW$13,'Zdroj data'!N92&lt;=Body!$BY$13),Body!$BW$6,IF('Zdroj data'!N92&gt;=Body!$CB$13,Body!$BZ$6," ")))))))))),IF(Tabulka1[[#This Row],[kv.ek.]]=Body!$AX$14,IF(AND('Zdroj data'!O92&gt;=Body!$AY$14,'Zdroj data'!O92&lt;=Body!$BA$14),Body!$AY$6,IF(AND('Zdroj data'!O92&gt;=Body!$BB$14,'Zdroj data'!O92&lt;=Body!$BD$14),Body!$BB$6,IF(AND('Zdroj data'!O92&gt;=Body!$BE$14,'Zdroj data'!O92&lt;=Body!$BG$14),Body!$BE$6,IF(AND('Zdroj data'!O92&gt;=Body!$BH$14,'Zdroj data'!O92&lt;=Body!$BJ$14),Body!$BH$6,IF(AND('Zdroj data'!O92&gt;=Body!$BK$14,'Zdroj data'!O92&lt;=Body!$BM$14),Body!$BK$6,IF(AND('Zdroj data'!O92&gt;=Body!$BN$14,'Zdroj data'!O92&lt;=Body!$BP$14),Body!$BN$6,IF(AND('Zdroj data'!O92&gt;=Body!$BQ$14,'Zdroj data'!O92&lt;=Body!$BS$14),Body!$BQ$6,IF(AND('Zdroj data'!O92&gt;=Body!$BT$14,'Zdroj data'!O92&lt;=Body!$BV$14),Body!$BT$6,IF(AND('Zdroj data'!O92&gt;=Body!$BW$14,'Zdroj data'!O92&lt;=Body!$BY$14),Body!$BW$6,IF('Zdroj data'!O92&gt;=Body!$CB$14,Body!$BZ$6," "))))))))))," "))</f>
        <v>1</v>
      </c>
      <c r="J92" s="264">
        <f t="shared" si="23"/>
        <v>3</v>
      </c>
      <c r="K92" s="264">
        <f>IF(AG92=" ",AI92,AG92)</f>
        <v>2</v>
      </c>
      <c r="L92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92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92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92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92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92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92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92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92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92" s="264">
        <f>IF('Zdroj data'!BB92=Body!$AY$25,Body!$AY$22,IF('Zdroj data'!BB92=Body!$BB$25,Body!$BB$22,IF('Zdroj data'!BB92=Body!$BE$25,Body!$BE$22,IF('Zdroj data'!BB92=Body!$BH$25,Body!$BH$22,IF('Zdroj data'!BB92=Body!BK$25,Body!$BK$22,IF('Zdroj data'!BB92=Body!$BN$25,Body!$BN$22,IF('Zdroj data'!BB92=Body!$BQ$25,Body!$BQ$22,IF('Zdroj data'!BB92=Body!$BT$25,Body!$BT$22,IF('Zdroj data'!BB92=Body!$BW$25,Body!$BW$22,IF('Zdroj data'!BB92=Body!$BZ$25,Body!$BZ$22," "))))))))))</f>
        <v>5</v>
      </c>
      <c r="V92" s="264">
        <f>IF(AND('Zdroj data'!BO92&gt;Body!$AY$27,'Zdroj data'!BO92&lt;=Body!$BA$27),Body!$AY$22,IF(AND('Zdroj data'!BO92&gt;=Body!$BB$27,'Zdroj data'!BO92&lt;=Body!$BD$27),Body!$BB$22,IF(AND('Zdroj data'!BO92&gt;=Body!$BE$27,'Zdroj data'!BO92&lt;=Body!$BG$27),Body!$BE$22,IF(AND('Zdroj data'!BO92&gt;=Body!$BH$27,'Zdroj data'!BO92&lt;=Body!$BJ$27),Body!$BH$22,IF(AND('Zdroj data'!BO92&gt;=Body!$BK$27,'Zdroj data'!BO92&lt;=Body!$BM$27),Body!$BK$22,IF(AND('Zdroj data'!BO92&gt;=Body!$BN$27,'Zdroj data'!BO92&lt;=Body!$BP$27),Body!$BN$22,IF(AND('Zdroj data'!BO92&gt;=Body!$BQ$27,'Zdroj data'!BO92&lt;=Body!$BS$27),Body!$BQ$22,IF(AND('Zdroj data'!BO92&gt;=Body!$BT$27,'Zdroj data'!BO92&lt;=Body!$BV$27),Body!$BT$22,IF(AND('Zdroj data'!BO92&gt;=Body!$BW$27,'Zdroj data'!BO92&lt;=Body!$BY$27),Body!$BW$22,IF('Zdroj data'!BO92&gt;=Body!$CB$27,$BZ$22," "))))))))))</f>
        <v>6</v>
      </c>
      <c r="W92" s="264">
        <f>IF(AND('Zdroj data'!BP92&gt;Body!$AY$27,'Zdroj data'!BP92&lt;=Body!$BA$27),Body!$AY$22,IF(AND('Zdroj data'!BP92&gt;=Body!$BB$27,'Zdroj data'!BP92&lt;=Body!$BD$27),Body!$BB$22,IF(AND('Zdroj data'!BP92&gt;=Body!$BE$27,'Zdroj data'!BP92&lt;=Body!$BG$27),Body!$BE$22,IF(AND('Zdroj data'!BP92&gt;=Body!$BH$27,'Zdroj data'!BP92&lt;=Body!$BJ$27),Body!$BH$22,IF(AND('Zdroj data'!BP92&gt;=Body!$BK$27,'Zdroj data'!BP92&lt;=Body!$BM$27),Body!$BK$22,IF(AND('Zdroj data'!BP92&gt;=Body!$BN$27,'Zdroj data'!BP92&lt;=Body!$BP$27),Body!$BN$22,IF(AND('Zdroj data'!BP92&gt;=Body!$BQ$27,'Zdroj data'!BP92&lt;=Body!$BS$27),Body!$BQ$22,IF(AND('Zdroj data'!BP92&gt;=Body!$BT$27,'Zdroj data'!BP92&lt;=Body!$BV$27),Body!$BT$22,IF(AND('Zdroj data'!BP92&gt;=Body!$BW$27,'Zdroj data'!BP92&lt;=Body!$BY$27),Body!$BW$22,IF('Zdroj data'!BP92&gt;=Body!$CB$27,$BZ$22," "))))))))))</f>
        <v>4</v>
      </c>
      <c r="X92" s="264">
        <f>IF('Zdroj data'!BA92=Body!$BB$28,$BB$22,IF('Zdroj data'!BA92=Body!$BE$28,$BE$22,IF(OR('Zdroj data'!BA92=Body!$BK$28,'Zdroj data'!BA92=Body!$BL$28,'Zdroj data'!BA92=Body!$BM$28),$BK$22,IF(OR('Zdroj data'!BA92=Body!$BT$28,'Zdroj data'!BA92=Body!$BV$28),$BT$22,IF(OR('Zdroj data'!BA92=Body!$BW$28,'Zdroj data'!BA92=Body!$BY$28),$BW$22,IF('Zdroj data'!BA92=Body!$BZ$28,$BZ$22," "))))))</f>
        <v>8</v>
      </c>
      <c r="Y92" s="264">
        <f>IF('Zdroj data'!AZ92=Body!$BZ$29,Body!$BZ$22,IF(OR('Zdroj data'!AZ92=$BT$29,'Zdroj data'!AZ92=$BU$29,'Zdroj data'!AZ92=$BV$29),$BT$22,IF(OR('Zdroj data'!AZ92=$BK$29,'Zdroj data'!AZ92=$BM$29),$BK$22,IF(OR('Zdroj data'!AZ92=$BE$29,'Zdroj data'!AZ92=$BG$29),$BE$22,IF(OR('Zdroj data'!AZ92=$AY$29,'Zdroj data'!AZ92=$BA$29),$AY$22," ")))))</f>
        <v>10</v>
      </c>
      <c r="Z92" s="264">
        <f>IF(AND('Zdroj data'!BF92="T",(OR('Zdroj data'!AZ92=Body!$AW$45,'Zdroj data'!AZ92=Body!$AW$46,'Zdroj data'!AZ92=Body!$AW$47,'Zdroj data'!AZ92=Body!$AW$48))),Body!$AY$22,IF(AND('Zdroj data'!BF92="T",(OR('Zdroj data'!AZ92=$AW$49,'Zdroj data'!AZ92=$AW$50,'Zdroj data'!AZ92=$AW$51,'Zdroj data'!AZ92=$AW$52))),$BZ$22,IF(AND(OR('Zdroj data'!BF92="VT",'Zdroj data'!BF92="T",'Zdroj data'!BF92="CH"),(OR('Zdroj data'!AZ92=$AW$43,'Zdroj data'!AZ92=$AW$44,))),$BZ$22,IF(AND('Zdroj data'!BF92="CH",(OR('Zdroj data'!AZ92=$AW$49,'Zdroj data'!AZ92=$AW$50,'Zdroj data'!AZ92=$AW$51,'Zdroj data'!AZ92=$AW$52))),$AY$22,IF(AND('Zdroj data'!BF92="CH",(OR('Zdroj data'!AZ92=$AW$45,'Zdroj data'!AZ92=$AW$46,'Zdroj data'!AZ92=$AW$47,'Zdroj data'!AZ92=$AW$48))),$BZ$22," ")))))</f>
        <v>10</v>
      </c>
      <c r="AA92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</v>
      </c>
      <c r="AB92" s="264">
        <f>IF(Tabulka1[[#This Row],[kv.ek.]]=Body!$BK$35,Body!$BK$34,IF(Tabulka1[[#This Row],[kv.ek.]]=Body!$BZ$35,Body!$BZ$34," "))</f>
        <v>5</v>
      </c>
      <c r="AC92" s="264" t="str">
        <f>IF(AND('Zdroj data'!BF92="T",(OR('Zdroj data'!AZ92=Body!$AW$45,'Zdroj data'!AZ92=Body!$AW$46,'Zdroj data'!AZ92=Body!$AW$47,'Zdroj data'!AZ92=Body!$AW$48))),Body!$AY$22,IF(AND('Zdroj data'!BF92="T",(OR('Zdroj data'!AZ92=$AW$49,'Zdroj data'!AZ92=$AW$50,'Zdroj data'!AZ92=$AW$51,'Zdroj data'!AZ92=$AW$52))),$BZ$22," "))</f>
        <v xml:space="preserve"> </v>
      </c>
      <c r="AD92" s="264">
        <f>IF(AND(OR('Zdroj data'!BF92="VT",'Zdroj data'!BF92="T",'Zdroj data'!BF92="CH"),(OR('Zdroj data'!AZ92=$AW$43,'Zdroj data'!AZ92=$AW$44,))),$BZ$22," ")</f>
        <v>10</v>
      </c>
      <c r="AE92" s="264" t="str">
        <f>IF(AND('Zdroj data'!BF92="CH",(OR('Zdroj data'!AZ92=$AW$49,'Zdroj data'!AZ92=$AW$50,'Zdroj data'!AZ92=$AW$51,'Zdroj data'!AZ92=$AW$52))),$AY$22,IF(AND('Zdroj data'!BF92="CH",(OR('Zdroj data'!AZ92=$AW$45,'Zdroj data'!AZ92=$AW$46,'Zdroj data'!AZ92=$AW$47,'Zdroj data'!AZ92=$AW$48))),$BZ$22," "))</f>
        <v xml:space="preserve"> </v>
      </c>
      <c r="AF92" s="264">
        <f>IF(AND('Zdroj data'!BG92="L",'Zdroj data'!AM92=Body!$AX$15),IF(AND('Zdroj data'!O92&gt;=Body!$AY$15,'Zdroj data'!O92&lt;=Body!$BA$15),Body!AY$6,IF(AND('Zdroj data'!O92&gt;=Body!$BB$15,'Zdroj data'!O92&lt;=Body!$BD$15),Body!BB$6,IF(AND('Zdroj data'!O92&gt;=Body!$BE$15,'Zdroj data'!O92&lt;=Body!$BG$15),Body!BE$6,IF(AND('Zdroj data'!O92&gt;=Body!$BH$15,'Zdroj data'!O92&lt;=Body!$BJ$15),Body!BH$6,IF(AND('Zdroj data'!O92&gt;=Body!$BK$15,'Zdroj data'!O92&lt;=Body!$BM$15),Body!BK$6,IF(AND('Zdroj data'!O92&gt;=Body!$BN$15,'Zdroj data'!O92&lt;=Body!$BP$15),Body!$BN$6,IF(AND('Zdroj data'!O92&gt;=Body!$BQ$15,'Zdroj data'!O92&lt;=Body!$BS$15),Body!$BQ$6,IF(AND('Zdroj data'!O92&gt;=Body!$BT$15,'Zdroj data'!O92&lt;=Body!$BV$15),Body!BT$6,IF(AND('Zdroj data'!O92&gt;=Body!$BW$15,'Zdroj data'!O92&lt;=Body!$BY$15),Body!$BW$6,IF('Zdroj data'!O92&gt;=Body!$CB$15,Body!$BZ$6," ")))))))))),IF(AND('Zdroj data'!BG92="ST",'Zdroj data'!AM92=Body!$AX$16),IF(AND('Zdroj data'!O92&gt;=Body!$AY$16,'Zdroj data'!O92&lt;=Body!$BA$16),Body!$AY$6,IF(AND('Zdroj data'!O92&gt;=Body!$BB$16,'Zdroj data'!O92&lt;=Body!$BD$16),Body!$BB$6,IF(AND('Zdroj data'!O92&gt;=Body!$BE$16,'Zdroj data'!O92&lt;=Body!$BG$16),Body!$BE$6,IF(AND('Zdroj data'!O92&gt;=Body!$BH$16,'Zdroj data'!O92&lt;=Body!$BJ$16),Body!$BH$6,IF(AND('Zdroj data'!O92&gt;=Body!$BK$16,'Zdroj data'!O92&lt;=Body!$BM$16),Body!$BK$6,IF(AND('Zdroj data'!O92&gt;=Body!$BN$16,'Zdroj data'!O92&lt;=Body!$BP$16),Body!$BN$6,IF(AND('Zdroj data'!O92&gt;=Body!$BQ$16,'Zdroj data'!O92&lt;=Body!$BS$16),Body!$BQ$6,IF(AND('Zdroj data'!O92&gt;=Body!$BT$16,'Zdroj data'!O92&lt;=Body!$BV$16),Body!$BT$6,IF(AND('Zdroj data'!O92&gt;=Body!$BW$16,'Zdroj data'!O92&lt;=Body!$BY$16),Body!$BW$6,IF('Zdroj data'!O92&gt;=Body!$CB$16,Body!$BZ$6," ")))))))))),IF(AND('Zdroj data'!BG92="T",'Zdroj data'!AM92=Body!$AX$17),IF(AND('Zdroj data'!O92&gt;=Body!$AY$17,'Zdroj data'!O92&lt;=Body!$BA$17),Body!$AY$6,IF(AND('Zdroj data'!O92&gt;=Body!$BB$17,'Zdroj data'!O92&lt;=Body!$BD$17),Body!$BB$6,IF(AND('Zdroj data'!O92&gt;=Body!$BE$17,'Zdroj data'!O92&lt;=Body!$BG$17),Body!$BE$6,IF(AND('Zdroj data'!O92&gt;=Body!$BH$17,'Zdroj data'!O92&lt;=Body!#REF!),Body!$BH$6,IF(AND('Zdroj data'!O92&gt;=Body!$BK$17,'Zdroj data'!O92&lt;=Body!$BM$17),Body!$BK$6,IF(AND('Zdroj data'!O92&gt;=Body!$BN$17,'Zdroj data'!O92&lt;=Body!$BP$17),Body!$BN$6,IF(AND('Zdroj data'!O92&gt;=Body!$BQ$17,'Zdroj data'!O92&lt;=Body!$BS$17),Body!$BQ$6,IF(AND('Zdroj data'!O92&gt;=Body!$BT$17,'Zdroj data'!O92&lt;=Body!$BV$17),Body!$BT$6,IF(AND('Zdroj data'!O92&gt;=Body!$BW$17,'Zdroj data'!O92&lt;=Body!$BY$17),Body!$BW$6,IF('Zdroj data'!O92&gt;=Body!$CB$17,Body!$BZ$6," "))))))))))," ")))</f>
        <v>3</v>
      </c>
      <c r="AG92" s="264">
        <f>IF(AND('Zdroj data'!$BG92="L",'Zdroj data'!$AM92=Body!$AX$15),IF(AND(Tabulka1[[#This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data'!$BG92="ST",'Zdroj data'!$AM92=Body!$AX$16),IF(AND(Tabulka1[[#This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data'!$BG92="T",'Zdroj data'!$AM92=Body!$AX$17),IF(AND(Tabulka1[[#This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2</v>
      </c>
      <c r="AH92" s="264" t="str">
        <f>IF(AND('Zdroj data'!BG92="L",'Zdroj data'!AM92=Body!$AX$18),IF(AND('Zdroj data'!O92&gt;=Body!$AY$18,'Zdroj data'!O92&lt;=Body!$BA$18),Body!AY$6,IF(AND('Zdroj data'!O92&gt;=Body!$BB$18,'Zdroj data'!O92&lt;=Body!$BD$18),Body!BB$6,IF(AND('Zdroj data'!O92&gt;=Body!$BE$18,'Zdroj data'!O92&lt;=Body!$BG$18),Body!BE$6,IF(AND('Zdroj data'!O92&gt;=Body!$BH$18,'Zdroj data'!O92&lt;=Body!$BJ$18),Body!BH$6,IF(AND('Zdroj data'!O92&gt;=Body!$BK$18,'Zdroj data'!O92&lt;=Body!$BM$18),Body!$BK$6,IF(AND('Zdroj data'!O92&gt;=Body!$BN$18,'Zdroj data'!O92&lt;=Body!$BP$18),Body!BN$6,IF(AND('Zdroj data'!O92&gt;=Body!$BQ$18,'Zdroj data'!O92&lt;=Body!$BS$18),Body!$BQ$6,IF(AND('Zdroj data'!O92&gt;=Body!$BT$18,'Zdroj data'!O92&lt;=Body!$BV$18),Body!$BT$6,IF(AND('Zdroj data'!O92&gt;=Body!$BW$18,'Zdroj data'!O92&lt;=Body!$BY$18),Body!$BW$6,IF('Zdroj data'!O92&gt;=Body!$CB$18,Body!$BZ$6," ")))))))))),IF(AND('Zdroj data'!BG92="ST",'Zdroj data'!AM92=Body!$AX$19),IF(AND('Zdroj data'!O92&gt;=Body!$AY$19,'Zdroj data'!O92&lt;=Body!$BA$19),Body!$AY$6,IF(AND('Zdroj data'!O92&gt;=Body!$BB$19,'Zdroj data'!O92&lt;=Body!$BD$19),Body!$BB$6,IF(AND('Zdroj data'!O92&gt;=Body!$BE$19,'Zdroj data'!O92&lt;=Body!$BG$19),Body!$BE$6,IF(AND('Zdroj data'!O92&gt;=Body!$BH$19,'Zdroj data'!O92&lt;=Body!$BJ$19),Body!$BH$6,IF(AND('Zdroj data'!O92&gt;=Body!$BK$19,'Zdroj data'!O92&lt;=Body!$BM$19),Body!$BK$6,IF(AND('Zdroj data'!O92&gt;=Body!$BN$19,'Zdroj data'!O92&lt;=Body!$BP$19),Body!$BN$6,IF(AND('Zdroj data'!O92&gt;=Body!$BQ$19,'Zdroj data'!O92&lt;=Body!$BS$19),Body!$BQ$6,IF(AND('Zdroj data'!O92&gt;=Body!$BT$19,'Zdroj data'!O96&lt;=Body!$BV$19),Body!$BT$6,IF(AND('Zdroj data'!O92&gt;=Body!$BW$19,'Zdroj data'!O92&lt;=Body!$BY$19),Body!$BW$6,IF('Zdroj data'!O92&gt;=Body!$CB$19,Body!$BZ$6," ")))))))))),IF(AND('Zdroj data'!BG92="T",'Zdroj data'!AM92=Body!$AX$20),IF(AND('Zdroj data'!O92&gt;=Body!$AY$20,'Zdroj data'!O92&lt;=Body!$BA$20),Body!$AY$6,IF(AND('Zdroj data'!O92&gt;=Body!$BB$20,'Zdroj data'!O92&lt;=Body!$BD$20),Body!$BB$6,IF(AND('Zdroj data'!O92&gt;=Body!$BE$20,'Zdroj data'!O92&lt;=Body!$BG$20),Body!$BE$6,IF(AND('Zdroj data'!O92&gt;=Body!$BH$20,'Zdroj data'!O92&lt;=Body!$BJ$20),Body!$BH$6,IF(AND('Zdroj data'!O92&gt;=Body!$BK$20,'Zdroj data'!O92&lt;=Body!$BM$20),Body!$BK$6,IF(AND('Zdroj data'!O92&gt;=Body!$BN$20,'Zdroj data'!O92&lt;=Body!$BP$20),Body!$BN$6,IF(AND('Zdroj data'!O92&gt;=Body!$BQ$20,'Zdroj data'!O92&lt;=Body!$BS$20),Body!$BQ$6,IF(AND('Zdroj data'!O92&gt;=Body!$BT$20,'Zdroj data'!O92&lt;=Body!#REF!),Body!$BT$6,IF(AND('Zdroj data'!O92&gt;=Body!$BW$20,'Zdroj data'!O92&lt;=Body!$BY$20),Body!$BW$6,IF('Zdroj data'!O92&gt;=Body!$CB$20,Body!$BZ$6," "))))))))))," ")))</f>
        <v xml:space="preserve"> </v>
      </c>
      <c r="AI92" s="264" t="str">
        <f>IF(AND('Zdroj data'!$BG92="L",'Zdroj data'!$AM92=Body!$AX$18),IF(AND(Tabulka1[[#This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data'!$BG92="ST",'Zdroj data'!$AM92=Body!$AX$19),IF(AND(Tabulka1[[#This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data'!$BG92="T",'Zdroj data'!$AM92=Body!$AX$20),IF(AND(Tabulka1[[#This Row],[K2O_60]]&gt;=Body!$AY$20,'Zdroj data'!O92&lt;=Body!$BA$20),Body!$AY$6,IF(AND(Tabulka1[[#This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92" s="265">
        <f t="shared" si="13"/>
        <v>2.6666666666666687</v>
      </c>
      <c r="AK92" s="264">
        <f t="shared" si="14"/>
        <v>27.719561631972315</v>
      </c>
      <c r="AL92" s="264">
        <f t="shared" si="15"/>
        <v>28.306457669408282</v>
      </c>
      <c r="AM92" s="264">
        <f t="shared" si="16"/>
        <v>65.30566043860064</v>
      </c>
      <c r="AN92" s="264">
        <f t="shared" si="17"/>
        <v>66.130097981272669</v>
      </c>
      <c r="AO92" s="265">
        <f t="shared" si="21"/>
        <v>93.025222070572951</v>
      </c>
      <c r="AP92" s="265">
        <f t="shared" si="18"/>
        <v>94.436555650680958</v>
      </c>
      <c r="AQ92" s="318"/>
      <c r="AR92" s="338">
        <f t="shared" si="19"/>
        <v>190.12844438792055</v>
      </c>
      <c r="AS92" s="318"/>
      <c r="AT92" s="138"/>
      <c r="AU92" s="138"/>
    </row>
    <row r="93" spans="1:48" ht="15.5" x14ac:dyDescent="0.35">
      <c r="A93" s="270">
        <v>4360</v>
      </c>
      <c r="B93" s="156" t="s">
        <v>125</v>
      </c>
      <c r="C93" s="250" t="str">
        <f>VLOOKUP(B93,'Zdroj hloubka okresy'!$A$2:$D$171,2,FALSE)</f>
        <v>pribram</v>
      </c>
      <c r="D93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93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93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93" s="264">
        <f>IF(AND(Tabulka1[[#This Row],[hum_60]]&gt;AY99,Tabulka1[[#This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93" s="264">
        <f>IF(Tabulka1[[#This Row],[kv.ek.]]=Body!$AX$13,IF(AND('Zdroj data'!M93&gt;=Body!$AY$13,'Zdroj data'!M93&lt;=Body!$BA$13),Body!$AY$6,IF(AND('Zdroj data'!M93&gt;=Body!$BB$13,'Zdroj data'!M93&lt;=Body!$BD$13),Body!$BB$6,IF(AND('Zdroj data'!M93&gt;=Body!$BE$13,'Zdroj data'!M93&lt;=Body!$BG$13),Body!$BE$6,IF(AND('Zdroj data'!M93&gt;=Body!$BH$13,'Zdroj data'!M93&lt;=Body!$BJ$13),Body!$BH$6,IF(AND('Zdroj data'!M93&gt;=Body!$BK$13,'Zdroj data'!M93&lt;=Body!$BM$13),Body!$BK$6,IF(AND('Zdroj data'!M93&gt;=Body!$BN$13,'Zdroj data'!M93&lt;=Body!$BP$13),Body!$BN$6,IF(AND('Zdroj data'!M93&gt;=Body!$BQ$13,'Zdroj data'!M93&lt;=Body!$BS$13),Body!$BQ$6,IF(AND('Zdroj data'!M93&gt;=Body!$BT$13,'Zdroj data'!M93&lt;=Body!$BV$13),Body!$BT$6,IF(AND('Zdroj data'!M93&gt;=Body!$BW$13,'Zdroj data'!M93&lt;=Body!$BY$13),Body!$BW$6,IF('Zdroj data'!M93&gt;=Body!$CB$13,Body!$BZ$6," ")))))))))),IF(Tabulka1[[#This Row],[kv.ek.]]=Body!$AX$14,IF(AND('Zdroj data'!N93&gt;=Body!$AY$14,'Zdroj data'!N93&lt;=Body!$BA$14),Body!$AY$6,IF(AND('Zdroj data'!N93&gt;=Body!$BB$14,'Zdroj data'!N93&lt;=Body!$BD$14),Body!$BB$6,IF(AND('Zdroj data'!N93&gt;=Body!$BE$14,'Zdroj data'!N93&lt;=Body!$BG$14),Body!$BE$6,IF(AND('Zdroj data'!N93&gt;=Body!$BH$14,'Zdroj data'!N93&lt;=Body!$BJ$14),Body!$BH$6,IF(AND('Zdroj data'!N93&gt;=Body!$BK$14,'Zdroj data'!N93&lt;=Body!$BM$14),Body!$BK$6,IF(AND('Zdroj data'!N93&gt;=Body!$BN$14,'Zdroj data'!N93&lt;=Body!$BP$14),Body!$BN$6,IF(AND('Zdroj data'!N93&gt;=Body!$BQ$14,'Zdroj data'!N93&lt;=Body!$BS$14),Body!$BQ$6,IF(AND('Zdroj data'!N93&gt;=Body!$BT$14,'Zdroj data'!N93&lt;=Body!$BV$14),Body!$BT$6,IF(AND('Zdroj data'!N93&gt;=Body!$BW$14,'Zdroj data'!N93&lt;=Body!$BY$14),Body!$BW$6,IF('Zdroj data'!N93&gt;=Body!$CB$14,Body!$BZ$6," "))))))))))," "))</f>
        <v>2</v>
      </c>
      <c r="I93" s="264">
        <f>IF(Tabulka1[[#This Row],[kv.ek.]]=Body!$AX$13,IF(AND('Zdroj data'!N93&gt;=Body!$AY$13,'Zdroj data'!N93&lt;=Body!$BA$13),Body!$AY$6,IF(AND('Zdroj data'!N93&gt;=Body!$BB$13,'Zdroj data'!N93&lt;=Body!$BD$13),Body!$BB$6,IF(AND('Zdroj data'!N93&gt;=Body!$BE$13,'Zdroj data'!N93&lt;=Body!$BG$13),Body!$BE$6,IF(AND('Zdroj data'!N93&gt;=Body!$BH$13,'Zdroj data'!N93&lt;=Body!$BJ$13),Body!$BH$6,IF(AND('Zdroj data'!N93&gt;=Body!$BK$13,'Zdroj data'!N93&lt;=Body!$BM$13),Body!$BK$6,IF(AND('Zdroj data'!N93&gt;=Body!$BN$13,'Zdroj data'!N93&lt;=Body!$BP$13),Body!$BN$6,IF(AND('Zdroj data'!N93&gt;=Body!$BQ$13,'Zdroj data'!N93&lt;=Body!$BS$13),Body!$BQ$6,IF(AND('Zdroj data'!N93&gt;=Body!$BT$13,'Zdroj data'!N93&lt;=Body!$BV$13),Body!$BT$6,IF(AND('Zdroj data'!N93&gt;=Body!$BW$13,'Zdroj data'!N93&lt;=Body!$BY$13),Body!$BW$6,IF('Zdroj data'!N93&gt;=Body!$CB$13,Body!$BZ$6," ")))))))))),IF(Tabulka1[[#This Row],[kv.ek.]]=Body!$AX$14,IF(AND('Zdroj data'!O93&gt;=Body!$AY$14,'Zdroj data'!O93&lt;=Body!$BA$14),Body!$AY$6,IF(AND('Zdroj data'!O93&gt;=Body!$BB$14,'Zdroj data'!O93&lt;=Body!$BD$14),Body!$BB$6,IF(AND('Zdroj data'!O93&gt;=Body!$BE$14,'Zdroj data'!O93&lt;=Body!$BG$14),Body!$BE$6,IF(AND('Zdroj data'!O93&gt;=Body!$BH$14,'Zdroj data'!O93&lt;=Body!$BJ$14),Body!$BH$6,IF(AND('Zdroj data'!O93&gt;=Body!$BK$14,'Zdroj data'!O93&lt;=Body!$BM$14),Body!$BK$6,IF(AND('Zdroj data'!O93&gt;=Body!$BN$14,'Zdroj data'!O93&lt;=Body!$BP$14),Body!$BN$6,IF(AND('Zdroj data'!O93&gt;=Body!$BQ$14,'Zdroj data'!O93&lt;=Body!$BS$14),Body!$BQ$6,IF(AND('Zdroj data'!O93&gt;=Body!$BT$14,'Zdroj data'!O93&lt;=Body!$BV$14),Body!$BT$6,IF(AND('Zdroj data'!O93&gt;=Body!$BW$14,'Zdroj data'!O93&lt;=Body!$BY$14),Body!$BW$6,IF('Zdroj data'!O93&gt;=Body!$CB$14,Body!$BZ$6," "))))))))))," "))</f>
        <v>5</v>
      </c>
      <c r="J93" s="264">
        <f t="shared" si="23"/>
        <v>1</v>
      </c>
      <c r="K93" s="264">
        <f t="shared" si="23"/>
        <v>1</v>
      </c>
      <c r="L93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93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2</v>
      </c>
      <c r="N93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4</v>
      </c>
      <c r="O93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5</v>
      </c>
      <c r="P93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93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93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93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6</v>
      </c>
      <c r="T93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6</v>
      </c>
      <c r="U93" s="264">
        <f>IF('Zdroj data'!BB93=Body!$AY$25,Body!$AY$22,IF('Zdroj data'!BB93=Body!$BB$25,Body!$BB$22,IF('Zdroj data'!BB93=Body!$BE$25,Body!$BE$22,IF('Zdroj data'!BB93=Body!$BH$25,Body!$BH$22,IF('Zdroj data'!BB93=Body!BK$25,Body!$BK$22,IF('Zdroj data'!BB93=Body!$BN$25,Body!$BN$22,IF('Zdroj data'!BB93=Body!$BQ$25,Body!$BQ$22,IF('Zdroj data'!BB93=Body!$BT$25,Body!$BT$22,IF('Zdroj data'!BB93=Body!$BW$25,Body!$BW$22,IF('Zdroj data'!BB93=Body!$BZ$25,Body!$BZ$22," "))))))))))</f>
        <v>5</v>
      </c>
      <c r="V93" s="264">
        <f>IF(AND('Zdroj data'!BO93&gt;Body!$AY$27,'Zdroj data'!BO93&lt;=Body!$BA$27),Body!$AY$22,IF(AND('Zdroj data'!BO93&gt;=Body!$BB$27,'Zdroj data'!BO93&lt;=Body!$BD$27),Body!$BB$22,IF(AND('Zdroj data'!BO93&gt;=Body!$BE$27,'Zdroj data'!BO93&lt;=Body!$BG$27),Body!$BE$22,IF(AND('Zdroj data'!BO93&gt;=Body!$BH$27,'Zdroj data'!BO93&lt;=Body!$BJ$27),Body!$BH$22,IF(AND('Zdroj data'!BO93&gt;=Body!$BK$27,'Zdroj data'!BO93&lt;=Body!$BM$27),Body!$BK$22,IF(AND('Zdroj data'!BO93&gt;=Body!$BN$27,'Zdroj data'!BO93&lt;=Body!$BP$27),Body!$BN$22,IF(AND('Zdroj data'!BO93&gt;=Body!$BQ$27,'Zdroj data'!BO93&lt;=Body!$BS$27),Body!$BQ$22,IF(AND('Zdroj data'!BO93&gt;=Body!$BT$27,'Zdroj data'!BO93&lt;=Body!$BV$27),Body!$BT$22,IF(AND('Zdroj data'!BO93&gt;=Body!$BW$27,'Zdroj data'!BO93&lt;=Body!$BY$27),Body!$BW$22,IF('Zdroj data'!BO93&gt;=Body!$CB$27,$BZ$22," "))))))))))</f>
        <v>6</v>
      </c>
      <c r="W93" s="264">
        <f>IF(AND('Zdroj data'!BP93&gt;Body!$AY$27,'Zdroj data'!BP93&lt;=Body!$BA$27),Body!$AY$22,IF(AND('Zdroj data'!BP93&gt;=Body!$BB$27,'Zdroj data'!BP93&lt;=Body!$BD$27),Body!$BB$22,IF(AND('Zdroj data'!BP93&gt;=Body!$BE$27,'Zdroj data'!BP93&lt;=Body!$BG$27),Body!$BE$22,IF(AND('Zdroj data'!BP93&gt;=Body!$BH$27,'Zdroj data'!BP93&lt;=Body!$BJ$27),Body!$BH$22,IF(AND('Zdroj data'!BP93&gt;=Body!$BK$27,'Zdroj data'!BP93&lt;=Body!$BM$27),Body!$BK$22,IF(AND('Zdroj data'!BP93&gt;=Body!$BN$27,'Zdroj data'!BP93&lt;=Body!$BP$27),Body!$BN$22,IF(AND('Zdroj data'!BP93&gt;=Body!$BQ$27,'Zdroj data'!BP93&lt;=Body!$BS$27),Body!$BQ$22,IF(AND('Zdroj data'!BP93&gt;=Body!$BT$27,'Zdroj data'!BP93&lt;=Body!$BV$27),Body!$BT$22,IF(AND('Zdroj data'!BP93&gt;=Body!$BW$27,'Zdroj data'!BP93&lt;=Body!$BY$27),Body!$BW$22,IF('Zdroj data'!BP93&gt;=Body!$CB$27,$BZ$22," "))))))))))</f>
        <v>8</v>
      </c>
      <c r="X93" s="264">
        <f>IF('Zdroj data'!BA93=Body!$BB$28,$BB$22,IF('Zdroj data'!BA93=Body!$BE$28,$BE$22,IF(OR('Zdroj data'!BA93=Body!$BK$28,'Zdroj data'!BA93=Body!$BL$28,'Zdroj data'!BA93=Body!$BM$28),$BK$22,IF(OR('Zdroj data'!BA93=Body!$BT$28,'Zdroj data'!BA93=Body!$BV$28),$BT$22,IF(OR('Zdroj data'!BA93=Body!$BW$28,'Zdroj data'!BA93=Body!$BY$28),$BW$22,IF('Zdroj data'!BA93=Body!$BZ$28,$BZ$22," "))))))</f>
        <v>5</v>
      </c>
      <c r="Y93" s="264">
        <f>IF('Zdroj data'!AZ93=Body!$BZ$29,Body!$BZ$22,IF(OR('Zdroj data'!AZ93=$BT$29,'Zdroj data'!AZ93=$BU$29,'Zdroj data'!AZ93=$BV$29),$BT$22,IF(OR('Zdroj data'!AZ93=$BK$29,'Zdroj data'!AZ93=$BM$29),$BK$22,IF(OR('Zdroj data'!AZ93=$BE$29,'Zdroj data'!AZ93=$BG$29),$BE$22,IF(OR('Zdroj data'!AZ93=$AY$29,'Zdroj data'!AZ93=$BA$29),$AY$22," ")))))</f>
        <v>5</v>
      </c>
      <c r="Z93" s="264">
        <f>IF(AND('Zdroj data'!BF93="T",(OR('Zdroj data'!AZ93=Body!$AW$45,'Zdroj data'!AZ93=Body!$AW$46,'Zdroj data'!AZ93=Body!$AW$47,'Zdroj data'!AZ93=Body!$AW$48))),Body!$AY$22,IF(AND('Zdroj data'!BF93="T",(OR('Zdroj data'!AZ93=$AW$49,'Zdroj data'!AZ93=$AW$50,'Zdroj data'!AZ93=$AW$51,'Zdroj data'!AZ93=$AW$52))),$BZ$22,IF(AND(OR('Zdroj data'!BF93="VT",'Zdroj data'!BF93="T",'Zdroj data'!BF93="CH"),(OR('Zdroj data'!AZ93=$AW$43,'Zdroj data'!AZ93=$AW$44,))),$BZ$22,IF(AND('Zdroj data'!BF93="CH",(OR('Zdroj data'!AZ93=$AW$49,'Zdroj data'!AZ93=$AW$50,'Zdroj data'!AZ93=$AW$51,'Zdroj data'!AZ93=$AW$52))),$AY$22,IF(AND('Zdroj data'!BF93="CH",(OR('Zdroj data'!AZ93=$AW$45,'Zdroj data'!AZ93=$AW$46,'Zdroj data'!AZ93=$AW$47,'Zdroj data'!AZ93=$AW$48))),$BZ$22," ")))))</f>
        <v>10</v>
      </c>
      <c r="AA93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93" s="264">
        <f>IF(Tabulka1[[#This Row],[kv.ek.]]=Body!$BK$35,Body!$BK$34,IF(Tabulka1[[#This Row],[kv.ek.]]=Body!$BZ$35,Body!$BZ$34," "))</f>
        <v>10</v>
      </c>
      <c r="AC93" s="264">
        <f>IF(AND('Zdroj data'!BF93="T",(OR('Zdroj data'!AZ93=Body!$AW$45,'Zdroj data'!AZ93=Body!$AW$46,'Zdroj data'!AZ93=Body!$AW$47,'Zdroj data'!AZ93=Body!$AW$48))),Body!$AY$22,IF(AND('Zdroj data'!BF93="T",(OR('Zdroj data'!AZ93=$AW$49,'Zdroj data'!AZ93=$AW$50,'Zdroj data'!AZ93=$AW$51,'Zdroj data'!AZ93=$AW$52))),$BZ$22," "))</f>
        <v>10</v>
      </c>
      <c r="AD93" s="264" t="str">
        <f>IF(AND(OR('Zdroj data'!BF93="VT",'Zdroj data'!BF93="T",'Zdroj data'!BF93="CH"),(OR('Zdroj data'!AZ93=$AW$43,'Zdroj data'!AZ93=$AW$44,))),$BZ$22," ")</f>
        <v xml:space="preserve"> </v>
      </c>
      <c r="AE93" s="264" t="str">
        <f>IF(AND('Zdroj data'!BF93="CH",(OR('Zdroj data'!AZ93=$AW$49,'Zdroj data'!AZ93=$AW$50,'Zdroj data'!AZ93=$AW$51,'Zdroj data'!AZ93=$AW$52))),$AY$22,IF(AND('Zdroj data'!BF93="CH",(OR('Zdroj data'!AZ93=$AW$45,'Zdroj data'!AZ93=$AW$46,'Zdroj data'!AZ93=$AW$47,'Zdroj data'!AZ93=$AW$48))),$BZ$22," "))</f>
        <v xml:space="preserve"> </v>
      </c>
      <c r="AF93" s="264" t="str">
        <f>IF(AND('Zdroj data'!BG93="L",'Zdroj data'!AM93=Body!$AX$15),IF(AND('Zdroj data'!O93&gt;=Body!$AY$15,'Zdroj data'!O93&lt;=Body!$BA$15),Body!AY$6,IF(AND('Zdroj data'!O93&gt;=Body!$BB$15,'Zdroj data'!O93&lt;=Body!$BD$15),Body!BB$6,IF(AND('Zdroj data'!O93&gt;=Body!$BE$15,'Zdroj data'!O93&lt;=Body!$BG$15),Body!BE$6,IF(AND('Zdroj data'!O93&gt;=Body!$BH$15,'Zdroj data'!O93&lt;=Body!$BJ$15),Body!BH$6,IF(AND('Zdroj data'!O93&gt;=Body!$BK$15,'Zdroj data'!O93&lt;=Body!$BM$15),Body!BK$6,IF(AND('Zdroj data'!O93&gt;=Body!$BN$15,'Zdroj data'!O93&lt;=Body!$BP$15),Body!$BN$6,IF(AND('Zdroj data'!O93&gt;=Body!$BQ$15,'Zdroj data'!O93&lt;=Body!$BS$15),Body!$BQ$6,IF(AND('Zdroj data'!O93&gt;=Body!$BT$15,'Zdroj data'!O93&lt;=Body!$BV$15),Body!BT$6,IF(AND('Zdroj data'!O93&gt;=Body!$BW$15,'Zdroj data'!O93&lt;=Body!$BY$15),Body!$BW$6,IF('Zdroj data'!O93&gt;=Body!$CB$15,Body!$BZ$6," ")))))))))),IF(AND('Zdroj data'!BG93="ST",'Zdroj data'!AM93=Body!$AX$16),IF(AND('Zdroj data'!O93&gt;=Body!$AY$16,'Zdroj data'!O93&lt;=Body!$BA$16),Body!$AY$6,IF(AND('Zdroj data'!O93&gt;=Body!$BB$16,'Zdroj data'!O93&lt;=Body!$BD$16),Body!$BB$6,IF(AND('Zdroj data'!O93&gt;=Body!$BE$16,'Zdroj data'!O93&lt;=Body!$BG$16),Body!$BE$6,IF(AND('Zdroj data'!O93&gt;=Body!$BH$16,'Zdroj data'!O93&lt;=Body!$BJ$16),Body!$BH$6,IF(AND('Zdroj data'!O93&gt;=Body!$BK$16,'Zdroj data'!O93&lt;=Body!$BM$16),Body!$BK$6,IF(AND('Zdroj data'!O93&gt;=Body!$BN$16,'Zdroj data'!O93&lt;=Body!$BP$16),Body!$BN$6,IF(AND('Zdroj data'!O93&gt;=Body!$BQ$16,'Zdroj data'!O93&lt;=Body!$BS$16),Body!$BQ$6,IF(AND('Zdroj data'!O93&gt;=Body!$BT$16,'Zdroj data'!O93&lt;=Body!$BV$16),Body!$BT$6,IF(AND('Zdroj data'!O93&gt;=Body!$BW$16,'Zdroj data'!O93&lt;=Body!$BY$16),Body!$BW$6,IF('Zdroj data'!O93&gt;=Body!$CB$16,Body!$BZ$6," ")))))))))),IF(AND('Zdroj data'!BG93="T",'Zdroj data'!AM93=Body!$AX$17),IF(AND('Zdroj data'!O93&gt;=Body!$AY$17,'Zdroj data'!O93&lt;=Body!$BA$17),Body!$AY$6,IF(AND('Zdroj data'!O93&gt;=Body!$BB$17,'Zdroj data'!O93&lt;=Body!$BD$17),Body!$BB$6,IF(AND('Zdroj data'!O93&gt;=Body!$BE$17,'Zdroj data'!O93&lt;=Body!$BG$17),Body!$BE$6,IF(AND('Zdroj data'!O93&gt;=Body!$BH$17,'Zdroj data'!O93&lt;=Body!#REF!),Body!$BH$6,IF(AND('Zdroj data'!O93&gt;=Body!$BK$17,'Zdroj data'!O93&lt;=Body!$BM$17),Body!$BK$6,IF(AND('Zdroj data'!O93&gt;=Body!$BN$17,'Zdroj data'!O93&lt;=Body!$BP$17),Body!$BN$6,IF(AND('Zdroj data'!O93&gt;=Body!$BQ$17,'Zdroj data'!O93&lt;=Body!$BS$17),Body!$BQ$6,IF(AND('Zdroj data'!O93&gt;=Body!$BT$17,'Zdroj data'!O93&lt;=Body!$BV$17),Body!$BT$6,IF(AND('Zdroj data'!O93&gt;=Body!$BW$17,'Zdroj data'!O93&lt;=Body!$BY$17),Body!$BW$6,IF('Zdroj data'!O93&gt;=Body!$CB$17,Body!$BZ$6," "))))))))))," ")))</f>
        <v xml:space="preserve"> </v>
      </c>
      <c r="AG93" s="264" t="str">
        <f>IF(AND('Zdroj data'!$BG93="L",'Zdroj data'!$AM93=Body!$AX$15),IF(AND(Tabulka1[[#This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data'!$BG93="ST",'Zdroj data'!$AM93=Body!$AX$16),IF(AND(Tabulka1[[#This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data'!$BG93="T",'Zdroj data'!$AM93=Body!$AX$17),IF(AND(Tabulka1[[#This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93" s="264">
        <f>IF(AND('Zdroj data'!BG93="L",'Zdroj data'!AM93=Body!$AX$18),IF(AND('Zdroj data'!O93&gt;=Body!$AY$18,'Zdroj data'!O93&lt;=Body!$BA$18),Body!AY$6,IF(AND('Zdroj data'!O93&gt;=Body!$BB$18,'Zdroj data'!O93&lt;=Body!$BD$18),Body!BB$6,IF(AND('Zdroj data'!O93&gt;=Body!$BE$18,'Zdroj data'!O93&lt;=Body!$BG$18),Body!BE$6,IF(AND('Zdroj data'!O93&gt;=Body!$BH$18,'Zdroj data'!O93&lt;=Body!$BJ$18),Body!BH$6,IF(AND('Zdroj data'!O93&gt;=Body!$BK$18,'Zdroj data'!O93&lt;=Body!$BM$18),Body!$BK$6,IF(AND('Zdroj data'!O93&gt;=Body!$BN$18,'Zdroj data'!O93&lt;=Body!$BP$18),Body!BN$6,IF(AND('Zdroj data'!O93&gt;=Body!$BQ$18,'Zdroj data'!O93&lt;=Body!$BS$18),Body!$BQ$6,IF(AND('Zdroj data'!O93&gt;=Body!$BT$18,'Zdroj data'!O93&lt;=Body!$BV$18),Body!$BT$6,IF(AND('Zdroj data'!O93&gt;=Body!$BW$18,'Zdroj data'!O93&lt;=Body!$BY$18),Body!$BW$6,IF('Zdroj data'!O93&gt;=Body!$CB$18,Body!$BZ$6," ")))))))))),IF(AND('Zdroj data'!BG93="ST",'Zdroj data'!AM93=Body!$AX$19),IF(AND('Zdroj data'!O93&gt;=Body!$AY$19,'Zdroj data'!O93&lt;=Body!$BA$19),Body!$AY$6,IF(AND('Zdroj data'!O93&gt;=Body!$BB$19,'Zdroj data'!O93&lt;=Body!$BD$19),Body!$BB$6,IF(AND('Zdroj data'!O93&gt;=Body!$BE$19,'Zdroj data'!O93&lt;=Body!$BG$19),Body!$BE$6,IF(AND('Zdroj data'!O93&gt;=Body!$BH$19,'Zdroj data'!O93&lt;=Body!$BJ$19),Body!$BH$6,IF(AND('Zdroj data'!O93&gt;=Body!$BK$19,'Zdroj data'!O93&lt;=Body!$BM$19),Body!$BK$6,IF(AND('Zdroj data'!O93&gt;=Body!$BN$19,'Zdroj data'!O93&lt;=Body!$BP$19),Body!$BN$6,IF(AND('Zdroj data'!O93&gt;=Body!$BQ$19,'Zdroj data'!O93&lt;=Body!$BS$19),Body!$BQ$6,IF(AND('Zdroj data'!O93&gt;=Body!$BT$19,'Zdroj data'!O97&lt;=Body!$BV$19),Body!$BT$6,IF(AND('Zdroj data'!O93&gt;=Body!$BW$19,'Zdroj data'!O93&lt;=Body!$BY$19),Body!$BW$6,IF('Zdroj data'!O93&gt;=Body!$CB$19,Body!$BZ$6," ")))))))))),IF(AND('Zdroj data'!BG93="T",'Zdroj data'!AM93=Body!$AX$20),IF(AND('Zdroj data'!O93&gt;=Body!$AY$20,'Zdroj data'!O93&lt;=Body!$BA$20),Body!$AY$6,IF(AND('Zdroj data'!O93&gt;=Body!$BB$20,'Zdroj data'!O93&lt;=Body!$BD$20),Body!$BB$6,IF(AND('Zdroj data'!O93&gt;=Body!$BE$20,'Zdroj data'!O93&lt;=Body!$BG$20),Body!$BE$6,IF(AND('Zdroj data'!O93&gt;=Body!$BH$20,'Zdroj data'!O93&lt;=Body!$BJ$20),Body!$BH$6,IF(AND('Zdroj data'!O93&gt;=Body!$BK$20,'Zdroj data'!O93&lt;=Body!$BM$20),Body!$BK$6,IF(AND('Zdroj data'!O93&gt;=Body!$BN$20,'Zdroj data'!O93&lt;=Body!$BP$20),Body!$BN$6,IF(AND('Zdroj data'!O93&gt;=Body!$BQ$20,'Zdroj data'!O93&lt;=Body!$BS$20),Body!$BQ$6,IF(AND('Zdroj data'!O93&gt;=Body!$BT$20,'Zdroj data'!O93&lt;=Body!#REF!),Body!$BT$6,IF(AND('Zdroj data'!O93&gt;=Body!$BW$20,'Zdroj data'!O93&lt;=Body!$BY$20),Body!$BW$6,IF('Zdroj data'!O93&gt;=Body!$CB$20,Body!$BZ$6," "))))))))))," ")))</f>
        <v>1</v>
      </c>
      <c r="AI93" s="264">
        <f>IF(AND('Zdroj data'!$BG93="L",'Zdroj data'!$AM93=Body!$AX$18),IF(AND(Tabulka1[[#This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data'!$BG93="ST",'Zdroj data'!$AM93=Body!$AX$19),IF(AND(Tabulka1[[#This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data'!$BG93="T",'Zdroj data'!$AM93=Body!$AX$20),IF(AND(Tabulka1[[#This Row],[K2O_60]]&gt;=Body!$AY$20,'Zdroj data'!O93&lt;=Body!$BA$20),Body!$AY$6,IF(AND(Tabulka1[[#This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1</v>
      </c>
      <c r="AJ93" s="265">
        <f t="shared" si="13"/>
        <v>16.000000000000014</v>
      </c>
      <c r="AK93" s="264">
        <f t="shared" si="14"/>
        <v>23.365901693163188</v>
      </c>
      <c r="AL93" s="264">
        <f t="shared" si="15"/>
        <v>22.330395924956097</v>
      </c>
      <c r="AM93" s="264">
        <f t="shared" si="16"/>
        <v>52.967870116879773</v>
      </c>
      <c r="AN93" s="264">
        <f t="shared" si="17"/>
        <v>56.057056531283742</v>
      </c>
      <c r="AO93" s="265">
        <f t="shared" si="21"/>
        <v>76.333771810042961</v>
      </c>
      <c r="AP93" s="265">
        <f t="shared" si="18"/>
        <v>78.387452456239842</v>
      </c>
      <c r="AQ93" s="318"/>
      <c r="AR93" s="338">
        <f t="shared" si="19"/>
        <v>170.72122426628283</v>
      </c>
      <c r="AS93" s="318"/>
      <c r="AT93" s="138"/>
      <c r="AU93" s="138"/>
    </row>
    <row r="94" spans="1:48" ht="15.5" x14ac:dyDescent="0.35">
      <c r="A94" s="270">
        <v>4363</v>
      </c>
      <c r="B94" s="156" t="s">
        <v>115</v>
      </c>
      <c r="C94" s="250" t="str">
        <f>VLOOKUP(B94,'Zdroj hloubka okresy'!$A$2:$D$171,2,FALSE)</f>
        <v>Pribram</v>
      </c>
      <c r="D94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94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94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94" s="264">
        <f>IF(AND(Tabulka1[[#This Row],[hum_60]]&gt;AY100,Tabulka1[[#This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94" s="264">
        <f>IF(Tabulka1[[#This Row],[kv.ek.]]=Body!$AX$13,IF(AND('Zdroj data'!M94&gt;=Body!$AY$13,'Zdroj data'!M94&lt;=Body!$BA$13),Body!$AY$6,IF(AND('Zdroj data'!M94&gt;=Body!$BB$13,'Zdroj data'!M94&lt;=Body!$BD$13),Body!$BB$6,IF(AND('Zdroj data'!M94&gt;=Body!$BE$13,'Zdroj data'!M94&lt;=Body!$BG$13),Body!$BE$6,IF(AND('Zdroj data'!M94&gt;=Body!$BH$13,'Zdroj data'!M94&lt;=Body!$BJ$13),Body!$BH$6,IF(AND('Zdroj data'!M94&gt;=Body!$BK$13,'Zdroj data'!M94&lt;=Body!$BM$13),Body!$BK$6,IF(AND('Zdroj data'!M94&gt;=Body!$BN$13,'Zdroj data'!M94&lt;=Body!$BP$13),Body!$BN$6,IF(AND('Zdroj data'!M94&gt;=Body!$BQ$13,'Zdroj data'!M94&lt;=Body!$BS$13),Body!$BQ$6,IF(AND('Zdroj data'!M94&gt;=Body!$BT$13,'Zdroj data'!M94&lt;=Body!$BV$13),Body!$BT$6,IF(AND('Zdroj data'!M94&gt;=Body!$BW$13,'Zdroj data'!M94&lt;=Body!$BY$13),Body!$BW$6,IF('Zdroj data'!M94&gt;=Body!$CB$13,Body!$BZ$6," ")))))))))),IF(Tabulka1[[#This Row],[kv.ek.]]=Body!$AX$14,IF(AND('Zdroj data'!N94&gt;=Body!$AY$14,'Zdroj data'!N94&lt;=Body!$BA$14),Body!$AY$6,IF(AND('Zdroj data'!N94&gt;=Body!$BB$14,'Zdroj data'!N94&lt;=Body!$BD$14),Body!$BB$6,IF(AND('Zdroj data'!N94&gt;=Body!$BE$14,'Zdroj data'!N94&lt;=Body!$BG$14),Body!$BE$6,IF(AND('Zdroj data'!N94&gt;=Body!$BH$14,'Zdroj data'!N94&lt;=Body!$BJ$14),Body!$BH$6,IF(AND('Zdroj data'!N94&gt;=Body!$BK$14,'Zdroj data'!N94&lt;=Body!$BM$14),Body!$BK$6,IF(AND('Zdroj data'!N94&gt;=Body!$BN$14,'Zdroj data'!N94&lt;=Body!$BP$14),Body!$BN$6,IF(AND('Zdroj data'!N94&gt;=Body!$BQ$14,'Zdroj data'!N94&lt;=Body!$BS$14),Body!$BQ$6,IF(AND('Zdroj data'!N94&gt;=Body!$BT$14,'Zdroj data'!N94&lt;=Body!$BV$14),Body!$BT$6,IF(AND('Zdroj data'!N94&gt;=Body!$BW$14,'Zdroj data'!N94&lt;=Body!$BY$14),Body!$BW$6,IF('Zdroj data'!N94&gt;=Body!$CB$14,Body!$BZ$6," "))))))))))," "))</f>
        <v>2</v>
      </c>
      <c r="I94" s="264">
        <f>IF(Tabulka1[[#This Row],[kv.ek.]]=Body!$AX$13,IF(AND('Zdroj data'!N94&gt;=Body!$AY$13,'Zdroj data'!N94&lt;=Body!$BA$13),Body!$AY$6,IF(AND('Zdroj data'!N94&gt;=Body!$BB$13,'Zdroj data'!N94&lt;=Body!$BD$13),Body!$BB$6,IF(AND('Zdroj data'!N94&gt;=Body!$BE$13,'Zdroj data'!N94&lt;=Body!$BG$13),Body!$BE$6,IF(AND('Zdroj data'!N94&gt;=Body!$BH$13,'Zdroj data'!N94&lt;=Body!$BJ$13),Body!$BH$6,IF(AND('Zdroj data'!N94&gt;=Body!$BK$13,'Zdroj data'!N94&lt;=Body!$BM$13),Body!$BK$6,IF(AND('Zdroj data'!N94&gt;=Body!$BN$13,'Zdroj data'!N94&lt;=Body!$BP$13),Body!$BN$6,IF(AND('Zdroj data'!N94&gt;=Body!$BQ$13,'Zdroj data'!N94&lt;=Body!$BS$13),Body!$BQ$6,IF(AND('Zdroj data'!N94&gt;=Body!$BT$13,'Zdroj data'!N94&lt;=Body!$BV$13),Body!$BT$6,IF(AND('Zdroj data'!N94&gt;=Body!$BW$13,'Zdroj data'!N94&lt;=Body!$BY$13),Body!$BW$6,IF('Zdroj data'!N94&gt;=Body!$CB$13,Body!$BZ$6," ")))))))))),IF(Tabulka1[[#This Row],[kv.ek.]]=Body!$AX$14,IF(AND('Zdroj data'!O94&gt;=Body!$AY$14,'Zdroj data'!O94&lt;=Body!$BA$14),Body!$AY$6,IF(AND('Zdroj data'!O94&gt;=Body!$BB$14,'Zdroj data'!O94&lt;=Body!$BD$14),Body!$BB$6,IF(AND('Zdroj data'!O94&gt;=Body!$BE$14,'Zdroj data'!O94&lt;=Body!$BG$14),Body!$BE$6,IF(AND('Zdroj data'!O94&gt;=Body!$BH$14,'Zdroj data'!O94&lt;=Body!$BJ$14),Body!$BH$6,IF(AND('Zdroj data'!O94&gt;=Body!$BK$14,'Zdroj data'!O94&lt;=Body!$BM$14),Body!$BK$6,IF(AND('Zdroj data'!O94&gt;=Body!$BN$14,'Zdroj data'!O94&lt;=Body!$BP$14),Body!$BN$6,IF(AND('Zdroj data'!O94&gt;=Body!$BQ$14,'Zdroj data'!O94&lt;=Body!$BS$14),Body!$BQ$6,IF(AND('Zdroj data'!O94&gt;=Body!$BT$14,'Zdroj data'!O94&lt;=Body!$BV$14),Body!$BT$6,IF(AND('Zdroj data'!O94&gt;=Body!$BW$14,'Zdroj data'!O94&lt;=Body!$BY$14),Body!$BW$6,IF('Zdroj data'!O94&gt;=Body!$CB$14,Body!$BZ$6," "))))))))))," "))</f>
        <v>1</v>
      </c>
      <c r="J94" s="264">
        <f t="shared" si="23"/>
        <v>1</v>
      </c>
      <c r="K94" s="264">
        <f t="shared" si="23"/>
        <v>1</v>
      </c>
      <c r="L94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94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94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94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94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94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94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94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94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94" s="264">
        <f>IF('Zdroj data'!BB94=Body!$AY$25,Body!$AY$22,IF('Zdroj data'!BB94=Body!$BB$25,Body!$BB$22,IF('Zdroj data'!BB94=Body!$BE$25,Body!$BE$22,IF('Zdroj data'!BB94=Body!$BH$25,Body!$BH$22,IF('Zdroj data'!BB94=Body!BK$25,Body!$BK$22,IF('Zdroj data'!BB94=Body!$BN$25,Body!$BN$22,IF('Zdroj data'!BB94=Body!$BQ$25,Body!$BQ$22,IF('Zdroj data'!BB94=Body!$BT$25,Body!$BT$22,IF('Zdroj data'!BB94=Body!$BW$25,Body!$BW$22,IF('Zdroj data'!BB94=Body!$BZ$25,Body!$BZ$22," "))))))))))</f>
        <v>5</v>
      </c>
      <c r="V94" s="264">
        <f>IF(AND('Zdroj data'!BO94&gt;Body!$AY$27,'Zdroj data'!BO94&lt;=Body!$BA$27),Body!$AY$22,IF(AND('Zdroj data'!BO94&gt;=Body!$BB$27,'Zdroj data'!BO94&lt;=Body!$BD$27),Body!$BB$22,IF(AND('Zdroj data'!BO94&gt;=Body!$BE$27,'Zdroj data'!BO94&lt;=Body!$BG$27),Body!$BE$22,IF(AND('Zdroj data'!BO94&gt;=Body!$BH$27,'Zdroj data'!BO94&lt;=Body!$BJ$27),Body!$BH$22,IF(AND('Zdroj data'!BO94&gt;=Body!$BK$27,'Zdroj data'!BO94&lt;=Body!$BM$27),Body!$BK$22,IF(AND('Zdroj data'!BO94&gt;=Body!$BN$27,'Zdroj data'!BO94&lt;=Body!$BP$27),Body!$BN$22,IF(AND('Zdroj data'!BO94&gt;=Body!$BQ$27,'Zdroj data'!BO94&lt;=Body!$BS$27),Body!$BQ$22,IF(AND('Zdroj data'!BO94&gt;=Body!$BT$27,'Zdroj data'!BO94&lt;=Body!$BV$27),Body!$BT$22,IF(AND('Zdroj data'!BO94&gt;=Body!$BW$27,'Zdroj data'!BO94&lt;=Body!$BY$27),Body!$BW$22,IF('Zdroj data'!BO94&gt;=Body!$CB$27,$BZ$22," "))))))))))</f>
        <v>6</v>
      </c>
      <c r="W94" s="264">
        <f>IF(AND('Zdroj data'!BP94&gt;Body!$AY$27,'Zdroj data'!BP94&lt;=Body!$BA$27),Body!$AY$22,IF(AND('Zdroj data'!BP94&gt;=Body!$BB$27,'Zdroj data'!BP94&lt;=Body!$BD$27),Body!$BB$22,IF(AND('Zdroj data'!BP94&gt;=Body!$BE$27,'Zdroj data'!BP94&lt;=Body!$BG$27),Body!$BE$22,IF(AND('Zdroj data'!BP94&gt;=Body!$BH$27,'Zdroj data'!BP94&lt;=Body!$BJ$27),Body!$BH$22,IF(AND('Zdroj data'!BP94&gt;=Body!$BK$27,'Zdroj data'!BP94&lt;=Body!$BM$27),Body!$BK$22,IF(AND('Zdroj data'!BP94&gt;=Body!$BN$27,'Zdroj data'!BP94&lt;=Body!$BP$27),Body!$BN$22,IF(AND('Zdroj data'!BP94&gt;=Body!$BQ$27,'Zdroj data'!BP94&lt;=Body!$BS$27),Body!$BQ$22,IF(AND('Zdroj data'!BP94&gt;=Body!$BT$27,'Zdroj data'!BP94&lt;=Body!$BV$27),Body!$BT$22,IF(AND('Zdroj data'!BP94&gt;=Body!$BW$27,'Zdroj data'!BP94&lt;=Body!$BY$27),Body!$BW$22,IF('Zdroj data'!BP94&gt;=Body!$CB$27,$BZ$22," "))))))))))</f>
        <v>6</v>
      </c>
      <c r="X94" s="264">
        <f>IF('Zdroj data'!BA94=Body!$BB$28,$BB$22,IF('Zdroj data'!BA94=Body!$BE$28,$BE$22,IF(OR('Zdroj data'!BA94=Body!$BK$28,'Zdroj data'!BA94=Body!$BL$28,'Zdroj data'!BA94=Body!$BM$28),$BK$22,IF(OR('Zdroj data'!BA94=Body!$BT$28,'Zdroj data'!BA94=Body!$BV$28),$BT$22,IF(OR('Zdroj data'!BA94=Body!$BW$28,'Zdroj data'!BA94=Body!$BY$28),$BW$22,IF('Zdroj data'!BA94=Body!$BZ$28,$BZ$22," "))))))</f>
        <v>10</v>
      </c>
      <c r="Y94" s="264">
        <f>IF('Zdroj data'!AZ94=Body!$BZ$29,Body!$BZ$22,IF(OR('Zdroj data'!AZ94=$BT$29,'Zdroj data'!AZ94=$BU$29,'Zdroj data'!AZ94=$BV$29),$BT$22,IF(OR('Zdroj data'!AZ94=$BK$29,'Zdroj data'!AZ94=$BM$29),$BK$22,IF(OR('Zdroj data'!AZ94=$BE$29,'Zdroj data'!AZ94=$BG$29),$BE$22,IF(OR('Zdroj data'!AZ94=$AY$29,'Zdroj data'!AZ94=$BA$29),$AY$22," ")))))</f>
        <v>10</v>
      </c>
      <c r="Z94" s="264">
        <f>IF(AND('Zdroj data'!BF94="T",(OR('Zdroj data'!AZ94=Body!$AW$45,'Zdroj data'!AZ94=Body!$AW$46,'Zdroj data'!AZ94=Body!$AW$47,'Zdroj data'!AZ94=Body!$AW$48))),Body!$AY$22,IF(AND('Zdroj data'!BF94="T",(OR('Zdroj data'!AZ94=$AW$49,'Zdroj data'!AZ94=$AW$50,'Zdroj data'!AZ94=$AW$51,'Zdroj data'!AZ94=$AW$52))),$BZ$22,IF(AND(OR('Zdroj data'!BF94="VT",'Zdroj data'!BF94="T",'Zdroj data'!BF94="CH"),(OR('Zdroj data'!AZ94=$AW$43,'Zdroj data'!AZ94=$AW$44,))),$BZ$22,IF(AND('Zdroj data'!BF94="CH",(OR('Zdroj data'!AZ94=$AW$49,'Zdroj data'!AZ94=$AW$50,'Zdroj data'!AZ94=$AW$51,'Zdroj data'!AZ94=$AW$52))),$AY$22,IF(AND('Zdroj data'!BF94="CH",(OR('Zdroj data'!AZ94=$AW$45,'Zdroj data'!AZ94=$AW$46,'Zdroj data'!AZ94=$AW$47,'Zdroj data'!AZ94=$AW$48))),$BZ$22," ")))))</f>
        <v>10</v>
      </c>
      <c r="AA94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</v>
      </c>
      <c r="AB94" s="264">
        <f>IF(Tabulka1[[#This Row],[kv.ek.]]=Body!$BK$35,Body!$BK$34,IF(Tabulka1[[#This Row],[kv.ek.]]=Body!$BZ$35,Body!$BZ$34," "))</f>
        <v>5</v>
      </c>
      <c r="AC94" s="264" t="str">
        <f>IF(AND('Zdroj data'!BF94="T",(OR('Zdroj data'!AZ94=Body!$AW$45,'Zdroj data'!AZ94=Body!$AW$46,'Zdroj data'!AZ94=Body!$AW$47,'Zdroj data'!AZ94=Body!$AW$48))),Body!$AY$22,IF(AND('Zdroj data'!BF94="T",(OR('Zdroj data'!AZ94=$AW$49,'Zdroj data'!AZ94=$AW$50,'Zdroj data'!AZ94=$AW$51,'Zdroj data'!AZ94=$AW$52))),$BZ$22," "))</f>
        <v xml:space="preserve"> </v>
      </c>
      <c r="AD94" s="264">
        <f>IF(AND(OR('Zdroj data'!BF94="VT",'Zdroj data'!BF94="T",'Zdroj data'!BF94="CH"),(OR('Zdroj data'!AZ94=$AW$43,'Zdroj data'!AZ94=$AW$44,))),$BZ$22," ")</f>
        <v>10</v>
      </c>
      <c r="AE94" s="264" t="str">
        <f>IF(AND('Zdroj data'!BF94="CH",(OR('Zdroj data'!AZ94=$AW$49,'Zdroj data'!AZ94=$AW$50,'Zdroj data'!AZ94=$AW$51,'Zdroj data'!AZ94=$AW$52))),$AY$22,IF(AND('Zdroj data'!BF94="CH",(OR('Zdroj data'!AZ94=$AW$45,'Zdroj data'!AZ94=$AW$46,'Zdroj data'!AZ94=$AW$47,'Zdroj data'!AZ94=$AW$48))),$BZ$22," "))</f>
        <v xml:space="preserve"> </v>
      </c>
      <c r="AF94" s="264">
        <f>IF(AND('Zdroj data'!BG94="L",'Zdroj data'!AM94=Body!$AX$15),IF(AND('Zdroj data'!O94&gt;=Body!$AY$15,'Zdroj data'!O94&lt;=Body!$BA$15),Body!AY$6,IF(AND('Zdroj data'!O94&gt;=Body!$BB$15,'Zdroj data'!O94&lt;=Body!$BD$15),Body!BB$6,IF(AND('Zdroj data'!O94&gt;=Body!$BE$15,'Zdroj data'!O94&lt;=Body!$BG$15),Body!BE$6,IF(AND('Zdroj data'!O94&gt;=Body!$BH$15,'Zdroj data'!O94&lt;=Body!$BJ$15),Body!BH$6,IF(AND('Zdroj data'!O94&gt;=Body!$BK$15,'Zdroj data'!O94&lt;=Body!$BM$15),Body!BK$6,IF(AND('Zdroj data'!O94&gt;=Body!$BN$15,'Zdroj data'!O94&lt;=Body!$BP$15),Body!$BN$6,IF(AND('Zdroj data'!O94&gt;=Body!$BQ$15,'Zdroj data'!O94&lt;=Body!$BS$15),Body!$BQ$6,IF(AND('Zdroj data'!O94&gt;=Body!$BT$15,'Zdroj data'!O94&lt;=Body!$BV$15),Body!BT$6,IF(AND('Zdroj data'!O94&gt;=Body!$BW$15,'Zdroj data'!O94&lt;=Body!$BY$15),Body!$BW$6,IF('Zdroj data'!O94&gt;=Body!$CB$15,Body!$BZ$6," ")))))))))),IF(AND('Zdroj data'!BG94="ST",'Zdroj data'!AM94=Body!$AX$16),IF(AND('Zdroj data'!O94&gt;=Body!$AY$16,'Zdroj data'!O94&lt;=Body!$BA$16),Body!$AY$6,IF(AND('Zdroj data'!O94&gt;=Body!$BB$16,'Zdroj data'!O94&lt;=Body!$BD$16),Body!$BB$6,IF(AND('Zdroj data'!O94&gt;=Body!$BE$16,'Zdroj data'!O94&lt;=Body!$BG$16),Body!$BE$6,IF(AND('Zdroj data'!O94&gt;=Body!$BH$16,'Zdroj data'!O94&lt;=Body!$BJ$16),Body!$BH$6,IF(AND('Zdroj data'!O94&gt;=Body!$BK$16,'Zdroj data'!O94&lt;=Body!$BM$16),Body!$BK$6,IF(AND('Zdroj data'!O94&gt;=Body!$BN$16,'Zdroj data'!O94&lt;=Body!$BP$16),Body!$BN$6,IF(AND('Zdroj data'!O94&gt;=Body!$BQ$16,'Zdroj data'!O94&lt;=Body!$BS$16),Body!$BQ$6,IF(AND('Zdroj data'!O94&gt;=Body!$BT$16,'Zdroj data'!O94&lt;=Body!$BV$16),Body!$BT$6,IF(AND('Zdroj data'!O94&gt;=Body!$BW$16,'Zdroj data'!O94&lt;=Body!$BY$16),Body!$BW$6,IF('Zdroj data'!O94&gt;=Body!$CB$16,Body!$BZ$6," ")))))))))),IF(AND('Zdroj data'!BG94="T",'Zdroj data'!AM94=Body!$AX$17),IF(AND('Zdroj data'!O94&gt;=Body!$AY$17,'Zdroj data'!O94&lt;=Body!$BA$17),Body!$AY$6,IF(AND('Zdroj data'!O94&gt;=Body!$BB$17,'Zdroj data'!O94&lt;=Body!$BD$17),Body!$BB$6,IF(AND('Zdroj data'!O94&gt;=Body!$BE$17,'Zdroj data'!O94&lt;=Body!$BG$17),Body!$BE$6,IF(AND('Zdroj data'!O94&gt;=Body!$BH$17,'Zdroj data'!O94&lt;=Body!#REF!),Body!$BH$6,IF(AND('Zdroj data'!O94&gt;=Body!$BK$17,'Zdroj data'!O94&lt;=Body!$BM$17),Body!$BK$6,IF(AND('Zdroj data'!O94&gt;=Body!$BN$17,'Zdroj data'!O94&lt;=Body!$BP$17),Body!$BN$6,IF(AND('Zdroj data'!O94&gt;=Body!$BQ$17,'Zdroj data'!O94&lt;=Body!$BS$17),Body!$BQ$6,IF(AND('Zdroj data'!O94&gt;=Body!$BT$17,'Zdroj data'!O94&lt;=Body!$BV$17),Body!$BT$6,IF(AND('Zdroj data'!O94&gt;=Body!$BW$17,'Zdroj data'!O94&lt;=Body!$BY$17),Body!$BW$6,IF('Zdroj data'!O94&gt;=Body!$CB$17,Body!$BZ$6," "))))))))))," ")))</f>
        <v>1</v>
      </c>
      <c r="AG94" s="264">
        <f>IF(AND('Zdroj data'!$BG94="L",'Zdroj data'!$AM94=Body!$AX$15),IF(AND(Tabulka1[[#This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data'!$BG94="ST",'Zdroj data'!$AM94=Body!$AX$16),IF(AND(Tabulka1[[#This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data'!$BG94="T",'Zdroj data'!$AM94=Body!$AX$17),IF(AND(Tabulka1[[#This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94" s="264" t="str">
        <f>IF(AND('Zdroj data'!BG94="L",'Zdroj data'!AM94=Body!$AX$18),IF(AND('Zdroj data'!O94&gt;=Body!$AY$18,'Zdroj data'!O94&lt;=Body!$BA$18),Body!AY$6,IF(AND('Zdroj data'!O94&gt;=Body!$BB$18,'Zdroj data'!O94&lt;=Body!$BD$18),Body!BB$6,IF(AND('Zdroj data'!O94&gt;=Body!$BE$18,'Zdroj data'!O94&lt;=Body!$BG$18),Body!BE$6,IF(AND('Zdroj data'!O94&gt;=Body!$BH$18,'Zdroj data'!O94&lt;=Body!$BJ$18),Body!BH$6,IF(AND('Zdroj data'!O94&gt;=Body!$BK$18,'Zdroj data'!O94&lt;=Body!$BM$18),Body!$BK$6,IF(AND('Zdroj data'!O94&gt;=Body!$BN$18,'Zdroj data'!O94&lt;=Body!$BP$18),Body!BN$6,IF(AND('Zdroj data'!O94&gt;=Body!$BQ$18,'Zdroj data'!O94&lt;=Body!$BS$18),Body!$BQ$6,IF(AND('Zdroj data'!O94&gt;=Body!$BT$18,'Zdroj data'!O94&lt;=Body!$BV$18),Body!$BT$6,IF(AND('Zdroj data'!O94&gt;=Body!$BW$18,'Zdroj data'!O94&lt;=Body!$BY$18),Body!$BW$6,IF('Zdroj data'!O94&gt;=Body!$CB$18,Body!$BZ$6," ")))))))))),IF(AND('Zdroj data'!BG94="ST",'Zdroj data'!AM94=Body!$AX$19),IF(AND('Zdroj data'!O94&gt;=Body!$AY$19,'Zdroj data'!O94&lt;=Body!$BA$19),Body!$AY$6,IF(AND('Zdroj data'!O94&gt;=Body!$BB$19,'Zdroj data'!O94&lt;=Body!$BD$19),Body!$BB$6,IF(AND('Zdroj data'!O94&gt;=Body!$BE$19,'Zdroj data'!O94&lt;=Body!$BG$19),Body!$BE$6,IF(AND('Zdroj data'!O94&gt;=Body!$BH$19,'Zdroj data'!O94&lt;=Body!$BJ$19),Body!$BH$6,IF(AND('Zdroj data'!O94&gt;=Body!$BK$19,'Zdroj data'!O94&lt;=Body!$BM$19),Body!$BK$6,IF(AND('Zdroj data'!O94&gt;=Body!$BN$19,'Zdroj data'!O94&lt;=Body!$BP$19),Body!$BN$6,IF(AND('Zdroj data'!O94&gt;=Body!$BQ$19,'Zdroj data'!O94&lt;=Body!$BS$19),Body!$BQ$6,IF(AND('Zdroj data'!O94&gt;=Body!$BT$19,'Zdroj data'!O98&lt;=Body!$BV$19),Body!$BT$6,IF(AND('Zdroj data'!O94&gt;=Body!$BW$19,'Zdroj data'!O94&lt;=Body!$BY$19),Body!$BW$6,IF('Zdroj data'!O94&gt;=Body!$CB$19,Body!$BZ$6," ")))))))))),IF(AND('Zdroj data'!BG94="T",'Zdroj data'!AM94=Body!$AX$20),IF(AND('Zdroj data'!O94&gt;=Body!$AY$20,'Zdroj data'!O94&lt;=Body!$BA$20),Body!$AY$6,IF(AND('Zdroj data'!O94&gt;=Body!$BB$20,'Zdroj data'!O94&lt;=Body!$BD$20),Body!$BB$6,IF(AND('Zdroj data'!O94&gt;=Body!$BE$20,'Zdroj data'!O94&lt;=Body!$BG$20),Body!$BE$6,IF(AND('Zdroj data'!O94&gt;=Body!$BH$20,'Zdroj data'!O94&lt;=Body!$BJ$20),Body!$BH$6,IF(AND('Zdroj data'!O94&gt;=Body!$BK$20,'Zdroj data'!O94&lt;=Body!$BM$20),Body!$BK$6,IF(AND('Zdroj data'!O94&gt;=Body!$BN$20,'Zdroj data'!O94&lt;=Body!$BP$20),Body!$BN$6,IF(AND('Zdroj data'!O94&gt;=Body!$BQ$20,'Zdroj data'!O94&lt;=Body!$BS$20),Body!$BQ$6,IF(AND('Zdroj data'!O94&gt;=Body!$BT$20,'Zdroj data'!O94&lt;=Body!#REF!),Body!$BT$6,IF(AND('Zdroj data'!O94&gt;=Body!$BW$20,'Zdroj data'!O94&lt;=Body!$BY$20),Body!$BW$6,IF('Zdroj data'!O94&gt;=Body!$CB$20,Body!$BZ$6," "))))))))))," ")))</f>
        <v xml:space="preserve"> </v>
      </c>
      <c r="AI94" s="264" t="str">
        <f>IF(AND('Zdroj data'!$BG94="L",'Zdroj data'!$AM94=Body!$AX$18),IF(AND(Tabulka1[[#This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data'!$BG94="ST",'Zdroj data'!$AM94=Body!$AX$19),IF(AND(Tabulka1[[#This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data'!$BG94="T",'Zdroj data'!$AM94=Body!$AX$20),IF(AND(Tabulka1[[#This Row],[K2O_60]]&gt;=Body!$AY$20,'Zdroj data'!O94&lt;=Body!$BA$20),Body!$AY$6,IF(AND(Tabulka1[[#This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94" s="265">
        <f t="shared" si="13"/>
        <v>2.6666666666666687</v>
      </c>
      <c r="AK94" s="264">
        <f t="shared" si="14"/>
        <v>24.418837831012173</v>
      </c>
      <c r="AL94" s="264">
        <f t="shared" si="15"/>
        <v>23.456895392398675</v>
      </c>
      <c r="AM94" s="264">
        <f t="shared" si="16"/>
        <v>66.783773508752944</v>
      </c>
      <c r="AN94" s="264">
        <f t="shared" si="17"/>
        <v>66.783773508752944</v>
      </c>
      <c r="AO94" s="265">
        <f t="shared" si="21"/>
        <v>91.202611339765113</v>
      </c>
      <c r="AP94" s="265">
        <f t="shared" si="18"/>
        <v>90.240668901151622</v>
      </c>
      <c r="AQ94" s="318"/>
      <c r="AR94" s="338">
        <f t="shared" si="19"/>
        <v>184.10994690758341</v>
      </c>
      <c r="AS94" s="318"/>
      <c r="AT94" s="138"/>
      <c r="AU94" s="138"/>
    </row>
    <row r="95" spans="1:48" ht="15.5" x14ac:dyDescent="0.35">
      <c r="A95" s="270">
        <v>4366</v>
      </c>
      <c r="B95" s="156" t="s">
        <v>113</v>
      </c>
      <c r="C95" s="250" t="str">
        <f>VLOOKUP(B95,'Zdroj hloubka okresy'!$A$2:$D$171,2,FALSE)</f>
        <v>Pribram</v>
      </c>
      <c r="D95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95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95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95" s="264">
        <f>IF(AND(Tabulka1[[#This Row],[hum_60]]&gt;AY101,Tabulka1[[#This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95" s="264">
        <f>IF(Tabulka1[[#This Row],[kv.ek.]]=Body!$AX$13,IF(AND('Zdroj data'!M95&gt;=Body!$AY$13,'Zdroj data'!M95&lt;=Body!$BA$13),Body!$AY$6,IF(AND('Zdroj data'!M95&gt;=Body!$BB$13,'Zdroj data'!M95&lt;=Body!$BD$13),Body!$BB$6,IF(AND('Zdroj data'!M95&gt;=Body!$BE$13,'Zdroj data'!M95&lt;=Body!$BG$13),Body!$BE$6,IF(AND('Zdroj data'!M95&gt;=Body!$BH$13,'Zdroj data'!M95&lt;=Body!$BJ$13),Body!$BH$6,IF(AND('Zdroj data'!M95&gt;=Body!$BK$13,'Zdroj data'!M95&lt;=Body!$BM$13),Body!$BK$6,IF(AND('Zdroj data'!M95&gt;=Body!$BN$13,'Zdroj data'!M95&lt;=Body!$BP$13),Body!$BN$6,IF(AND('Zdroj data'!M95&gt;=Body!$BQ$13,'Zdroj data'!M95&lt;=Body!$BS$13),Body!$BQ$6,IF(AND('Zdroj data'!M95&gt;=Body!$BT$13,'Zdroj data'!M95&lt;=Body!$BV$13),Body!$BT$6,IF(AND('Zdroj data'!M95&gt;=Body!$BW$13,'Zdroj data'!M95&lt;=Body!$BY$13),Body!$BW$6,IF('Zdroj data'!M95&gt;=Body!$CB$13,Body!$BZ$6," ")))))))))),IF(Tabulka1[[#This Row],[kv.ek.]]=Body!$AX$14,IF(AND('Zdroj data'!N95&gt;=Body!$AY$14,'Zdroj data'!N95&lt;=Body!$BA$14),Body!$AY$6,IF(AND('Zdroj data'!N95&gt;=Body!$BB$14,'Zdroj data'!N95&lt;=Body!$BD$14),Body!$BB$6,IF(AND('Zdroj data'!N95&gt;=Body!$BE$14,'Zdroj data'!N95&lt;=Body!$BG$14),Body!$BE$6,IF(AND('Zdroj data'!N95&gt;=Body!$BH$14,'Zdroj data'!N95&lt;=Body!$BJ$14),Body!$BH$6,IF(AND('Zdroj data'!N95&gt;=Body!$BK$14,'Zdroj data'!N95&lt;=Body!$BM$14),Body!$BK$6,IF(AND('Zdroj data'!N95&gt;=Body!$BN$14,'Zdroj data'!N95&lt;=Body!$BP$14),Body!$BN$6,IF(AND('Zdroj data'!N95&gt;=Body!$BQ$14,'Zdroj data'!N95&lt;=Body!$BS$14),Body!$BQ$6,IF(AND('Zdroj data'!N95&gt;=Body!$BT$14,'Zdroj data'!N95&lt;=Body!$BV$14),Body!$BT$6,IF(AND('Zdroj data'!N95&gt;=Body!$BW$14,'Zdroj data'!N95&lt;=Body!$BY$14),Body!$BW$6,IF('Zdroj data'!N95&gt;=Body!$CB$14,Body!$BZ$6," "))))))))))," "))</f>
        <v>1</v>
      </c>
      <c r="I95" s="264">
        <f>IF(Tabulka1[[#This Row],[kv.ek.]]=Body!$AX$13,IF(AND('Zdroj data'!N95&gt;=Body!$AY$13,'Zdroj data'!N95&lt;=Body!$BA$13),Body!$AY$6,IF(AND('Zdroj data'!N95&gt;=Body!$BB$13,'Zdroj data'!N95&lt;=Body!$BD$13),Body!$BB$6,IF(AND('Zdroj data'!N95&gt;=Body!$BE$13,'Zdroj data'!N95&lt;=Body!$BG$13),Body!$BE$6,IF(AND('Zdroj data'!N95&gt;=Body!$BH$13,'Zdroj data'!N95&lt;=Body!$BJ$13),Body!$BH$6,IF(AND('Zdroj data'!N95&gt;=Body!$BK$13,'Zdroj data'!N95&lt;=Body!$BM$13),Body!$BK$6,IF(AND('Zdroj data'!N95&gt;=Body!$BN$13,'Zdroj data'!N95&lt;=Body!$BP$13),Body!$BN$6,IF(AND('Zdroj data'!N95&gt;=Body!$BQ$13,'Zdroj data'!N95&lt;=Body!$BS$13),Body!$BQ$6,IF(AND('Zdroj data'!N95&gt;=Body!$BT$13,'Zdroj data'!N95&lt;=Body!$BV$13),Body!$BT$6,IF(AND('Zdroj data'!N95&gt;=Body!$BW$13,'Zdroj data'!N95&lt;=Body!$BY$13),Body!$BW$6,IF('Zdroj data'!N95&gt;=Body!$CB$13,Body!$BZ$6," ")))))))))),IF(Tabulka1[[#This Row],[kv.ek.]]=Body!$AX$14,IF(AND('Zdroj data'!O95&gt;=Body!$AY$14,'Zdroj data'!O95&lt;=Body!$BA$14),Body!$AY$6,IF(AND('Zdroj data'!O95&gt;=Body!$BB$14,'Zdroj data'!O95&lt;=Body!$BD$14),Body!$BB$6,IF(AND('Zdroj data'!O95&gt;=Body!$BE$14,'Zdroj data'!O95&lt;=Body!$BG$14),Body!$BE$6,IF(AND('Zdroj data'!O95&gt;=Body!$BH$14,'Zdroj data'!O95&lt;=Body!$BJ$14),Body!$BH$6,IF(AND('Zdroj data'!O95&gt;=Body!$BK$14,'Zdroj data'!O95&lt;=Body!$BM$14),Body!$BK$6,IF(AND('Zdroj data'!O95&gt;=Body!$BN$14,'Zdroj data'!O95&lt;=Body!$BP$14),Body!$BN$6,IF(AND('Zdroj data'!O95&gt;=Body!$BQ$14,'Zdroj data'!O95&lt;=Body!$BS$14),Body!$BQ$6,IF(AND('Zdroj data'!O95&gt;=Body!$BT$14,'Zdroj data'!O95&lt;=Body!$BV$14),Body!$BT$6,IF(AND('Zdroj data'!O95&gt;=Body!$BW$14,'Zdroj data'!O95&lt;=Body!$BY$14),Body!$BW$6,IF('Zdroj data'!O95&gt;=Body!$CB$14,Body!$BZ$6," "))))))))))," "))</f>
        <v>1</v>
      </c>
      <c r="J95" s="264">
        <f>IF(AF95=" ",AH95,AF95)</f>
        <v>5</v>
      </c>
      <c r="K95" s="264">
        <f t="shared" si="23"/>
        <v>2</v>
      </c>
      <c r="L95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6</v>
      </c>
      <c r="M95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7</v>
      </c>
      <c r="N95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95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95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95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95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95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95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6</v>
      </c>
      <c r="U95" s="264">
        <f>IF('Zdroj data'!BB95=Body!$AY$25,Body!$AY$22,IF('Zdroj data'!BB95=Body!$BB$25,Body!$BB$22,IF('Zdroj data'!BB95=Body!$BE$25,Body!$BE$22,IF('Zdroj data'!BB95=Body!$BH$25,Body!$BH$22,IF('Zdroj data'!BB95=Body!BK$25,Body!$BK$22,IF('Zdroj data'!BB95=Body!$BN$25,Body!$BN$22,IF('Zdroj data'!BB95=Body!$BQ$25,Body!$BQ$22,IF('Zdroj data'!BB95=Body!$BT$25,Body!$BT$22,IF('Zdroj data'!BB95=Body!$BW$25,Body!$BW$22,IF('Zdroj data'!BB95=Body!$BZ$25,Body!$BZ$22," "))))))))))</f>
        <v>5</v>
      </c>
      <c r="V95" s="264">
        <f>IF(AND('Zdroj data'!BO95&gt;Body!$AY$27,'Zdroj data'!BO95&lt;=Body!$BA$27),Body!$AY$22,IF(AND('Zdroj data'!BO95&gt;=Body!$BB$27,'Zdroj data'!BO95&lt;=Body!$BD$27),Body!$BB$22,IF(AND('Zdroj data'!BO95&gt;=Body!$BE$27,'Zdroj data'!BO95&lt;=Body!$BG$27),Body!$BE$22,IF(AND('Zdroj data'!BO95&gt;=Body!$BH$27,'Zdroj data'!BO95&lt;=Body!$BJ$27),Body!$BH$22,IF(AND('Zdroj data'!BO95&gt;=Body!$BK$27,'Zdroj data'!BO95&lt;=Body!$BM$27),Body!$BK$22,IF(AND('Zdroj data'!BO95&gt;=Body!$BN$27,'Zdroj data'!BO95&lt;=Body!$BP$27),Body!$BN$22,IF(AND('Zdroj data'!BO95&gt;=Body!$BQ$27,'Zdroj data'!BO95&lt;=Body!$BS$27),Body!$BQ$22,IF(AND('Zdroj data'!BO95&gt;=Body!$BT$27,'Zdroj data'!BO95&lt;=Body!$BV$27),Body!$BT$22,IF(AND('Zdroj data'!BO95&gt;=Body!$BW$27,'Zdroj data'!BO95&lt;=Body!$BY$27),Body!$BW$22,IF('Zdroj data'!BO95&gt;=Body!$CB$27,$BZ$22," "))))))))))</f>
        <v>6</v>
      </c>
      <c r="W95" s="264">
        <f>IF(AND('Zdroj data'!BP95&gt;Body!$AY$27,'Zdroj data'!BP95&lt;=Body!$BA$27),Body!$AY$22,IF(AND('Zdroj data'!BP95&gt;=Body!$BB$27,'Zdroj data'!BP95&lt;=Body!$BD$27),Body!$BB$22,IF(AND('Zdroj data'!BP95&gt;=Body!$BE$27,'Zdroj data'!BP95&lt;=Body!$BG$27),Body!$BE$22,IF(AND('Zdroj data'!BP95&gt;=Body!$BH$27,'Zdroj data'!BP95&lt;=Body!$BJ$27),Body!$BH$22,IF(AND('Zdroj data'!BP95&gt;=Body!$BK$27,'Zdroj data'!BP95&lt;=Body!$BM$27),Body!$BK$22,IF(AND('Zdroj data'!BP95&gt;=Body!$BN$27,'Zdroj data'!BP95&lt;=Body!$BP$27),Body!$BN$22,IF(AND('Zdroj data'!BP95&gt;=Body!$BQ$27,'Zdroj data'!BP95&lt;=Body!$BS$27),Body!$BQ$22,IF(AND('Zdroj data'!BP95&gt;=Body!$BT$27,'Zdroj data'!BP95&lt;=Body!$BV$27),Body!$BT$22,IF(AND('Zdroj data'!BP95&gt;=Body!$BW$27,'Zdroj data'!BP95&lt;=Body!$BY$27),Body!$BW$22,IF('Zdroj data'!BP95&gt;=Body!$CB$27,$BZ$22," "))))))))))</f>
        <v>7</v>
      </c>
      <c r="X95" s="264">
        <f>IF('Zdroj data'!BA95=Body!$BB$28,$BB$22,IF('Zdroj data'!BA95=Body!$BE$28,$BE$22,IF(OR('Zdroj data'!BA95=Body!$BK$28,'Zdroj data'!BA95=Body!$BL$28,'Zdroj data'!BA95=Body!$BM$28),$BK$22,IF(OR('Zdroj data'!BA95=Body!$BT$28,'Zdroj data'!BA95=Body!$BV$28),$BT$22,IF(OR('Zdroj data'!BA95=Body!$BW$28,'Zdroj data'!BA95=Body!$BY$28),$BW$22,IF('Zdroj data'!BA95=Body!$BZ$28,$BZ$22," "))))))</f>
        <v>5</v>
      </c>
      <c r="Y95" s="264">
        <f>IF('Zdroj data'!AZ95=Body!$BZ$29,Body!$BZ$22,IF(OR('Zdroj data'!AZ95=$BT$29,'Zdroj data'!AZ95=$BU$29,'Zdroj data'!AZ95=$BV$29),$BT$22,IF(OR('Zdroj data'!AZ95=$BK$29,'Zdroj data'!AZ95=$BM$29),$BK$22,IF(OR('Zdroj data'!AZ95=$BE$29,'Zdroj data'!AZ95=$BG$29),$BE$22,IF(OR('Zdroj data'!AZ95=$AY$29,'Zdroj data'!AZ95=$BA$29),$AY$22," ")))))</f>
        <v>5</v>
      </c>
      <c r="Z95" s="264">
        <f>IF(AND('Zdroj data'!BF95="T",(OR('Zdroj data'!AZ95=Body!$AW$45,'Zdroj data'!AZ95=Body!$AW$46,'Zdroj data'!AZ95=Body!$AW$47,'Zdroj data'!AZ95=Body!$AW$48))),Body!$AY$22,IF(AND('Zdroj data'!BF95="T",(OR('Zdroj data'!AZ95=$AW$49,'Zdroj data'!AZ95=$AW$50,'Zdroj data'!AZ95=$AW$51,'Zdroj data'!AZ95=$AW$52))),$BZ$22,IF(AND(OR('Zdroj data'!BF95="VT",'Zdroj data'!BF95="T",'Zdroj data'!BF95="CH"),(OR('Zdroj data'!AZ95=$AW$43,'Zdroj data'!AZ95=$AW$44,))),$BZ$22,IF(AND('Zdroj data'!BF95="CH",(OR('Zdroj data'!AZ95=$AW$49,'Zdroj data'!AZ95=$AW$50,'Zdroj data'!AZ95=$AW$51,'Zdroj data'!AZ95=$AW$52))),$AY$22,IF(AND('Zdroj data'!BF95="CH",(OR('Zdroj data'!AZ95=$AW$45,'Zdroj data'!AZ95=$AW$46,'Zdroj data'!AZ95=$AW$47,'Zdroj data'!AZ95=$AW$48))),$BZ$22," ")))))</f>
        <v>10</v>
      </c>
      <c r="AA95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95" s="264">
        <f>IF(Tabulka1[[#This Row],[kv.ek.]]=Body!$BK$35,Body!$BK$34,IF(Tabulka1[[#This Row],[kv.ek.]]=Body!$BZ$35,Body!$BZ$34," "))</f>
        <v>5</v>
      </c>
      <c r="AC95" s="264">
        <f>IF(AND('Zdroj data'!BF95="T",(OR('Zdroj data'!AZ95=Body!$AW$45,'Zdroj data'!AZ95=Body!$AW$46,'Zdroj data'!AZ95=Body!$AW$47,'Zdroj data'!AZ95=Body!$AW$48))),Body!$AY$22,IF(AND('Zdroj data'!BF95="T",(OR('Zdroj data'!AZ95=$AW$49,'Zdroj data'!AZ95=$AW$50,'Zdroj data'!AZ95=$AW$51,'Zdroj data'!AZ95=$AW$52))),$BZ$22," "))</f>
        <v>10</v>
      </c>
      <c r="AD95" s="264" t="str">
        <f>IF(AND(OR('Zdroj data'!BF95="VT",'Zdroj data'!BF95="T",'Zdroj data'!BF95="CH"),(OR('Zdroj data'!AZ95=$AW$43,'Zdroj data'!AZ95=$AW$44,))),$BZ$22," ")</f>
        <v xml:space="preserve"> </v>
      </c>
      <c r="AE95" s="264" t="str">
        <f>IF(AND('Zdroj data'!BF95="CH",(OR('Zdroj data'!AZ95=$AW$49,'Zdroj data'!AZ95=$AW$50,'Zdroj data'!AZ95=$AW$51,'Zdroj data'!AZ95=$AW$52))),$AY$22,IF(AND('Zdroj data'!BF95="CH",(OR('Zdroj data'!AZ95=$AW$45,'Zdroj data'!AZ95=$AW$46,'Zdroj data'!AZ95=$AW$47,'Zdroj data'!AZ95=$AW$48))),$BZ$22," "))</f>
        <v xml:space="preserve"> </v>
      </c>
      <c r="AF95" s="264">
        <f>IF(AND('Zdroj data'!BG95="L",'Zdroj data'!AM95=Body!$AX$15),IF(AND('Zdroj data'!O95&gt;=Body!$AY$15,'Zdroj data'!O95&lt;=Body!$BA$15),Body!AY$6,IF(AND('Zdroj data'!O95&gt;=Body!$BB$15,'Zdroj data'!O95&lt;=Body!$BD$15),Body!BB$6,IF(AND('Zdroj data'!O95&gt;=Body!$BE$15,'Zdroj data'!O95&lt;=Body!$BG$15),Body!BE$6,IF(AND('Zdroj data'!O95&gt;=Body!$BH$15,'Zdroj data'!O95&lt;=Body!$BJ$15),Body!BH$6,IF(AND('Zdroj data'!O95&gt;=Body!$BK$15,'Zdroj data'!O95&lt;=Body!$BM$15),Body!BK$6,IF(AND('Zdroj data'!O95&gt;=Body!$BN$15,'Zdroj data'!O95&lt;=Body!$BP$15),Body!$BN$6,IF(AND('Zdroj data'!O95&gt;=Body!$BQ$15,'Zdroj data'!O95&lt;=Body!$BS$15),Body!$BQ$6,IF(AND('Zdroj data'!O95&gt;=Body!$BT$15,'Zdroj data'!O95&lt;=Body!$BV$15),Body!BT$6,IF(AND('Zdroj data'!O95&gt;=Body!$BW$15,'Zdroj data'!O95&lt;=Body!$BY$15),Body!$BW$6,IF('Zdroj data'!O95&gt;=Body!$CB$15,Body!$BZ$6," ")))))))))),IF(AND('Zdroj data'!BG95="ST",'Zdroj data'!AM95=Body!$AX$16),IF(AND('Zdroj data'!O95&gt;=Body!$AY$16,'Zdroj data'!O95&lt;=Body!$BA$16),Body!$AY$6,IF(AND('Zdroj data'!O95&gt;=Body!$BB$16,'Zdroj data'!O95&lt;=Body!$BD$16),Body!$BB$6,IF(AND('Zdroj data'!O95&gt;=Body!$BE$16,'Zdroj data'!O95&lt;=Body!$BG$16),Body!$BE$6,IF(AND('Zdroj data'!O95&gt;=Body!$BH$16,'Zdroj data'!O95&lt;=Body!$BJ$16),Body!$BH$6,IF(AND('Zdroj data'!O95&gt;=Body!$BK$16,'Zdroj data'!O95&lt;=Body!$BM$16),Body!$BK$6,IF(AND('Zdroj data'!O95&gt;=Body!$BN$16,'Zdroj data'!O95&lt;=Body!$BP$16),Body!$BN$6,IF(AND('Zdroj data'!O95&gt;=Body!$BQ$16,'Zdroj data'!O95&lt;=Body!$BS$16),Body!$BQ$6,IF(AND('Zdroj data'!O95&gt;=Body!$BT$16,'Zdroj data'!O95&lt;=Body!$BV$16),Body!$BT$6,IF(AND('Zdroj data'!O95&gt;=Body!$BW$16,'Zdroj data'!O95&lt;=Body!$BY$16),Body!$BW$6,IF('Zdroj data'!O95&gt;=Body!$CB$16,Body!$BZ$6," ")))))))))),IF(AND('Zdroj data'!BG95="T",'Zdroj data'!AM95=Body!$AX$17),IF(AND('Zdroj data'!O95&gt;=Body!$AY$17,'Zdroj data'!O95&lt;=Body!$BA$17),Body!$AY$6,IF(AND('Zdroj data'!O95&gt;=Body!$BB$17,'Zdroj data'!O95&lt;=Body!$BD$17),Body!$BB$6,IF(AND('Zdroj data'!O95&gt;=Body!$BE$17,'Zdroj data'!O95&lt;=Body!$BG$17),Body!$BE$6,IF(AND('Zdroj data'!O95&gt;=Body!$BH$17,'Zdroj data'!O95&lt;=Body!#REF!),Body!$BH$6,IF(AND('Zdroj data'!O95&gt;=Body!$BK$17,'Zdroj data'!O95&lt;=Body!$BM$17),Body!$BK$6,IF(AND('Zdroj data'!O95&gt;=Body!$BN$17,'Zdroj data'!O95&lt;=Body!$BP$17),Body!$BN$6,IF(AND('Zdroj data'!O95&gt;=Body!$BQ$17,'Zdroj data'!O95&lt;=Body!$BS$17),Body!$BQ$6,IF(AND('Zdroj data'!O95&gt;=Body!$BT$17,'Zdroj data'!O95&lt;=Body!$BV$17),Body!$BT$6,IF(AND('Zdroj data'!O95&gt;=Body!$BW$17,'Zdroj data'!O95&lt;=Body!$BY$17),Body!$BW$6,IF('Zdroj data'!O95&gt;=Body!$CB$17,Body!$BZ$6," "))))))))))," ")))</f>
        <v>5</v>
      </c>
      <c r="AG95" s="264">
        <f>IF(AND('Zdroj data'!$BG95="L",'Zdroj data'!$AM95=Body!$AX$15),IF(AND(Tabulka1[[#This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data'!$BG95="ST",'Zdroj data'!$AM95=Body!$AX$16),IF(AND(Tabulka1[[#This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data'!$BG95="T",'Zdroj data'!$AM95=Body!$AX$17),IF(AND(Tabulka1[[#This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2</v>
      </c>
      <c r="AH95" s="264" t="str">
        <f>IF(AND('Zdroj data'!BG95="L",'Zdroj data'!AM95=Body!$AX$18),IF(AND('Zdroj data'!O95&gt;=Body!$AY$18,'Zdroj data'!O95&lt;=Body!$BA$18),Body!AY$6,IF(AND('Zdroj data'!O95&gt;=Body!$BB$18,'Zdroj data'!O95&lt;=Body!$BD$18),Body!BB$6,IF(AND('Zdroj data'!O95&gt;=Body!$BE$18,'Zdroj data'!O95&lt;=Body!$BG$18),Body!BE$6,IF(AND('Zdroj data'!O95&gt;=Body!$BH$18,'Zdroj data'!O95&lt;=Body!$BJ$18),Body!BH$6,IF(AND('Zdroj data'!O95&gt;=Body!$BK$18,'Zdroj data'!O95&lt;=Body!$BM$18),Body!$BK$6,IF(AND('Zdroj data'!O95&gt;=Body!$BN$18,'Zdroj data'!O95&lt;=Body!$BP$18),Body!BN$6,IF(AND('Zdroj data'!O95&gt;=Body!$BQ$18,'Zdroj data'!O95&lt;=Body!$BS$18),Body!$BQ$6,IF(AND('Zdroj data'!O95&gt;=Body!$BT$18,'Zdroj data'!O95&lt;=Body!$BV$18),Body!$BT$6,IF(AND('Zdroj data'!O95&gt;=Body!$BW$18,'Zdroj data'!O95&lt;=Body!$BY$18),Body!$BW$6,IF('Zdroj data'!O95&gt;=Body!$CB$18,Body!$BZ$6," ")))))))))),IF(AND('Zdroj data'!BG95="ST",'Zdroj data'!AM95=Body!$AX$19),IF(AND('Zdroj data'!O95&gt;=Body!$AY$19,'Zdroj data'!O95&lt;=Body!$BA$19),Body!$AY$6,IF(AND('Zdroj data'!O95&gt;=Body!$BB$19,'Zdroj data'!O95&lt;=Body!$BD$19),Body!$BB$6,IF(AND('Zdroj data'!O95&gt;=Body!$BE$19,'Zdroj data'!O95&lt;=Body!$BG$19),Body!$BE$6,IF(AND('Zdroj data'!O95&gt;=Body!$BH$19,'Zdroj data'!O95&lt;=Body!$BJ$19),Body!$BH$6,IF(AND('Zdroj data'!O95&gt;=Body!$BK$19,'Zdroj data'!O95&lt;=Body!$BM$19),Body!$BK$6,IF(AND('Zdroj data'!O95&gt;=Body!$BN$19,'Zdroj data'!O95&lt;=Body!$BP$19),Body!$BN$6,IF(AND('Zdroj data'!O95&gt;=Body!$BQ$19,'Zdroj data'!O95&lt;=Body!$BS$19),Body!$BQ$6,IF(AND('Zdroj data'!O95&gt;=Body!$BT$19,'Zdroj data'!O99&lt;=Body!$BV$19),Body!$BT$6,IF(AND('Zdroj data'!O95&gt;=Body!$BW$19,'Zdroj data'!O95&lt;=Body!$BY$19),Body!$BW$6,IF('Zdroj data'!O95&gt;=Body!$CB$19,Body!$BZ$6," ")))))))))),IF(AND('Zdroj data'!BG95="T",'Zdroj data'!AM95=Body!$AX$20),IF(AND('Zdroj data'!O95&gt;=Body!$AY$20,'Zdroj data'!O95&lt;=Body!$BA$20),Body!$AY$6,IF(AND('Zdroj data'!O95&gt;=Body!$BB$20,'Zdroj data'!O95&lt;=Body!$BD$20),Body!$BB$6,IF(AND('Zdroj data'!O95&gt;=Body!$BE$20,'Zdroj data'!O95&lt;=Body!$BG$20),Body!$BE$6,IF(AND('Zdroj data'!O95&gt;=Body!$BH$20,'Zdroj data'!O95&lt;=Body!$BJ$20),Body!$BH$6,IF(AND('Zdroj data'!O95&gt;=Body!$BK$20,'Zdroj data'!O95&lt;=Body!$BM$20),Body!$BK$6,IF(AND('Zdroj data'!O95&gt;=Body!$BN$20,'Zdroj data'!O95&lt;=Body!$BP$20),Body!$BN$6,IF(AND('Zdroj data'!O95&gt;=Body!$BQ$20,'Zdroj data'!O95&lt;=Body!$BS$20),Body!$BQ$6,IF(AND('Zdroj data'!O95&gt;=Body!$BT$20,'Zdroj data'!O95&lt;=Body!#REF!),Body!$BT$6,IF(AND('Zdroj data'!O95&gt;=Body!$BW$20,'Zdroj data'!O95&lt;=Body!$BY$20),Body!$BW$6,IF('Zdroj data'!O95&gt;=Body!$CB$20,Body!$BZ$6," "))))))))))," ")))</f>
        <v xml:space="preserve"> </v>
      </c>
      <c r="AI95" s="264" t="str">
        <f>IF(AND('Zdroj data'!$BG95="L",'Zdroj data'!$AM95=Body!$AX$18),IF(AND(Tabulka1[[#This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data'!$BG95="ST",'Zdroj data'!$AM95=Body!$AX$19),IF(AND(Tabulka1[[#This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data'!$BG95="T",'Zdroj data'!$AM95=Body!$AX$20),IF(AND(Tabulka1[[#This Row],[K2O_60]]&gt;=Body!$AY$20,'Zdroj data'!O95&lt;=Body!$BA$20),Body!$AY$6,IF(AND(Tabulka1[[#This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95" s="265">
        <f t="shared" si="13"/>
        <v>14.666666666666682</v>
      </c>
      <c r="AK95" s="264">
        <f t="shared" si="14"/>
        <v>26.318506965469023</v>
      </c>
      <c r="AL95" s="264">
        <f t="shared" si="15"/>
        <v>25.649568716360086</v>
      </c>
      <c r="AM95" s="264">
        <f t="shared" si="16"/>
        <v>56.881494073955757</v>
      </c>
      <c r="AN95" s="264">
        <f t="shared" si="17"/>
        <v>54.512463324081757</v>
      </c>
      <c r="AO95" s="265">
        <f t="shared" si="21"/>
        <v>83.200001039424777</v>
      </c>
      <c r="AP95" s="265">
        <f t="shared" si="18"/>
        <v>80.162032040441844</v>
      </c>
      <c r="AQ95" s="318"/>
      <c r="AR95" s="338">
        <f t="shared" si="19"/>
        <v>178.02869974653331</v>
      </c>
      <c r="AS95" s="318"/>
      <c r="AT95" s="138"/>
      <c r="AU95" s="138"/>
    </row>
    <row r="96" spans="1:48" ht="15.5" x14ac:dyDescent="0.35">
      <c r="A96" s="270">
        <v>4369</v>
      </c>
      <c r="B96" s="156" t="s">
        <v>109</v>
      </c>
      <c r="C96" s="250" t="str">
        <f>VLOOKUP(B96,'Zdroj hloubka okresy'!$A$2:$D$171,2,FALSE)</f>
        <v>Pribram</v>
      </c>
      <c r="D96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96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96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10</v>
      </c>
      <c r="G96" s="264">
        <f>IF(AND(Tabulka1[[#This Row],[hum_60]]&gt;AY102,Tabulka1[[#This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7</v>
      </c>
      <c r="H96" s="264">
        <f>IF(Tabulka1[[#This Row],[kv.ek.]]=Body!$AX$13,IF(AND('Zdroj data'!M96&gt;=Body!$AY$13,'Zdroj data'!M96&lt;=Body!$BA$13),Body!$AY$6,IF(AND('Zdroj data'!M96&gt;=Body!$BB$13,'Zdroj data'!M96&lt;=Body!$BD$13),Body!$BB$6,IF(AND('Zdroj data'!M96&gt;=Body!$BE$13,'Zdroj data'!M96&lt;=Body!$BG$13),Body!$BE$6,IF(AND('Zdroj data'!M96&gt;=Body!$BH$13,'Zdroj data'!M96&lt;=Body!$BJ$13),Body!$BH$6,IF(AND('Zdroj data'!M96&gt;=Body!$BK$13,'Zdroj data'!M96&lt;=Body!$BM$13),Body!$BK$6,IF(AND('Zdroj data'!M96&gt;=Body!$BN$13,'Zdroj data'!M96&lt;=Body!$BP$13),Body!$BN$6,IF(AND('Zdroj data'!M96&gt;=Body!$BQ$13,'Zdroj data'!M96&lt;=Body!$BS$13),Body!$BQ$6,IF(AND('Zdroj data'!M96&gt;=Body!$BT$13,'Zdroj data'!M96&lt;=Body!$BV$13),Body!$BT$6,IF(AND('Zdroj data'!M96&gt;=Body!$BW$13,'Zdroj data'!M96&lt;=Body!$BY$13),Body!$BW$6,IF('Zdroj data'!M96&gt;=Body!$CB$13,Body!$BZ$6," ")))))))))),IF(Tabulka1[[#This Row],[kv.ek.]]=Body!$AX$14,IF(AND('Zdroj data'!N96&gt;=Body!$AY$14,'Zdroj data'!N96&lt;=Body!$BA$14),Body!$AY$6,IF(AND('Zdroj data'!N96&gt;=Body!$BB$14,'Zdroj data'!N96&lt;=Body!$BD$14),Body!$BB$6,IF(AND('Zdroj data'!N96&gt;=Body!$BE$14,'Zdroj data'!N96&lt;=Body!$BG$14),Body!$BE$6,IF(AND('Zdroj data'!N96&gt;=Body!$BH$14,'Zdroj data'!N96&lt;=Body!$BJ$14),Body!$BH$6,IF(AND('Zdroj data'!N96&gt;=Body!$BK$14,'Zdroj data'!N96&lt;=Body!$BM$14),Body!$BK$6,IF(AND('Zdroj data'!N96&gt;=Body!$BN$14,'Zdroj data'!N96&lt;=Body!$BP$14),Body!$BN$6,IF(AND('Zdroj data'!N96&gt;=Body!$BQ$14,'Zdroj data'!N96&lt;=Body!$BS$14),Body!$BQ$6,IF(AND('Zdroj data'!N96&gt;=Body!$BT$14,'Zdroj data'!N96&lt;=Body!$BV$14),Body!$BT$6,IF(AND('Zdroj data'!N96&gt;=Body!$BW$14,'Zdroj data'!N96&lt;=Body!$BY$14),Body!$BW$6,IF('Zdroj data'!N96&gt;=Body!$CB$14,Body!$BZ$6," "))))))))))," "))</f>
        <v>1</v>
      </c>
      <c r="I96" s="264">
        <f>IF(Tabulka1[[#This Row],[kv.ek.]]=Body!$AX$13,IF(AND('Zdroj data'!N96&gt;=Body!$AY$13,'Zdroj data'!N96&lt;=Body!$BA$13),Body!$AY$6,IF(AND('Zdroj data'!N96&gt;=Body!$BB$13,'Zdroj data'!N96&lt;=Body!$BD$13),Body!$BB$6,IF(AND('Zdroj data'!N96&gt;=Body!$BE$13,'Zdroj data'!N96&lt;=Body!$BG$13),Body!$BE$6,IF(AND('Zdroj data'!N96&gt;=Body!$BH$13,'Zdroj data'!N96&lt;=Body!$BJ$13),Body!$BH$6,IF(AND('Zdroj data'!N96&gt;=Body!$BK$13,'Zdroj data'!N96&lt;=Body!$BM$13),Body!$BK$6,IF(AND('Zdroj data'!N96&gt;=Body!$BN$13,'Zdroj data'!N96&lt;=Body!$BP$13),Body!$BN$6,IF(AND('Zdroj data'!N96&gt;=Body!$BQ$13,'Zdroj data'!N96&lt;=Body!$BS$13),Body!$BQ$6,IF(AND('Zdroj data'!N96&gt;=Body!$BT$13,'Zdroj data'!N96&lt;=Body!$BV$13),Body!$BT$6,IF(AND('Zdroj data'!N96&gt;=Body!$BW$13,'Zdroj data'!N96&lt;=Body!$BY$13),Body!$BW$6,IF('Zdroj data'!N96&gt;=Body!$CB$13,Body!$BZ$6," ")))))))))),IF(Tabulka1[[#This Row],[kv.ek.]]=Body!$AX$14,IF(AND('Zdroj data'!O96&gt;=Body!$AY$14,'Zdroj data'!O96&lt;=Body!$BA$14),Body!$AY$6,IF(AND('Zdroj data'!O96&gt;=Body!$BB$14,'Zdroj data'!O96&lt;=Body!$BD$14),Body!$BB$6,IF(AND('Zdroj data'!O96&gt;=Body!$BE$14,'Zdroj data'!O96&lt;=Body!$BG$14),Body!$BE$6,IF(AND('Zdroj data'!O96&gt;=Body!$BH$14,'Zdroj data'!O96&lt;=Body!$BJ$14),Body!$BH$6,IF(AND('Zdroj data'!O96&gt;=Body!$BK$14,'Zdroj data'!O96&lt;=Body!$BM$14),Body!$BK$6,IF(AND('Zdroj data'!O96&gt;=Body!$BN$14,'Zdroj data'!O96&lt;=Body!$BP$14),Body!$BN$6,IF(AND('Zdroj data'!O96&gt;=Body!$BQ$14,'Zdroj data'!O96&lt;=Body!$BS$14),Body!$BQ$6,IF(AND('Zdroj data'!O96&gt;=Body!$BT$14,'Zdroj data'!O96&lt;=Body!$BV$14),Body!$BT$6,IF(AND('Zdroj data'!O96&gt;=Body!$BW$14,'Zdroj data'!O96&lt;=Body!$BY$14),Body!$BW$6,IF('Zdroj data'!O96&gt;=Body!$CB$14,Body!$BZ$6," "))))))))))," "))</f>
        <v>6</v>
      </c>
      <c r="J96" s="264">
        <f t="shared" ref="J96:K111" si="24">IF(AF96=" ",AH96,AF96)</f>
        <v>1</v>
      </c>
      <c r="K96" s="264">
        <f t="shared" si="23"/>
        <v>2</v>
      </c>
      <c r="L96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7</v>
      </c>
      <c r="M96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6</v>
      </c>
      <c r="N96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4</v>
      </c>
      <c r="O96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5</v>
      </c>
      <c r="P96" s="264">
        <f>IF(Tabulka1[[#This Row],[RVK]]=Body!$BE$10,Body!$BE$6,IF(Tabulka1[[#This Row],[RVK]]=Body!$BK$10,Body!$BK$6,IF(Tabulka1[[#This Row],[RVK]]=Body!$BN$10,Body!$BN$6,IF(Tabulka1[[#This Row],[RVK]]=Body!$BZ$10,Body!$BZ$6," "))))</f>
        <v>10</v>
      </c>
      <c r="Q96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96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96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96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96" s="264">
        <f>IF('Zdroj data'!BB96=Body!$AY$25,Body!$AY$22,IF('Zdroj data'!BB96=Body!$BB$25,Body!$BB$22,IF('Zdroj data'!BB96=Body!$BE$25,Body!$BE$22,IF('Zdroj data'!BB96=Body!$BH$25,Body!$BH$22,IF('Zdroj data'!BB96=Body!BK$25,Body!$BK$22,IF('Zdroj data'!BB96=Body!$BN$25,Body!$BN$22,IF('Zdroj data'!BB96=Body!$BQ$25,Body!$BQ$22,IF('Zdroj data'!BB96=Body!$BT$25,Body!$BT$22,IF('Zdroj data'!BB96=Body!$BW$25,Body!$BW$22,IF('Zdroj data'!BB96=Body!$BZ$25,Body!$BZ$22," "))))))))))</f>
        <v>5</v>
      </c>
      <c r="V96" s="264">
        <f>IF(AND('Zdroj data'!BO96&gt;Body!$AY$27,'Zdroj data'!BO96&lt;=Body!$BA$27),Body!$AY$22,IF(AND('Zdroj data'!BO96&gt;=Body!$BB$27,'Zdroj data'!BO96&lt;=Body!$BD$27),Body!$BB$22,IF(AND('Zdroj data'!BO96&gt;=Body!$BE$27,'Zdroj data'!BO96&lt;=Body!$BG$27),Body!$BE$22,IF(AND('Zdroj data'!BO96&gt;=Body!$BH$27,'Zdroj data'!BO96&lt;=Body!$BJ$27),Body!$BH$22,IF(AND('Zdroj data'!BO96&gt;=Body!$BK$27,'Zdroj data'!BO96&lt;=Body!$BM$27),Body!$BK$22,IF(AND('Zdroj data'!BO96&gt;=Body!$BN$27,'Zdroj data'!BO96&lt;=Body!$BP$27),Body!$BN$22,IF(AND('Zdroj data'!BO96&gt;=Body!$BQ$27,'Zdroj data'!BO96&lt;=Body!$BS$27),Body!$BQ$22,IF(AND('Zdroj data'!BO96&gt;=Body!$BT$27,'Zdroj data'!BO96&lt;=Body!$BV$27),Body!$BT$22,IF(AND('Zdroj data'!BO96&gt;=Body!$BW$27,'Zdroj data'!BO96&lt;=Body!$BY$27),Body!$BW$22,IF('Zdroj data'!BO96&gt;=Body!$CB$27,$BZ$22," "))))))))))</f>
        <v>6</v>
      </c>
      <c r="W96" s="264">
        <f>IF(AND('Zdroj data'!BP96&gt;Body!$AY$27,'Zdroj data'!BP96&lt;=Body!$BA$27),Body!$AY$22,IF(AND('Zdroj data'!BP96&gt;=Body!$BB$27,'Zdroj data'!BP96&lt;=Body!$BD$27),Body!$BB$22,IF(AND('Zdroj data'!BP96&gt;=Body!$BE$27,'Zdroj data'!BP96&lt;=Body!$BG$27),Body!$BE$22,IF(AND('Zdroj data'!BP96&gt;=Body!$BH$27,'Zdroj data'!BP96&lt;=Body!$BJ$27),Body!$BH$22,IF(AND('Zdroj data'!BP96&gt;=Body!$BK$27,'Zdroj data'!BP96&lt;=Body!$BM$27),Body!$BK$22,IF(AND('Zdroj data'!BP96&gt;=Body!$BN$27,'Zdroj data'!BP96&lt;=Body!$BP$27),Body!$BN$22,IF(AND('Zdroj data'!BP96&gt;=Body!$BQ$27,'Zdroj data'!BP96&lt;=Body!$BS$27),Body!$BQ$22,IF(AND('Zdroj data'!BP96&gt;=Body!$BT$27,'Zdroj data'!BP96&lt;=Body!$BV$27),Body!$BT$22,IF(AND('Zdroj data'!BP96&gt;=Body!$BW$27,'Zdroj data'!BP96&lt;=Body!$BY$27),Body!$BW$22,IF('Zdroj data'!BP96&gt;=Body!$CB$27,$BZ$22," "))))))))))</f>
        <v>9</v>
      </c>
      <c r="X96" s="264">
        <f>IF('Zdroj data'!BA96=Body!$BB$28,$BB$22,IF('Zdroj data'!BA96=Body!$BE$28,$BE$22,IF(OR('Zdroj data'!BA96=Body!$BK$28,'Zdroj data'!BA96=Body!$BL$28,'Zdroj data'!BA96=Body!$BM$28),$BK$22,IF(OR('Zdroj data'!BA96=Body!$BT$28,'Zdroj data'!BA96=Body!$BV$28),$BT$22,IF(OR('Zdroj data'!BA96=Body!$BW$28,'Zdroj data'!BA96=Body!$BY$28),$BW$22,IF('Zdroj data'!BA96=Body!$BZ$28,$BZ$22," "))))))</f>
        <v>9</v>
      </c>
      <c r="Y96" s="264">
        <f>IF('Zdroj data'!AZ96=Body!$BZ$29,Body!$BZ$22,IF(OR('Zdroj data'!AZ96=$BT$29,'Zdroj data'!AZ96=$BU$29,'Zdroj data'!AZ96=$BV$29),$BT$22,IF(OR('Zdroj data'!AZ96=$BK$29,'Zdroj data'!AZ96=$BM$29),$BK$22,IF(OR('Zdroj data'!AZ96=$BE$29,'Zdroj data'!AZ96=$BG$29),$BE$22,IF(OR('Zdroj data'!AZ96=$AY$29,'Zdroj data'!AZ96=$BA$29),$AY$22," ")))))</f>
        <v>10</v>
      </c>
      <c r="Z96" s="264">
        <f>IF(AND('Zdroj data'!BF96="T",(OR('Zdroj data'!AZ96=Body!$AW$45,'Zdroj data'!AZ96=Body!$AW$46,'Zdroj data'!AZ96=Body!$AW$47,'Zdroj data'!AZ96=Body!$AW$48))),Body!$AY$22,IF(AND('Zdroj data'!BF96="T",(OR('Zdroj data'!AZ96=$AW$49,'Zdroj data'!AZ96=$AW$50,'Zdroj data'!AZ96=$AW$51,'Zdroj data'!AZ96=$AW$52))),$BZ$22,IF(AND(OR('Zdroj data'!BF96="VT",'Zdroj data'!BF96="T",'Zdroj data'!BF96="CH"),(OR('Zdroj data'!AZ96=$AW$43,'Zdroj data'!AZ96=$AW$44,))),$BZ$22,IF(AND('Zdroj data'!BF96="CH",(OR('Zdroj data'!AZ96=$AW$49,'Zdroj data'!AZ96=$AW$50,'Zdroj data'!AZ96=$AW$51,'Zdroj data'!AZ96=$AW$52))),$AY$22,IF(AND('Zdroj data'!BF96="CH",(OR('Zdroj data'!AZ96=$AW$45,'Zdroj data'!AZ96=$AW$46,'Zdroj data'!AZ96=$AW$47,'Zdroj data'!AZ96=$AW$48))),$BZ$22," ")))))</f>
        <v>10</v>
      </c>
      <c r="AA96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</v>
      </c>
      <c r="AB96" s="264">
        <f>IF(Tabulka1[[#This Row],[kv.ek.]]=Body!$BK$35,Body!$BK$34,IF(Tabulka1[[#This Row],[kv.ek.]]=Body!$BZ$35,Body!$BZ$34," "))</f>
        <v>10</v>
      </c>
      <c r="AC96" s="264" t="str">
        <f>IF(AND('Zdroj data'!BF96="T",(OR('Zdroj data'!AZ96=Body!$AW$45,'Zdroj data'!AZ96=Body!$AW$46,'Zdroj data'!AZ96=Body!$AW$47,'Zdroj data'!AZ96=Body!$AW$48))),Body!$AY$22,IF(AND('Zdroj data'!BF96="T",(OR('Zdroj data'!AZ96=$AW$49,'Zdroj data'!AZ96=$AW$50,'Zdroj data'!AZ96=$AW$51,'Zdroj data'!AZ96=$AW$52))),$BZ$22," "))</f>
        <v xml:space="preserve"> </v>
      </c>
      <c r="AD96" s="264">
        <f>IF(AND(OR('Zdroj data'!BF96="VT",'Zdroj data'!BF96="T",'Zdroj data'!BF96="CH"),(OR('Zdroj data'!AZ96=$AW$43,'Zdroj data'!AZ96=$AW$44,))),$BZ$22," ")</f>
        <v>10</v>
      </c>
      <c r="AE96" s="264" t="str">
        <f>IF(AND('Zdroj data'!BF96="CH",(OR('Zdroj data'!AZ96=$AW$49,'Zdroj data'!AZ96=$AW$50,'Zdroj data'!AZ96=$AW$51,'Zdroj data'!AZ96=$AW$52))),$AY$22,IF(AND('Zdroj data'!BF96="CH",(OR('Zdroj data'!AZ96=$AW$45,'Zdroj data'!AZ96=$AW$46,'Zdroj data'!AZ96=$AW$47,'Zdroj data'!AZ96=$AW$48))),$BZ$22," "))</f>
        <v xml:space="preserve"> </v>
      </c>
      <c r="AF96" s="264" t="str">
        <f>IF(AND('Zdroj data'!BG96="L",'Zdroj data'!AM96=Body!$AX$15),IF(AND('Zdroj data'!O96&gt;=Body!$AY$15,'Zdroj data'!O96&lt;=Body!$BA$15),Body!AY$6,IF(AND('Zdroj data'!O96&gt;=Body!$BB$15,'Zdroj data'!O96&lt;=Body!$BD$15),Body!BB$6,IF(AND('Zdroj data'!O96&gt;=Body!$BE$15,'Zdroj data'!O96&lt;=Body!$BG$15),Body!BE$6,IF(AND('Zdroj data'!O96&gt;=Body!$BH$15,'Zdroj data'!O96&lt;=Body!$BJ$15),Body!BH$6,IF(AND('Zdroj data'!O96&gt;=Body!$BK$15,'Zdroj data'!O96&lt;=Body!$BM$15),Body!BK$6,IF(AND('Zdroj data'!O96&gt;=Body!$BN$15,'Zdroj data'!O96&lt;=Body!$BP$15),Body!$BN$6,IF(AND('Zdroj data'!O96&gt;=Body!$BQ$15,'Zdroj data'!O96&lt;=Body!$BS$15),Body!$BQ$6,IF(AND('Zdroj data'!O96&gt;=Body!$BT$15,'Zdroj data'!O96&lt;=Body!$BV$15),Body!BT$6,IF(AND('Zdroj data'!O96&gt;=Body!$BW$15,'Zdroj data'!O96&lt;=Body!$BY$15),Body!$BW$6,IF('Zdroj data'!O96&gt;=Body!$CB$15,Body!$BZ$6," ")))))))))),IF(AND('Zdroj data'!BG96="ST",'Zdroj data'!AM96=Body!$AX$16),IF(AND('Zdroj data'!O96&gt;=Body!$AY$16,'Zdroj data'!O96&lt;=Body!$BA$16),Body!$AY$6,IF(AND('Zdroj data'!O96&gt;=Body!$BB$16,'Zdroj data'!O96&lt;=Body!$BD$16),Body!$BB$6,IF(AND('Zdroj data'!O96&gt;=Body!$BE$16,'Zdroj data'!O96&lt;=Body!$BG$16),Body!$BE$6,IF(AND('Zdroj data'!O96&gt;=Body!$BH$16,'Zdroj data'!O96&lt;=Body!$BJ$16),Body!$BH$6,IF(AND('Zdroj data'!O96&gt;=Body!$BK$16,'Zdroj data'!O96&lt;=Body!$BM$16),Body!$BK$6,IF(AND('Zdroj data'!O96&gt;=Body!$BN$16,'Zdroj data'!O96&lt;=Body!$BP$16),Body!$BN$6,IF(AND('Zdroj data'!O96&gt;=Body!$BQ$16,'Zdroj data'!O96&lt;=Body!$BS$16),Body!$BQ$6,IF(AND('Zdroj data'!O96&gt;=Body!$BT$16,'Zdroj data'!O96&lt;=Body!$BV$16),Body!$BT$6,IF(AND('Zdroj data'!O96&gt;=Body!$BW$16,'Zdroj data'!O96&lt;=Body!$BY$16),Body!$BW$6,IF('Zdroj data'!O96&gt;=Body!$CB$16,Body!$BZ$6," ")))))))))),IF(AND('Zdroj data'!BG96="T",'Zdroj data'!AM96=Body!$AX$17),IF(AND('Zdroj data'!O96&gt;=Body!$AY$17,'Zdroj data'!O96&lt;=Body!$BA$17),Body!$AY$6,IF(AND('Zdroj data'!O96&gt;=Body!$BB$17,'Zdroj data'!O96&lt;=Body!$BD$17),Body!$BB$6,IF(AND('Zdroj data'!O96&gt;=Body!$BE$17,'Zdroj data'!O96&lt;=Body!$BG$17),Body!$BE$6,IF(AND('Zdroj data'!O96&gt;=Body!$BH$17,'Zdroj data'!O96&lt;=Body!#REF!),Body!$BH$6,IF(AND('Zdroj data'!O96&gt;=Body!$BK$17,'Zdroj data'!O96&lt;=Body!$BM$17),Body!$BK$6,IF(AND('Zdroj data'!O96&gt;=Body!$BN$17,'Zdroj data'!O96&lt;=Body!$BP$17),Body!$BN$6,IF(AND('Zdroj data'!O96&gt;=Body!$BQ$17,'Zdroj data'!O96&lt;=Body!$BS$17),Body!$BQ$6,IF(AND('Zdroj data'!O96&gt;=Body!$BT$17,'Zdroj data'!O96&lt;=Body!$BV$17),Body!$BT$6,IF(AND('Zdroj data'!O96&gt;=Body!$BW$17,'Zdroj data'!O96&lt;=Body!$BY$17),Body!$BW$6,IF('Zdroj data'!O96&gt;=Body!$CB$17,Body!$BZ$6," "))))))))))," ")))</f>
        <v xml:space="preserve"> </v>
      </c>
      <c r="AG96" s="264" t="str">
        <f>IF(AND('Zdroj data'!$BG96="L",'Zdroj data'!$AM96=Body!$AX$15),IF(AND(Tabulka1[[#This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data'!$BG96="ST",'Zdroj data'!$AM96=Body!$AX$16),IF(AND(Tabulka1[[#This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data'!$BG96="T",'Zdroj data'!$AM96=Body!$AX$17),IF(AND(Tabulka1[[#This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96" s="264">
        <f>IF(AND('Zdroj data'!BG96="L",'Zdroj data'!AM96=Body!$AX$18),IF(AND('Zdroj data'!O96&gt;=Body!$AY$18,'Zdroj data'!O96&lt;=Body!$BA$18),Body!AY$6,IF(AND('Zdroj data'!O96&gt;=Body!$BB$18,'Zdroj data'!O96&lt;=Body!$BD$18),Body!BB$6,IF(AND('Zdroj data'!O96&gt;=Body!$BE$18,'Zdroj data'!O96&lt;=Body!$BG$18),Body!BE$6,IF(AND('Zdroj data'!O96&gt;=Body!$BH$18,'Zdroj data'!O96&lt;=Body!$BJ$18),Body!BH$6,IF(AND('Zdroj data'!O96&gt;=Body!$BK$18,'Zdroj data'!O96&lt;=Body!$BM$18),Body!$BK$6,IF(AND('Zdroj data'!O96&gt;=Body!$BN$18,'Zdroj data'!O96&lt;=Body!$BP$18),Body!BN$6,IF(AND('Zdroj data'!O96&gt;=Body!$BQ$18,'Zdroj data'!O96&lt;=Body!$BS$18),Body!$BQ$6,IF(AND('Zdroj data'!O96&gt;=Body!$BT$18,'Zdroj data'!O96&lt;=Body!$BV$18),Body!$BT$6,IF(AND('Zdroj data'!O96&gt;=Body!$BW$18,'Zdroj data'!O96&lt;=Body!$BY$18),Body!$BW$6,IF('Zdroj data'!O96&gt;=Body!$CB$18,Body!$BZ$6," ")))))))))),IF(AND('Zdroj data'!BG96="ST",'Zdroj data'!AM96=Body!$AX$19),IF(AND('Zdroj data'!O96&gt;=Body!$AY$19,'Zdroj data'!O96&lt;=Body!$BA$19),Body!$AY$6,IF(AND('Zdroj data'!O96&gt;=Body!$BB$19,'Zdroj data'!O96&lt;=Body!$BD$19),Body!$BB$6,IF(AND('Zdroj data'!O96&gt;=Body!$BE$19,'Zdroj data'!O96&lt;=Body!$BG$19),Body!$BE$6,IF(AND('Zdroj data'!O96&gt;=Body!$BH$19,'Zdroj data'!O96&lt;=Body!$BJ$19),Body!$BH$6,IF(AND('Zdroj data'!O96&gt;=Body!$BK$19,'Zdroj data'!O96&lt;=Body!$BM$19),Body!$BK$6,IF(AND('Zdroj data'!O96&gt;=Body!$BN$19,'Zdroj data'!O96&lt;=Body!$BP$19),Body!$BN$6,IF(AND('Zdroj data'!O96&gt;=Body!$BQ$19,'Zdroj data'!O96&lt;=Body!$BS$19),Body!$BQ$6,IF(AND('Zdroj data'!O96&gt;=Body!$BT$19,'Zdroj data'!#REF!&lt;=Body!$BV$19),Body!$BT$6,IF(AND('Zdroj data'!O96&gt;=Body!$BW$19,'Zdroj data'!O96&lt;=Body!$BY$19),Body!$BW$6,IF('Zdroj data'!O96&gt;=Body!$CB$19,Body!$BZ$6," ")))))))))),IF(AND('Zdroj data'!BG96="T",'Zdroj data'!AM96=Body!$AX$20),IF(AND('Zdroj data'!O96&gt;=Body!$AY$20,'Zdroj data'!O96&lt;=Body!$BA$20),Body!$AY$6,IF(AND('Zdroj data'!O96&gt;=Body!$BB$20,'Zdroj data'!O96&lt;=Body!$BD$20),Body!$BB$6,IF(AND('Zdroj data'!O96&gt;=Body!$BE$20,'Zdroj data'!O96&lt;=Body!$BG$20),Body!$BE$6,IF(AND('Zdroj data'!O96&gt;=Body!$BH$20,'Zdroj data'!O96&lt;=Body!$BJ$20),Body!$BH$6,IF(AND('Zdroj data'!O96&gt;=Body!$BK$20,'Zdroj data'!O96&lt;=Body!$BM$20),Body!$BK$6,IF(AND('Zdroj data'!O96&gt;=Body!$BN$20,'Zdroj data'!O96&lt;=Body!$BP$20),Body!$BN$6,IF(AND('Zdroj data'!O96&gt;=Body!$BQ$20,'Zdroj data'!O96&lt;=Body!$BS$20),Body!$BQ$6,IF(AND('Zdroj data'!O96&gt;=Body!$BT$20,'Zdroj data'!O96&lt;=Body!#REF!),Body!$BT$6,IF(AND('Zdroj data'!O96&gt;=Body!$BW$20,'Zdroj data'!O96&lt;=Body!$BY$20),Body!$BW$6,IF('Zdroj data'!O96&gt;=Body!$CB$20,Body!$BZ$6," "))))))))))," ")))</f>
        <v>1</v>
      </c>
      <c r="AI96" s="264">
        <f>IF(AND('Zdroj data'!$BG96="L",'Zdroj data'!$AM96=Body!$AX$18),IF(AND(Tabulka1[[#This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data'!$BG96="ST",'Zdroj data'!$AM96=Body!$AX$19),IF(AND(Tabulka1[[#This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data'!$BG96="T",'Zdroj data'!$AM96=Body!$AX$20),IF(AND(Tabulka1[[#This Row],[K2O_60]]&gt;=Body!$AY$20,'Zdroj data'!O96&lt;=Body!$BA$20),Body!$AY$6,IF(AND(Tabulka1[[#This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2</v>
      </c>
      <c r="AJ96" s="265">
        <f t="shared" si="13"/>
        <v>4.0000000000000036</v>
      </c>
      <c r="AK96" s="264">
        <f t="shared" si="14"/>
        <v>40.147801085853686</v>
      </c>
      <c r="AL96" s="264">
        <f t="shared" si="15"/>
        <v>40.840038010350597</v>
      </c>
      <c r="AM96" s="264">
        <f t="shared" si="16"/>
        <v>62.131093016600801</v>
      </c>
      <c r="AN96" s="264">
        <f t="shared" si="17"/>
        <v>78.505744509434734</v>
      </c>
      <c r="AO96" s="265">
        <f t="shared" si="21"/>
        <v>102.27889410245449</v>
      </c>
      <c r="AP96" s="265">
        <f t="shared" si="18"/>
        <v>119.34578251978533</v>
      </c>
      <c r="AQ96" s="318"/>
      <c r="AR96" s="338">
        <f t="shared" si="19"/>
        <v>225.6246766222398</v>
      </c>
      <c r="AS96" s="318"/>
      <c r="AT96" s="138"/>
      <c r="AU96" s="138"/>
    </row>
    <row r="97" spans="1:47" ht="15.5" x14ac:dyDescent="0.35">
      <c r="A97" s="270">
        <v>4372</v>
      </c>
      <c r="B97" s="156" t="s">
        <v>548</v>
      </c>
      <c r="C97" s="250" t="str">
        <f>VLOOKUP(B97,'Zdroj hloubka okresy'!$A$2:$D$171,2,FALSE)</f>
        <v>Pribram</v>
      </c>
      <c r="D97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3</v>
      </c>
      <c r="E97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3</v>
      </c>
      <c r="F97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9</v>
      </c>
      <c r="G97" s="264">
        <f>IF(AND(Tabulka1[[#This Row],[hum_60]]&gt;AY103,Tabulka1[[#This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6</v>
      </c>
      <c r="H97" s="264">
        <f>IF(Tabulka1[[#This Row],[kv.ek.]]=Body!$AX$13,IF(AND('Zdroj data'!M97&gt;=Body!$AY$13,'Zdroj data'!M97&lt;=Body!$BA$13),Body!$AY$6,IF(AND('Zdroj data'!M97&gt;=Body!$BB$13,'Zdroj data'!M97&lt;=Body!$BD$13),Body!$BB$6,IF(AND('Zdroj data'!M97&gt;=Body!$BE$13,'Zdroj data'!M97&lt;=Body!$BG$13),Body!$BE$6,IF(AND('Zdroj data'!M97&gt;=Body!$BH$13,'Zdroj data'!M97&lt;=Body!$BJ$13),Body!$BH$6,IF(AND('Zdroj data'!M97&gt;=Body!$BK$13,'Zdroj data'!M97&lt;=Body!$BM$13),Body!$BK$6,IF(AND('Zdroj data'!M97&gt;=Body!$BN$13,'Zdroj data'!M97&lt;=Body!$BP$13),Body!$BN$6,IF(AND('Zdroj data'!M97&gt;=Body!$BQ$13,'Zdroj data'!M97&lt;=Body!$BS$13),Body!$BQ$6,IF(AND('Zdroj data'!M97&gt;=Body!$BT$13,'Zdroj data'!M97&lt;=Body!$BV$13),Body!$BT$6,IF(AND('Zdroj data'!M97&gt;=Body!$BW$13,'Zdroj data'!M97&lt;=Body!$BY$13),Body!$BW$6,IF('Zdroj data'!M97&gt;=Body!$CB$13,Body!$BZ$6," ")))))))))),IF(Tabulka1[[#This Row],[kv.ek.]]=Body!$AX$14,IF(AND('Zdroj data'!N97&gt;=Body!$AY$14,'Zdroj data'!N97&lt;=Body!$BA$14),Body!$AY$6,IF(AND('Zdroj data'!N97&gt;=Body!$BB$14,'Zdroj data'!N97&lt;=Body!$BD$14),Body!$BB$6,IF(AND('Zdroj data'!N97&gt;=Body!$BE$14,'Zdroj data'!N97&lt;=Body!$BG$14),Body!$BE$6,IF(AND('Zdroj data'!N97&gt;=Body!$BH$14,'Zdroj data'!N97&lt;=Body!$BJ$14),Body!$BH$6,IF(AND('Zdroj data'!N97&gt;=Body!$BK$14,'Zdroj data'!N97&lt;=Body!$BM$14),Body!$BK$6,IF(AND('Zdroj data'!N97&gt;=Body!$BN$14,'Zdroj data'!N97&lt;=Body!$BP$14),Body!$BN$6,IF(AND('Zdroj data'!N97&gt;=Body!$BQ$14,'Zdroj data'!N97&lt;=Body!$BS$14),Body!$BQ$6,IF(AND('Zdroj data'!N97&gt;=Body!$BT$14,'Zdroj data'!N97&lt;=Body!$BV$14),Body!$BT$6,IF(AND('Zdroj data'!N97&gt;=Body!$BW$14,'Zdroj data'!N97&lt;=Body!$BY$14),Body!$BW$6,IF('Zdroj data'!N97&gt;=Body!$CB$14,Body!$BZ$6," "))))))))))," "))</f>
        <v>1</v>
      </c>
      <c r="I97" s="264">
        <f>IF(Tabulka1[[#This Row],[kv.ek.]]=Body!$AX$13,IF(AND('Zdroj data'!N97&gt;=Body!$AY$13,'Zdroj data'!N97&lt;=Body!$BA$13),Body!$AY$6,IF(AND('Zdroj data'!N97&gt;=Body!$BB$13,'Zdroj data'!N97&lt;=Body!$BD$13),Body!$BB$6,IF(AND('Zdroj data'!N97&gt;=Body!$BE$13,'Zdroj data'!N97&lt;=Body!$BG$13),Body!$BE$6,IF(AND('Zdroj data'!N97&gt;=Body!$BH$13,'Zdroj data'!N97&lt;=Body!$BJ$13),Body!$BH$6,IF(AND('Zdroj data'!N97&gt;=Body!$BK$13,'Zdroj data'!N97&lt;=Body!$BM$13),Body!$BK$6,IF(AND('Zdroj data'!N97&gt;=Body!$BN$13,'Zdroj data'!N97&lt;=Body!$BP$13),Body!$BN$6,IF(AND('Zdroj data'!N97&gt;=Body!$BQ$13,'Zdroj data'!N97&lt;=Body!$BS$13),Body!$BQ$6,IF(AND('Zdroj data'!N97&gt;=Body!$BT$13,'Zdroj data'!N97&lt;=Body!$BV$13),Body!$BT$6,IF(AND('Zdroj data'!N97&gt;=Body!$BW$13,'Zdroj data'!N97&lt;=Body!$BY$13),Body!$BW$6,IF('Zdroj data'!N97&gt;=Body!$CB$13,Body!$BZ$6," ")))))))))),IF(Tabulka1[[#This Row],[kv.ek.]]=Body!$AX$14,IF(AND('Zdroj data'!O97&gt;=Body!$AY$14,'Zdroj data'!O97&lt;=Body!$BA$14),Body!$AY$6,IF(AND('Zdroj data'!O97&gt;=Body!$BB$14,'Zdroj data'!O97&lt;=Body!$BD$14),Body!$BB$6,IF(AND('Zdroj data'!O97&gt;=Body!$BE$14,'Zdroj data'!O97&lt;=Body!$BG$14),Body!$BE$6,IF(AND('Zdroj data'!O97&gt;=Body!$BH$14,'Zdroj data'!O97&lt;=Body!$BJ$14),Body!$BH$6,IF(AND('Zdroj data'!O97&gt;=Body!$BK$14,'Zdroj data'!O97&lt;=Body!$BM$14),Body!$BK$6,IF(AND('Zdroj data'!O97&gt;=Body!$BN$14,'Zdroj data'!O97&lt;=Body!$BP$14),Body!$BN$6,IF(AND('Zdroj data'!O97&gt;=Body!$BQ$14,'Zdroj data'!O97&lt;=Body!$BS$14),Body!$BQ$6,IF(AND('Zdroj data'!O97&gt;=Body!$BT$14,'Zdroj data'!O97&lt;=Body!$BV$14),Body!$BT$6,IF(AND('Zdroj data'!O97&gt;=Body!$BW$14,'Zdroj data'!O97&lt;=Body!$BY$14),Body!$BW$6,IF('Zdroj data'!O97&gt;=Body!$CB$14,Body!$BZ$6," "))))))))))," "))</f>
        <v>1</v>
      </c>
      <c r="J97" s="264">
        <f t="shared" si="24"/>
        <v>2</v>
      </c>
      <c r="K97" s="264">
        <f t="shared" si="23"/>
        <v>1</v>
      </c>
      <c r="L97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7</v>
      </c>
      <c r="M97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6</v>
      </c>
      <c r="N97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2</v>
      </c>
      <c r="O97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3</v>
      </c>
      <c r="P97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97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97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97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97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97" s="264">
        <f>IF('Zdroj data'!BB97=Body!$AY$25,Body!$AY$22,IF('Zdroj data'!BB97=Body!$BB$25,Body!$BB$22,IF('Zdroj data'!BB97=Body!$BE$25,Body!$BE$22,IF('Zdroj data'!BB97=Body!$BH$25,Body!$BH$22,IF('Zdroj data'!BB97=Body!BK$25,Body!$BK$22,IF('Zdroj data'!BB97=Body!$BN$25,Body!$BN$22,IF('Zdroj data'!BB97=Body!$BQ$25,Body!$BQ$22,IF('Zdroj data'!BB97=Body!$BT$25,Body!$BT$22,IF('Zdroj data'!BB97=Body!$BW$25,Body!$BW$22,IF('Zdroj data'!BB97=Body!$BZ$25,Body!$BZ$22," "))))))))))</f>
        <v>5</v>
      </c>
      <c r="V97" s="264">
        <f>IF(AND('Zdroj data'!BO97&gt;Body!$AY$27,'Zdroj data'!BO97&lt;=Body!$BA$27),Body!$AY$22,IF(AND('Zdroj data'!BO97&gt;=Body!$BB$27,'Zdroj data'!BO97&lt;=Body!$BD$27),Body!$BB$22,IF(AND('Zdroj data'!BO97&gt;=Body!$BE$27,'Zdroj data'!BO97&lt;=Body!$BG$27),Body!$BE$22,IF(AND('Zdroj data'!BO97&gt;=Body!$BH$27,'Zdroj data'!BO97&lt;=Body!$BJ$27),Body!$BH$22,IF(AND('Zdroj data'!BO97&gt;=Body!$BK$27,'Zdroj data'!BO97&lt;=Body!$BM$27),Body!$BK$22,IF(AND('Zdroj data'!BO97&gt;=Body!$BN$27,'Zdroj data'!BO97&lt;=Body!$BP$27),Body!$BN$22,IF(AND('Zdroj data'!BO97&gt;=Body!$BQ$27,'Zdroj data'!BO97&lt;=Body!$BS$27),Body!$BQ$22,IF(AND('Zdroj data'!BO97&gt;=Body!$BT$27,'Zdroj data'!BO97&lt;=Body!$BV$27),Body!$BT$22,IF(AND('Zdroj data'!BO97&gt;=Body!$BW$27,'Zdroj data'!BO97&lt;=Body!$BY$27),Body!$BW$22,IF('Zdroj data'!BO97&gt;=Body!$CB$27,$BZ$22," "))))))))))</f>
        <v>6</v>
      </c>
      <c r="W97" s="264">
        <f>IF(AND('Zdroj data'!BP97&gt;Body!$AY$27,'Zdroj data'!BP97&lt;=Body!$BA$27),Body!$AY$22,IF(AND('Zdroj data'!BP97&gt;=Body!$BB$27,'Zdroj data'!BP97&lt;=Body!$BD$27),Body!$BB$22,IF(AND('Zdroj data'!BP97&gt;=Body!$BE$27,'Zdroj data'!BP97&lt;=Body!$BG$27),Body!$BE$22,IF(AND('Zdroj data'!BP97&gt;=Body!$BH$27,'Zdroj data'!BP97&lt;=Body!$BJ$27),Body!$BH$22,IF(AND('Zdroj data'!BP97&gt;=Body!$BK$27,'Zdroj data'!BP97&lt;=Body!$BM$27),Body!$BK$22,IF(AND('Zdroj data'!BP97&gt;=Body!$BN$27,'Zdroj data'!BP97&lt;=Body!$BP$27),Body!$BN$22,IF(AND('Zdroj data'!BP97&gt;=Body!$BQ$27,'Zdroj data'!BP97&lt;=Body!$BS$27),Body!$BQ$22,IF(AND('Zdroj data'!BP97&gt;=Body!$BT$27,'Zdroj data'!BP97&lt;=Body!$BV$27),Body!$BT$22,IF(AND('Zdroj data'!BP97&gt;=Body!$BW$27,'Zdroj data'!BP97&lt;=Body!$BY$27),Body!$BW$22,IF('Zdroj data'!BP97&gt;=Body!$CB$27,$BZ$22," "))))))))))</f>
        <v>6</v>
      </c>
      <c r="X97" s="264">
        <f>IF('Zdroj data'!BA97=Body!$BB$28,$BB$22,IF('Zdroj data'!BA97=Body!$BE$28,$BE$22,IF(OR('Zdroj data'!BA97=Body!$BK$28,'Zdroj data'!BA97=Body!$BL$28,'Zdroj data'!BA97=Body!$BM$28),$BK$22,IF(OR('Zdroj data'!BA97=Body!$BT$28,'Zdroj data'!BA97=Body!$BV$28),$BT$22,IF(OR('Zdroj data'!BA97=Body!$BW$28,'Zdroj data'!BA97=Body!$BY$28),$BW$22,IF('Zdroj data'!BA97=Body!$BZ$28,$BZ$22," "))))))</f>
        <v>10</v>
      </c>
      <c r="Y97" s="264">
        <f>IF('Zdroj data'!AZ97=Body!$BZ$29,Body!$BZ$22,IF(OR('Zdroj data'!AZ97=$BT$29,'Zdroj data'!AZ97=$BU$29,'Zdroj data'!AZ97=$BV$29),$BT$22,IF(OR('Zdroj data'!AZ97=$BK$29,'Zdroj data'!AZ97=$BM$29),$BK$22,IF(OR('Zdroj data'!AZ97=$BE$29,'Zdroj data'!AZ97=$BG$29),$BE$22,IF(OR('Zdroj data'!AZ97=$AY$29,'Zdroj data'!AZ97=$BA$29),$AY$22," ")))))</f>
        <v>10</v>
      </c>
      <c r="Z97" s="264">
        <f>IF(AND('Zdroj data'!BF97="T",(OR('Zdroj data'!AZ97=Body!$AW$45,'Zdroj data'!AZ97=Body!$AW$46,'Zdroj data'!AZ97=Body!$AW$47,'Zdroj data'!AZ97=Body!$AW$48))),Body!$AY$22,IF(AND('Zdroj data'!BF97="T",(OR('Zdroj data'!AZ97=$AW$49,'Zdroj data'!AZ97=$AW$50,'Zdroj data'!AZ97=$AW$51,'Zdroj data'!AZ97=$AW$52))),$BZ$22,IF(AND(OR('Zdroj data'!BF97="VT",'Zdroj data'!BF97="T",'Zdroj data'!BF97="CH"),(OR('Zdroj data'!AZ97=$AW$43,'Zdroj data'!AZ97=$AW$44,))),$BZ$22,IF(AND('Zdroj data'!BF97="CH",(OR('Zdroj data'!AZ97=$AW$49,'Zdroj data'!AZ97=$AW$50,'Zdroj data'!AZ97=$AW$51,'Zdroj data'!AZ97=$AW$52))),$AY$22,IF(AND('Zdroj data'!BF97="CH",(OR('Zdroj data'!AZ97=$AW$45,'Zdroj data'!AZ97=$AW$46,'Zdroj data'!AZ97=$AW$47,'Zdroj data'!AZ97=$AW$48))),$BZ$22," ")))))</f>
        <v>10</v>
      </c>
      <c r="AA97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97" s="264">
        <f>IF(Tabulka1[[#This Row],[kv.ek.]]=Body!$BK$35,Body!$BK$34,IF(Tabulka1[[#This Row],[kv.ek.]]=Body!$BZ$35,Body!$BZ$34," "))</f>
        <v>5</v>
      </c>
      <c r="AC97" s="264" t="str">
        <f>IF(AND('Zdroj data'!BF97="T",(OR('Zdroj data'!AZ97=Body!$AW$45,'Zdroj data'!AZ97=Body!$AW$46,'Zdroj data'!AZ97=Body!$AW$47,'Zdroj data'!AZ97=Body!$AW$48))),Body!$AY$22,IF(AND('Zdroj data'!BF97="T",(OR('Zdroj data'!AZ97=$AW$49,'Zdroj data'!AZ97=$AW$50,'Zdroj data'!AZ97=$AW$51,'Zdroj data'!AZ97=$AW$52))),$BZ$22," "))</f>
        <v xml:space="preserve"> </v>
      </c>
      <c r="AD97" s="264">
        <f>IF(AND(OR('Zdroj data'!BF97="VT",'Zdroj data'!BF97="T",'Zdroj data'!BF97="CH"),(OR('Zdroj data'!AZ97=$AW$43,'Zdroj data'!AZ97=$AW$44,))),$BZ$22," ")</f>
        <v>10</v>
      </c>
      <c r="AE97" s="264" t="str">
        <f>IF(AND('Zdroj data'!BF97="CH",(OR('Zdroj data'!AZ97=$AW$49,'Zdroj data'!AZ97=$AW$50,'Zdroj data'!AZ97=$AW$51,'Zdroj data'!AZ97=$AW$52))),$AY$22,IF(AND('Zdroj data'!BF97="CH",(OR('Zdroj data'!AZ97=$AW$45,'Zdroj data'!AZ97=$AW$46,'Zdroj data'!AZ97=$AW$47,'Zdroj data'!AZ97=$AW$48))),$BZ$22," "))</f>
        <v xml:space="preserve"> </v>
      </c>
      <c r="AF97" s="264">
        <f>IF(AND('Zdroj data'!BG97="L",'Zdroj data'!AM97=Body!$AX$15),IF(AND('Zdroj data'!O97&gt;=Body!$AY$15,'Zdroj data'!O97&lt;=Body!$BA$15),Body!AY$6,IF(AND('Zdroj data'!O97&gt;=Body!$BB$15,'Zdroj data'!O97&lt;=Body!$BD$15),Body!BB$6,IF(AND('Zdroj data'!O97&gt;=Body!$BE$15,'Zdroj data'!O97&lt;=Body!$BG$15),Body!BE$6,IF(AND('Zdroj data'!O97&gt;=Body!$BH$15,'Zdroj data'!O97&lt;=Body!$BJ$15),Body!BH$6,IF(AND('Zdroj data'!O97&gt;=Body!$BK$15,'Zdroj data'!O97&lt;=Body!$BM$15),Body!BK$6,IF(AND('Zdroj data'!O97&gt;=Body!$BN$15,'Zdroj data'!O97&lt;=Body!$BP$15),Body!$BN$6,IF(AND('Zdroj data'!O97&gt;=Body!$BQ$15,'Zdroj data'!O97&lt;=Body!$BS$15),Body!$BQ$6,IF(AND('Zdroj data'!O97&gt;=Body!$BT$15,'Zdroj data'!O97&lt;=Body!$BV$15),Body!BT$6,IF(AND('Zdroj data'!O97&gt;=Body!$BW$15,'Zdroj data'!O97&lt;=Body!$BY$15),Body!$BW$6,IF('Zdroj data'!O97&gt;=Body!$CB$15,Body!$BZ$6," ")))))))))),IF(AND('Zdroj data'!BG97="ST",'Zdroj data'!AM97=Body!$AX$16),IF(AND('Zdroj data'!O97&gt;=Body!$AY$16,'Zdroj data'!O97&lt;=Body!$BA$16),Body!$AY$6,IF(AND('Zdroj data'!O97&gt;=Body!$BB$16,'Zdroj data'!O97&lt;=Body!$BD$16),Body!$BB$6,IF(AND('Zdroj data'!O97&gt;=Body!$BE$16,'Zdroj data'!O97&lt;=Body!$BG$16),Body!$BE$6,IF(AND('Zdroj data'!O97&gt;=Body!$BH$16,'Zdroj data'!O97&lt;=Body!$BJ$16),Body!$BH$6,IF(AND('Zdroj data'!O97&gt;=Body!$BK$16,'Zdroj data'!O97&lt;=Body!$BM$16),Body!$BK$6,IF(AND('Zdroj data'!O97&gt;=Body!$BN$16,'Zdroj data'!O97&lt;=Body!$BP$16),Body!$BN$6,IF(AND('Zdroj data'!O97&gt;=Body!$BQ$16,'Zdroj data'!O97&lt;=Body!$BS$16),Body!$BQ$6,IF(AND('Zdroj data'!O97&gt;=Body!$BT$16,'Zdroj data'!O97&lt;=Body!$BV$16),Body!$BT$6,IF(AND('Zdroj data'!O97&gt;=Body!$BW$16,'Zdroj data'!O97&lt;=Body!$BY$16),Body!$BW$6,IF('Zdroj data'!O97&gt;=Body!$CB$16,Body!$BZ$6," ")))))))))),IF(AND('Zdroj data'!BG97="T",'Zdroj data'!AM97=Body!$AX$17),IF(AND('Zdroj data'!O97&gt;=Body!$AY$17,'Zdroj data'!O97&lt;=Body!$BA$17),Body!$AY$6,IF(AND('Zdroj data'!O97&gt;=Body!$BB$17,'Zdroj data'!O97&lt;=Body!$BD$17),Body!$BB$6,IF(AND('Zdroj data'!O97&gt;=Body!$BE$17,'Zdroj data'!O97&lt;=Body!$BG$17),Body!$BE$6,IF(AND('Zdroj data'!O97&gt;=Body!$BH$17,'Zdroj data'!O97&lt;=Body!#REF!),Body!$BH$6,IF(AND('Zdroj data'!O97&gt;=Body!$BK$17,'Zdroj data'!O97&lt;=Body!$BM$17),Body!$BK$6,IF(AND('Zdroj data'!O97&gt;=Body!$BN$17,'Zdroj data'!O97&lt;=Body!$BP$17),Body!$BN$6,IF(AND('Zdroj data'!O97&gt;=Body!$BQ$17,'Zdroj data'!O97&lt;=Body!$BS$17),Body!$BQ$6,IF(AND('Zdroj data'!O97&gt;=Body!$BT$17,'Zdroj data'!O97&lt;=Body!$BV$17),Body!$BT$6,IF(AND('Zdroj data'!O97&gt;=Body!$BW$17,'Zdroj data'!O97&lt;=Body!$BY$17),Body!$BW$6,IF('Zdroj data'!O97&gt;=Body!$CB$17,Body!$BZ$6," "))))))))))," ")))</f>
        <v>2</v>
      </c>
      <c r="AG97" s="264">
        <f>IF(AND('Zdroj data'!$BG97="L",'Zdroj data'!$AM97=Body!$AX$15),IF(AND(Tabulka1[[#This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data'!$BG97="ST",'Zdroj data'!$AM97=Body!$AX$16),IF(AND(Tabulka1[[#This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data'!$BG97="T",'Zdroj data'!$AM97=Body!$AX$17),IF(AND(Tabulka1[[#This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97" s="264" t="str">
        <f>IF(AND('Zdroj data'!BG97="L",'Zdroj data'!AM97=Body!$AX$18),IF(AND('Zdroj data'!O97&gt;=Body!$AY$18,'Zdroj data'!O97&lt;=Body!$BA$18),Body!AY$6,IF(AND('Zdroj data'!O97&gt;=Body!$BB$18,'Zdroj data'!O97&lt;=Body!$BD$18),Body!BB$6,IF(AND('Zdroj data'!O97&gt;=Body!$BE$18,'Zdroj data'!O97&lt;=Body!$BG$18),Body!BE$6,IF(AND('Zdroj data'!O97&gt;=Body!$BH$18,'Zdroj data'!O97&lt;=Body!$BJ$18),Body!BH$6,IF(AND('Zdroj data'!O97&gt;=Body!$BK$18,'Zdroj data'!O97&lt;=Body!$BM$18),Body!$BK$6,IF(AND('Zdroj data'!O97&gt;=Body!$BN$18,'Zdroj data'!O97&lt;=Body!$BP$18),Body!BN$6,IF(AND('Zdroj data'!O97&gt;=Body!$BQ$18,'Zdroj data'!O97&lt;=Body!$BS$18),Body!$BQ$6,IF(AND('Zdroj data'!O97&gt;=Body!$BT$18,'Zdroj data'!O97&lt;=Body!$BV$18),Body!$BT$6,IF(AND('Zdroj data'!O97&gt;=Body!$BW$18,'Zdroj data'!O97&lt;=Body!$BY$18),Body!$BW$6,IF('Zdroj data'!O97&gt;=Body!$CB$18,Body!$BZ$6," ")))))))))),IF(AND('Zdroj data'!BG97="ST",'Zdroj data'!AM97=Body!$AX$19),IF(AND('Zdroj data'!O97&gt;=Body!$AY$19,'Zdroj data'!O97&lt;=Body!$BA$19),Body!$AY$6,IF(AND('Zdroj data'!O97&gt;=Body!$BB$19,'Zdroj data'!O97&lt;=Body!$BD$19),Body!$BB$6,IF(AND('Zdroj data'!O97&gt;=Body!$BE$19,'Zdroj data'!O97&lt;=Body!$BG$19),Body!$BE$6,IF(AND('Zdroj data'!O97&gt;=Body!$BH$19,'Zdroj data'!O97&lt;=Body!$BJ$19),Body!$BH$6,IF(AND('Zdroj data'!O97&gt;=Body!$BK$19,'Zdroj data'!O97&lt;=Body!$BM$19),Body!$BK$6,IF(AND('Zdroj data'!O97&gt;=Body!$BN$19,'Zdroj data'!O97&lt;=Body!$BP$19),Body!$BN$6,IF(AND('Zdroj data'!O97&gt;=Body!$BQ$19,'Zdroj data'!O97&lt;=Body!$BS$19),Body!$BQ$6,IF(AND('Zdroj data'!O97&gt;=Body!$BT$19,'Zdroj data'!#REF!&lt;=Body!$BV$19),Body!$BT$6,IF(AND('Zdroj data'!O97&gt;=Body!$BW$19,'Zdroj data'!O97&lt;=Body!$BY$19),Body!$BW$6,IF('Zdroj data'!O97&gt;=Body!$CB$19,Body!$BZ$6," ")))))))))),IF(AND('Zdroj data'!BG97="T",'Zdroj data'!AM97=Body!$AX$20),IF(AND('Zdroj data'!O97&gt;=Body!$AY$20,'Zdroj data'!O97&lt;=Body!$BA$20),Body!$AY$6,IF(AND('Zdroj data'!O97&gt;=Body!$BB$20,'Zdroj data'!O97&lt;=Body!$BD$20),Body!$BB$6,IF(AND('Zdroj data'!O97&gt;=Body!$BE$20,'Zdroj data'!O97&lt;=Body!$BG$20),Body!$BE$6,IF(AND('Zdroj data'!O97&gt;=Body!$BH$20,'Zdroj data'!O97&lt;=Body!$BJ$20),Body!$BH$6,IF(AND('Zdroj data'!O97&gt;=Body!$BK$20,'Zdroj data'!O97&lt;=Body!$BM$20),Body!$BK$6,IF(AND('Zdroj data'!O97&gt;=Body!$BN$20,'Zdroj data'!O97&lt;=Body!$BP$20),Body!$BN$6,IF(AND('Zdroj data'!O97&gt;=Body!$BQ$20,'Zdroj data'!O97&lt;=Body!$BS$20),Body!$BQ$6,IF(AND('Zdroj data'!O97&gt;=Body!$BT$20,'Zdroj data'!O97&lt;=Body!#REF!),Body!$BT$6,IF(AND('Zdroj data'!O97&gt;=Body!$BW$20,'Zdroj data'!O97&lt;=Body!$BY$20),Body!$BW$6,IF('Zdroj data'!O97&gt;=Body!$CB$20,Body!$BZ$6," "))))))))))," ")))</f>
        <v xml:space="preserve"> </v>
      </c>
      <c r="AI97" s="264" t="str">
        <f>IF(AND('Zdroj data'!$BG97="L",'Zdroj data'!$AM97=Body!$AX$18),IF(AND(Tabulka1[[#This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data'!$BG97="ST",'Zdroj data'!$AM97=Body!$AX$19),IF(AND(Tabulka1[[#This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data'!$BG97="T",'Zdroj data'!$AM97=Body!$AX$20),IF(AND(Tabulka1[[#This Row],[K2O_60]]&gt;=Body!$AY$20,'Zdroj data'!O97&lt;=Body!$BA$20),Body!$AY$6,IF(AND(Tabulka1[[#This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97" s="265">
        <f t="shared" si="13"/>
        <v>5.3333333333333375</v>
      </c>
      <c r="AK97" s="264">
        <f t="shared" si="14"/>
        <v>34.206513089451661</v>
      </c>
      <c r="AL97" s="264">
        <f t="shared" si="15"/>
        <v>29.757650148838909</v>
      </c>
      <c r="AM97" s="264">
        <f t="shared" si="16"/>
        <v>74.611021422904926</v>
      </c>
      <c r="AN97" s="264">
        <f t="shared" si="17"/>
        <v>70.697397465828928</v>
      </c>
      <c r="AO97" s="265">
        <f t="shared" si="21"/>
        <v>108.81753451235659</v>
      </c>
      <c r="AP97" s="265">
        <f t="shared" si="18"/>
        <v>100.45504761466783</v>
      </c>
      <c r="AQ97" s="318"/>
      <c r="AR97" s="338">
        <f t="shared" si="19"/>
        <v>214.60591546035775</v>
      </c>
      <c r="AS97" s="318"/>
      <c r="AT97" s="138"/>
      <c r="AU97" s="138"/>
    </row>
    <row r="98" spans="1:47" ht="15.5" x14ac:dyDescent="0.35">
      <c r="A98" s="270">
        <v>4375</v>
      </c>
      <c r="B98" s="156" t="s">
        <v>121</v>
      </c>
      <c r="C98" s="250" t="str">
        <f>VLOOKUP(B98,'Zdroj hloubka okresy'!$A$2:$D$171,2,FALSE)</f>
        <v>Pribram</v>
      </c>
      <c r="D98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98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7</v>
      </c>
      <c r="F98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98" s="264">
        <f>IF(AND(Tabulka1[[#This Row],[hum_60]]&gt;AY104,Tabulka1[[#This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98" s="264">
        <f>IF(Tabulka1[[#This Row],[kv.ek.]]=Body!$AX$13,IF(AND('Zdroj data'!M98&gt;=Body!$AY$13,'Zdroj data'!M98&lt;=Body!$BA$13),Body!$AY$6,IF(AND('Zdroj data'!M98&gt;=Body!$BB$13,'Zdroj data'!M98&lt;=Body!$BD$13),Body!$BB$6,IF(AND('Zdroj data'!M98&gt;=Body!$BE$13,'Zdroj data'!M98&lt;=Body!$BG$13),Body!$BE$6,IF(AND('Zdroj data'!M98&gt;=Body!$BH$13,'Zdroj data'!M98&lt;=Body!$BJ$13),Body!$BH$6,IF(AND('Zdroj data'!M98&gt;=Body!$BK$13,'Zdroj data'!M98&lt;=Body!$BM$13),Body!$BK$6,IF(AND('Zdroj data'!M98&gt;=Body!$BN$13,'Zdroj data'!M98&lt;=Body!$BP$13),Body!$BN$6,IF(AND('Zdroj data'!M98&gt;=Body!$BQ$13,'Zdroj data'!M98&lt;=Body!$BS$13),Body!$BQ$6,IF(AND('Zdroj data'!M98&gt;=Body!$BT$13,'Zdroj data'!M98&lt;=Body!$BV$13),Body!$BT$6,IF(AND('Zdroj data'!M98&gt;=Body!$BW$13,'Zdroj data'!M98&lt;=Body!$BY$13),Body!$BW$6,IF('Zdroj data'!M98&gt;=Body!$CB$13,Body!$BZ$6," ")))))))))),IF(Tabulka1[[#This Row],[kv.ek.]]=Body!$AX$14,IF(AND('Zdroj data'!N98&gt;=Body!$AY$14,'Zdroj data'!N98&lt;=Body!$BA$14),Body!$AY$6,IF(AND('Zdroj data'!N98&gt;=Body!$BB$14,'Zdroj data'!N98&lt;=Body!$BD$14),Body!$BB$6,IF(AND('Zdroj data'!N98&gt;=Body!$BE$14,'Zdroj data'!N98&lt;=Body!$BG$14),Body!$BE$6,IF(AND('Zdroj data'!N98&gt;=Body!$BH$14,'Zdroj data'!N98&lt;=Body!$BJ$14),Body!$BH$6,IF(AND('Zdroj data'!N98&gt;=Body!$BK$14,'Zdroj data'!N98&lt;=Body!$BM$14),Body!$BK$6,IF(AND('Zdroj data'!N98&gt;=Body!$BN$14,'Zdroj data'!N98&lt;=Body!$BP$14),Body!$BN$6,IF(AND('Zdroj data'!N98&gt;=Body!$BQ$14,'Zdroj data'!N98&lt;=Body!$BS$14),Body!$BQ$6,IF(AND('Zdroj data'!N98&gt;=Body!$BT$14,'Zdroj data'!N98&lt;=Body!$BV$14),Body!$BT$6,IF(AND('Zdroj data'!N98&gt;=Body!$BW$14,'Zdroj data'!N98&lt;=Body!$BY$14),Body!$BW$6,IF('Zdroj data'!N98&gt;=Body!$CB$14,Body!$BZ$6," "))))))))))," "))</f>
        <v>1</v>
      </c>
      <c r="I98" s="264">
        <f>IF(Tabulka1[[#This Row],[kv.ek.]]=Body!$AX$13,IF(AND('Zdroj data'!N98&gt;=Body!$AY$13,'Zdroj data'!N98&lt;=Body!$BA$13),Body!$AY$6,IF(AND('Zdroj data'!N98&gt;=Body!$BB$13,'Zdroj data'!N98&lt;=Body!$BD$13),Body!$BB$6,IF(AND('Zdroj data'!N98&gt;=Body!$BE$13,'Zdroj data'!N98&lt;=Body!$BG$13),Body!$BE$6,IF(AND('Zdroj data'!N98&gt;=Body!$BH$13,'Zdroj data'!N98&lt;=Body!$BJ$13),Body!$BH$6,IF(AND('Zdroj data'!N98&gt;=Body!$BK$13,'Zdroj data'!N98&lt;=Body!$BM$13),Body!$BK$6,IF(AND('Zdroj data'!N98&gt;=Body!$BN$13,'Zdroj data'!N98&lt;=Body!$BP$13),Body!$BN$6,IF(AND('Zdroj data'!N98&gt;=Body!$BQ$13,'Zdroj data'!N98&lt;=Body!$BS$13),Body!$BQ$6,IF(AND('Zdroj data'!N98&gt;=Body!$BT$13,'Zdroj data'!N98&lt;=Body!$BV$13),Body!$BT$6,IF(AND('Zdroj data'!N98&gt;=Body!$BW$13,'Zdroj data'!N98&lt;=Body!$BY$13),Body!$BW$6,IF('Zdroj data'!N98&gt;=Body!$CB$13,Body!$BZ$6," ")))))))))),IF(Tabulka1[[#This Row],[kv.ek.]]=Body!$AX$14,IF(AND('Zdroj data'!O98&gt;=Body!$AY$14,'Zdroj data'!O98&lt;=Body!$BA$14),Body!$AY$6,IF(AND('Zdroj data'!O98&gt;=Body!$BB$14,'Zdroj data'!O98&lt;=Body!$BD$14),Body!$BB$6,IF(AND('Zdroj data'!O98&gt;=Body!$BE$14,'Zdroj data'!O98&lt;=Body!$BG$14),Body!$BE$6,IF(AND('Zdroj data'!O98&gt;=Body!$BH$14,'Zdroj data'!O98&lt;=Body!$BJ$14),Body!$BH$6,IF(AND('Zdroj data'!O98&gt;=Body!$BK$14,'Zdroj data'!O98&lt;=Body!$BM$14),Body!$BK$6,IF(AND('Zdroj data'!O98&gt;=Body!$BN$14,'Zdroj data'!O98&lt;=Body!$BP$14),Body!$BN$6,IF(AND('Zdroj data'!O98&gt;=Body!$BQ$14,'Zdroj data'!O98&lt;=Body!$BS$14),Body!$BQ$6,IF(AND('Zdroj data'!O98&gt;=Body!$BT$14,'Zdroj data'!O98&lt;=Body!$BV$14),Body!$BT$6,IF(AND('Zdroj data'!O98&gt;=Body!$BW$14,'Zdroj data'!O98&lt;=Body!$BY$14),Body!$BW$6,IF('Zdroj data'!O98&gt;=Body!$CB$14,Body!$BZ$6," "))))))))))," "))</f>
        <v>1</v>
      </c>
      <c r="J98" s="264">
        <f t="shared" si="24"/>
        <v>2</v>
      </c>
      <c r="K98" s="264">
        <f t="shared" si="23"/>
        <v>1</v>
      </c>
      <c r="L98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98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98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98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98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98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2</v>
      </c>
      <c r="R98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2</v>
      </c>
      <c r="S98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4</v>
      </c>
      <c r="T98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4</v>
      </c>
      <c r="U98" s="264">
        <f>IF('Zdroj data'!BB98=Body!$AY$25,Body!$AY$22,IF('Zdroj data'!BB98=Body!$BB$25,Body!$BB$22,IF('Zdroj data'!BB98=Body!$BE$25,Body!$BE$22,IF('Zdroj data'!BB98=Body!$BH$25,Body!$BH$22,IF('Zdroj data'!BB98=Body!BK$25,Body!$BK$22,IF('Zdroj data'!BB98=Body!$BN$25,Body!$BN$22,IF('Zdroj data'!BB98=Body!$BQ$25,Body!$BQ$22,IF('Zdroj data'!BB98=Body!$BT$25,Body!$BT$22,IF('Zdroj data'!BB98=Body!$BW$25,Body!$BW$22,IF('Zdroj data'!BB98=Body!$BZ$25,Body!$BZ$22," "))))))))))</f>
        <v>5</v>
      </c>
      <c r="V98" s="264">
        <f>IF(AND('Zdroj data'!BO98&gt;Body!$AY$27,'Zdroj data'!BO98&lt;=Body!$BA$27),Body!$AY$22,IF(AND('Zdroj data'!BO98&gt;=Body!$BB$27,'Zdroj data'!BO98&lt;=Body!$BD$27),Body!$BB$22,IF(AND('Zdroj data'!BO98&gt;=Body!$BE$27,'Zdroj data'!BO98&lt;=Body!$BG$27),Body!$BE$22,IF(AND('Zdroj data'!BO98&gt;=Body!$BH$27,'Zdroj data'!BO98&lt;=Body!$BJ$27),Body!$BH$22,IF(AND('Zdroj data'!BO98&gt;=Body!$BK$27,'Zdroj data'!BO98&lt;=Body!$BM$27),Body!$BK$22,IF(AND('Zdroj data'!BO98&gt;=Body!$BN$27,'Zdroj data'!BO98&lt;=Body!$BP$27),Body!$BN$22,IF(AND('Zdroj data'!BO98&gt;=Body!$BQ$27,'Zdroj data'!BO98&lt;=Body!$BS$27),Body!$BQ$22,IF(AND('Zdroj data'!BO98&gt;=Body!$BT$27,'Zdroj data'!BO98&lt;=Body!$BV$27),Body!$BT$22,IF(AND('Zdroj data'!BO98&gt;=Body!$BW$27,'Zdroj data'!BO98&lt;=Body!$BY$27),Body!$BW$22,IF('Zdroj data'!BO98&gt;=Body!$CB$27,$BZ$22," "))))))))))</f>
        <v>6</v>
      </c>
      <c r="W98" s="264">
        <f>IF(AND('Zdroj data'!BP98&gt;Body!$AY$27,'Zdroj data'!BP98&lt;=Body!$BA$27),Body!$AY$22,IF(AND('Zdroj data'!BP98&gt;=Body!$BB$27,'Zdroj data'!BP98&lt;=Body!$BD$27),Body!$BB$22,IF(AND('Zdroj data'!BP98&gt;=Body!$BE$27,'Zdroj data'!BP98&lt;=Body!$BG$27),Body!$BE$22,IF(AND('Zdroj data'!BP98&gt;=Body!$BH$27,'Zdroj data'!BP98&lt;=Body!$BJ$27),Body!$BH$22,IF(AND('Zdroj data'!BP98&gt;=Body!$BK$27,'Zdroj data'!BP98&lt;=Body!$BM$27),Body!$BK$22,IF(AND('Zdroj data'!BP98&gt;=Body!$BN$27,'Zdroj data'!BP98&lt;=Body!$BP$27),Body!$BN$22,IF(AND('Zdroj data'!BP98&gt;=Body!$BQ$27,'Zdroj data'!BP98&lt;=Body!$BS$27),Body!$BQ$22,IF(AND('Zdroj data'!BP98&gt;=Body!$BT$27,'Zdroj data'!BP98&lt;=Body!$BV$27),Body!$BT$22,IF(AND('Zdroj data'!BP98&gt;=Body!$BW$27,'Zdroj data'!BP98&lt;=Body!$BY$27),Body!$BW$22,IF('Zdroj data'!BP98&gt;=Body!$CB$27,$BZ$22," "))))))))))</f>
        <v>7</v>
      </c>
      <c r="X98" s="264">
        <f>IF('Zdroj data'!BA98=Body!$BB$28,$BB$22,IF('Zdroj data'!BA98=Body!$BE$28,$BE$22,IF(OR('Zdroj data'!BA98=Body!$BK$28,'Zdroj data'!BA98=Body!$BL$28,'Zdroj data'!BA98=Body!$BM$28),$BK$22,IF(OR('Zdroj data'!BA98=Body!$BT$28,'Zdroj data'!BA98=Body!$BV$28),$BT$22,IF(OR('Zdroj data'!BA98=Body!$BW$28,'Zdroj data'!BA98=Body!$BY$28),$BW$22,IF('Zdroj data'!BA98=Body!$BZ$28,$BZ$22," "))))))</f>
        <v>9</v>
      </c>
      <c r="Y98" s="264">
        <f>IF('Zdroj data'!AZ98=Body!$BZ$29,Body!$BZ$22,IF(OR('Zdroj data'!AZ98=$BT$29,'Zdroj data'!AZ98=$BU$29,'Zdroj data'!AZ98=$BV$29),$BT$22,IF(OR('Zdroj data'!AZ98=$BK$29,'Zdroj data'!AZ98=$BM$29),$BK$22,IF(OR('Zdroj data'!AZ98=$BE$29,'Zdroj data'!AZ98=$BG$29),$BE$22,IF(OR('Zdroj data'!AZ98=$AY$29,'Zdroj data'!AZ98=$BA$29),$AY$22," ")))))</f>
        <v>8</v>
      </c>
      <c r="Z98" s="264">
        <f>IF(AND('Zdroj data'!BF98="T",(OR('Zdroj data'!AZ98=Body!$AW$45,'Zdroj data'!AZ98=Body!$AW$46,'Zdroj data'!AZ98=Body!$AW$47,'Zdroj data'!AZ98=Body!$AW$48))),Body!$AY$22,IF(AND('Zdroj data'!BF98="T",(OR('Zdroj data'!AZ98=$AW$49,'Zdroj data'!AZ98=$AW$50,'Zdroj data'!AZ98=$AW$51,'Zdroj data'!AZ98=$AW$52))),$BZ$22,IF(AND(OR('Zdroj data'!BF98="VT",'Zdroj data'!BF98="T",'Zdroj data'!BF98="CH"),(OR('Zdroj data'!AZ98=$AW$43,'Zdroj data'!AZ98=$AW$44,))),$BZ$22,IF(AND('Zdroj data'!BF98="CH",(OR('Zdroj data'!AZ98=$AW$49,'Zdroj data'!AZ98=$AW$50,'Zdroj data'!AZ98=$AW$51,'Zdroj data'!AZ98=$AW$52))),$AY$22,IF(AND('Zdroj data'!BF98="CH",(OR('Zdroj data'!AZ98=$AW$45,'Zdroj data'!AZ98=$AW$46,'Zdroj data'!AZ98=$AW$47,'Zdroj data'!AZ98=$AW$48))),$BZ$22," ")))))</f>
        <v>10</v>
      </c>
      <c r="AA98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98" s="264">
        <f>IF(Tabulka1[[#This Row],[kv.ek.]]=Body!$BK$35,Body!$BK$34,IF(Tabulka1[[#This Row],[kv.ek.]]=Body!$BZ$35,Body!$BZ$34," "))</f>
        <v>5</v>
      </c>
      <c r="AC98" s="264" t="str">
        <f>IF(AND('Zdroj data'!BF98="T",(OR('Zdroj data'!AZ98=Body!$AW$45,'Zdroj data'!AZ98=Body!$AW$46,'Zdroj data'!AZ98=Body!$AW$47,'Zdroj data'!AZ98=Body!$AW$48))),Body!$AY$22,IF(AND('Zdroj data'!BF98="T",(OR('Zdroj data'!AZ98=$AW$49,'Zdroj data'!AZ98=$AW$50,'Zdroj data'!AZ98=$AW$51,'Zdroj data'!AZ98=$AW$52))),$BZ$22," "))</f>
        <v xml:space="preserve"> </v>
      </c>
      <c r="AD98" s="264">
        <f>IF(AND(OR('Zdroj data'!BF98="VT",'Zdroj data'!BF98="T",'Zdroj data'!BF98="CH"),(OR('Zdroj data'!AZ98=$AW$43,'Zdroj data'!AZ98=$AW$44,))),$BZ$22," ")</f>
        <v>10</v>
      </c>
      <c r="AE98" s="264" t="str">
        <f>IF(AND('Zdroj data'!BF98="CH",(OR('Zdroj data'!AZ98=$AW$49,'Zdroj data'!AZ98=$AW$50,'Zdroj data'!AZ98=$AW$51,'Zdroj data'!AZ98=$AW$52))),$AY$22,IF(AND('Zdroj data'!BF98="CH",(OR('Zdroj data'!AZ98=$AW$45,'Zdroj data'!AZ98=$AW$46,'Zdroj data'!AZ98=$AW$47,'Zdroj data'!AZ98=$AW$48))),$BZ$22," "))</f>
        <v xml:space="preserve"> </v>
      </c>
      <c r="AF98" s="264">
        <f>IF(AND('Zdroj data'!BG98="L",'Zdroj data'!AM98=Body!$AX$15),IF(AND('Zdroj data'!O98&gt;=Body!$AY$15,'Zdroj data'!O98&lt;=Body!$BA$15),Body!AY$6,IF(AND('Zdroj data'!O98&gt;=Body!$BB$15,'Zdroj data'!O98&lt;=Body!$BD$15),Body!BB$6,IF(AND('Zdroj data'!O98&gt;=Body!$BE$15,'Zdroj data'!O98&lt;=Body!$BG$15),Body!BE$6,IF(AND('Zdroj data'!O98&gt;=Body!$BH$15,'Zdroj data'!O98&lt;=Body!$BJ$15),Body!BH$6,IF(AND('Zdroj data'!O98&gt;=Body!$BK$15,'Zdroj data'!O98&lt;=Body!$BM$15),Body!BK$6,IF(AND('Zdroj data'!O98&gt;=Body!$BN$15,'Zdroj data'!O98&lt;=Body!$BP$15),Body!$BN$6,IF(AND('Zdroj data'!O98&gt;=Body!$BQ$15,'Zdroj data'!O98&lt;=Body!$BS$15),Body!$BQ$6,IF(AND('Zdroj data'!O98&gt;=Body!$BT$15,'Zdroj data'!O98&lt;=Body!$BV$15),Body!BT$6,IF(AND('Zdroj data'!O98&gt;=Body!$BW$15,'Zdroj data'!O98&lt;=Body!$BY$15),Body!$BW$6,IF('Zdroj data'!O98&gt;=Body!$CB$15,Body!$BZ$6," ")))))))))),IF(AND('Zdroj data'!BG98="ST",'Zdroj data'!AM98=Body!$AX$16),IF(AND('Zdroj data'!O98&gt;=Body!$AY$16,'Zdroj data'!O98&lt;=Body!$BA$16),Body!$AY$6,IF(AND('Zdroj data'!O98&gt;=Body!$BB$16,'Zdroj data'!O98&lt;=Body!$BD$16),Body!$BB$6,IF(AND('Zdroj data'!O98&gt;=Body!$BE$16,'Zdroj data'!O98&lt;=Body!$BG$16),Body!$BE$6,IF(AND('Zdroj data'!O98&gt;=Body!$BH$16,'Zdroj data'!O98&lt;=Body!$BJ$16),Body!$BH$6,IF(AND('Zdroj data'!O98&gt;=Body!$BK$16,'Zdroj data'!O98&lt;=Body!$BM$16),Body!$BK$6,IF(AND('Zdroj data'!O98&gt;=Body!$BN$16,'Zdroj data'!O98&lt;=Body!$BP$16),Body!$BN$6,IF(AND('Zdroj data'!O98&gt;=Body!$BQ$16,'Zdroj data'!O98&lt;=Body!$BS$16),Body!$BQ$6,IF(AND('Zdroj data'!O98&gt;=Body!$BT$16,'Zdroj data'!O98&lt;=Body!$BV$16),Body!$BT$6,IF(AND('Zdroj data'!O98&gt;=Body!$BW$16,'Zdroj data'!O98&lt;=Body!$BY$16),Body!$BW$6,IF('Zdroj data'!O98&gt;=Body!$CB$16,Body!$BZ$6," ")))))))))),IF(AND('Zdroj data'!BG98="T",'Zdroj data'!AM98=Body!$AX$17),IF(AND('Zdroj data'!O98&gt;=Body!$AY$17,'Zdroj data'!O98&lt;=Body!$BA$17),Body!$AY$6,IF(AND('Zdroj data'!O98&gt;=Body!$BB$17,'Zdroj data'!O98&lt;=Body!$BD$17),Body!$BB$6,IF(AND('Zdroj data'!O98&gt;=Body!$BE$17,'Zdroj data'!O98&lt;=Body!$BG$17),Body!$BE$6,IF(AND('Zdroj data'!O98&gt;=Body!$BH$17,'Zdroj data'!O98&lt;=Body!#REF!),Body!$BH$6,IF(AND('Zdroj data'!O98&gt;=Body!$BK$17,'Zdroj data'!O98&lt;=Body!$BM$17),Body!$BK$6,IF(AND('Zdroj data'!O98&gt;=Body!$BN$17,'Zdroj data'!O98&lt;=Body!$BP$17),Body!$BN$6,IF(AND('Zdroj data'!O98&gt;=Body!$BQ$17,'Zdroj data'!O98&lt;=Body!$BS$17),Body!$BQ$6,IF(AND('Zdroj data'!O98&gt;=Body!$BT$17,'Zdroj data'!O98&lt;=Body!$BV$17),Body!$BT$6,IF(AND('Zdroj data'!O98&gt;=Body!$BW$17,'Zdroj data'!O98&lt;=Body!$BY$17),Body!$BW$6,IF('Zdroj data'!O98&gt;=Body!$CB$17,Body!$BZ$6," "))))))))))," ")))</f>
        <v>2</v>
      </c>
      <c r="AG98" s="264">
        <f>IF(AND('Zdroj data'!$BG98="L",'Zdroj data'!$AM98=Body!$AX$15),IF(AND(Tabulka1[[#This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data'!$BG98="ST",'Zdroj data'!$AM98=Body!$AX$16),IF(AND(Tabulka1[[#This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data'!$BG98="T",'Zdroj data'!$AM98=Body!$AX$17),IF(AND(Tabulka1[[#This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98" s="264" t="str">
        <f>IF(AND('Zdroj data'!BG98="L",'Zdroj data'!AM98=Body!$AX$18),IF(AND('Zdroj data'!O98&gt;=Body!$AY$18,'Zdroj data'!O98&lt;=Body!$BA$18),Body!AY$6,IF(AND('Zdroj data'!O98&gt;=Body!$BB$18,'Zdroj data'!O98&lt;=Body!$BD$18),Body!BB$6,IF(AND('Zdroj data'!O98&gt;=Body!$BE$18,'Zdroj data'!O98&lt;=Body!$BG$18),Body!BE$6,IF(AND('Zdroj data'!O98&gt;=Body!$BH$18,'Zdroj data'!O98&lt;=Body!$BJ$18),Body!BH$6,IF(AND('Zdroj data'!O98&gt;=Body!$BK$18,'Zdroj data'!O98&lt;=Body!$BM$18),Body!$BK$6,IF(AND('Zdroj data'!O98&gt;=Body!$BN$18,'Zdroj data'!O98&lt;=Body!$BP$18),Body!BN$6,IF(AND('Zdroj data'!O98&gt;=Body!$BQ$18,'Zdroj data'!O98&lt;=Body!$BS$18),Body!$BQ$6,IF(AND('Zdroj data'!O98&gt;=Body!$BT$18,'Zdroj data'!O98&lt;=Body!$BV$18),Body!$BT$6,IF(AND('Zdroj data'!O98&gt;=Body!$BW$18,'Zdroj data'!O98&lt;=Body!$BY$18),Body!$BW$6,IF('Zdroj data'!O98&gt;=Body!$CB$18,Body!$BZ$6," ")))))))))),IF(AND('Zdroj data'!BG98="ST",'Zdroj data'!AM98=Body!$AX$19),IF(AND('Zdroj data'!O98&gt;=Body!$AY$19,'Zdroj data'!O98&lt;=Body!$BA$19),Body!$AY$6,IF(AND('Zdroj data'!O98&gt;=Body!$BB$19,'Zdroj data'!O98&lt;=Body!$BD$19),Body!$BB$6,IF(AND('Zdroj data'!O98&gt;=Body!$BE$19,'Zdroj data'!O98&lt;=Body!$BG$19),Body!$BE$6,IF(AND('Zdroj data'!O98&gt;=Body!$BH$19,'Zdroj data'!O98&lt;=Body!$BJ$19),Body!$BH$6,IF(AND('Zdroj data'!O98&gt;=Body!$BK$19,'Zdroj data'!O98&lt;=Body!$BM$19),Body!$BK$6,IF(AND('Zdroj data'!O98&gt;=Body!$BN$19,'Zdroj data'!O98&lt;=Body!$BP$19),Body!$BN$6,IF(AND('Zdroj data'!O98&gt;=Body!$BQ$19,'Zdroj data'!O98&lt;=Body!$BS$19),Body!$BQ$6,IF(AND('Zdroj data'!O98&gt;=Body!$BT$19,'Zdroj data'!#REF!&lt;=Body!$BV$19),Body!$BT$6,IF(AND('Zdroj data'!O98&gt;=Body!$BW$19,'Zdroj data'!O98&lt;=Body!$BY$19),Body!$BW$6,IF('Zdroj data'!O98&gt;=Body!$CB$19,Body!$BZ$6," ")))))))))),IF(AND('Zdroj data'!BG98="T",'Zdroj data'!AM98=Body!$AX$20),IF(AND('Zdroj data'!O98&gt;=Body!$AY$20,'Zdroj data'!O98&lt;=Body!$BA$20),Body!$AY$6,IF(AND('Zdroj data'!O98&gt;=Body!$BB$20,'Zdroj data'!O98&lt;=Body!$BD$20),Body!$BB$6,IF(AND('Zdroj data'!O98&gt;=Body!$BE$20,'Zdroj data'!O98&lt;=Body!$BG$20),Body!$BE$6,IF(AND('Zdroj data'!O98&gt;=Body!$BH$20,'Zdroj data'!O98&lt;=Body!$BJ$20),Body!$BH$6,IF(AND('Zdroj data'!O98&gt;=Body!$BK$20,'Zdroj data'!O98&lt;=Body!$BM$20),Body!$BK$6,IF(AND('Zdroj data'!O98&gt;=Body!$BN$20,'Zdroj data'!O98&lt;=Body!$BP$20),Body!$BN$6,IF(AND('Zdroj data'!O98&gt;=Body!$BQ$20,'Zdroj data'!O98&lt;=Body!$BS$20),Body!$BQ$6,IF(AND('Zdroj data'!O98&gt;=Body!$BT$20,'Zdroj data'!O98&lt;=Body!#REF!),Body!$BT$6,IF(AND('Zdroj data'!O98&gt;=Body!$BW$20,'Zdroj data'!O98&lt;=Body!$BY$20),Body!$BW$6,IF('Zdroj data'!O98&gt;=Body!$CB$20,Body!$BZ$6," "))))))))))," ")))</f>
        <v xml:space="preserve"> </v>
      </c>
      <c r="AI98" s="264" t="str">
        <f>IF(AND('Zdroj data'!$BG98="L",'Zdroj data'!$AM98=Body!$AX$18),IF(AND(Tabulka1[[#This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data'!$BG98="ST",'Zdroj data'!$AM98=Body!$AX$19),IF(AND(Tabulka1[[#This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data'!$BG98="T",'Zdroj data'!$AM98=Body!$AX$20),IF(AND(Tabulka1[[#This Row],[K2O_60]]&gt;=Body!$AY$20,'Zdroj data'!O98&lt;=Body!$BA$20),Body!$AY$6,IF(AND(Tabulka1[[#This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98" s="265">
        <f t="shared" si="13"/>
        <v>14.666666666666682</v>
      </c>
      <c r="AK98" s="264">
        <f t="shared" si="14"/>
        <v>26.580797933065117</v>
      </c>
      <c r="AL98" s="264">
        <f t="shared" si="15"/>
        <v>23.782011871563189</v>
      </c>
      <c r="AM98" s="264">
        <f t="shared" si="16"/>
        <v>49.472872024436654</v>
      </c>
      <c r="AN98" s="264">
        <f t="shared" si="17"/>
        <v>51.017465231638639</v>
      </c>
      <c r="AO98" s="265">
        <f t="shared" si="21"/>
        <v>76.053669957501768</v>
      </c>
      <c r="AP98" s="265">
        <f t="shared" si="18"/>
        <v>74.799477103201824</v>
      </c>
      <c r="AQ98" s="318"/>
      <c r="AR98" s="338">
        <f t="shared" si="19"/>
        <v>165.51981372737026</v>
      </c>
      <c r="AS98" s="318"/>
      <c r="AT98" s="138"/>
      <c r="AU98" s="138"/>
    </row>
    <row r="99" spans="1:47" ht="15.5" x14ac:dyDescent="0.35">
      <c r="A99" s="270">
        <v>4378</v>
      </c>
      <c r="B99" s="156" t="s">
        <v>547</v>
      </c>
      <c r="C99" s="250" t="str">
        <f>VLOOKUP(B99,'Zdroj hloubka okresy'!$A$2:$D$171,2,FALSE)</f>
        <v>Pribram</v>
      </c>
      <c r="D99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7</v>
      </c>
      <c r="E99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99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99" s="264">
        <f>IF(AND(Tabulka1[[#This Row],[hum_60]]&gt;AY105,Tabulka1[[#This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4</v>
      </c>
      <c r="H99" s="264">
        <f>IF(Tabulka1[[#This Row],[kv.ek.]]=Body!$AX$13,IF(AND('Zdroj data'!M99&gt;=Body!$AY$13,'Zdroj data'!M99&lt;=Body!$BA$13),Body!$AY$6,IF(AND('Zdroj data'!M99&gt;=Body!$BB$13,'Zdroj data'!M99&lt;=Body!$BD$13),Body!$BB$6,IF(AND('Zdroj data'!M99&gt;=Body!$BE$13,'Zdroj data'!M99&lt;=Body!$BG$13),Body!$BE$6,IF(AND('Zdroj data'!M99&gt;=Body!$BH$13,'Zdroj data'!M99&lt;=Body!$BJ$13),Body!$BH$6,IF(AND('Zdroj data'!M99&gt;=Body!$BK$13,'Zdroj data'!M99&lt;=Body!$BM$13),Body!$BK$6,IF(AND('Zdroj data'!M99&gt;=Body!$BN$13,'Zdroj data'!M99&lt;=Body!$BP$13),Body!$BN$6,IF(AND('Zdroj data'!M99&gt;=Body!$BQ$13,'Zdroj data'!M99&lt;=Body!$BS$13),Body!$BQ$6,IF(AND('Zdroj data'!M99&gt;=Body!$BT$13,'Zdroj data'!M99&lt;=Body!$BV$13),Body!$BT$6,IF(AND('Zdroj data'!M99&gt;=Body!$BW$13,'Zdroj data'!M99&lt;=Body!$BY$13),Body!$BW$6,IF('Zdroj data'!M99&gt;=Body!$CB$13,Body!$BZ$6," ")))))))))),IF(Tabulka1[[#This Row],[kv.ek.]]=Body!$AX$14,IF(AND('Zdroj data'!N99&gt;=Body!$AY$14,'Zdroj data'!N99&lt;=Body!$BA$14),Body!$AY$6,IF(AND('Zdroj data'!N99&gt;=Body!$BB$14,'Zdroj data'!N99&lt;=Body!$BD$14),Body!$BB$6,IF(AND('Zdroj data'!N99&gt;=Body!$BE$14,'Zdroj data'!N99&lt;=Body!$BG$14),Body!$BE$6,IF(AND('Zdroj data'!N99&gt;=Body!$BH$14,'Zdroj data'!N99&lt;=Body!$BJ$14),Body!$BH$6,IF(AND('Zdroj data'!N99&gt;=Body!$BK$14,'Zdroj data'!N99&lt;=Body!$BM$14),Body!$BK$6,IF(AND('Zdroj data'!N99&gt;=Body!$BN$14,'Zdroj data'!N99&lt;=Body!$BP$14),Body!$BN$6,IF(AND('Zdroj data'!N99&gt;=Body!$BQ$14,'Zdroj data'!N99&lt;=Body!$BS$14),Body!$BQ$6,IF(AND('Zdroj data'!N99&gt;=Body!$BT$14,'Zdroj data'!N99&lt;=Body!$BV$14),Body!$BT$6,IF(AND('Zdroj data'!N99&gt;=Body!$BW$14,'Zdroj data'!N99&lt;=Body!$BY$14),Body!$BW$6,IF('Zdroj data'!N99&gt;=Body!$CB$14,Body!$BZ$6," "))))))))))," "))</f>
        <v>1</v>
      </c>
      <c r="I99" s="264">
        <f>IF(Tabulka1[[#This Row],[kv.ek.]]=Body!$AX$13,IF(AND('Zdroj data'!N99&gt;=Body!$AY$13,'Zdroj data'!N99&lt;=Body!$BA$13),Body!$AY$6,IF(AND('Zdroj data'!N99&gt;=Body!$BB$13,'Zdroj data'!N99&lt;=Body!$BD$13),Body!$BB$6,IF(AND('Zdroj data'!N99&gt;=Body!$BE$13,'Zdroj data'!N99&lt;=Body!$BG$13),Body!$BE$6,IF(AND('Zdroj data'!N99&gt;=Body!$BH$13,'Zdroj data'!N99&lt;=Body!$BJ$13),Body!$BH$6,IF(AND('Zdroj data'!N99&gt;=Body!$BK$13,'Zdroj data'!N99&lt;=Body!$BM$13),Body!$BK$6,IF(AND('Zdroj data'!N99&gt;=Body!$BN$13,'Zdroj data'!N99&lt;=Body!$BP$13),Body!$BN$6,IF(AND('Zdroj data'!N99&gt;=Body!$BQ$13,'Zdroj data'!N99&lt;=Body!$BS$13),Body!$BQ$6,IF(AND('Zdroj data'!N99&gt;=Body!$BT$13,'Zdroj data'!N99&lt;=Body!$BV$13),Body!$BT$6,IF(AND('Zdroj data'!N99&gt;=Body!$BW$13,'Zdroj data'!N99&lt;=Body!$BY$13),Body!$BW$6,IF('Zdroj data'!N99&gt;=Body!$CB$13,Body!$BZ$6," ")))))))))),IF(Tabulka1[[#This Row],[kv.ek.]]=Body!$AX$14,IF(AND('Zdroj data'!O99&gt;=Body!$AY$14,'Zdroj data'!O99&lt;=Body!$BA$14),Body!$AY$6,IF(AND('Zdroj data'!O99&gt;=Body!$BB$14,'Zdroj data'!O99&lt;=Body!$BD$14),Body!$BB$6,IF(AND('Zdroj data'!O99&gt;=Body!$BE$14,'Zdroj data'!O99&lt;=Body!$BG$14),Body!$BE$6,IF(AND('Zdroj data'!O99&gt;=Body!$BH$14,'Zdroj data'!O99&lt;=Body!$BJ$14),Body!$BH$6,IF(AND('Zdroj data'!O99&gt;=Body!$BK$14,'Zdroj data'!O99&lt;=Body!$BM$14),Body!$BK$6,IF(AND('Zdroj data'!O99&gt;=Body!$BN$14,'Zdroj data'!O99&lt;=Body!$BP$14),Body!$BN$6,IF(AND('Zdroj data'!O99&gt;=Body!$BQ$14,'Zdroj data'!O99&lt;=Body!$BS$14),Body!$BQ$6,IF(AND('Zdroj data'!O99&gt;=Body!$BT$14,'Zdroj data'!O99&lt;=Body!$BV$14),Body!$BT$6,IF(AND('Zdroj data'!O99&gt;=Body!$BW$14,'Zdroj data'!O99&lt;=Body!$BY$14),Body!$BW$6,IF('Zdroj data'!O99&gt;=Body!$CB$14,Body!$BZ$6," "))))))))))," "))</f>
        <v>1</v>
      </c>
      <c r="J99" s="264">
        <f t="shared" si="24"/>
        <v>1</v>
      </c>
      <c r="K99" s="264">
        <f t="shared" si="23"/>
        <v>1</v>
      </c>
      <c r="L99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8</v>
      </c>
      <c r="M99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7</v>
      </c>
      <c r="N99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99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6</v>
      </c>
      <c r="P99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99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99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99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99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99" s="264">
        <f>IF('Zdroj data'!BB99=Body!$AY$25,Body!$AY$22,IF('Zdroj data'!BB99=Body!$BB$25,Body!$BB$22,IF('Zdroj data'!BB99=Body!$BE$25,Body!$BE$22,IF('Zdroj data'!BB99=Body!$BH$25,Body!$BH$22,IF('Zdroj data'!BB99=Body!BK$25,Body!$BK$22,IF('Zdroj data'!BB99=Body!$BN$25,Body!$BN$22,IF('Zdroj data'!BB99=Body!$BQ$25,Body!$BQ$22,IF('Zdroj data'!BB99=Body!$BT$25,Body!$BT$22,IF('Zdroj data'!BB99=Body!$BW$25,Body!$BW$22,IF('Zdroj data'!BB99=Body!$BZ$25,Body!$BZ$22," "))))))))))</f>
        <v>5</v>
      </c>
      <c r="V99" s="264">
        <f>IF(AND('Zdroj data'!BO99&gt;Body!$AY$27,'Zdroj data'!BO99&lt;=Body!$BA$27),Body!$AY$22,IF(AND('Zdroj data'!BO99&gt;=Body!$BB$27,'Zdroj data'!BO99&lt;=Body!$BD$27),Body!$BB$22,IF(AND('Zdroj data'!BO99&gt;=Body!$BE$27,'Zdroj data'!BO99&lt;=Body!$BG$27),Body!$BE$22,IF(AND('Zdroj data'!BO99&gt;=Body!$BH$27,'Zdroj data'!BO99&lt;=Body!$BJ$27),Body!$BH$22,IF(AND('Zdroj data'!BO99&gt;=Body!$BK$27,'Zdroj data'!BO99&lt;=Body!$BM$27),Body!$BK$22,IF(AND('Zdroj data'!BO99&gt;=Body!$BN$27,'Zdroj data'!BO99&lt;=Body!$BP$27),Body!$BN$22,IF(AND('Zdroj data'!BO99&gt;=Body!$BQ$27,'Zdroj data'!BO99&lt;=Body!$BS$27),Body!$BQ$22,IF(AND('Zdroj data'!BO99&gt;=Body!$BT$27,'Zdroj data'!BO99&lt;=Body!$BV$27),Body!$BT$22,IF(AND('Zdroj data'!BO99&gt;=Body!$BW$27,'Zdroj data'!BO99&lt;=Body!$BY$27),Body!$BW$22,IF('Zdroj data'!BO99&gt;=Body!$CB$27,$BZ$22," "))))))))))</f>
        <v>6</v>
      </c>
      <c r="W99" s="264">
        <f>IF(AND('Zdroj data'!BP99&gt;Body!$AY$27,'Zdroj data'!BP99&lt;=Body!$BA$27),Body!$AY$22,IF(AND('Zdroj data'!BP99&gt;=Body!$BB$27,'Zdroj data'!BP99&lt;=Body!$BD$27),Body!$BB$22,IF(AND('Zdroj data'!BP99&gt;=Body!$BE$27,'Zdroj data'!BP99&lt;=Body!$BG$27),Body!$BE$22,IF(AND('Zdroj data'!BP99&gt;=Body!$BH$27,'Zdroj data'!BP99&lt;=Body!$BJ$27),Body!$BH$22,IF(AND('Zdroj data'!BP99&gt;=Body!$BK$27,'Zdroj data'!BP99&lt;=Body!$BM$27),Body!$BK$22,IF(AND('Zdroj data'!BP99&gt;=Body!$BN$27,'Zdroj data'!BP99&lt;=Body!$BP$27),Body!$BN$22,IF(AND('Zdroj data'!BP99&gt;=Body!$BQ$27,'Zdroj data'!BP99&lt;=Body!$BS$27),Body!$BQ$22,IF(AND('Zdroj data'!BP99&gt;=Body!$BT$27,'Zdroj data'!BP99&lt;=Body!$BV$27),Body!$BT$22,IF(AND('Zdroj data'!BP99&gt;=Body!$BW$27,'Zdroj data'!BP99&lt;=Body!$BY$27),Body!$BW$22,IF('Zdroj data'!BP99&gt;=Body!$CB$27,$BZ$22," "))))))))))</f>
        <v>7</v>
      </c>
      <c r="X99" s="264">
        <f>IF('Zdroj data'!BA99=Body!$BB$28,$BB$22,IF('Zdroj data'!BA99=Body!$BE$28,$BE$22,IF(OR('Zdroj data'!BA99=Body!$BK$28,'Zdroj data'!BA99=Body!$BL$28,'Zdroj data'!BA99=Body!$BM$28),$BK$22,IF(OR('Zdroj data'!BA99=Body!$BT$28,'Zdroj data'!BA99=Body!$BV$28),$BT$22,IF(OR('Zdroj data'!BA99=Body!$BW$28,'Zdroj data'!BA99=Body!$BY$28),$BW$22,IF('Zdroj data'!BA99=Body!$BZ$28,$BZ$22," "))))))</f>
        <v>10</v>
      </c>
      <c r="Y99" s="264">
        <f>IF('Zdroj data'!AZ99=Body!$BZ$29,Body!$BZ$22,IF(OR('Zdroj data'!AZ99=$BT$29,'Zdroj data'!AZ99=$BU$29,'Zdroj data'!AZ99=$BV$29),$BT$22,IF(OR('Zdroj data'!AZ99=$BK$29,'Zdroj data'!AZ99=$BM$29),$BK$22,IF(OR('Zdroj data'!AZ99=$BE$29,'Zdroj data'!AZ99=$BG$29),$BE$22,IF(OR('Zdroj data'!AZ99=$AY$29,'Zdroj data'!AZ99=$BA$29),$AY$22," ")))))</f>
        <v>10</v>
      </c>
      <c r="Z99" s="264">
        <f>IF(AND('Zdroj data'!BF99="T",(OR('Zdroj data'!AZ99=Body!$AW$45,'Zdroj data'!AZ99=Body!$AW$46,'Zdroj data'!AZ99=Body!$AW$47,'Zdroj data'!AZ99=Body!$AW$48))),Body!$AY$22,IF(AND('Zdroj data'!BF99="T",(OR('Zdroj data'!AZ99=$AW$49,'Zdroj data'!AZ99=$AW$50,'Zdroj data'!AZ99=$AW$51,'Zdroj data'!AZ99=$AW$52))),$BZ$22,IF(AND(OR('Zdroj data'!BF99="VT",'Zdroj data'!BF99="T",'Zdroj data'!BF99="CH"),(OR('Zdroj data'!AZ99=$AW$43,'Zdroj data'!AZ99=$AW$44,))),$BZ$22,IF(AND('Zdroj data'!BF99="CH",(OR('Zdroj data'!AZ99=$AW$49,'Zdroj data'!AZ99=$AW$50,'Zdroj data'!AZ99=$AW$51,'Zdroj data'!AZ99=$AW$52))),$AY$22,IF(AND('Zdroj data'!BF99="CH",(OR('Zdroj data'!AZ99=$AW$45,'Zdroj data'!AZ99=$AW$46,'Zdroj data'!AZ99=$AW$47,'Zdroj data'!AZ99=$AW$48))),$BZ$22," ")))))</f>
        <v>10</v>
      </c>
      <c r="AA99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99" s="264">
        <f>IF(Tabulka1[[#This Row],[kv.ek.]]=Body!$BK$35,Body!$BK$34,IF(Tabulka1[[#This Row],[kv.ek.]]=Body!$BZ$35,Body!$BZ$34," "))</f>
        <v>5</v>
      </c>
      <c r="AC99" s="264" t="str">
        <f>IF(AND('Zdroj data'!BF99="T",(OR('Zdroj data'!AZ99=Body!$AW$45,'Zdroj data'!AZ99=Body!$AW$46,'Zdroj data'!AZ99=Body!$AW$47,'Zdroj data'!AZ99=Body!$AW$48))),Body!$AY$22,IF(AND('Zdroj data'!BF99="T",(OR('Zdroj data'!AZ99=$AW$49,'Zdroj data'!AZ99=$AW$50,'Zdroj data'!AZ99=$AW$51,'Zdroj data'!AZ99=$AW$52))),$BZ$22," "))</f>
        <v xml:space="preserve"> </v>
      </c>
      <c r="AD99" s="264">
        <f>IF(AND(OR('Zdroj data'!BF99="VT",'Zdroj data'!BF99="T",'Zdroj data'!BF99="CH"),(OR('Zdroj data'!AZ99=$AW$43,'Zdroj data'!AZ99=$AW$44,))),$BZ$22," ")</f>
        <v>10</v>
      </c>
      <c r="AE99" s="264" t="str">
        <f>IF(AND('Zdroj data'!BF99="CH",(OR('Zdroj data'!AZ99=$AW$49,'Zdroj data'!AZ99=$AW$50,'Zdroj data'!AZ99=$AW$51,'Zdroj data'!AZ99=$AW$52))),$AY$22,IF(AND('Zdroj data'!BF99="CH",(OR('Zdroj data'!AZ99=$AW$45,'Zdroj data'!AZ99=$AW$46,'Zdroj data'!AZ99=$AW$47,'Zdroj data'!AZ99=$AW$48))),$BZ$22," "))</f>
        <v xml:space="preserve"> </v>
      </c>
      <c r="AF99" s="264">
        <f>IF(AND('Zdroj data'!BG99="L",'Zdroj data'!AM99=Body!$AX$15),IF(AND('Zdroj data'!O99&gt;=Body!$AY$15,'Zdroj data'!O99&lt;=Body!$BA$15),Body!AY$6,IF(AND('Zdroj data'!O99&gt;=Body!$BB$15,'Zdroj data'!O99&lt;=Body!$BD$15),Body!BB$6,IF(AND('Zdroj data'!O99&gt;=Body!$BE$15,'Zdroj data'!O99&lt;=Body!$BG$15),Body!BE$6,IF(AND('Zdroj data'!O99&gt;=Body!$BH$15,'Zdroj data'!O99&lt;=Body!$BJ$15),Body!BH$6,IF(AND('Zdroj data'!O99&gt;=Body!$BK$15,'Zdroj data'!O99&lt;=Body!$BM$15),Body!BK$6,IF(AND('Zdroj data'!O99&gt;=Body!$BN$15,'Zdroj data'!O99&lt;=Body!$BP$15),Body!$BN$6,IF(AND('Zdroj data'!O99&gt;=Body!$BQ$15,'Zdroj data'!O99&lt;=Body!$BS$15),Body!$BQ$6,IF(AND('Zdroj data'!O99&gt;=Body!$BT$15,'Zdroj data'!O99&lt;=Body!$BV$15),Body!BT$6,IF(AND('Zdroj data'!O99&gt;=Body!$BW$15,'Zdroj data'!O99&lt;=Body!$BY$15),Body!$BW$6,IF('Zdroj data'!O99&gt;=Body!$CB$15,Body!$BZ$6," ")))))))))),IF(AND('Zdroj data'!BG99="ST",'Zdroj data'!AM99=Body!$AX$16),IF(AND('Zdroj data'!O99&gt;=Body!$AY$16,'Zdroj data'!O99&lt;=Body!$BA$16),Body!$AY$6,IF(AND('Zdroj data'!O99&gt;=Body!$BB$16,'Zdroj data'!O99&lt;=Body!$BD$16),Body!$BB$6,IF(AND('Zdroj data'!O99&gt;=Body!$BE$16,'Zdroj data'!O99&lt;=Body!$BG$16),Body!$BE$6,IF(AND('Zdroj data'!O99&gt;=Body!$BH$16,'Zdroj data'!O99&lt;=Body!$BJ$16),Body!$BH$6,IF(AND('Zdroj data'!O99&gt;=Body!$BK$16,'Zdroj data'!O99&lt;=Body!$BM$16),Body!$BK$6,IF(AND('Zdroj data'!O99&gt;=Body!$BN$16,'Zdroj data'!O99&lt;=Body!$BP$16),Body!$BN$6,IF(AND('Zdroj data'!O99&gt;=Body!$BQ$16,'Zdroj data'!O99&lt;=Body!$BS$16),Body!$BQ$6,IF(AND('Zdroj data'!O99&gt;=Body!$BT$16,'Zdroj data'!O99&lt;=Body!$BV$16),Body!$BT$6,IF(AND('Zdroj data'!O99&gt;=Body!$BW$16,'Zdroj data'!O99&lt;=Body!$BY$16),Body!$BW$6,IF('Zdroj data'!O99&gt;=Body!$CB$16,Body!$BZ$6," ")))))))))),IF(AND('Zdroj data'!BG99="T",'Zdroj data'!AM99=Body!$AX$17),IF(AND('Zdroj data'!O99&gt;=Body!$AY$17,'Zdroj data'!O99&lt;=Body!$BA$17),Body!$AY$6,IF(AND('Zdroj data'!O99&gt;=Body!$BB$17,'Zdroj data'!O99&lt;=Body!$BD$17),Body!$BB$6,IF(AND('Zdroj data'!O99&gt;=Body!$BE$17,'Zdroj data'!O99&lt;=Body!$BG$17),Body!$BE$6,IF(AND('Zdroj data'!O99&gt;=Body!$BH$17,'Zdroj data'!O99&lt;=Body!#REF!),Body!$BH$6,IF(AND('Zdroj data'!O99&gt;=Body!$BK$17,'Zdroj data'!O99&lt;=Body!$BM$17),Body!$BK$6,IF(AND('Zdroj data'!O99&gt;=Body!$BN$17,'Zdroj data'!O99&lt;=Body!$BP$17),Body!$BN$6,IF(AND('Zdroj data'!O99&gt;=Body!$BQ$17,'Zdroj data'!O99&lt;=Body!$BS$17),Body!$BQ$6,IF(AND('Zdroj data'!O99&gt;=Body!$BT$17,'Zdroj data'!O99&lt;=Body!$BV$17),Body!$BT$6,IF(AND('Zdroj data'!O99&gt;=Body!$BW$17,'Zdroj data'!O99&lt;=Body!$BY$17),Body!$BW$6,IF('Zdroj data'!O99&gt;=Body!$CB$17,Body!$BZ$6," "))))))))))," ")))</f>
        <v>1</v>
      </c>
      <c r="AG99" s="264">
        <f>IF(AND('Zdroj data'!$BG99="L",'Zdroj data'!$AM99=Body!$AX$15),IF(AND(Tabulka1[[#This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data'!$BG99="ST",'Zdroj data'!$AM99=Body!$AX$16),IF(AND(Tabulka1[[#This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data'!$BG99="T",'Zdroj data'!$AM99=Body!$AX$17),IF(AND(Tabulka1[[#This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99" s="264" t="str">
        <f>IF(AND('Zdroj data'!BG99="L",'Zdroj data'!AM99=Body!$AX$18),IF(AND('Zdroj data'!O99&gt;=Body!$AY$18,'Zdroj data'!O99&lt;=Body!$BA$18),Body!AY$6,IF(AND('Zdroj data'!O99&gt;=Body!$BB$18,'Zdroj data'!O99&lt;=Body!$BD$18),Body!BB$6,IF(AND('Zdroj data'!O99&gt;=Body!$BE$18,'Zdroj data'!O99&lt;=Body!$BG$18),Body!BE$6,IF(AND('Zdroj data'!O99&gt;=Body!$BH$18,'Zdroj data'!O99&lt;=Body!$BJ$18),Body!BH$6,IF(AND('Zdroj data'!O99&gt;=Body!$BK$18,'Zdroj data'!O99&lt;=Body!$BM$18),Body!$BK$6,IF(AND('Zdroj data'!O99&gt;=Body!$BN$18,'Zdroj data'!O99&lt;=Body!$BP$18),Body!BN$6,IF(AND('Zdroj data'!O99&gt;=Body!$BQ$18,'Zdroj data'!O99&lt;=Body!$BS$18),Body!$BQ$6,IF(AND('Zdroj data'!O99&gt;=Body!$BT$18,'Zdroj data'!O99&lt;=Body!$BV$18),Body!$BT$6,IF(AND('Zdroj data'!O99&gt;=Body!$BW$18,'Zdroj data'!O99&lt;=Body!$BY$18),Body!$BW$6,IF('Zdroj data'!O99&gt;=Body!$CB$18,Body!$BZ$6," ")))))))))),IF(AND('Zdroj data'!BG99="ST",'Zdroj data'!AM99=Body!$AX$19),IF(AND('Zdroj data'!O99&gt;=Body!$AY$19,'Zdroj data'!O99&lt;=Body!$BA$19),Body!$AY$6,IF(AND('Zdroj data'!O99&gt;=Body!$BB$19,'Zdroj data'!O99&lt;=Body!$BD$19),Body!$BB$6,IF(AND('Zdroj data'!O99&gt;=Body!$BE$19,'Zdroj data'!O99&lt;=Body!$BG$19),Body!$BE$6,IF(AND('Zdroj data'!O99&gt;=Body!$BH$19,'Zdroj data'!O99&lt;=Body!$BJ$19),Body!$BH$6,IF(AND('Zdroj data'!O99&gt;=Body!$BK$19,'Zdroj data'!O99&lt;=Body!$BM$19),Body!$BK$6,IF(AND('Zdroj data'!O99&gt;=Body!$BN$19,'Zdroj data'!O99&lt;=Body!$BP$19),Body!$BN$6,IF(AND('Zdroj data'!O99&gt;=Body!$BQ$19,'Zdroj data'!O99&lt;=Body!$BS$19),Body!$BQ$6,IF(AND('Zdroj data'!O99&gt;=Body!$BT$19,'Zdroj data'!#REF!&lt;=Body!$BV$19),Body!$BT$6,IF(AND('Zdroj data'!O99&gt;=Body!$BW$19,'Zdroj data'!O99&lt;=Body!$BY$19),Body!$BW$6,IF('Zdroj data'!O99&gt;=Body!$CB$19,Body!$BZ$6," ")))))))))),IF(AND('Zdroj data'!BG99="T",'Zdroj data'!AM99=Body!$AX$20),IF(AND('Zdroj data'!O99&gt;=Body!$AY$20,'Zdroj data'!O99&lt;=Body!$BA$20),Body!$AY$6,IF(AND('Zdroj data'!O99&gt;=Body!$BB$20,'Zdroj data'!O99&lt;=Body!$BD$20),Body!$BB$6,IF(AND('Zdroj data'!O99&gt;=Body!$BE$20,'Zdroj data'!O99&lt;=Body!$BG$20),Body!$BE$6,IF(AND('Zdroj data'!O99&gt;=Body!$BH$20,'Zdroj data'!O99&lt;=Body!$BJ$20),Body!$BH$6,IF(AND('Zdroj data'!O99&gt;=Body!$BK$20,'Zdroj data'!O99&lt;=Body!$BM$20),Body!$BK$6,IF(AND('Zdroj data'!O99&gt;=Body!$BN$20,'Zdroj data'!O99&lt;=Body!$BP$20),Body!$BN$6,IF(AND('Zdroj data'!O99&gt;=Body!$BQ$20,'Zdroj data'!O99&lt;=Body!$BS$20),Body!$BQ$6,IF(AND('Zdroj data'!O99&gt;=Body!$BT$20,'Zdroj data'!O99&lt;=Body!#REF!),Body!$BT$6,IF(AND('Zdroj data'!O99&gt;=Body!$BW$20,'Zdroj data'!O99&lt;=Body!$BY$20),Body!$BW$6,IF('Zdroj data'!O99&gt;=Body!$CB$20,Body!$BZ$6," "))))))))))," ")))</f>
        <v xml:space="preserve"> </v>
      </c>
      <c r="AI99" s="264" t="str">
        <f>IF(AND('Zdroj data'!$BG99="L",'Zdroj data'!$AM99=Body!$AX$18),IF(AND(Tabulka1[[#This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data'!$BG99="ST",'Zdroj data'!$AM99=Body!$AX$19),IF(AND(Tabulka1[[#This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data'!$BG99="T",'Zdroj data'!$AM99=Body!$AX$20),IF(AND(Tabulka1[[#This Row],[K2O_60]]&gt;=Body!$AY$20,'Zdroj data'!O99&lt;=Body!$BA$20),Body!$AY$6,IF(AND(Tabulka1[[#This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99" s="265">
        <f t="shared" si="13"/>
        <v>5.3333333333333375</v>
      </c>
      <c r="AK99" s="264">
        <f t="shared" si="14"/>
        <v>29.852363964892049</v>
      </c>
      <c r="AL99" s="264">
        <f t="shared" si="15"/>
        <v>29.273566246199042</v>
      </c>
      <c r="AM99" s="264">
        <f t="shared" si="16"/>
        <v>74.611021422904926</v>
      </c>
      <c r="AN99" s="264">
        <f t="shared" si="17"/>
        <v>72.241990673030912</v>
      </c>
      <c r="AO99" s="265">
        <f t="shared" si="21"/>
        <v>104.46338538779698</v>
      </c>
      <c r="AP99" s="265">
        <f t="shared" si="18"/>
        <v>101.51555691922995</v>
      </c>
      <c r="AQ99" s="318"/>
      <c r="AR99" s="338">
        <f t="shared" si="19"/>
        <v>211.31227564036027</v>
      </c>
      <c r="AS99" s="318"/>
      <c r="AT99" s="138"/>
      <c r="AU99" s="138"/>
    </row>
    <row r="100" spans="1:47" ht="15.5" x14ac:dyDescent="0.35">
      <c r="A100" s="270">
        <v>5292</v>
      </c>
      <c r="B100" s="156" t="s">
        <v>76</v>
      </c>
      <c r="C100" s="250" t="str">
        <f>VLOOKUP(B100,'Zdroj hloubka okresy'!$A$2:$D$171,2,FALSE)</f>
        <v>Kutna_Hora</v>
      </c>
      <c r="D100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100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100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8</v>
      </c>
      <c r="G100" s="264">
        <f>IF(AND(Tabulka1[[#This Row],[hum_60]]&gt;AY106,Tabulka1[[#This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5</v>
      </c>
      <c r="H100" s="264">
        <f>IF(Tabulka1[[#This Row],[kv.ek.]]=Body!$AX$13,IF(AND('Zdroj data'!M100&gt;=Body!$AY$13,'Zdroj data'!M100&lt;=Body!$BA$13),Body!$AY$6,IF(AND('Zdroj data'!M100&gt;=Body!$BB$13,'Zdroj data'!M100&lt;=Body!$BD$13),Body!$BB$6,IF(AND('Zdroj data'!M100&gt;=Body!$BE$13,'Zdroj data'!M100&lt;=Body!$BG$13),Body!$BE$6,IF(AND('Zdroj data'!M100&gt;=Body!$BH$13,'Zdroj data'!M100&lt;=Body!$BJ$13),Body!$BH$6,IF(AND('Zdroj data'!M100&gt;=Body!$BK$13,'Zdroj data'!M100&lt;=Body!$BM$13),Body!$BK$6,IF(AND('Zdroj data'!M100&gt;=Body!$BN$13,'Zdroj data'!M100&lt;=Body!$BP$13),Body!$BN$6,IF(AND('Zdroj data'!M100&gt;=Body!$BQ$13,'Zdroj data'!M100&lt;=Body!$BS$13),Body!$BQ$6,IF(AND('Zdroj data'!M100&gt;=Body!$BT$13,'Zdroj data'!M100&lt;=Body!$BV$13),Body!$BT$6,IF(AND('Zdroj data'!M100&gt;=Body!$BW$13,'Zdroj data'!M100&lt;=Body!$BY$13),Body!$BW$6,IF('Zdroj data'!M100&gt;=Body!$CB$13,Body!$BZ$6," ")))))))))),IF(Tabulka1[[#This Row],[kv.ek.]]=Body!$AX$14,IF(AND('Zdroj data'!N100&gt;=Body!$AY$14,'Zdroj data'!N100&lt;=Body!$BA$14),Body!$AY$6,IF(AND('Zdroj data'!N100&gt;=Body!$BB$14,'Zdroj data'!N100&lt;=Body!$BD$14),Body!$BB$6,IF(AND('Zdroj data'!N100&gt;=Body!$BE$14,'Zdroj data'!N100&lt;=Body!$BG$14),Body!$BE$6,IF(AND('Zdroj data'!N100&gt;=Body!$BH$14,'Zdroj data'!N100&lt;=Body!$BJ$14),Body!$BH$6,IF(AND('Zdroj data'!N100&gt;=Body!$BK$14,'Zdroj data'!N100&lt;=Body!$BM$14),Body!$BK$6,IF(AND('Zdroj data'!N100&gt;=Body!$BN$14,'Zdroj data'!N100&lt;=Body!$BP$14),Body!$BN$6,IF(AND('Zdroj data'!N100&gt;=Body!$BQ$14,'Zdroj data'!N100&lt;=Body!$BS$14),Body!$BQ$6,IF(AND('Zdroj data'!N100&gt;=Body!$BT$14,'Zdroj data'!N100&lt;=Body!$BV$14),Body!$BT$6,IF(AND('Zdroj data'!N100&gt;=Body!$BW$14,'Zdroj data'!N100&lt;=Body!$BY$14),Body!$BW$6,IF('Zdroj data'!N100&gt;=Body!$CB$14,Body!$BZ$6," "))))))))))," "))</f>
        <v>1</v>
      </c>
      <c r="I100" s="264">
        <f>IF(Tabulka1[[#This Row],[kv.ek.]]=Body!$AX$13,IF(AND('Zdroj data'!N100&gt;=Body!$AY$13,'Zdroj data'!N100&lt;=Body!$BA$13),Body!$AY$6,IF(AND('Zdroj data'!N100&gt;=Body!$BB$13,'Zdroj data'!N100&lt;=Body!$BD$13),Body!$BB$6,IF(AND('Zdroj data'!N100&gt;=Body!$BE$13,'Zdroj data'!N100&lt;=Body!$BG$13),Body!$BE$6,IF(AND('Zdroj data'!N100&gt;=Body!$BH$13,'Zdroj data'!N100&lt;=Body!$BJ$13),Body!$BH$6,IF(AND('Zdroj data'!N100&gt;=Body!$BK$13,'Zdroj data'!N100&lt;=Body!$BM$13),Body!$BK$6,IF(AND('Zdroj data'!N100&gt;=Body!$BN$13,'Zdroj data'!N100&lt;=Body!$BP$13),Body!$BN$6,IF(AND('Zdroj data'!N100&gt;=Body!$BQ$13,'Zdroj data'!N100&lt;=Body!$BS$13),Body!$BQ$6,IF(AND('Zdroj data'!N100&gt;=Body!$BT$13,'Zdroj data'!N100&lt;=Body!$BV$13),Body!$BT$6,IF(AND('Zdroj data'!N100&gt;=Body!$BW$13,'Zdroj data'!N100&lt;=Body!$BY$13),Body!$BW$6,IF('Zdroj data'!N100&gt;=Body!$CB$13,Body!$BZ$6," ")))))))))),IF(Tabulka1[[#This Row],[kv.ek.]]=Body!$AX$14,IF(AND('Zdroj data'!O100&gt;=Body!$AY$14,'Zdroj data'!O100&lt;=Body!$BA$14),Body!$AY$6,IF(AND('Zdroj data'!O100&gt;=Body!$BB$14,'Zdroj data'!O100&lt;=Body!$BD$14),Body!$BB$6,IF(AND('Zdroj data'!O100&gt;=Body!$BE$14,'Zdroj data'!O100&lt;=Body!$BG$14),Body!$BE$6,IF(AND('Zdroj data'!O100&gt;=Body!$BH$14,'Zdroj data'!O100&lt;=Body!$BJ$14),Body!$BH$6,IF(AND('Zdroj data'!O100&gt;=Body!$BK$14,'Zdroj data'!O100&lt;=Body!$BM$14),Body!$BK$6,IF(AND('Zdroj data'!O100&gt;=Body!$BN$14,'Zdroj data'!O100&lt;=Body!$BP$14),Body!$BN$6,IF(AND('Zdroj data'!O100&gt;=Body!$BQ$14,'Zdroj data'!O100&lt;=Body!$BS$14),Body!$BQ$6,IF(AND('Zdroj data'!O100&gt;=Body!$BT$14,'Zdroj data'!O100&lt;=Body!$BV$14),Body!$BT$6,IF(AND('Zdroj data'!O100&gt;=Body!$BW$14,'Zdroj data'!O100&lt;=Body!$BY$14),Body!$BW$6,IF('Zdroj data'!O100&gt;=Body!$CB$14,Body!$BZ$6," "))))))))))," "))</f>
        <v>1</v>
      </c>
      <c r="J100" s="264">
        <f t="shared" si="24"/>
        <v>1</v>
      </c>
      <c r="K100" s="264">
        <f t="shared" si="24"/>
        <v>1</v>
      </c>
      <c r="L100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10</v>
      </c>
      <c r="M100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9</v>
      </c>
      <c r="N100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5</v>
      </c>
      <c r="O100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5</v>
      </c>
      <c r="P100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00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100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100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5</v>
      </c>
      <c r="T100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4</v>
      </c>
      <c r="U100" s="264">
        <f>IF('Zdroj data'!BB100=Body!$AY$25,Body!$AY$22,IF('Zdroj data'!BB100=Body!$BB$25,Body!$BB$22,IF('Zdroj data'!BB100=Body!$BE$25,Body!$BE$22,IF('Zdroj data'!BB100=Body!$BH$25,Body!$BH$22,IF('Zdroj data'!BB100=Body!BK$25,Body!$BK$22,IF('Zdroj data'!BB100=Body!$BN$25,Body!$BN$22,IF('Zdroj data'!BB100=Body!$BQ$25,Body!$BQ$22,IF('Zdroj data'!BB100=Body!$BT$25,Body!$BT$22,IF('Zdroj data'!BB100=Body!$BW$25,Body!$BW$22,IF('Zdroj data'!BB100=Body!$BZ$25,Body!$BZ$22," "))))))))))</f>
        <v>5</v>
      </c>
      <c r="V100" s="264">
        <f>IF(AND('Zdroj data'!BO100&gt;Body!$AY$27,'Zdroj data'!BO100&lt;=Body!$BA$27),Body!$AY$22,IF(AND('Zdroj data'!BO100&gt;=Body!$BB$27,'Zdroj data'!BO100&lt;=Body!$BD$27),Body!$BB$22,IF(AND('Zdroj data'!BO100&gt;=Body!$BE$27,'Zdroj data'!BO100&lt;=Body!$BG$27),Body!$BE$22,IF(AND('Zdroj data'!BO100&gt;=Body!$BH$27,'Zdroj data'!BO100&lt;=Body!$BJ$27),Body!$BH$22,IF(AND('Zdroj data'!BO100&gt;=Body!$BK$27,'Zdroj data'!BO100&lt;=Body!$BM$27),Body!$BK$22,IF(AND('Zdroj data'!BO100&gt;=Body!$BN$27,'Zdroj data'!BO100&lt;=Body!$BP$27),Body!$BN$22,IF(AND('Zdroj data'!BO100&gt;=Body!$BQ$27,'Zdroj data'!BO100&lt;=Body!$BS$27),Body!$BQ$22,IF(AND('Zdroj data'!BO100&gt;=Body!$BT$27,'Zdroj data'!BO100&lt;=Body!$BV$27),Body!$BT$22,IF(AND('Zdroj data'!BO100&gt;=Body!$BW$27,'Zdroj data'!BO100&lt;=Body!$BY$27),Body!$BW$22,IF('Zdroj data'!BO100&gt;=Body!$CB$27,$BZ$22," "))))))))))</f>
        <v>5</v>
      </c>
      <c r="W100" s="264">
        <f>IF(AND('Zdroj data'!BP100&gt;Body!$AY$27,'Zdroj data'!BP100&lt;=Body!$BA$27),Body!$AY$22,IF(AND('Zdroj data'!BP100&gt;=Body!$BB$27,'Zdroj data'!BP100&lt;=Body!$BD$27),Body!$BB$22,IF(AND('Zdroj data'!BP100&gt;=Body!$BE$27,'Zdroj data'!BP100&lt;=Body!$BG$27),Body!$BE$22,IF(AND('Zdroj data'!BP100&gt;=Body!$BH$27,'Zdroj data'!BP100&lt;=Body!$BJ$27),Body!$BH$22,IF(AND('Zdroj data'!BP100&gt;=Body!$BK$27,'Zdroj data'!BP100&lt;=Body!$BM$27),Body!$BK$22,IF(AND('Zdroj data'!BP100&gt;=Body!$BN$27,'Zdroj data'!BP100&lt;=Body!$BP$27),Body!$BN$22,IF(AND('Zdroj data'!BP100&gt;=Body!$BQ$27,'Zdroj data'!BP100&lt;=Body!$BS$27),Body!$BQ$22,IF(AND('Zdroj data'!BP100&gt;=Body!$BT$27,'Zdroj data'!BP100&lt;=Body!$BV$27),Body!$BT$22,IF(AND('Zdroj data'!BP100&gt;=Body!$BW$27,'Zdroj data'!BP100&lt;=Body!$BY$27),Body!$BW$22,IF('Zdroj data'!BP100&gt;=Body!$CB$27,$BZ$22," "))))))))))</f>
        <v>6</v>
      </c>
      <c r="X100" s="264">
        <f>IF('Zdroj data'!BA100=Body!$BB$28,$BB$22,IF('Zdroj data'!BA100=Body!$BE$28,$BE$22,IF(OR('Zdroj data'!BA100=Body!$BK$28,'Zdroj data'!BA100=Body!$BL$28,'Zdroj data'!BA100=Body!$BM$28),$BK$22,IF(OR('Zdroj data'!BA100=Body!$BT$28,'Zdroj data'!BA100=Body!$BV$28),$BT$22,IF(OR('Zdroj data'!BA100=Body!$BW$28,'Zdroj data'!BA100=Body!$BY$28),$BW$22,IF('Zdroj data'!BA100=Body!$BZ$28,$BZ$22," "))))))</f>
        <v>10</v>
      </c>
      <c r="Y100" s="264">
        <f>IF('Zdroj data'!AZ100=Body!$BZ$29,Body!$BZ$22,IF(OR('Zdroj data'!AZ100=$BT$29,'Zdroj data'!AZ100=$BU$29,'Zdroj data'!AZ100=$BV$29),$BT$22,IF(OR('Zdroj data'!AZ100=$BK$29,'Zdroj data'!AZ100=$BM$29),$BK$22,IF(OR('Zdroj data'!AZ100=$BE$29,'Zdroj data'!AZ100=$BG$29),$BE$22,IF(OR('Zdroj data'!AZ100=$AY$29,'Zdroj data'!AZ100=$BA$29),$AY$22," ")))))</f>
        <v>10</v>
      </c>
      <c r="Z100" s="264">
        <f>IF(AND('Zdroj data'!BF100="T",(OR('Zdroj data'!AZ100=Body!$AW$45,'Zdroj data'!AZ100=Body!$AW$46,'Zdroj data'!AZ100=Body!$AW$47,'Zdroj data'!AZ100=Body!$AW$48))),Body!$AY$22,IF(AND('Zdroj data'!BF100="T",(OR('Zdroj data'!AZ100=$AW$49,'Zdroj data'!AZ100=$AW$50,'Zdroj data'!AZ100=$AW$51,'Zdroj data'!AZ100=$AW$52))),$BZ$22,IF(AND(OR('Zdroj data'!BF100="VT",'Zdroj data'!BF100="T",'Zdroj data'!BF100="CH"),(OR('Zdroj data'!AZ100=$AW$43,'Zdroj data'!AZ100=$AW$44,))),$BZ$22,IF(AND('Zdroj data'!BF100="CH",(OR('Zdroj data'!AZ100=$AW$49,'Zdroj data'!AZ100=$AW$50,'Zdroj data'!AZ100=$AW$51,'Zdroj data'!AZ100=$AW$52))),$AY$22,IF(AND('Zdroj data'!BF100="CH",(OR('Zdroj data'!AZ100=$AW$45,'Zdroj data'!AZ100=$AW$46,'Zdroj data'!AZ100=$AW$47,'Zdroj data'!AZ100=$AW$48))),$BZ$22," ")))))</f>
        <v>10</v>
      </c>
      <c r="AA100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</v>
      </c>
      <c r="AB100" s="264">
        <f>IF(Tabulka1[[#This Row],[kv.ek.]]=Body!$BK$35,Body!$BK$34,IF(Tabulka1[[#This Row],[kv.ek.]]=Body!$BZ$35,Body!$BZ$34," "))</f>
        <v>10</v>
      </c>
      <c r="AC100" s="264" t="str">
        <f>IF(AND('Zdroj data'!BF100="T",(OR('Zdroj data'!AZ100=Body!$AW$45,'Zdroj data'!AZ100=Body!$AW$46,'Zdroj data'!AZ100=Body!$AW$47,'Zdroj data'!AZ100=Body!$AW$48))),Body!$AY$22,IF(AND('Zdroj data'!BF100="T",(OR('Zdroj data'!AZ100=$AW$49,'Zdroj data'!AZ100=$AW$50,'Zdroj data'!AZ100=$AW$51,'Zdroj data'!AZ100=$AW$52))),$BZ$22," "))</f>
        <v xml:space="preserve"> </v>
      </c>
      <c r="AD100" s="264">
        <f>IF(AND(OR('Zdroj data'!BF100="VT",'Zdroj data'!BF100="T",'Zdroj data'!BF100="CH"),(OR('Zdroj data'!AZ100=$AW$43,'Zdroj data'!AZ100=$AW$44,))),$BZ$22," ")</f>
        <v>10</v>
      </c>
      <c r="AE100" s="264" t="str">
        <f>IF(AND('Zdroj data'!BF100="CH",(OR('Zdroj data'!AZ100=$AW$49,'Zdroj data'!AZ100=$AW$50,'Zdroj data'!AZ100=$AW$51,'Zdroj data'!AZ100=$AW$52))),$AY$22,IF(AND('Zdroj data'!BF100="CH",(OR('Zdroj data'!AZ100=$AW$45,'Zdroj data'!AZ100=$AW$46,'Zdroj data'!AZ100=$AW$47,'Zdroj data'!AZ100=$AW$48))),$BZ$22," "))</f>
        <v xml:space="preserve"> </v>
      </c>
      <c r="AF100" s="264" t="str">
        <f>IF(AND('Zdroj data'!BG100="L",'Zdroj data'!AM100=Body!$AX$15),IF(AND('Zdroj data'!O100&gt;=Body!$AY$15,'Zdroj data'!O100&lt;=Body!$BA$15),Body!AY$6,IF(AND('Zdroj data'!O100&gt;=Body!$BB$15,'Zdroj data'!O100&lt;=Body!$BD$15),Body!BB$6,IF(AND('Zdroj data'!O100&gt;=Body!$BE$15,'Zdroj data'!O100&lt;=Body!$BG$15),Body!BE$6,IF(AND('Zdroj data'!O100&gt;=Body!$BH$15,'Zdroj data'!O100&lt;=Body!$BJ$15),Body!BH$6,IF(AND('Zdroj data'!O100&gt;=Body!$BK$15,'Zdroj data'!O100&lt;=Body!$BM$15),Body!BK$6,IF(AND('Zdroj data'!O100&gt;=Body!$BN$15,'Zdroj data'!O100&lt;=Body!$BP$15),Body!$BN$6,IF(AND('Zdroj data'!O100&gt;=Body!$BQ$15,'Zdroj data'!O100&lt;=Body!$BS$15),Body!$BQ$6,IF(AND('Zdroj data'!O100&gt;=Body!$BT$15,'Zdroj data'!O100&lt;=Body!$BV$15),Body!BT$6,IF(AND('Zdroj data'!O100&gt;=Body!$BW$15,'Zdroj data'!O100&lt;=Body!$BY$15),Body!$BW$6,IF('Zdroj data'!O100&gt;=Body!$CB$15,Body!$BZ$6," ")))))))))),IF(AND('Zdroj data'!BG100="ST",'Zdroj data'!AM100=Body!$AX$16),IF(AND('Zdroj data'!O100&gt;=Body!$AY$16,'Zdroj data'!O100&lt;=Body!$BA$16),Body!$AY$6,IF(AND('Zdroj data'!O100&gt;=Body!$BB$16,'Zdroj data'!O100&lt;=Body!$BD$16),Body!$BB$6,IF(AND('Zdroj data'!O100&gt;=Body!$BE$16,'Zdroj data'!O100&lt;=Body!$BG$16),Body!$BE$6,IF(AND('Zdroj data'!O100&gt;=Body!$BH$16,'Zdroj data'!O100&lt;=Body!$BJ$16),Body!$BH$6,IF(AND('Zdroj data'!O100&gt;=Body!$BK$16,'Zdroj data'!O100&lt;=Body!$BM$16),Body!$BK$6,IF(AND('Zdroj data'!O100&gt;=Body!$BN$16,'Zdroj data'!O100&lt;=Body!$BP$16),Body!$BN$6,IF(AND('Zdroj data'!O100&gt;=Body!$BQ$16,'Zdroj data'!O100&lt;=Body!$BS$16),Body!$BQ$6,IF(AND('Zdroj data'!O100&gt;=Body!$BT$16,'Zdroj data'!O100&lt;=Body!$BV$16),Body!$BT$6,IF(AND('Zdroj data'!O100&gt;=Body!$BW$16,'Zdroj data'!O100&lt;=Body!$BY$16),Body!$BW$6,IF('Zdroj data'!O100&gt;=Body!$CB$16,Body!$BZ$6," ")))))))))),IF(AND('Zdroj data'!BG100="T",'Zdroj data'!AM100=Body!$AX$17),IF(AND('Zdroj data'!O100&gt;=Body!$AY$17,'Zdroj data'!O100&lt;=Body!$BA$17),Body!$AY$6,IF(AND('Zdroj data'!O100&gt;=Body!$BB$17,'Zdroj data'!O100&lt;=Body!$BD$17),Body!$BB$6,IF(AND('Zdroj data'!O100&gt;=Body!$BE$17,'Zdroj data'!O100&lt;=Body!$BG$17),Body!$BE$6,IF(AND('Zdroj data'!O100&gt;=Body!$BH$17,'Zdroj data'!O100&lt;=Body!#REF!),Body!$BH$6,IF(AND('Zdroj data'!O100&gt;=Body!$BK$17,'Zdroj data'!O100&lt;=Body!$BM$17),Body!$BK$6,IF(AND('Zdroj data'!O100&gt;=Body!$BN$17,'Zdroj data'!O100&lt;=Body!$BP$17),Body!$BN$6,IF(AND('Zdroj data'!O100&gt;=Body!$BQ$17,'Zdroj data'!O100&lt;=Body!$BS$17),Body!$BQ$6,IF(AND('Zdroj data'!O100&gt;=Body!$BT$17,'Zdroj data'!O100&lt;=Body!$BV$17),Body!$BT$6,IF(AND('Zdroj data'!O100&gt;=Body!$BW$17,'Zdroj data'!O100&lt;=Body!$BY$17),Body!$BW$6,IF('Zdroj data'!O100&gt;=Body!$CB$17,Body!$BZ$6," "))))))))))," ")))</f>
        <v xml:space="preserve"> </v>
      </c>
      <c r="AG100" s="264" t="str">
        <f>IF(AND('Zdroj data'!$BG100="L",'Zdroj data'!$AM100=Body!$AX$15),IF(AND(Tabulka1[[#This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data'!$BG100="ST",'Zdroj data'!$AM100=Body!$AX$16),IF(AND(Tabulka1[[#This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data'!$BG100="T",'Zdroj data'!$AM100=Body!$AX$17),IF(AND(Tabulka1[[#This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100" s="264">
        <f>IF(AND('Zdroj data'!BG100="L",'Zdroj data'!AM100=Body!$AX$18),IF(AND('Zdroj data'!O100&gt;=Body!$AY$18,'Zdroj data'!O100&lt;=Body!$BA$18),Body!AY$6,IF(AND('Zdroj data'!O100&gt;=Body!$BB$18,'Zdroj data'!O100&lt;=Body!$BD$18),Body!BB$6,IF(AND('Zdroj data'!O100&gt;=Body!$BE$18,'Zdroj data'!O100&lt;=Body!$BG$18),Body!BE$6,IF(AND('Zdroj data'!O100&gt;=Body!$BH$18,'Zdroj data'!O100&lt;=Body!$BJ$18),Body!BH$6,IF(AND('Zdroj data'!O100&gt;=Body!$BK$18,'Zdroj data'!O100&lt;=Body!$BM$18),Body!$BK$6,IF(AND('Zdroj data'!O100&gt;=Body!$BN$18,'Zdroj data'!O100&lt;=Body!$BP$18),Body!BN$6,IF(AND('Zdroj data'!O100&gt;=Body!$BQ$18,'Zdroj data'!O100&lt;=Body!$BS$18),Body!$BQ$6,IF(AND('Zdroj data'!O100&gt;=Body!$BT$18,'Zdroj data'!O100&lt;=Body!$BV$18),Body!$BT$6,IF(AND('Zdroj data'!O100&gt;=Body!$BW$18,'Zdroj data'!O100&lt;=Body!$BY$18),Body!$BW$6,IF('Zdroj data'!O100&gt;=Body!$CB$18,Body!$BZ$6," ")))))))))),IF(AND('Zdroj data'!BG100="ST",'Zdroj data'!AM100=Body!$AX$19),IF(AND('Zdroj data'!O100&gt;=Body!$AY$19,'Zdroj data'!O100&lt;=Body!$BA$19),Body!$AY$6,IF(AND('Zdroj data'!O100&gt;=Body!$BB$19,'Zdroj data'!O100&lt;=Body!$BD$19),Body!$BB$6,IF(AND('Zdroj data'!O100&gt;=Body!$BE$19,'Zdroj data'!O100&lt;=Body!$BG$19),Body!$BE$6,IF(AND('Zdroj data'!O100&gt;=Body!$BH$19,'Zdroj data'!O100&lt;=Body!$BJ$19),Body!$BH$6,IF(AND('Zdroj data'!O100&gt;=Body!$BK$19,'Zdroj data'!O100&lt;=Body!$BM$19),Body!$BK$6,IF(AND('Zdroj data'!O100&gt;=Body!$BN$19,'Zdroj data'!O100&lt;=Body!$BP$19),Body!$BN$6,IF(AND('Zdroj data'!O100&gt;=Body!$BQ$19,'Zdroj data'!O100&lt;=Body!$BS$19),Body!$BQ$6,IF(AND('Zdroj data'!O100&gt;=Body!$BT$19,'Zdroj data'!#REF!&lt;=Body!$BV$19),Body!$BT$6,IF(AND('Zdroj data'!O100&gt;=Body!$BW$19,'Zdroj data'!O100&lt;=Body!$BY$19),Body!$BW$6,IF('Zdroj data'!O100&gt;=Body!$CB$19,Body!$BZ$6," ")))))))))),IF(AND('Zdroj data'!BG100="T",'Zdroj data'!AM100=Body!$AX$20),IF(AND('Zdroj data'!O100&gt;=Body!$AY$20,'Zdroj data'!O100&lt;=Body!$BA$20),Body!$AY$6,IF(AND('Zdroj data'!O100&gt;=Body!$BB$20,'Zdroj data'!O100&lt;=Body!$BD$20),Body!$BB$6,IF(AND('Zdroj data'!O100&gt;=Body!$BE$20,'Zdroj data'!O100&lt;=Body!$BG$20),Body!$BE$6,IF(AND('Zdroj data'!O100&gt;=Body!$BH$20,'Zdroj data'!O100&lt;=Body!$BJ$20),Body!$BH$6,IF(AND('Zdroj data'!O100&gt;=Body!$BK$20,'Zdroj data'!O100&lt;=Body!$BM$20),Body!$BK$6,IF(AND('Zdroj data'!O100&gt;=Body!$BN$20,'Zdroj data'!O100&lt;=Body!$BP$20),Body!$BN$6,IF(AND('Zdroj data'!O100&gt;=Body!$BQ$20,'Zdroj data'!O100&lt;=Body!$BS$20),Body!$BQ$6,IF(AND('Zdroj data'!O100&gt;=Body!$BT$20,'Zdroj data'!O100&lt;=Body!#REF!),Body!$BT$6,IF(AND('Zdroj data'!O100&gt;=Body!$BW$20,'Zdroj data'!O100&lt;=Body!$BY$20),Body!$BW$6,IF('Zdroj data'!O100&gt;=Body!$CB$20,Body!$BZ$6," "))))))))))," ")))</f>
        <v>1</v>
      </c>
      <c r="AI100" s="264">
        <f>IF(AND('Zdroj data'!$BG100="L",'Zdroj data'!$AM100=Body!$AX$18),IF(AND(Tabulka1[[#This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data'!$BG100="ST",'Zdroj data'!$AM100=Body!$AX$19),IF(AND(Tabulka1[[#This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data'!$BG100="T",'Zdroj data'!$AM100=Body!$AX$20),IF(AND(Tabulka1[[#This Row],[K2O_60]]&gt;=Body!$AY$20,'Zdroj data'!O100&lt;=Body!$BA$20),Body!$AY$6,IF(AND(Tabulka1[[#This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1</v>
      </c>
      <c r="AJ100" s="265">
        <f t="shared" si="13"/>
        <v>4.0000000000000036</v>
      </c>
      <c r="AK100" s="264">
        <f t="shared" si="14"/>
        <v>38.76628648360348</v>
      </c>
      <c r="AL100" s="264">
        <f t="shared" si="15"/>
        <v>33.712184482985911</v>
      </c>
      <c r="AM100" s="264">
        <f t="shared" si="16"/>
        <v>53.498308430322986</v>
      </c>
      <c r="AN100" s="264">
        <f t="shared" si="17"/>
        <v>51.129277680448972</v>
      </c>
      <c r="AO100" s="265">
        <f t="shared" si="21"/>
        <v>92.264594913926459</v>
      </c>
      <c r="AP100" s="265">
        <f t="shared" si="18"/>
        <v>84.841462163434883</v>
      </c>
      <c r="AQ100" s="318"/>
      <c r="AR100" s="338">
        <f t="shared" si="19"/>
        <v>181.10605707736136</v>
      </c>
      <c r="AS100" s="318"/>
      <c r="AT100" s="138"/>
      <c r="AU100" s="138"/>
    </row>
    <row r="101" spans="1:47" ht="15.5" x14ac:dyDescent="0.35">
      <c r="A101" s="270">
        <v>5295</v>
      </c>
      <c r="B101" s="156" t="s">
        <v>298</v>
      </c>
      <c r="C101" s="250" t="str">
        <f>VLOOKUP(B101,'Zdroj hloubka okresy'!$A$2:$D$171,2,FALSE)</f>
        <v>Kutna_Hora</v>
      </c>
      <c r="D101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101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101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10</v>
      </c>
      <c r="G101" s="264">
        <f>IF(AND(Tabulka1[[#This Row],[hum_60]]&gt;AY107,Tabulka1[[#This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8</v>
      </c>
      <c r="H101" s="264">
        <f>IF(Tabulka1[[#This Row],[kv.ek.]]=Body!$AX$13,IF(AND('Zdroj data'!M101&gt;=Body!$AY$13,'Zdroj data'!M101&lt;=Body!$BA$13),Body!$AY$6,IF(AND('Zdroj data'!M101&gt;=Body!$BB$13,'Zdroj data'!M101&lt;=Body!$BD$13),Body!$BB$6,IF(AND('Zdroj data'!M101&gt;=Body!$BE$13,'Zdroj data'!M101&lt;=Body!$BG$13),Body!$BE$6,IF(AND('Zdroj data'!M101&gt;=Body!$BH$13,'Zdroj data'!M101&lt;=Body!$BJ$13),Body!$BH$6,IF(AND('Zdroj data'!M101&gt;=Body!$BK$13,'Zdroj data'!M101&lt;=Body!$BM$13),Body!$BK$6,IF(AND('Zdroj data'!M101&gt;=Body!$BN$13,'Zdroj data'!M101&lt;=Body!$BP$13),Body!$BN$6,IF(AND('Zdroj data'!M101&gt;=Body!$BQ$13,'Zdroj data'!M101&lt;=Body!$BS$13),Body!$BQ$6,IF(AND('Zdroj data'!M101&gt;=Body!$BT$13,'Zdroj data'!M101&lt;=Body!$BV$13),Body!$BT$6,IF(AND('Zdroj data'!M101&gt;=Body!$BW$13,'Zdroj data'!M101&lt;=Body!$BY$13),Body!$BW$6,IF('Zdroj data'!M101&gt;=Body!$CB$13,Body!$BZ$6," ")))))))))),IF(Tabulka1[[#This Row],[kv.ek.]]=Body!$AX$14,IF(AND('Zdroj data'!N101&gt;=Body!$AY$14,'Zdroj data'!N101&lt;=Body!$BA$14),Body!$AY$6,IF(AND('Zdroj data'!N101&gt;=Body!$BB$14,'Zdroj data'!N101&lt;=Body!$BD$14),Body!$BB$6,IF(AND('Zdroj data'!N101&gt;=Body!$BE$14,'Zdroj data'!N101&lt;=Body!$BG$14),Body!$BE$6,IF(AND('Zdroj data'!N101&gt;=Body!$BH$14,'Zdroj data'!N101&lt;=Body!$BJ$14),Body!$BH$6,IF(AND('Zdroj data'!N101&gt;=Body!$BK$14,'Zdroj data'!N101&lt;=Body!$BM$14),Body!$BK$6,IF(AND('Zdroj data'!N101&gt;=Body!$BN$14,'Zdroj data'!N101&lt;=Body!$BP$14),Body!$BN$6,IF(AND('Zdroj data'!N101&gt;=Body!$BQ$14,'Zdroj data'!N101&lt;=Body!$BS$14),Body!$BQ$6,IF(AND('Zdroj data'!N101&gt;=Body!$BT$14,'Zdroj data'!N101&lt;=Body!$BV$14),Body!$BT$6,IF(AND('Zdroj data'!N101&gt;=Body!$BW$14,'Zdroj data'!N101&lt;=Body!$BY$14),Body!$BW$6,IF('Zdroj data'!N101&gt;=Body!$CB$14,Body!$BZ$6," "))))))))))," "))</f>
        <v>1</v>
      </c>
      <c r="I101" s="264">
        <f>IF(Tabulka1[[#This Row],[kv.ek.]]=Body!$AX$13,IF(AND('Zdroj data'!N101&gt;=Body!$AY$13,'Zdroj data'!N101&lt;=Body!$BA$13),Body!$AY$6,IF(AND('Zdroj data'!N101&gt;=Body!$BB$13,'Zdroj data'!N101&lt;=Body!$BD$13),Body!$BB$6,IF(AND('Zdroj data'!N101&gt;=Body!$BE$13,'Zdroj data'!N101&lt;=Body!$BG$13),Body!$BE$6,IF(AND('Zdroj data'!N101&gt;=Body!$BH$13,'Zdroj data'!N101&lt;=Body!$BJ$13),Body!$BH$6,IF(AND('Zdroj data'!N101&gt;=Body!$BK$13,'Zdroj data'!N101&lt;=Body!$BM$13),Body!$BK$6,IF(AND('Zdroj data'!N101&gt;=Body!$BN$13,'Zdroj data'!N101&lt;=Body!$BP$13),Body!$BN$6,IF(AND('Zdroj data'!N101&gt;=Body!$BQ$13,'Zdroj data'!N101&lt;=Body!$BS$13),Body!$BQ$6,IF(AND('Zdroj data'!N101&gt;=Body!$BT$13,'Zdroj data'!N101&lt;=Body!$BV$13),Body!$BT$6,IF(AND('Zdroj data'!N101&gt;=Body!$BW$13,'Zdroj data'!N101&lt;=Body!$BY$13),Body!$BW$6,IF('Zdroj data'!N101&gt;=Body!$CB$13,Body!$BZ$6," ")))))))))),IF(Tabulka1[[#This Row],[kv.ek.]]=Body!$AX$14,IF(AND('Zdroj data'!O101&gt;=Body!$AY$14,'Zdroj data'!O101&lt;=Body!$BA$14),Body!$AY$6,IF(AND('Zdroj data'!O101&gt;=Body!$BB$14,'Zdroj data'!O101&lt;=Body!$BD$14),Body!$BB$6,IF(AND('Zdroj data'!O101&gt;=Body!$BE$14,'Zdroj data'!O101&lt;=Body!$BG$14),Body!$BE$6,IF(AND('Zdroj data'!O101&gt;=Body!$BH$14,'Zdroj data'!O101&lt;=Body!$BJ$14),Body!$BH$6,IF(AND('Zdroj data'!O101&gt;=Body!$BK$14,'Zdroj data'!O101&lt;=Body!$BM$14),Body!$BK$6,IF(AND('Zdroj data'!O101&gt;=Body!$BN$14,'Zdroj data'!O101&lt;=Body!$BP$14),Body!$BN$6,IF(AND('Zdroj data'!O101&gt;=Body!$BQ$14,'Zdroj data'!O101&lt;=Body!$BS$14),Body!$BQ$6,IF(AND('Zdroj data'!O101&gt;=Body!$BT$14,'Zdroj data'!O101&lt;=Body!$BV$14),Body!$BT$6,IF(AND('Zdroj data'!O101&gt;=Body!$BW$14,'Zdroj data'!O101&lt;=Body!$BY$14),Body!$BW$6,IF('Zdroj data'!O101&gt;=Body!$CB$14,Body!$BZ$6," "))))))))))," "))</f>
        <v>3</v>
      </c>
      <c r="J101" s="264">
        <f t="shared" si="24"/>
        <v>1</v>
      </c>
      <c r="K101" s="264">
        <f t="shared" si="24"/>
        <v>1</v>
      </c>
      <c r="L101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8</v>
      </c>
      <c r="M101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6</v>
      </c>
      <c r="N101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4</v>
      </c>
      <c r="O101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4</v>
      </c>
      <c r="P101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01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101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101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9</v>
      </c>
      <c r="T101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101" s="264">
        <f>IF('Zdroj data'!BB101=Body!$AY$25,Body!$AY$22,IF('Zdroj data'!BB101=Body!$BB$25,Body!$BB$22,IF('Zdroj data'!BB101=Body!$BE$25,Body!$BE$22,IF('Zdroj data'!BB101=Body!$BH$25,Body!$BH$22,IF('Zdroj data'!BB101=Body!BK$25,Body!$BK$22,IF('Zdroj data'!BB101=Body!$BN$25,Body!$BN$22,IF('Zdroj data'!BB101=Body!$BQ$25,Body!$BQ$22,IF('Zdroj data'!BB101=Body!$BT$25,Body!$BT$22,IF('Zdroj data'!BB101=Body!$BW$25,Body!$BW$22,IF('Zdroj data'!BB101=Body!$BZ$25,Body!$BZ$22," "))))))))))</f>
        <v>5</v>
      </c>
      <c r="V101" s="264">
        <f>IF(AND('Zdroj data'!BO101&gt;Body!$AY$27,'Zdroj data'!BO101&lt;=Body!$BA$27),Body!$AY$22,IF(AND('Zdroj data'!BO101&gt;=Body!$BB$27,'Zdroj data'!BO101&lt;=Body!$BD$27),Body!$BB$22,IF(AND('Zdroj data'!BO101&gt;=Body!$BE$27,'Zdroj data'!BO101&lt;=Body!$BG$27),Body!$BE$22,IF(AND('Zdroj data'!BO101&gt;=Body!$BH$27,'Zdroj data'!BO101&lt;=Body!$BJ$27),Body!$BH$22,IF(AND('Zdroj data'!BO101&gt;=Body!$BK$27,'Zdroj data'!BO101&lt;=Body!$BM$27),Body!$BK$22,IF(AND('Zdroj data'!BO101&gt;=Body!$BN$27,'Zdroj data'!BO101&lt;=Body!$BP$27),Body!$BN$22,IF(AND('Zdroj data'!BO101&gt;=Body!$BQ$27,'Zdroj data'!BO101&lt;=Body!$BS$27),Body!$BQ$22,IF(AND('Zdroj data'!BO101&gt;=Body!$BT$27,'Zdroj data'!BO101&lt;=Body!$BV$27),Body!$BT$22,IF(AND('Zdroj data'!BO101&gt;=Body!$BW$27,'Zdroj data'!BO101&lt;=Body!$BY$27),Body!$BW$22,IF('Zdroj data'!BO101&gt;=Body!$CB$27,$BZ$22," "))))))))))</f>
        <v>6</v>
      </c>
      <c r="W101" s="264">
        <f>IF(AND('Zdroj data'!BP101&gt;Body!$AY$27,'Zdroj data'!BP101&lt;=Body!$BA$27),Body!$AY$22,IF(AND('Zdroj data'!BP101&gt;=Body!$BB$27,'Zdroj data'!BP101&lt;=Body!$BD$27),Body!$BB$22,IF(AND('Zdroj data'!BP101&gt;=Body!$BE$27,'Zdroj data'!BP101&lt;=Body!$BG$27),Body!$BE$22,IF(AND('Zdroj data'!BP101&gt;=Body!$BH$27,'Zdroj data'!BP101&lt;=Body!$BJ$27),Body!$BH$22,IF(AND('Zdroj data'!BP101&gt;=Body!$BK$27,'Zdroj data'!BP101&lt;=Body!$BM$27),Body!$BK$22,IF(AND('Zdroj data'!BP101&gt;=Body!$BN$27,'Zdroj data'!BP101&lt;=Body!$BP$27),Body!$BN$22,IF(AND('Zdroj data'!BP101&gt;=Body!$BQ$27,'Zdroj data'!BP101&lt;=Body!$BS$27),Body!$BQ$22,IF(AND('Zdroj data'!BP101&gt;=Body!$BT$27,'Zdroj data'!BP101&lt;=Body!$BV$27),Body!$BT$22,IF(AND('Zdroj data'!BP101&gt;=Body!$BW$27,'Zdroj data'!BP101&lt;=Body!$BY$27),Body!$BW$22,IF('Zdroj data'!BP101&gt;=Body!$CB$27,$BZ$22," "))))))))))</f>
        <v>7</v>
      </c>
      <c r="X101" s="264">
        <f>IF('Zdroj data'!BA101=Body!$BB$28,$BB$22,IF('Zdroj data'!BA101=Body!$BE$28,$BE$22,IF(OR('Zdroj data'!BA101=Body!$BK$28,'Zdroj data'!BA101=Body!$BL$28,'Zdroj data'!BA101=Body!$BM$28),$BK$22,IF(OR('Zdroj data'!BA101=Body!$BT$28,'Zdroj data'!BA101=Body!$BV$28),$BT$22,IF(OR('Zdroj data'!BA101=Body!$BW$28,'Zdroj data'!BA101=Body!$BY$28),$BW$22,IF('Zdroj data'!BA101=Body!$BZ$28,$BZ$22," "))))))</f>
        <v>9</v>
      </c>
      <c r="Y101" s="264">
        <f>IF('Zdroj data'!AZ101=Body!$BZ$29,Body!$BZ$22,IF(OR('Zdroj data'!AZ101=$BT$29,'Zdroj data'!AZ101=$BU$29,'Zdroj data'!AZ101=$BV$29),$BT$22,IF(OR('Zdroj data'!AZ101=$BK$29,'Zdroj data'!AZ101=$BM$29),$BK$22,IF(OR('Zdroj data'!AZ101=$BE$29,'Zdroj data'!AZ101=$BG$29),$BE$22,IF(OR('Zdroj data'!AZ101=$AY$29,'Zdroj data'!AZ101=$BA$29),$AY$22," ")))))</f>
        <v>10</v>
      </c>
      <c r="Z101" s="264">
        <f>IF(AND('Zdroj data'!BF101="T",(OR('Zdroj data'!AZ101=Body!$AW$45,'Zdroj data'!AZ101=Body!$AW$46,'Zdroj data'!AZ101=Body!$AW$47,'Zdroj data'!AZ101=Body!$AW$48))),Body!$AY$22,IF(AND('Zdroj data'!BF101="T",(OR('Zdroj data'!AZ101=$AW$49,'Zdroj data'!AZ101=$AW$50,'Zdroj data'!AZ101=$AW$51,'Zdroj data'!AZ101=$AW$52))),$BZ$22,IF(AND(OR('Zdroj data'!BF101="VT",'Zdroj data'!BF101="T",'Zdroj data'!BF101="CH"),(OR('Zdroj data'!AZ101=$AW$43,'Zdroj data'!AZ101=$AW$44,))),$BZ$22,IF(AND('Zdroj data'!BF101="CH",(OR('Zdroj data'!AZ101=$AW$49,'Zdroj data'!AZ101=$AW$50,'Zdroj data'!AZ101=$AW$51,'Zdroj data'!AZ101=$AW$52))),$AY$22,IF(AND('Zdroj data'!BF101="CH",(OR('Zdroj data'!AZ101=$AW$45,'Zdroj data'!AZ101=$AW$46,'Zdroj data'!AZ101=$AW$47,'Zdroj data'!AZ101=$AW$48))),$BZ$22," ")))))</f>
        <v>10</v>
      </c>
      <c r="AA101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01" s="264">
        <f>IF(Tabulka1[[#This Row],[kv.ek.]]=Body!$BK$35,Body!$BK$34,IF(Tabulka1[[#This Row],[kv.ek.]]=Body!$BZ$35,Body!$BZ$34," "))</f>
        <v>10</v>
      </c>
      <c r="AC101" s="264" t="str">
        <f>IF(AND('Zdroj data'!BF101="T",(OR('Zdroj data'!AZ101=Body!$AW$45,'Zdroj data'!AZ101=Body!$AW$46,'Zdroj data'!AZ101=Body!$AW$47,'Zdroj data'!AZ101=Body!$AW$48))),Body!$AY$22,IF(AND('Zdroj data'!BF101="T",(OR('Zdroj data'!AZ101=$AW$49,'Zdroj data'!AZ101=$AW$50,'Zdroj data'!AZ101=$AW$51,'Zdroj data'!AZ101=$AW$52))),$BZ$22," "))</f>
        <v xml:space="preserve"> </v>
      </c>
      <c r="AD101" s="264">
        <f>IF(AND(OR('Zdroj data'!BF101="VT",'Zdroj data'!BF101="T",'Zdroj data'!BF101="CH"),(OR('Zdroj data'!AZ101=$AW$43,'Zdroj data'!AZ101=$AW$44,))),$BZ$22," ")</f>
        <v>10</v>
      </c>
      <c r="AE101" s="264" t="str">
        <f>IF(AND('Zdroj data'!BF101="CH",(OR('Zdroj data'!AZ101=$AW$49,'Zdroj data'!AZ101=$AW$50,'Zdroj data'!AZ101=$AW$51,'Zdroj data'!AZ101=$AW$52))),$AY$22,IF(AND('Zdroj data'!BF101="CH",(OR('Zdroj data'!AZ101=$AW$45,'Zdroj data'!AZ101=$AW$46,'Zdroj data'!AZ101=$AW$47,'Zdroj data'!AZ101=$AW$48))),$BZ$22," "))</f>
        <v xml:space="preserve"> </v>
      </c>
      <c r="AF101" s="264" t="str">
        <f>IF(AND('Zdroj data'!BG101="L",'Zdroj data'!AM101=Body!$AX$15),IF(AND('Zdroj data'!O101&gt;=Body!$AY$15,'Zdroj data'!O101&lt;=Body!$BA$15),Body!AY$6,IF(AND('Zdroj data'!O101&gt;=Body!$BB$15,'Zdroj data'!O101&lt;=Body!$BD$15),Body!BB$6,IF(AND('Zdroj data'!O101&gt;=Body!$BE$15,'Zdroj data'!O101&lt;=Body!$BG$15),Body!BE$6,IF(AND('Zdroj data'!O101&gt;=Body!$BH$15,'Zdroj data'!O101&lt;=Body!$BJ$15),Body!BH$6,IF(AND('Zdroj data'!O101&gt;=Body!$BK$15,'Zdroj data'!O101&lt;=Body!$BM$15),Body!BK$6,IF(AND('Zdroj data'!O101&gt;=Body!$BN$15,'Zdroj data'!O101&lt;=Body!$BP$15),Body!$BN$6,IF(AND('Zdroj data'!O101&gt;=Body!$BQ$15,'Zdroj data'!O101&lt;=Body!$BS$15),Body!$BQ$6,IF(AND('Zdroj data'!O101&gt;=Body!$BT$15,'Zdroj data'!O101&lt;=Body!$BV$15),Body!BT$6,IF(AND('Zdroj data'!O101&gt;=Body!$BW$15,'Zdroj data'!O101&lt;=Body!$BY$15),Body!$BW$6,IF('Zdroj data'!O101&gt;=Body!$CB$15,Body!$BZ$6," ")))))))))),IF(AND('Zdroj data'!BG101="ST",'Zdroj data'!AM101=Body!$AX$16),IF(AND('Zdroj data'!O101&gt;=Body!$AY$16,'Zdroj data'!O101&lt;=Body!$BA$16),Body!$AY$6,IF(AND('Zdroj data'!O101&gt;=Body!$BB$16,'Zdroj data'!O101&lt;=Body!$BD$16),Body!$BB$6,IF(AND('Zdroj data'!O101&gt;=Body!$BE$16,'Zdroj data'!O101&lt;=Body!$BG$16),Body!$BE$6,IF(AND('Zdroj data'!O101&gt;=Body!$BH$16,'Zdroj data'!O101&lt;=Body!$BJ$16),Body!$BH$6,IF(AND('Zdroj data'!O101&gt;=Body!$BK$16,'Zdroj data'!O101&lt;=Body!$BM$16),Body!$BK$6,IF(AND('Zdroj data'!O101&gt;=Body!$BN$16,'Zdroj data'!O101&lt;=Body!$BP$16),Body!$BN$6,IF(AND('Zdroj data'!O101&gt;=Body!$BQ$16,'Zdroj data'!O101&lt;=Body!$BS$16),Body!$BQ$6,IF(AND('Zdroj data'!O101&gt;=Body!$BT$16,'Zdroj data'!O101&lt;=Body!$BV$16),Body!$BT$6,IF(AND('Zdroj data'!O101&gt;=Body!$BW$16,'Zdroj data'!O101&lt;=Body!$BY$16),Body!$BW$6,IF('Zdroj data'!O101&gt;=Body!$CB$16,Body!$BZ$6," ")))))))))),IF(AND('Zdroj data'!BG101="T",'Zdroj data'!AM101=Body!$AX$17),IF(AND('Zdroj data'!O101&gt;=Body!$AY$17,'Zdroj data'!O101&lt;=Body!$BA$17),Body!$AY$6,IF(AND('Zdroj data'!O101&gt;=Body!$BB$17,'Zdroj data'!O101&lt;=Body!$BD$17),Body!$BB$6,IF(AND('Zdroj data'!O101&gt;=Body!$BE$17,'Zdroj data'!O101&lt;=Body!$BG$17),Body!$BE$6,IF(AND('Zdroj data'!O101&gt;=Body!$BH$17,'Zdroj data'!O101&lt;=Body!#REF!),Body!$BH$6,IF(AND('Zdroj data'!O101&gt;=Body!$BK$17,'Zdroj data'!O101&lt;=Body!$BM$17),Body!$BK$6,IF(AND('Zdroj data'!O101&gt;=Body!$BN$17,'Zdroj data'!O101&lt;=Body!$BP$17),Body!$BN$6,IF(AND('Zdroj data'!O101&gt;=Body!$BQ$17,'Zdroj data'!O101&lt;=Body!$BS$17),Body!$BQ$6,IF(AND('Zdroj data'!O101&gt;=Body!$BT$17,'Zdroj data'!O101&lt;=Body!$BV$17),Body!$BT$6,IF(AND('Zdroj data'!O101&gt;=Body!$BW$17,'Zdroj data'!O101&lt;=Body!$BY$17),Body!$BW$6,IF('Zdroj data'!O101&gt;=Body!$CB$17,Body!$BZ$6," "))))))))))," ")))</f>
        <v xml:space="preserve"> </v>
      </c>
      <c r="AG101" s="264" t="str">
        <f>IF(AND('Zdroj data'!$BG101="L",'Zdroj data'!$AM101=Body!$AX$15),IF(AND(Tabulka1[[#This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data'!$BG101="ST",'Zdroj data'!$AM101=Body!$AX$16),IF(AND(Tabulka1[[#This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data'!$BG101="T",'Zdroj data'!$AM101=Body!$AX$17),IF(AND(Tabulka1[[#This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101" s="264">
        <f>IF(AND('Zdroj data'!BG101="L",'Zdroj data'!AM101=Body!$AX$18),IF(AND('Zdroj data'!O101&gt;=Body!$AY$18,'Zdroj data'!O101&lt;=Body!$BA$18),Body!AY$6,IF(AND('Zdroj data'!O101&gt;=Body!$BB$18,'Zdroj data'!O101&lt;=Body!$BD$18),Body!BB$6,IF(AND('Zdroj data'!O101&gt;=Body!$BE$18,'Zdroj data'!O101&lt;=Body!$BG$18),Body!BE$6,IF(AND('Zdroj data'!O101&gt;=Body!$BH$18,'Zdroj data'!O101&lt;=Body!$BJ$18),Body!BH$6,IF(AND('Zdroj data'!O101&gt;=Body!$BK$18,'Zdroj data'!O101&lt;=Body!$BM$18),Body!$BK$6,IF(AND('Zdroj data'!O101&gt;=Body!$BN$18,'Zdroj data'!O101&lt;=Body!$BP$18),Body!BN$6,IF(AND('Zdroj data'!O101&gt;=Body!$BQ$18,'Zdroj data'!O101&lt;=Body!$BS$18),Body!$BQ$6,IF(AND('Zdroj data'!O101&gt;=Body!$BT$18,'Zdroj data'!O101&lt;=Body!$BV$18),Body!$BT$6,IF(AND('Zdroj data'!O101&gt;=Body!$BW$18,'Zdroj data'!O101&lt;=Body!$BY$18),Body!$BW$6,IF('Zdroj data'!O101&gt;=Body!$CB$18,Body!$BZ$6," ")))))))))),IF(AND('Zdroj data'!BG101="ST",'Zdroj data'!AM101=Body!$AX$19),IF(AND('Zdroj data'!O101&gt;=Body!$AY$19,'Zdroj data'!O101&lt;=Body!$BA$19),Body!$AY$6,IF(AND('Zdroj data'!O101&gt;=Body!$BB$19,'Zdroj data'!O101&lt;=Body!$BD$19),Body!$BB$6,IF(AND('Zdroj data'!O101&gt;=Body!$BE$19,'Zdroj data'!O101&lt;=Body!$BG$19),Body!$BE$6,IF(AND('Zdroj data'!O101&gt;=Body!$BH$19,'Zdroj data'!O101&lt;=Body!$BJ$19),Body!$BH$6,IF(AND('Zdroj data'!O101&gt;=Body!$BK$19,'Zdroj data'!O101&lt;=Body!$BM$19),Body!$BK$6,IF(AND('Zdroj data'!O101&gt;=Body!$BN$19,'Zdroj data'!O101&lt;=Body!$BP$19),Body!$BN$6,IF(AND('Zdroj data'!O101&gt;=Body!$BQ$19,'Zdroj data'!O101&lt;=Body!$BS$19),Body!$BQ$6,IF(AND('Zdroj data'!O101&gt;=Body!$BT$19,'Zdroj data'!#REF!&lt;=Body!$BV$19),Body!$BT$6,IF(AND('Zdroj data'!O101&gt;=Body!$BW$19,'Zdroj data'!O101&lt;=Body!$BY$19),Body!$BW$6,IF('Zdroj data'!O101&gt;=Body!$CB$19,Body!$BZ$6," ")))))))))),IF(AND('Zdroj data'!BG101="T",'Zdroj data'!AM101=Body!$AX$20),IF(AND('Zdroj data'!O101&gt;=Body!$AY$20,'Zdroj data'!O101&lt;=Body!$BA$20),Body!$AY$6,IF(AND('Zdroj data'!O101&gt;=Body!$BB$20,'Zdroj data'!O101&lt;=Body!$BD$20),Body!$BB$6,IF(AND('Zdroj data'!O101&gt;=Body!$BE$20,'Zdroj data'!O101&lt;=Body!$BG$20),Body!$BE$6,IF(AND('Zdroj data'!O101&gt;=Body!$BH$20,'Zdroj data'!O101&lt;=Body!$BJ$20),Body!$BH$6,IF(AND('Zdroj data'!O101&gt;=Body!$BK$20,'Zdroj data'!O101&lt;=Body!$BM$20),Body!$BK$6,IF(AND('Zdroj data'!O101&gt;=Body!$BN$20,'Zdroj data'!O101&lt;=Body!$BP$20),Body!$BN$6,IF(AND('Zdroj data'!O101&gt;=Body!$BQ$20,'Zdroj data'!O101&lt;=Body!$BS$20),Body!$BQ$6,IF(AND('Zdroj data'!O101&gt;=Body!$BT$20,'Zdroj data'!O101&lt;=Body!#REF!),Body!$BT$6,IF(AND('Zdroj data'!O101&gt;=Body!$BW$20,'Zdroj data'!O101&lt;=Body!$BY$20),Body!$BW$6,IF('Zdroj data'!O101&gt;=Body!$CB$20,Body!$BZ$6," "))))))))))," ")))</f>
        <v>1</v>
      </c>
      <c r="AI101" s="264">
        <f>IF(AND('Zdroj data'!$BG101="L",'Zdroj data'!$AM101=Body!$AX$18),IF(AND(Tabulka1[[#This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data'!$BG101="ST",'Zdroj data'!$AM101=Body!$AX$19),IF(AND(Tabulka1[[#This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data'!$BG101="T",'Zdroj data'!$AM101=Body!$AX$20),IF(AND(Tabulka1[[#This Row],[K2O_60]]&gt;=Body!$AY$20,'Zdroj data'!O101&lt;=Body!$BA$20),Body!$AY$6,IF(AND(Tabulka1[[#This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1</v>
      </c>
      <c r="AJ101" s="265">
        <f t="shared" si="13"/>
        <v>9.3333333333333428</v>
      </c>
      <c r="AK101" s="264">
        <f t="shared" si="14"/>
        <v>39.20856323630413</v>
      </c>
      <c r="AL101" s="264">
        <f t="shared" si="15"/>
        <v>34.628216806586586</v>
      </c>
      <c r="AM101" s="264">
        <f t="shared" si="16"/>
        <v>69.958340930752783</v>
      </c>
      <c r="AN101" s="264">
        <f t="shared" si="17"/>
        <v>71.502934137954767</v>
      </c>
      <c r="AO101" s="265">
        <f t="shared" si="21"/>
        <v>109.16690416705691</v>
      </c>
      <c r="AP101" s="265">
        <f t="shared" si="18"/>
        <v>106.13115094454136</v>
      </c>
      <c r="AQ101" s="318"/>
      <c r="AR101" s="338">
        <f t="shared" si="19"/>
        <v>224.63138844493162</v>
      </c>
      <c r="AS101" s="318"/>
      <c r="AT101" s="138"/>
      <c r="AU101" s="138"/>
    </row>
    <row r="102" spans="1:47" ht="15.5" x14ac:dyDescent="0.35">
      <c r="A102" s="270">
        <v>5298</v>
      </c>
      <c r="B102" s="156" t="s">
        <v>314</v>
      </c>
      <c r="C102" s="250" t="str">
        <f>VLOOKUP(B102,'Zdroj hloubka okresy'!$A$2:$D$171,2,FALSE)</f>
        <v>Kutna_Hora</v>
      </c>
      <c r="D102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1</v>
      </c>
      <c r="E102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1</v>
      </c>
      <c r="F102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8</v>
      </c>
      <c r="G102" s="264">
        <f>IF(AND(Tabulka1[[#This Row],[hum_60]]&gt;AY108,Tabulka1[[#This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7</v>
      </c>
      <c r="H102" s="264">
        <f>IF(Tabulka1[[#This Row],[kv.ek.]]=Body!$AX$13,IF(AND('Zdroj data'!M102&gt;=Body!$AY$13,'Zdroj data'!M102&lt;=Body!$BA$13),Body!$AY$6,IF(AND('Zdroj data'!M102&gt;=Body!$BB$13,'Zdroj data'!M102&lt;=Body!$BD$13),Body!$BB$6,IF(AND('Zdroj data'!M102&gt;=Body!$BE$13,'Zdroj data'!M102&lt;=Body!$BG$13),Body!$BE$6,IF(AND('Zdroj data'!M102&gt;=Body!$BH$13,'Zdroj data'!M102&lt;=Body!$BJ$13),Body!$BH$6,IF(AND('Zdroj data'!M102&gt;=Body!$BK$13,'Zdroj data'!M102&lt;=Body!$BM$13),Body!$BK$6,IF(AND('Zdroj data'!M102&gt;=Body!$BN$13,'Zdroj data'!M102&lt;=Body!$BP$13),Body!$BN$6,IF(AND('Zdroj data'!M102&gt;=Body!$BQ$13,'Zdroj data'!M102&lt;=Body!$BS$13),Body!$BQ$6,IF(AND('Zdroj data'!M102&gt;=Body!$BT$13,'Zdroj data'!M102&lt;=Body!$BV$13),Body!$BT$6,IF(AND('Zdroj data'!M102&gt;=Body!$BW$13,'Zdroj data'!M102&lt;=Body!$BY$13),Body!$BW$6,IF('Zdroj data'!M102&gt;=Body!$CB$13,Body!$BZ$6," ")))))))))),IF(Tabulka1[[#This Row],[kv.ek.]]=Body!$AX$14,IF(AND('Zdroj data'!N102&gt;=Body!$AY$14,'Zdroj data'!N102&lt;=Body!$BA$14),Body!$AY$6,IF(AND('Zdroj data'!N102&gt;=Body!$BB$14,'Zdroj data'!N102&lt;=Body!$BD$14),Body!$BB$6,IF(AND('Zdroj data'!N102&gt;=Body!$BE$14,'Zdroj data'!N102&lt;=Body!$BG$14),Body!$BE$6,IF(AND('Zdroj data'!N102&gt;=Body!$BH$14,'Zdroj data'!N102&lt;=Body!$BJ$14),Body!$BH$6,IF(AND('Zdroj data'!N102&gt;=Body!$BK$14,'Zdroj data'!N102&lt;=Body!$BM$14),Body!$BK$6,IF(AND('Zdroj data'!N102&gt;=Body!$BN$14,'Zdroj data'!N102&lt;=Body!$BP$14),Body!$BN$6,IF(AND('Zdroj data'!N102&gt;=Body!$BQ$14,'Zdroj data'!N102&lt;=Body!$BS$14),Body!$BQ$6,IF(AND('Zdroj data'!N102&gt;=Body!$BT$14,'Zdroj data'!N102&lt;=Body!$BV$14),Body!$BT$6,IF(AND('Zdroj data'!N102&gt;=Body!$BW$14,'Zdroj data'!N102&lt;=Body!$BY$14),Body!$BW$6,IF('Zdroj data'!N102&gt;=Body!$CB$14,Body!$BZ$6," "))))))))))," "))</f>
        <v>4</v>
      </c>
      <c r="I102" s="264">
        <f>IF(Tabulka1[[#This Row],[kv.ek.]]=Body!$AX$13,IF(AND('Zdroj data'!N102&gt;=Body!$AY$13,'Zdroj data'!N102&lt;=Body!$BA$13),Body!$AY$6,IF(AND('Zdroj data'!N102&gt;=Body!$BB$13,'Zdroj data'!N102&lt;=Body!$BD$13),Body!$BB$6,IF(AND('Zdroj data'!N102&gt;=Body!$BE$13,'Zdroj data'!N102&lt;=Body!$BG$13),Body!$BE$6,IF(AND('Zdroj data'!N102&gt;=Body!$BH$13,'Zdroj data'!N102&lt;=Body!$BJ$13),Body!$BH$6,IF(AND('Zdroj data'!N102&gt;=Body!$BK$13,'Zdroj data'!N102&lt;=Body!$BM$13),Body!$BK$6,IF(AND('Zdroj data'!N102&gt;=Body!$BN$13,'Zdroj data'!N102&lt;=Body!$BP$13),Body!$BN$6,IF(AND('Zdroj data'!N102&gt;=Body!$BQ$13,'Zdroj data'!N102&lt;=Body!$BS$13),Body!$BQ$6,IF(AND('Zdroj data'!N102&gt;=Body!$BT$13,'Zdroj data'!N102&lt;=Body!$BV$13),Body!$BT$6,IF(AND('Zdroj data'!N102&gt;=Body!$BW$13,'Zdroj data'!N102&lt;=Body!$BY$13),Body!$BW$6,IF('Zdroj data'!N102&gt;=Body!$CB$13,Body!$BZ$6," ")))))))))),IF(Tabulka1[[#This Row],[kv.ek.]]=Body!$AX$14,IF(AND('Zdroj data'!O102&gt;=Body!$AY$14,'Zdroj data'!O102&lt;=Body!$BA$14),Body!$AY$6,IF(AND('Zdroj data'!O102&gt;=Body!$BB$14,'Zdroj data'!O102&lt;=Body!$BD$14),Body!$BB$6,IF(AND('Zdroj data'!O102&gt;=Body!$BE$14,'Zdroj data'!O102&lt;=Body!$BG$14),Body!$BE$6,IF(AND('Zdroj data'!O102&gt;=Body!$BH$14,'Zdroj data'!O102&lt;=Body!$BJ$14),Body!$BH$6,IF(AND('Zdroj data'!O102&gt;=Body!$BK$14,'Zdroj data'!O102&lt;=Body!$BM$14),Body!$BK$6,IF(AND('Zdroj data'!O102&gt;=Body!$BN$14,'Zdroj data'!O102&lt;=Body!$BP$14),Body!$BN$6,IF(AND('Zdroj data'!O102&gt;=Body!$BQ$14,'Zdroj data'!O102&lt;=Body!$BS$14),Body!$BQ$6,IF(AND('Zdroj data'!O102&gt;=Body!$BT$14,'Zdroj data'!O102&lt;=Body!$BV$14),Body!$BT$6,IF(AND('Zdroj data'!O102&gt;=Body!$BW$14,'Zdroj data'!O102&lt;=Body!$BY$14),Body!$BW$6,IF('Zdroj data'!O102&gt;=Body!$CB$14,Body!$BZ$6," "))))))))))," "))</f>
        <v>3</v>
      </c>
      <c r="J102" s="264">
        <f t="shared" si="24"/>
        <v>1</v>
      </c>
      <c r="K102" s="264">
        <f t="shared" si="24"/>
        <v>1</v>
      </c>
      <c r="L102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8</v>
      </c>
      <c r="M102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7</v>
      </c>
      <c r="N102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102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102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02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102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102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9</v>
      </c>
      <c r="T102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102" s="264">
        <f>IF('Zdroj data'!BB102=Body!$AY$25,Body!$AY$22,IF('Zdroj data'!BB102=Body!$BB$25,Body!$BB$22,IF('Zdroj data'!BB102=Body!$BE$25,Body!$BE$22,IF('Zdroj data'!BB102=Body!$BH$25,Body!$BH$22,IF('Zdroj data'!BB102=Body!BK$25,Body!$BK$22,IF('Zdroj data'!BB102=Body!$BN$25,Body!$BN$22,IF('Zdroj data'!BB102=Body!$BQ$25,Body!$BQ$22,IF('Zdroj data'!BB102=Body!$BT$25,Body!$BT$22,IF('Zdroj data'!BB102=Body!$BW$25,Body!$BW$22,IF('Zdroj data'!BB102=Body!$BZ$25,Body!$BZ$22," "))))))))))</f>
        <v>7</v>
      </c>
      <c r="V102" s="264">
        <f>IF(AND('Zdroj data'!BO102&gt;Body!$AY$27,'Zdroj data'!BO102&lt;=Body!$BA$27),Body!$AY$22,IF(AND('Zdroj data'!BO102&gt;=Body!$BB$27,'Zdroj data'!BO102&lt;=Body!$BD$27),Body!$BB$22,IF(AND('Zdroj data'!BO102&gt;=Body!$BE$27,'Zdroj data'!BO102&lt;=Body!$BG$27),Body!$BE$22,IF(AND('Zdroj data'!BO102&gt;=Body!$BH$27,'Zdroj data'!BO102&lt;=Body!$BJ$27),Body!$BH$22,IF(AND('Zdroj data'!BO102&gt;=Body!$BK$27,'Zdroj data'!BO102&lt;=Body!$BM$27),Body!$BK$22,IF(AND('Zdroj data'!BO102&gt;=Body!$BN$27,'Zdroj data'!BO102&lt;=Body!$BP$27),Body!$BN$22,IF(AND('Zdroj data'!BO102&gt;=Body!$BQ$27,'Zdroj data'!BO102&lt;=Body!$BS$27),Body!$BQ$22,IF(AND('Zdroj data'!BO102&gt;=Body!$BT$27,'Zdroj data'!BO102&lt;=Body!$BV$27),Body!$BT$22,IF(AND('Zdroj data'!BO102&gt;=Body!$BW$27,'Zdroj data'!BO102&lt;=Body!$BY$27),Body!$BW$22,IF('Zdroj data'!BO102&gt;=Body!$CB$27,$BZ$22," "))))))))))</f>
        <v>8</v>
      </c>
      <c r="W102" s="264">
        <f>IF(AND('Zdroj data'!BP102&gt;Body!$AY$27,'Zdroj data'!BP102&lt;=Body!$BA$27),Body!$AY$22,IF(AND('Zdroj data'!BP102&gt;=Body!$BB$27,'Zdroj data'!BP102&lt;=Body!$BD$27),Body!$BB$22,IF(AND('Zdroj data'!BP102&gt;=Body!$BE$27,'Zdroj data'!BP102&lt;=Body!$BG$27),Body!$BE$22,IF(AND('Zdroj data'!BP102&gt;=Body!$BH$27,'Zdroj data'!BP102&lt;=Body!$BJ$27),Body!$BH$22,IF(AND('Zdroj data'!BP102&gt;=Body!$BK$27,'Zdroj data'!BP102&lt;=Body!$BM$27),Body!$BK$22,IF(AND('Zdroj data'!BP102&gt;=Body!$BN$27,'Zdroj data'!BP102&lt;=Body!$BP$27),Body!$BN$22,IF(AND('Zdroj data'!BP102&gt;=Body!$BQ$27,'Zdroj data'!BP102&lt;=Body!$BS$27),Body!$BQ$22,IF(AND('Zdroj data'!BP102&gt;=Body!$BT$27,'Zdroj data'!BP102&lt;=Body!$BV$27),Body!$BT$22,IF(AND('Zdroj data'!BP102&gt;=Body!$BW$27,'Zdroj data'!BP102&lt;=Body!$BY$27),Body!$BW$22,IF('Zdroj data'!BP102&gt;=Body!$CB$27,$BZ$22," "))))))))))</f>
        <v>5</v>
      </c>
      <c r="X102" s="264">
        <f>IF('Zdroj data'!BA102=Body!$BB$28,$BB$22,IF('Zdroj data'!BA102=Body!$BE$28,$BE$22,IF(OR('Zdroj data'!BA102=Body!$BK$28,'Zdroj data'!BA102=Body!$BL$28,'Zdroj data'!BA102=Body!$BM$28),$BK$22,IF(OR('Zdroj data'!BA102=Body!$BT$28,'Zdroj data'!BA102=Body!$BV$28),$BT$22,IF(OR('Zdroj data'!BA102=Body!$BW$28,'Zdroj data'!BA102=Body!$BY$28),$BW$22,IF('Zdroj data'!BA102=Body!$BZ$28,$BZ$22," "))))))</f>
        <v>10</v>
      </c>
      <c r="Y102" s="264">
        <f>IF('Zdroj data'!AZ102=Body!$BZ$29,Body!$BZ$22,IF(OR('Zdroj data'!AZ102=$BT$29,'Zdroj data'!AZ102=$BU$29,'Zdroj data'!AZ102=$BV$29),$BT$22,IF(OR('Zdroj data'!AZ102=$BK$29,'Zdroj data'!AZ102=$BM$29),$BK$22,IF(OR('Zdroj data'!AZ102=$BE$29,'Zdroj data'!AZ102=$BG$29),$BE$22,IF(OR('Zdroj data'!AZ102=$AY$29,'Zdroj data'!AZ102=$BA$29),$AY$22," ")))))</f>
        <v>10</v>
      </c>
      <c r="Z102" s="264">
        <f>IF(AND('Zdroj data'!BF102="T",(OR('Zdroj data'!AZ102=Body!$AW$45,'Zdroj data'!AZ102=Body!$AW$46,'Zdroj data'!AZ102=Body!$AW$47,'Zdroj data'!AZ102=Body!$AW$48))),Body!$AY$22,IF(AND('Zdroj data'!BF102="T",(OR('Zdroj data'!AZ102=$AW$49,'Zdroj data'!AZ102=$AW$50,'Zdroj data'!AZ102=$AW$51,'Zdroj data'!AZ102=$AW$52))),$BZ$22,IF(AND(OR('Zdroj data'!BF102="VT",'Zdroj data'!BF102="T",'Zdroj data'!BF102="CH"),(OR('Zdroj data'!AZ102=$AW$43,'Zdroj data'!AZ102=$AW$44,))),$BZ$22,IF(AND('Zdroj data'!BF102="CH",(OR('Zdroj data'!AZ102=$AW$49,'Zdroj data'!AZ102=$AW$50,'Zdroj data'!AZ102=$AW$51,'Zdroj data'!AZ102=$AW$52))),$AY$22,IF(AND('Zdroj data'!BF102="CH",(OR('Zdroj data'!AZ102=$AW$45,'Zdroj data'!AZ102=$AW$46,'Zdroj data'!AZ102=$AW$47,'Zdroj data'!AZ102=$AW$48))),$BZ$22," ")))))</f>
        <v>10</v>
      </c>
      <c r="AA102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</v>
      </c>
      <c r="AB102" s="264">
        <f>IF(Tabulka1[[#This Row],[kv.ek.]]=Body!$BK$35,Body!$BK$34,IF(Tabulka1[[#This Row],[kv.ek.]]=Body!$BZ$35,Body!$BZ$34," "))</f>
        <v>5</v>
      </c>
      <c r="AC102" s="264" t="str">
        <f>IF(AND('Zdroj data'!BF102="T",(OR('Zdroj data'!AZ102=Body!$AW$45,'Zdroj data'!AZ102=Body!$AW$46,'Zdroj data'!AZ102=Body!$AW$47,'Zdroj data'!AZ102=Body!$AW$48))),Body!$AY$22,IF(AND('Zdroj data'!BF102="T",(OR('Zdroj data'!AZ102=$AW$49,'Zdroj data'!AZ102=$AW$50,'Zdroj data'!AZ102=$AW$51,'Zdroj data'!AZ102=$AW$52))),$BZ$22," "))</f>
        <v xml:space="preserve"> </v>
      </c>
      <c r="AD102" s="264">
        <f>IF(AND(OR('Zdroj data'!BF102="VT",'Zdroj data'!BF102="T",'Zdroj data'!BF102="CH"),(OR('Zdroj data'!AZ102=$AW$43,'Zdroj data'!AZ102=$AW$44,))),$BZ$22," ")</f>
        <v>10</v>
      </c>
      <c r="AE102" s="264" t="str">
        <f>IF(AND('Zdroj data'!BF102="CH",(OR('Zdroj data'!AZ102=$AW$49,'Zdroj data'!AZ102=$AW$50,'Zdroj data'!AZ102=$AW$51,'Zdroj data'!AZ102=$AW$52))),$AY$22,IF(AND('Zdroj data'!BF102="CH",(OR('Zdroj data'!AZ102=$AW$45,'Zdroj data'!AZ102=$AW$46,'Zdroj data'!AZ102=$AW$47,'Zdroj data'!AZ102=$AW$48))),$BZ$22," "))</f>
        <v xml:space="preserve"> </v>
      </c>
      <c r="AF102" s="264">
        <f>IF(AND('Zdroj data'!BG102="L",'Zdroj data'!AM102=Body!$AX$15),IF(AND('Zdroj data'!O102&gt;=Body!$AY$15,'Zdroj data'!O102&lt;=Body!$BA$15),Body!AY$6,IF(AND('Zdroj data'!O102&gt;=Body!$BB$15,'Zdroj data'!O102&lt;=Body!$BD$15),Body!BB$6,IF(AND('Zdroj data'!O102&gt;=Body!$BE$15,'Zdroj data'!O102&lt;=Body!$BG$15),Body!BE$6,IF(AND('Zdroj data'!O102&gt;=Body!$BH$15,'Zdroj data'!O102&lt;=Body!$BJ$15),Body!BH$6,IF(AND('Zdroj data'!O102&gt;=Body!$BK$15,'Zdroj data'!O102&lt;=Body!$BM$15),Body!BK$6,IF(AND('Zdroj data'!O102&gt;=Body!$BN$15,'Zdroj data'!O102&lt;=Body!$BP$15),Body!$BN$6,IF(AND('Zdroj data'!O102&gt;=Body!$BQ$15,'Zdroj data'!O102&lt;=Body!$BS$15),Body!$BQ$6,IF(AND('Zdroj data'!O102&gt;=Body!$BT$15,'Zdroj data'!O102&lt;=Body!$BV$15),Body!BT$6,IF(AND('Zdroj data'!O102&gt;=Body!$BW$15,'Zdroj data'!O102&lt;=Body!$BY$15),Body!$BW$6,IF('Zdroj data'!O102&gt;=Body!$CB$15,Body!$BZ$6," ")))))))))),IF(AND('Zdroj data'!BG102="ST",'Zdroj data'!AM102=Body!$AX$16),IF(AND('Zdroj data'!O102&gt;=Body!$AY$16,'Zdroj data'!O102&lt;=Body!$BA$16),Body!$AY$6,IF(AND('Zdroj data'!O102&gt;=Body!$BB$16,'Zdroj data'!O102&lt;=Body!$BD$16),Body!$BB$6,IF(AND('Zdroj data'!O102&gt;=Body!$BE$16,'Zdroj data'!O102&lt;=Body!$BG$16),Body!$BE$6,IF(AND('Zdroj data'!O102&gt;=Body!$BH$16,'Zdroj data'!O102&lt;=Body!$BJ$16),Body!$BH$6,IF(AND('Zdroj data'!O102&gt;=Body!$BK$16,'Zdroj data'!O102&lt;=Body!$BM$16),Body!$BK$6,IF(AND('Zdroj data'!O102&gt;=Body!$BN$16,'Zdroj data'!O102&lt;=Body!$BP$16),Body!$BN$6,IF(AND('Zdroj data'!O102&gt;=Body!$BQ$16,'Zdroj data'!O102&lt;=Body!$BS$16),Body!$BQ$6,IF(AND('Zdroj data'!O102&gt;=Body!$BT$16,'Zdroj data'!O102&lt;=Body!$BV$16),Body!$BT$6,IF(AND('Zdroj data'!O102&gt;=Body!$BW$16,'Zdroj data'!O102&lt;=Body!$BY$16),Body!$BW$6,IF('Zdroj data'!O102&gt;=Body!$CB$16,Body!$BZ$6," ")))))))))),IF(AND('Zdroj data'!BG102="T",'Zdroj data'!AM102=Body!$AX$17),IF(AND('Zdroj data'!O102&gt;=Body!$AY$17,'Zdroj data'!O102&lt;=Body!$BA$17),Body!$AY$6,IF(AND('Zdroj data'!O102&gt;=Body!$BB$17,'Zdroj data'!O102&lt;=Body!$BD$17),Body!$BB$6,IF(AND('Zdroj data'!O102&gt;=Body!$BE$17,'Zdroj data'!O102&lt;=Body!$BG$17),Body!$BE$6,IF(AND('Zdroj data'!O102&gt;=Body!$BH$17,'Zdroj data'!O102&lt;=Body!#REF!),Body!$BH$6,IF(AND('Zdroj data'!O102&gt;=Body!$BK$17,'Zdroj data'!O102&lt;=Body!$BM$17),Body!$BK$6,IF(AND('Zdroj data'!O102&gt;=Body!$BN$17,'Zdroj data'!O102&lt;=Body!$BP$17),Body!$BN$6,IF(AND('Zdroj data'!O102&gt;=Body!$BQ$17,'Zdroj data'!O102&lt;=Body!$BS$17),Body!$BQ$6,IF(AND('Zdroj data'!O102&gt;=Body!$BT$17,'Zdroj data'!O102&lt;=Body!$BV$17),Body!$BT$6,IF(AND('Zdroj data'!O102&gt;=Body!$BW$17,'Zdroj data'!O102&lt;=Body!$BY$17),Body!$BW$6,IF('Zdroj data'!O102&gt;=Body!$CB$17,Body!$BZ$6," "))))))))))," ")))</f>
        <v>1</v>
      </c>
      <c r="AG102" s="264">
        <f>IF(AND('Zdroj data'!$BG102="L",'Zdroj data'!$AM102=Body!$AX$15),IF(AND(Tabulka1[[#This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data'!$BG102="ST",'Zdroj data'!$AM102=Body!$AX$16),IF(AND(Tabulka1[[#This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data'!$BG102="T",'Zdroj data'!$AM102=Body!$AX$17),IF(AND(Tabulka1[[#This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02" s="264" t="str">
        <f>IF(AND('Zdroj data'!BG102="L",'Zdroj data'!AM102=Body!$AX$18),IF(AND('Zdroj data'!O102&gt;=Body!$AY$18,'Zdroj data'!O102&lt;=Body!$BA$18),Body!AY$6,IF(AND('Zdroj data'!O102&gt;=Body!$BB$18,'Zdroj data'!O102&lt;=Body!$BD$18),Body!BB$6,IF(AND('Zdroj data'!O102&gt;=Body!$BE$18,'Zdroj data'!O102&lt;=Body!$BG$18),Body!BE$6,IF(AND('Zdroj data'!O102&gt;=Body!$BH$18,'Zdroj data'!O102&lt;=Body!$BJ$18),Body!BH$6,IF(AND('Zdroj data'!O102&gt;=Body!$BK$18,'Zdroj data'!O102&lt;=Body!$BM$18),Body!$BK$6,IF(AND('Zdroj data'!O102&gt;=Body!$BN$18,'Zdroj data'!O102&lt;=Body!$BP$18),Body!BN$6,IF(AND('Zdroj data'!O102&gt;=Body!$BQ$18,'Zdroj data'!O102&lt;=Body!$BS$18),Body!$BQ$6,IF(AND('Zdroj data'!O102&gt;=Body!$BT$18,'Zdroj data'!O102&lt;=Body!$BV$18),Body!$BT$6,IF(AND('Zdroj data'!O102&gt;=Body!$BW$18,'Zdroj data'!O102&lt;=Body!$BY$18),Body!$BW$6,IF('Zdroj data'!O102&gt;=Body!$CB$18,Body!$BZ$6," ")))))))))),IF(AND('Zdroj data'!BG102="ST",'Zdroj data'!AM102=Body!$AX$19),IF(AND('Zdroj data'!O102&gt;=Body!$AY$19,'Zdroj data'!O102&lt;=Body!$BA$19),Body!$AY$6,IF(AND('Zdroj data'!O102&gt;=Body!$BB$19,'Zdroj data'!O102&lt;=Body!$BD$19),Body!$BB$6,IF(AND('Zdroj data'!O102&gt;=Body!$BE$19,'Zdroj data'!O102&lt;=Body!$BG$19),Body!$BE$6,IF(AND('Zdroj data'!O102&gt;=Body!$BH$19,'Zdroj data'!O102&lt;=Body!$BJ$19),Body!$BH$6,IF(AND('Zdroj data'!O102&gt;=Body!$BK$19,'Zdroj data'!O102&lt;=Body!$BM$19),Body!$BK$6,IF(AND('Zdroj data'!O102&gt;=Body!$BN$19,'Zdroj data'!O102&lt;=Body!$BP$19),Body!$BN$6,IF(AND('Zdroj data'!O102&gt;=Body!$BQ$19,'Zdroj data'!O102&lt;=Body!$BS$19),Body!$BQ$6,IF(AND('Zdroj data'!O102&gt;=Body!$BT$19,'Zdroj data'!#REF!&lt;=Body!$BV$19),Body!$BT$6,IF(AND('Zdroj data'!O102&gt;=Body!$BW$19,'Zdroj data'!O102&lt;=Body!$BY$19),Body!$BW$6,IF('Zdroj data'!O102&gt;=Body!$CB$19,Body!$BZ$6," ")))))))))),IF(AND('Zdroj data'!BG102="T",'Zdroj data'!AM102=Body!$AX$20),IF(AND('Zdroj data'!O102&gt;=Body!$AY$20,'Zdroj data'!O102&lt;=Body!$BA$20),Body!$AY$6,IF(AND('Zdroj data'!O102&gt;=Body!$BB$20,'Zdroj data'!O102&lt;=Body!$BD$20),Body!$BB$6,IF(AND('Zdroj data'!O102&gt;=Body!$BE$20,'Zdroj data'!O102&lt;=Body!$BG$20),Body!$BE$6,IF(AND('Zdroj data'!O102&gt;=Body!$BH$20,'Zdroj data'!O102&lt;=Body!$BJ$20),Body!$BH$6,IF(AND('Zdroj data'!O102&gt;=Body!$BK$20,'Zdroj data'!O102&lt;=Body!$BM$20),Body!$BK$6,IF(AND('Zdroj data'!O102&gt;=Body!$BN$20,'Zdroj data'!O102&lt;=Body!$BP$20),Body!$BN$6,IF(AND('Zdroj data'!O102&gt;=Body!$BQ$20,'Zdroj data'!O102&lt;=Body!$BS$20),Body!$BQ$6,IF(AND('Zdroj data'!O102&gt;=Body!$BT$20,'Zdroj data'!O102&lt;=Body!#REF!),Body!$BT$6,IF(AND('Zdroj data'!O102&gt;=Body!$BW$20,'Zdroj data'!O102&lt;=Body!$BY$20),Body!$BW$6,IF('Zdroj data'!O102&gt;=Body!$CB$20,Body!$BZ$6," "))))))))))," ")))</f>
        <v xml:space="preserve"> </v>
      </c>
      <c r="AI102" s="264" t="str">
        <f>IF(AND('Zdroj data'!$BG102="L",'Zdroj data'!$AM102=Body!$AX$18),IF(AND(Tabulka1[[#This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data'!$BG102="ST",'Zdroj data'!$AM102=Body!$AX$19),IF(AND(Tabulka1[[#This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data'!$BG102="T",'Zdroj data'!$AM102=Body!$AX$20),IF(AND(Tabulka1[[#This Row],[K2O_60]]&gt;=Body!$AY$20,'Zdroj data'!O102&lt;=Body!$BA$20),Body!$AY$6,IF(AND(Tabulka1[[#This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02" s="265">
        <f t="shared" si="13"/>
        <v>2.6666666666666687</v>
      </c>
      <c r="AK102" s="264">
        <f t="shared" si="14"/>
        <v>39.204307156609993</v>
      </c>
      <c r="AL102" s="264">
        <f t="shared" si="15"/>
        <v>36.458721393420042</v>
      </c>
      <c r="AM102" s="264">
        <f t="shared" si="16"/>
        <v>77.950826179547761</v>
      </c>
      <c r="AN102" s="264">
        <f t="shared" si="17"/>
        <v>73.317046557941794</v>
      </c>
      <c r="AO102" s="265">
        <f t="shared" si="21"/>
        <v>117.15513333615775</v>
      </c>
      <c r="AP102" s="265">
        <f t="shared" si="18"/>
        <v>109.77576795136184</v>
      </c>
      <c r="AQ102" s="318"/>
      <c r="AR102" s="338">
        <f t="shared" si="19"/>
        <v>229.59756795418625</v>
      </c>
      <c r="AS102" s="318"/>
      <c r="AT102" s="138"/>
      <c r="AU102" s="138"/>
    </row>
    <row r="103" spans="1:47" ht="15.5" x14ac:dyDescent="0.35">
      <c r="A103" s="270">
        <v>5301</v>
      </c>
      <c r="B103" s="156" t="s">
        <v>77</v>
      </c>
      <c r="C103" s="250" t="str">
        <f>VLOOKUP(B103,'Zdroj hloubka okresy'!$A$2:$D$171,2,FALSE)</f>
        <v>Kutna_Hora</v>
      </c>
      <c r="D103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103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103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7</v>
      </c>
      <c r="G103" s="264">
        <f>IF(AND(Tabulka1[[#This Row],[hum_60]]&gt;AY109,Tabulka1[[#This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6</v>
      </c>
      <c r="H103" s="264">
        <f>IF(Tabulka1[[#This Row],[kv.ek.]]=Body!$AX$13,IF(AND('Zdroj data'!M103&gt;=Body!$AY$13,'Zdroj data'!M103&lt;=Body!$BA$13),Body!$AY$6,IF(AND('Zdroj data'!M103&gt;=Body!$BB$13,'Zdroj data'!M103&lt;=Body!$BD$13),Body!$BB$6,IF(AND('Zdroj data'!M103&gt;=Body!$BE$13,'Zdroj data'!M103&lt;=Body!$BG$13),Body!$BE$6,IF(AND('Zdroj data'!M103&gt;=Body!$BH$13,'Zdroj data'!M103&lt;=Body!$BJ$13),Body!$BH$6,IF(AND('Zdroj data'!M103&gt;=Body!$BK$13,'Zdroj data'!M103&lt;=Body!$BM$13),Body!$BK$6,IF(AND('Zdroj data'!M103&gt;=Body!$BN$13,'Zdroj data'!M103&lt;=Body!$BP$13),Body!$BN$6,IF(AND('Zdroj data'!M103&gt;=Body!$BQ$13,'Zdroj data'!M103&lt;=Body!$BS$13),Body!$BQ$6,IF(AND('Zdroj data'!M103&gt;=Body!$BT$13,'Zdroj data'!M103&lt;=Body!$BV$13),Body!$BT$6,IF(AND('Zdroj data'!M103&gt;=Body!$BW$13,'Zdroj data'!M103&lt;=Body!$BY$13),Body!$BW$6,IF('Zdroj data'!M103&gt;=Body!$CB$13,Body!$BZ$6," ")))))))))),IF(Tabulka1[[#This Row],[kv.ek.]]=Body!$AX$14,IF(AND('Zdroj data'!N103&gt;=Body!$AY$14,'Zdroj data'!N103&lt;=Body!$BA$14),Body!$AY$6,IF(AND('Zdroj data'!N103&gt;=Body!$BB$14,'Zdroj data'!N103&lt;=Body!$BD$14),Body!$BB$6,IF(AND('Zdroj data'!N103&gt;=Body!$BE$14,'Zdroj data'!N103&lt;=Body!$BG$14),Body!$BE$6,IF(AND('Zdroj data'!N103&gt;=Body!$BH$14,'Zdroj data'!N103&lt;=Body!$BJ$14),Body!$BH$6,IF(AND('Zdroj data'!N103&gt;=Body!$BK$14,'Zdroj data'!N103&lt;=Body!$BM$14),Body!$BK$6,IF(AND('Zdroj data'!N103&gt;=Body!$BN$14,'Zdroj data'!N103&lt;=Body!$BP$14),Body!$BN$6,IF(AND('Zdroj data'!N103&gt;=Body!$BQ$14,'Zdroj data'!N103&lt;=Body!$BS$14),Body!$BQ$6,IF(AND('Zdroj data'!N103&gt;=Body!$BT$14,'Zdroj data'!N103&lt;=Body!$BV$14),Body!$BT$6,IF(AND('Zdroj data'!N103&gt;=Body!$BW$14,'Zdroj data'!N103&lt;=Body!$BY$14),Body!$BW$6,IF('Zdroj data'!N103&gt;=Body!$CB$14,Body!$BZ$6," "))))))))))," "))</f>
        <v>10</v>
      </c>
      <c r="I103" s="264">
        <f>IF(Tabulka1[[#This Row],[kv.ek.]]=Body!$AX$13,IF(AND('Zdroj data'!N103&gt;=Body!$AY$13,'Zdroj data'!N103&lt;=Body!$BA$13),Body!$AY$6,IF(AND('Zdroj data'!N103&gt;=Body!$BB$13,'Zdroj data'!N103&lt;=Body!$BD$13),Body!$BB$6,IF(AND('Zdroj data'!N103&gt;=Body!$BE$13,'Zdroj data'!N103&lt;=Body!$BG$13),Body!$BE$6,IF(AND('Zdroj data'!N103&gt;=Body!$BH$13,'Zdroj data'!N103&lt;=Body!$BJ$13),Body!$BH$6,IF(AND('Zdroj data'!N103&gt;=Body!$BK$13,'Zdroj data'!N103&lt;=Body!$BM$13),Body!$BK$6,IF(AND('Zdroj data'!N103&gt;=Body!$BN$13,'Zdroj data'!N103&lt;=Body!$BP$13),Body!$BN$6,IF(AND('Zdroj data'!N103&gt;=Body!$BQ$13,'Zdroj data'!N103&lt;=Body!$BS$13),Body!$BQ$6,IF(AND('Zdroj data'!N103&gt;=Body!$BT$13,'Zdroj data'!N103&lt;=Body!$BV$13),Body!$BT$6,IF(AND('Zdroj data'!N103&gt;=Body!$BW$13,'Zdroj data'!N103&lt;=Body!$BY$13),Body!$BW$6,IF('Zdroj data'!N103&gt;=Body!$CB$13,Body!$BZ$6," ")))))))))),IF(Tabulka1[[#This Row],[kv.ek.]]=Body!$AX$14,IF(AND('Zdroj data'!O103&gt;=Body!$AY$14,'Zdroj data'!O103&lt;=Body!$BA$14),Body!$AY$6,IF(AND('Zdroj data'!O103&gt;=Body!$BB$14,'Zdroj data'!O103&lt;=Body!$BD$14),Body!$BB$6,IF(AND('Zdroj data'!O103&gt;=Body!$BE$14,'Zdroj data'!O103&lt;=Body!$BG$14),Body!$BE$6,IF(AND('Zdroj data'!O103&gt;=Body!$BH$14,'Zdroj data'!O103&lt;=Body!$BJ$14),Body!$BH$6,IF(AND('Zdroj data'!O103&gt;=Body!$BK$14,'Zdroj data'!O103&lt;=Body!$BM$14),Body!$BK$6,IF(AND('Zdroj data'!O103&gt;=Body!$BN$14,'Zdroj data'!O103&lt;=Body!$BP$14),Body!$BN$6,IF(AND('Zdroj data'!O103&gt;=Body!$BQ$14,'Zdroj data'!O103&lt;=Body!$BS$14),Body!$BQ$6,IF(AND('Zdroj data'!O103&gt;=Body!$BT$14,'Zdroj data'!O103&lt;=Body!$BV$14),Body!$BT$6,IF(AND('Zdroj data'!O103&gt;=Body!$BW$14,'Zdroj data'!O103&lt;=Body!$BY$14),Body!$BW$6,IF('Zdroj data'!O103&gt;=Body!$CB$14,Body!$BZ$6," "))))))))))," "))</f>
        <v>9</v>
      </c>
      <c r="J103" s="264">
        <f t="shared" si="24"/>
        <v>2</v>
      </c>
      <c r="K103" s="264">
        <f t="shared" si="24"/>
        <v>1</v>
      </c>
      <c r="L103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9</v>
      </c>
      <c r="M103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9</v>
      </c>
      <c r="N103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103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103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03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7</v>
      </c>
      <c r="R103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103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6</v>
      </c>
      <c r="T103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6</v>
      </c>
      <c r="U103" s="264">
        <f>IF('Zdroj data'!BB103=Body!$AY$25,Body!$AY$22,IF('Zdroj data'!BB103=Body!$BB$25,Body!$BB$22,IF('Zdroj data'!BB103=Body!$BE$25,Body!$BE$22,IF('Zdroj data'!BB103=Body!$BH$25,Body!$BH$22,IF('Zdroj data'!BB103=Body!BK$25,Body!$BK$22,IF('Zdroj data'!BB103=Body!$BN$25,Body!$BN$22,IF('Zdroj data'!BB103=Body!$BQ$25,Body!$BQ$22,IF('Zdroj data'!BB103=Body!$BT$25,Body!$BT$22,IF('Zdroj data'!BB103=Body!$BW$25,Body!$BW$22,IF('Zdroj data'!BB103=Body!$BZ$25,Body!$BZ$22," "))))))))))</f>
        <v>7</v>
      </c>
      <c r="V103" s="264">
        <f>IF(AND('Zdroj data'!BO103&gt;Body!$AY$27,'Zdroj data'!BO103&lt;=Body!$BA$27),Body!$AY$22,IF(AND('Zdroj data'!BO103&gt;=Body!$BB$27,'Zdroj data'!BO103&lt;=Body!$BD$27),Body!$BB$22,IF(AND('Zdroj data'!BO103&gt;=Body!$BE$27,'Zdroj data'!BO103&lt;=Body!$BG$27),Body!$BE$22,IF(AND('Zdroj data'!BO103&gt;=Body!$BH$27,'Zdroj data'!BO103&lt;=Body!$BJ$27),Body!$BH$22,IF(AND('Zdroj data'!BO103&gt;=Body!$BK$27,'Zdroj data'!BO103&lt;=Body!$BM$27),Body!$BK$22,IF(AND('Zdroj data'!BO103&gt;=Body!$BN$27,'Zdroj data'!BO103&lt;=Body!$BP$27),Body!$BN$22,IF(AND('Zdroj data'!BO103&gt;=Body!$BQ$27,'Zdroj data'!BO103&lt;=Body!$BS$27),Body!$BQ$22,IF(AND('Zdroj data'!BO103&gt;=Body!$BT$27,'Zdroj data'!BO103&lt;=Body!$BV$27),Body!$BT$22,IF(AND('Zdroj data'!BO103&gt;=Body!$BW$27,'Zdroj data'!BO103&lt;=Body!$BY$27),Body!$BW$22,IF('Zdroj data'!BO103&gt;=Body!$CB$27,$BZ$22," "))))))))))</f>
        <v>7</v>
      </c>
      <c r="W103" s="264">
        <f>IF(AND('Zdroj data'!BP103&gt;Body!$AY$27,'Zdroj data'!BP103&lt;=Body!$BA$27),Body!$AY$22,IF(AND('Zdroj data'!BP103&gt;=Body!$BB$27,'Zdroj data'!BP103&lt;=Body!$BD$27),Body!$BB$22,IF(AND('Zdroj data'!BP103&gt;=Body!$BE$27,'Zdroj data'!BP103&lt;=Body!$BG$27),Body!$BE$22,IF(AND('Zdroj data'!BP103&gt;=Body!$BH$27,'Zdroj data'!BP103&lt;=Body!$BJ$27),Body!$BH$22,IF(AND('Zdroj data'!BP103&gt;=Body!$BK$27,'Zdroj data'!BP103&lt;=Body!$BM$27),Body!$BK$22,IF(AND('Zdroj data'!BP103&gt;=Body!$BN$27,'Zdroj data'!BP103&lt;=Body!$BP$27),Body!$BN$22,IF(AND('Zdroj data'!BP103&gt;=Body!$BQ$27,'Zdroj data'!BP103&lt;=Body!$BS$27),Body!$BQ$22,IF(AND('Zdroj data'!BP103&gt;=Body!$BT$27,'Zdroj data'!BP103&lt;=Body!$BV$27),Body!$BT$22,IF(AND('Zdroj data'!BP103&gt;=Body!$BW$27,'Zdroj data'!BP103&lt;=Body!$BY$27),Body!$BW$22,IF('Zdroj data'!BP103&gt;=Body!$CB$27,$BZ$22," "))))))))))</f>
        <v>6</v>
      </c>
      <c r="X103" s="264">
        <f>IF('Zdroj data'!BA103=Body!$BB$28,$BB$22,IF('Zdroj data'!BA103=Body!$BE$28,$BE$22,IF(OR('Zdroj data'!BA103=Body!$BK$28,'Zdroj data'!BA103=Body!$BL$28,'Zdroj data'!BA103=Body!$BM$28),$BK$22,IF(OR('Zdroj data'!BA103=Body!$BT$28,'Zdroj data'!BA103=Body!$BV$28),$BT$22,IF(OR('Zdroj data'!BA103=Body!$BW$28,'Zdroj data'!BA103=Body!$BY$28),$BW$22,IF('Zdroj data'!BA103=Body!$BZ$28,$BZ$22," "))))))</f>
        <v>10</v>
      </c>
      <c r="Y103" s="264">
        <f>IF('Zdroj data'!AZ103=Body!$BZ$29,Body!$BZ$22,IF(OR('Zdroj data'!AZ103=$BT$29,'Zdroj data'!AZ103=$BU$29,'Zdroj data'!AZ103=$BV$29),$BT$22,IF(OR('Zdroj data'!AZ103=$BK$29,'Zdroj data'!AZ103=$BM$29),$BK$22,IF(OR('Zdroj data'!AZ103=$BE$29,'Zdroj data'!AZ103=$BG$29),$BE$22,IF(OR('Zdroj data'!AZ103=$AY$29,'Zdroj data'!AZ103=$BA$29),$AY$22," ")))))</f>
        <v>10</v>
      </c>
      <c r="Z103" s="264">
        <f>IF(AND('Zdroj data'!BF103="T",(OR('Zdroj data'!AZ103=Body!$AW$45,'Zdroj data'!AZ103=Body!$AW$46,'Zdroj data'!AZ103=Body!$AW$47,'Zdroj data'!AZ103=Body!$AW$48))),Body!$AY$22,IF(AND('Zdroj data'!BF103="T",(OR('Zdroj data'!AZ103=$AW$49,'Zdroj data'!AZ103=$AW$50,'Zdroj data'!AZ103=$AW$51,'Zdroj data'!AZ103=$AW$52))),$BZ$22,IF(AND(OR('Zdroj data'!BF103="VT",'Zdroj data'!BF103="T",'Zdroj data'!BF103="CH"),(OR('Zdroj data'!AZ103=$AW$43,'Zdroj data'!AZ103=$AW$44,))),$BZ$22,IF(AND('Zdroj data'!BF103="CH",(OR('Zdroj data'!AZ103=$AW$49,'Zdroj data'!AZ103=$AW$50,'Zdroj data'!AZ103=$AW$51,'Zdroj data'!AZ103=$AW$52))),$AY$22,IF(AND('Zdroj data'!BF103="CH",(OR('Zdroj data'!AZ103=$AW$45,'Zdroj data'!AZ103=$AW$46,'Zdroj data'!AZ103=$AW$47,'Zdroj data'!AZ103=$AW$48))),$BZ$22," ")))))</f>
        <v>10</v>
      </c>
      <c r="AA103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03" s="264">
        <f>IF(Tabulka1[[#This Row],[kv.ek.]]=Body!$BK$35,Body!$BK$34,IF(Tabulka1[[#This Row],[kv.ek.]]=Body!$BZ$35,Body!$BZ$34," "))</f>
        <v>5</v>
      </c>
      <c r="AC103" s="264" t="str">
        <f>IF(AND('Zdroj data'!BF103="T",(OR('Zdroj data'!AZ103=Body!$AW$45,'Zdroj data'!AZ103=Body!$AW$46,'Zdroj data'!AZ103=Body!$AW$47,'Zdroj data'!AZ103=Body!$AW$48))),Body!$AY$22,IF(AND('Zdroj data'!BF103="T",(OR('Zdroj data'!AZ103=$AW$49,'Zdroj data'!AZ103=$AW$50,'Zdroj data'!AZ103=$AW$51,'Zdroj data'!AZ103=$AW$52))),$BZ$22," "))</f>
        <v xml:space="preserve"> </v>
      </c>
      <c r="AD103" s="264">
        <f>IF(AND(OR('Zdroj data'!BF103="VT",'Zdroj data'!BF103="T",'Zdroj data'!BF103="CH"),(OR('Zdroj data'!AZ103=$AW$43,'Zdroj data'!AZ103=$AW$44,))),$BZ$22," ")</f>
        <v>10</v>
      </c>
      <c r="AE103" s="264" t="str">
        <f>IF(AND('Zdroj data'!BF103="CH",(OR('Zdroj data'!AZ103=$AW$49,'Zdroj data'!AZ103=$AW$50,'Zdroj data'!AZ103=$AW$51,'Zdroj data'!AZ103=$AW$52))),$AY$22,IF(AND('Zdroj data'!BF103="CH",(OR('Zdroj data'!AZ103=$AW$45,'Zdroj data'!AZ103=$AW$46,'Zdroj data'!AZ103=$AW$47,'Zdroj data'!AZ103=$AW$48))),$BZ$22," "))</f>
        <v xml:space="preserve"> </v>
      </c>
      <c r="AF103" s="264">
        <f>IF(AND('Zdroj data'!BG103="L",'Zdroj data'!AM103=Body!$AX$15),IF(AND('Zdroj data'!O103&gt;=Body!$AY$15,'Zdroj data'!O103&lt;=Body!$BA$15),Body!AY$6,IF(AND('Zdroj data'!O103&gt;=Body!$BB$15,'Zdroj data'!O103&lt;=Body!$BD$15),Body!BB$6,IF(AND('Zdroj data'!O103&gt;=Body!$BE$15,'Zdroj data'!O103&lt;=Body!$BG$15),Body!BE$6,IF(AND('Zdroj data'!O103&gt;=Body!$BH$15,'Zdroj data'!O103&lt;=Body!$BJ$15),Body!BH$6,IF(AND('Zdroj data'!O103&gt;=Body!$BK$15,'Zdroj data'!O103&lt;=Body!$BM$15),Body!BK$6,IF(AND('Zdroj data'!O103&gt;=Body!$BN$15,'Zdroj data'!O103&lt;=Body!$BP$15),Body!$BN$6,IF(AND('Zdroj data'!O103&gt;=Body!$BQ$15,'Zdroj data'!O103&lt;=Body!$BS$15),Body!$BQ$6,IF(AND('Zdroj data'!O103&gt;=Body!$BT$15,'Zdroj data'!O103&lt;=Body!$BV$15),Body!BT$6,IF(AND('Zdroj data'!O103&gt;=Body!$BW$15,'Zdroj data'!O103&lt;=Body!$BY$15),Body!$BW$6,IF('Zdroj data'!O103&gt;=Body!$CB$15,Body!$BZ$6," ")))))))))),IF(AND('Zdroj data'!BG103="ST",'Zdroj data'!AM103=Body!$AX$16),IF(AND('Zdroj data'!O103&gt;=Body!$AY$16,'Zdroj data'!O103&lt;=Body!$BA$16),Body!$AY$6,IF(AND('Zdroj data'!O103&gt;=Body!$BB$16,'Zdroj data'!O103&lt;=Body!$BD$16),Body!$BB$6,IF(AND('Zdroj data'!O103&gt;=Body!$BE$16,'Zdroj data'!O103&lt;=Body!$BG$16),Body!$BE$6,IF(AND('Zdroj data'!O103&gt;=Body!$BH$16,'Zdroj data'!O103&lt;=Body!$BJ$16),Body!$BH$6,IF(AND('Zdroj data'!O103&gt;=Body!$BK$16,'Zdroj data'!O103&lt;=Body!$BM$16),Body!$BK$6,IF(AND('Zdroj data'!O103&gt;=Body!$BN$16,'Zdroj data'!O103&lt;=Body!$BP$16),Body!$BN$6,IF(AND('Zdroj data'!O103&gt;=Body!$BQ$16,'Zdroj data'!O103&lt;=Body!$BS$16),Body!$BQ$6,IF(AND('Zdroj data'!O103&gt;=Body!$BT$16,'Zdroj data'!O103&lt;=Body!$BV$16),Body!$BT$6,IF(AND('Zdroj data'!O103&gt;=Body!$BW$16,'Zdroj data'!O103&lt;=Body!$BY$16),Body!$BW$6,IF('Zdroj data'!O103&gt;=Body!$CB$16,Body!$BZ$6," ")))))))))),IF(AND('Zdroj data'!BG103="T",'Zdroj data'!AM103=Body!$AX$17),IF(AND('Zdroj data'!O103&gt;=Body!$AY$17,'Zdroj data'!O103&lt;=Body!$BA$17),Body!$AY$6,IF(AND('Zdroj data'!O103&gt;=Body!$BB$17,'Zdroj data'!O103&lt;=Body!$BD$17),Body!$BB$6,IF(AND('Zdroj data'!O103&gt;=Body!$BE$17,'Zdroj data'!O103&lt;=Body!$BG$17),Body!$BE$6,IF(AND('Zdroj data'!O103&gt;=Body!$BH$17,'Zdroj data'!O103&lt;=Body!#REF!),Body!$BH$6,IF(AND('Zdroj data'!O103&gt;=Body!$BK$17,'Zdroj data'!O103&lt;=Body!$BM$17),Body!$BK$6,IF(AND('Zdroj data'!O103&gt;=Body!$BN$17,'Zdroj data'!O103&lt;=Body!$BP$17),Body!$BN$6,IF(AND('Zdroj data'!O103&gt;=Body!$BQ$17,'Zdroj data'!O103&lt;=Body!$BS$17),Body!$BQ$6,IF(AND('Zdroj data'!O103&gt;=Body!$BT$17,'Zdroj data'!O103&lt;=Body!$BV$17),Body!$BT$6,IF(AND('Zdroj data'!O103&gt;=Body!$BW$17,'Zdroj data'!O103&lt;=Body!$BY$17),Body!$BW$6,IF('Zdroj data'!O103&gt;=Body!$CB$17,Body!$BZ$6," "))))))))))," ")))</f>
        <v>2</v>
      </c>
      <c r="AG103" s="264">
        <f>IF(AND('Zdroj data'!$BG103="L",'Zdroj data'!$AM103=Body!$AX$15),IF(AND(Tabulka1[[#This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data'!$BG103="ST",'Zdroj data'!$AM103=Body!$AX$16),IF(AND(Tabulka1[[#This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data'!$BG103="T",'Zdroj data'!$AM103=Body!$AX$17),IF(AND(Tabulka1[[#This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03" s="264" t="str">
        <f>IF(AND('Zdroj data'!BG103="L",'Zdroj data'!AM103=Body!$AX$18),IF(AND('Zdroj data'!O103&gt;=Body!$AY$18,'Zdroj data'!O103&lt;=Body!$BA$18),Body!AY$6,IF(AND('Zdroj data'!O103&gt;=Body!$BB$18,'Zdroj data'!O103&lt;=Body!$BD$18),Body!BB$6,IF(AND('Zdroj data'!O103&gt;=Body!$BE$18,'Zdroj data'!O103&lt;=Body!$BG$18),Body!BE$6,IF(AND('Zdroj data'!O103&gt;=Body!$BH$18,'Zdroj data'!O103&lt;=Body!$BJ$18),Body!BH$6,IF(AND('Zdroj data'!O103&gt;=Body!$BK$18,'Zdroj data'!O103&lt;=Body!$BM$18),Body!$BK$6,IF(AND('Zdroj data'!O103&gt;=Body!$BN$18,'Zdroj data'!O103&lt;=Body!$BP$18),Body!BN$6,IF(AND('Zdroj data'!O103&gt;=Body!$BQ$18,'Zdroj data'!O103&lt;=Body!$BS$18),Body!$BQ$6,IF(AND('Zdroj data'!O103&gt;=Body!$BT$18,'Zdroj data'!O103&lt;=Body!$BV$18),Body!$BT$6,IF(AND('Zdroj data'!O103&gt;=Body!$BW$18,'Zdroj data'!O103&lt;=Body!$BY$18),Body!$BW$6,IF('Zdroj data'!O103&gt;=Body!$CB$18,Body!$BZ$6," ")))))))))),IF(AND('Zdroj data'!BG103="ST",'Zdroj data'!AM103=Body!$AX$19),IF(AND('Zdroj data'!O103&gt;=Body!$AY$19,'Zdroj data'!O103&lt;=Body!$BA$19),Body!$AY$6,IF(AND('Zdroj data'!O103&gt;=Body!$BB$19,'Zdroj data'!O103&lt;=Body!$BD$19),Body!$BB$6,IF(AND('Zdroj data'!O103&gt;=Body!$BE$19,'Zdroj data'!O103&lt;=Body!$BG$19),Body!$BE$6,IF(AND('Zdroj data'!O103&gt;=Body!$BH$19,'Zdroj data'!O103&lt;=Body!$BJ$19),Body!$BH$6,IF(AND('Zdroj data'!O103&gt;=Body!$BK$19,'Zdroj data'!O103&lt;=Body!$BM$19),Body!$BK$6,IF(AND('Zdroj data'!O103&gt;=Body!$BN$19,'Zdroj data'!O103&lt;=Body!$BP$19),Body!$BN$6,IF(AND('Zdroj data'!O103&gt;=Body!$BQ$19,'Zdroj data'!O103&lt;=Body!$BS$19),Body!$BQ$6,IF(AND('Zdroj data'!O103&gt;=Body!$BT$19,'Zdroj data'!#REF!&lt;=Body!$BV$19),Body!$BT$6,IF(AND('Zdroj data'!O103&gt;=Body!$BW$19,'Zdroj data'!O103&lt;=Body!$BY$19),Body!$BW$6,IF('Zdroj data'!O103&gt;=Body!$CB$19,Body!$BZ$6," ")))))))))),IF(AND('Zdroj data'!BG103="T",'Zdroj data'!AM103=Body!$AX$20),IF(AND('Zdroj data'!O103&gt;=Body!$AY$20,'Zdroj data'!O103&lt;=Body!$BA$20),Body!$AY$6,IF(AND('Zdroj data'!O103&gt;=Body!$BB$20,'Zdroj data'!O103&lt;=Body!$BD$20),Body!$BB$6,IF(AND('Zdroj data'!O103&gt;=Body!$BE$20,'Zdroj data'!O103&lt;=Body!$BG$20),Body!$BE$6,IF(AND('Zdroj data'!O103&gt;=Body!$BH$20,'Zdroj data'!O103&lt;=Body!$BJ$20),Body!$BH$6,IF(AND('Zdroj data'!O103&gt;=Body!$BK$20,'Zdroj data'!O103&lt;=Body!$BM$20),Body!$BK$6,IF(AND('Zdroj data'!O103&gt;=Body!$BN$20,'Zdroj data'!O103&lt;=Body!$BP$20),Body!$BN$6,IF(AND('Zdroj data'!O103&gt;=Body!$BQ$20,'Zdroj data'!O103&lt;=Body!$BS$20),Body!$BQ$6,IF(AND('Zdroj data'!O103&gt;=Body!$BT$20,'Zdroj data'!O103&lt;=Body!#REF!),Body!$BT$6,IF(AND('Zdroj data'!O103&gt;=Body!$BW$20,'Zdroj data'!O103&lt;=Body!$BY$20),Body!$BW$6,IF('Zdroj data'!O103&gt;=Body!$CB$20,Body!$BZ$6," "))))))))))," ")))</f>
        <v xml:space="preserve"> </v>
      </c>
      <c r="AI103" s="264" t="str">
        <f>IF(AND('Zdroj data'!$BG103="L",'Zdroj data'!$AM103=Body!$AX$18),IF(AND(Tabulka1[[#This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data'!$BG103="ST",'Zdroj data'!$AM103=Body!$AX$19),IF(AND(Tabulka1[[#This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data'!$BG103="T",'Zdroj data'!$AM103=Body!$AX$20),IF(AND(Tabulka1[[#This Row],[K2O_60]]&gt;=Body!$AY$20,'Zdroj data'!O103&lt;=Body!$BA$20),Body!$AY$6,IF(AND(Tabulka1[[#This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03" s="265">
        <f t="shared" si="13"/>
        <v>8.0000000000000071</v>
      </c>
      <c r="AK103" s="264">
        <f t="shared" si="14"/>
        <v>41.757346605260146</v>
      </c>
      <c r="AL103" s="264">
        <f t="shared" si="15"/>
        <v>39.465090434040548</v>
      </c>
      <c r="AM103" s="264">
        <f t="shared" si="16"/>
        <v>64.665361101117796</v>
      </c>
      <c r="AN103" s="264">
        <f t="shared" si="17"/>
        <v>63.120767893915811</v>
      </c>
      <c r="AO103" s="265">
        <f t="shared" si="21"/>
        <v>106.42270770637793</v>
      </c>
      <c r="AP103" s="265">
        <f t="shared" si="18"/>
        <v>102.58585832795636</v>
      </c>
      <c r="AQ103" s="318"/>
      <c r="AR103" s="338">
        <f t="shared" si="19"/>
        <v>217.00856603433431</v>
      </c>
      <c r="AS103" s="318"/>
      <c r="AT103" s="138"/>
      <c r="AU103" s="138"/>
    </row>
    <row r="104" spans="1:47" ht="15.5" x14ac:dyDescent="0.35">
      <c r="A104" s="270">
        <v>5478</v>
      </c>
      <c r="B104" s="156" t="s">
        <v>308</v>
      </c>
      <c r="C104" s="250" t="str">
        <f>VLOOKUP(B104,'Zdroj hloubka okresy'!$A$2:$D$171,2,FALSE)</f>
        <v>Kutna_Hora</v>
      </c>
      <c r="D104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104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104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104" s="264">
        <f>IF(AND(Tabulka1[[#This Row],[hum_60]]&gt;AY110,Tabulka1[[#This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4</v>
      </c>
      <c r="H104" s="264">
        <f>IF(Tabulka1[[#This Row],[kv.ek.]]=Body!$AX$13,IF(AND('Zdroj data'!M104&gt;=Body!$AY$13,'Zdroj data'!M104&lt;=Body!$BA$13),Body!$AY$6,IF(AND('Zdroj data'!M104&gt;=Body!$BB$13,'Zdroj data'!M104&lt;=Body!$BD$13),Body!$BB$6,IF(AND('Zdroj data'!M104&gt;=Body!$BE$13,'Zdroj data'!M104&lt;=Body!$BG$13),Body!$BE$6,IF(AND('Zdroj data'!M104&gt;=Body!$BH$13,'Zdroj data'!M104&lt;=Body!$BJ$13),Body!$BH$6,IF(AND('Zdroj data'!M104&gt;=Body!$BK$13,'Zdroj data'!M104&lt;=Body!$BM$13),Body!$BK$6,IF(AND('Zdroj data'!M104&gt;=Body!$BN$13,'Zdroj data'!M104&lt;=Body!$BP$13),Body!$BN$6,IF(AND('Zdroj data'!M104&gt;=Body!$BQ$13,'Zdroj data'!M104&lt;=Body!$BS$13),Body!$BQ$6,IF(AND('Zdroj data'!M104&gt;=Body!$BT$13,'Zdroj data'!M104&lt;=Body!$BV$13),Body!$BT$6,IF(AND('Zdroj data'!M104&gt;=Body!$BW$13,'Zdroj data'!M104&lt;=Body!$BY$13),Body!$BW$6,IF('Zdroj data'!M104&gt;=Body!$CB$13,Body!$BZ$6," ")))))))))),IF(Tabulka1[[#This Row],[kv.ek.]]=Body!$AX$14,IF(AND('Zdroj data'!N104&gt;=Body!$AY$14,'Zdroj data'!N104&lt;=Body!$BA$14),Body!$AY$6,IF(AND('Zdroj data'!N104&gt;=Body!$BB$14,'Zdroj data'!N104&lt;=Body!$BD$14),Body!$BB$6,IF(AND('Zdroj data'!N104&gt;=Body!$BE$14,'Zdroj data'!N104&lt;=Body!$BG$14),Body!$BE$6,IF(AND('Zdroj data'!N104&gt;=Body!$BH$14,'Zdroj data'!N104&lt;=Body!$BJ$14),Body!$BH$6,IF(AND('Zdroj data'!N104&gt;=Body!$BK$14,'Zdroj data'!N104&lt;=Body!$BM$14),Body!$BK$6,IF(AND('Zdroj data'!N104&gt;=Body!$BN$14,'Zdroj data'!N104&lt;=Body!$BP$14),Body!$BN$6,IF(AND('Zdroj data'!N104&gt;=Body!$BQ$14,'Zdroj data'!N104&lt;=Body!$BS$14),Body!$BQ$6,IF(AND('Zdroj data'!N104&gt;=Body!$BT$14,'Zdroj data'!N104&lt;=Body!$BV$14),Body!$BT$6,IF(AND('Zdroj data'!N104&gt;=Body!$BW$14,'Zdroj data'!N104&lt;=Body!$BY$14),Body!$BW$6,IF('Zdroj data'!N104&gt;=Body!$CB$14,Body!$BZ$6," "))))))))))," "))</f>
        <v>2</v>
      </c>
      <c r="I104" s="264">
        <f>IF(Tabulka1[[#This Row],[kv.ek.]]=Body!$AX$13,IF(AND('Zdroj data'!N104&gt;=Body!$AY$13,'Zdroj data'!N104&lt;=Body!$BA$13),Body!$AY$6,IF(AND('Zdroj data'!N104&gt;=Body!$BB$13,'Zdroj data'!N104&lt;=Body!$BD$13),Body!$BB$6,IF(AND('Zdroj data'!N104&gt;=Body!$BE$13,'Zdroj data'!N104&lt;=Body!$BG$13),Body!$BE$6,IF(AND('Zdroj data'!N104&gt;=Body!$BH$13,'Zdroj data'!N104&lt;=Body!$BJ$13),Body!$BH$6,IF(AND('Zdroj data'!N104&gt;=Body!$BK$13,'Zdroj data'!N104&lt;=Body!$BM$13),Body!$BK$6,IF(AND('Zdroj data'!N104&gt;=Body!$BN$13,'Zdroj data'!N104&lt;=Body!$BP$13),Body!$BN$6,IF(AND('Zdroj data'!N104&gt;=Body!$BQ$13,'Zdroj data'!N104&lt;=Body!$BS$13),Body!$BQ$6,IF(AND('Zdroj data'!N104&gt;=Body!$BT$13,'Zdroj data'!N104&lt;=Body!$BV$13),Body!$BT$6,IF(AND('Zdroj data'!N104&gt;=Body!$BW$13,'Zdroj data'!N104&lt;=Body!$BY$13),Body!$BW$6,IF('Zdroj data'!N104&gt;=Body!$CB$13,Body!$BZ$6," ")))))))))),IF(Tabulka1[[#This Row],[kv.ek.]]=Body!$AX$14,IF(AND('Zdroj data'!O104&gt;=Body!$AY$14,'Zdroj data'!O104&lt;=Body!$BA$14),Body!$AY$6,IF(AND('Zdroj data'!O104&gt;=Body!$BB$14,'Zdroj data'!O104&lt;=Body!$BD$14),Body!$BB$6,IF(AND('Zdroj data'!O104&gt;=Body!$BE$14,'Zdroj data'!O104&lt;=Body!$BG$14),Body!$BE$6,IF(AND('Zdroj data'!O104&gt;=Body!$BH$14,'Zdroj data'!O104&lt;=Body!$BJ$14),Body!$BH$6,IF(AND('Zdroj data'!O104&gt;=Body!$BK$14,'Zdroj data'!O104&lt;=Body!$BM$14),Body!$BK$6,IF(AND('Zdroj data'!O104&gt;=Body!$BN$14,'Zdroj data'!O104&lt;=Body!$BP$14),Body!$BN$6,IF(AND('Zdroj data'!O104&gt;=Body!$BQ$14,'Zdroj data'!O104&lt;=Body!$BS$14),Body!$BQ$6,IF(AND('Zdroj data'!O104&gt;=Body!$BT$14,'Zdroj data'!O104&lt;=Body!$BV$14),Body!$BT$6,IF(AND('Zdroj data'!O104&gt;=Body!$BW$14,'Zdroj data'!O104&lt;=Body!$BY$14),Body!$BW$6,IF('Zdroj data'!O104&gt;=Body!$CB$14,Body!$BZ$6," "))))))))))," "))</f>
        <v>1</v>
      </c>
      <c r="J104" s="264">
        <f t="shared" si="24"/>
        <v>1</v>
      </c>
      <c r="K104" s="264">
        <f t="shared" si="24"/>
        <v>1</v>
      </c>
      <c r="L104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7</v>
      </c>
      <c r="M104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7</v>
      </c>
      <c r="N104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104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104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04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7</v>
      </c>
      <c r="R104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8</v>
      </c>
      <c r="S104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104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6</v>
      </c>
      <c r="U104" s="264">
        <f>IF('Zdroj data'!BB104=Body!$AY$25,Body!$AY$22,IF('Zdroj data'!BB104=Body!$BB$25,Body!$BB$22,IF('Zdroj data'!BB104=Body!$BE$25,Body!$BE$22,IF('Zdroj data'!BB104=Body!$BH$25,Body!$BH$22,IF('Zdroj data'!BB104=Body!BK$25,Body!$BK$22,IF('Zdroj data'!BB104=Body!$BN$25,Body!$BN$22,IF('Zdroj data'!BB104=Body!$BQ$25,Body!$BQ$22,IF('Zdroj data'!BB104=Body!$BT$25,Body!$BT$22,IF('Zdroj data'!BB104=Body!$BW$25,Body!$BW$22,IF('Zdroj data'!BB104=Body!$BZ$25,Body!$BZ$22," "))))))))))</f>
        <v>7</v>
      </c>
      <c r="V104" s="264">
        <f>IF(AND('Zdroj data'!BO104&gt;Body!$AY$27,'Zdroj data'!BO104&lt;=Body!$BA$27),Body!$AY$22,IF(AND('Zdroj data'!BO104&gt;=Body!$BB$27,'Zdroj data'!BO104&lt;=Body!$BD$27),Body!$BB$22,IF(AND('Zdroj data'!BO104&gt;=Body!$BE$27,'Zdroj data'!BO104&lt;=Body!$BG$27),Body!$BE$22,IF(AND('Zdroj data'!BO104&gt;=Body!$BH$27,'Zdroj data'!BO104&lt;=Body!$BJ$27),Body!$BH$22,IF(AND('Zdroj data'!BO104&gt;=Body!$BK$27,'Zdroj data'!BO104&lt;=Body!$BM$27),Body!$BK$22,IF(AND('Zdroj data'!BO104&gt;=Body!$BN$27,'Zdroj data'!BO104&lt;=Body!$BP$27),Body!$BN$22,IF(AND('Zdroj data'!BO104&gt;=Body!$BQ$27,'Zdroj data'!BO104&lt;=Body!$BS$27),Body!$BQ$22,IF(AND('Zdroj data'!BO104&gt;=Body!$BT$27,'Zdroj data'!BO104&lt;=Body!$BV$27),Body!$BT$22,IF(AND('Zdroj data'!BO104&gt;=Body!$BW$27,'Zdroj data'!BO104&lt;=Body!$BY$27),Body!$BW$22,IF('Zdroj data'!BO104&gt;=Body!$CB$27,$BZ$22," "))))))))))</f>
        <v>7</v>
      </c>
      <c r="W104" s="264">
        <f>IF(AND('Zdroj data'!BP104&gt;Body!$AY$27,'Zdroj data'!BP104&lt;=Body!$BA$27),Body!$AY$22,IF(AND('Zdroj data'!BP104&gt;=Body!$BB$27,'Zdroj data'!BP104&lt;=Body!$BD$27),Body!$BB$22,IF(AND('Zdroj data'!BP104&gt;=Body!$BE$27,'Zdroj data'!BP104&lt;=Body!$BG$27),Body!$BE$22,IF(AND('Zdroj data'!BP104&gt;=Body!$BH$27,'Zdroj data'!BP104&lt;=Body!$BJ$27),Body!$BH$22,IF(AND('Zdroj data'!BP104&gt;=Body!$BK$27,'Zdroj data'!BP104&lt;=Body!$BM$27),Body!$BK$22,IF(AND('Zdroj data'!BP104&gt;=Body!$BN$27,'Zdroj data'!BP104&lt;=Body!$BP$27),Body!$BN$22,IF(AND('Zdroj data'!BP104&gt;=Body!$BQ$27,'Zdroj data'!BP104&lt;=Body!$BS$27),Body!$BQ$22,IF(AND('Zdroj data'!BP104&gt;=Body!$BT$27,'Zdroj data'!BP104&lt;=Body!$BV$27),Body!$BT$22,IF(AND('Zdroj data'!BP104&gt;=Body!$BW$27,'Zdroj data'!BP104&lt;=Body!$BY$27),Body!$BW$22,IF('Zdroj data'!BP104&gt;=Body!$CB$27,$BZ$22," "))))))))))</f>
        <v>6</v>
      </c>
      <c r="X104" s="264">
        <f>IF('Zdroj data'!BA104=Body!$BB$28,$BB$22,IF('Zdroj data'!BA104=Body!$BE$28,$BE$22,IF(OR('Zdroj data'!BA104=Body!$BK$28,'Zdroj data'!BA104=Body!$BL$28,'Zdroj data'!BA104=Body!$BM$28),$BK$22,IF(OR('Zdroj data'!BA104=Body!$BT$28,'Zdroj data'!BA104=Body!$BV$28),$BT$22,IF(OR('Zdroj data'!BA104=Body!$BW$28,'Zdroj data'!BA104=Body!$BY$28),$BW$22,IF('Zdroj data'!BA104=Body!$BZ$28,$BZ$22," "))))))</f>
        <v>10</v>
      </c>
      <c r="Y104" s="264">
        <f>IF('Zdroj data'!AZ104=Body!$BZ$29,Body!$BZ$22,IF(OR('Zdroj data'!AZ104=$BT$29,'Zdroj data'!AZ104=$BU$29,'Zdroj data'!AZ104=$BV$29),$BT$22,IF(OR('Zdroj data'!AZ104=$BK$29,'Zdroj data'!AZ104=$BM$29),$BK$22,IF(OR('Zdroj data'!AZ104=$BE$29,'Zdroj data'!AZ104=$BG$29),$BE$22,IF(OR('Zdroj data'!AZ104=$AY$29,'Zdroj data'!AZ104=$BA$29),$AY$22," ")))))</f>
        <v>8</v>
      </c>
      <c r="Z104" s="264">
        <f>IF(AND('Zdroj data'!BF104="T",(OR('Zdroj data'!AZ104=Body!$AW$45,'Zdroj data'!AZ104=Body!$AW$46,'Zdroj data'!AZ104=Body!$AW$47,'Zdroj data'!AZ104=Body!$AW$48))),Body!$AY$22,IF(AND('Zdroj data'!BF104="T",(OR('Zdroj data'!AZ104=$AW$49,'Zdroj data'!AZ104=$AW$50,'Zdroj data'!AZ104=$AW$51,'Zdroj data'!AZ104=$AW$52))),$BZ$22,IF(AND(OR('Zdroj data'!BF104="VT",'Zdroj data'!BF104="T",'Zdroj data'!BF104="CH"),(OR('Zdroj data'!AZ104=$AW$43,'Zdroj data'!AZ104=$AW$44,))),$BZ$22,IF(AND('Zdroj data'!BF104="CH",(OR('Zdroj data'!AZ104=$AW$49,'Zdroj data'!AZ104=$AW$50,'Zdroj data'!AZ104=$AW$51,'Zdroj data'!AZ104=$AW$52))),$AY$22,IF(AND('Zdroj data'!BF104="CH",(OR('Zdroj data'!AZ104=$AW$45,'Zdroj data'!AZ104=$AW$46,'Zdroj data'!AZ104=$AW$47,'Zdroj data'!AZ104=$AW$48))),$BZ$22," ")))))</f>
        <v>10</v>
      </c>
      <c r="AA104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04" s="264">
        <f>IF(Tabulka1[[#This Row],[kv.ek.]]=Body!$BK$35,Body!$BK$34,IF(Tabulka1[[#This Row],[kv.ek.]]=Body!$BZ$35,Body!$BZ$34," "))</f>
        <v>5</v>
      </c>
      <c r="AC104" s="264" t="str">
        <f>IF(AND('Zdroj data'!BF104="T",(OR('Zdroj data'!AZ104=Body!$AW$45,'Zdroj data'!AZ104=Body!$AW$46,'Zdroj data'!AZ104=Body!$AW$47,'Zdroj data'!AZ104=Body!$AW$48))),Body!$AY$22,IF(AND('Zdroj data'!BF104="T",(OR('Zdroj data'!AZ104=$AW$49,'Zdroj data'!AZ104=$AW$50,'Zdroj data'!AZ104=$AW$51,'Zdroj data'!AZ104=$AW$52))),$BZ$22," "))</f>
        <v xml:space="preserve"> </v>
      </c>
      <c r="AD104" s="264">
        <f>IF(AND(OR('Zdroj data'!BF104="VT",'Zdroj data'!BF104="T",'Zdroj data'!BF104="CH"),(OR('Zdroj data'!AZ104=$AW$43,'Zdroj data'!AZ104=$AW$44,))),$BZ$22," ")</f>
        <v>10</v>
      </c>
      <c r="AE104" s="264" t="str">
        <f>IF(AND('Zdroj data'!BF104="CH",(OR('Zdroj data'!AZ104=$AW$49,'Zdroj data'!AZ104=$AW$50,'Zdroj data'!AZ104=$AW$51,'Zdroj data'!AZ104=$AW$52))),$AY$22,IF(AND('Zdroj data'!BF104="CH",(OR('Zdroj data'!AZ104=$AW$45,'Zdroj data'!AZ104=$AW$46,'Zdroj data'!AZ104=$AW$47,'Zdroj data'!AZ104=$AW$48))),$BZ$22," "))</f>
        <v xml:space="preserve"> </v>
      </c>
      <c r="AF104" s="264">
        <f>IF(AND('Zdroj data'!BG104="L",'Zdroj data'!AM104=Body!$AX$15),IF(AND('Zdroj data'!O104&gt;=Body!$AY$15,'Zdroj data'!O104&lt;=Body!$BA$15),Body!AY$6,IF(AND('Zdroj data'!O104&gt;=Body!$BB$15,'Zdroj data'!O104&lt;=Body!$BD$15),Body!BB$6,IF(AND('Zdroj data'!O104&gt;=Body!$BE$15,'Zdroj data'!O104&lt;=Body!$BG$15),Body!BE$6,IF(AND('Zdroj data'!O104&gt;=Body!$BH$15,'Zdroj data'!O104&lt;=Body!$BJ$15),Body!BH$6,IF(AND('Zdroj data'!O104&gt;=Body!$BK$15,'Zdroj data'!O104&lt;=Body!$BM$15),Body!BK$6,IF(AND('Zdroj data'!O104&gt;=Body!$BN$15,'Zdroj data'!O104&lt;=Body!$BP$15),Body!$BN$6,IF(AND('Zdroj data'!O104&gt;=Body!$BQ$15,'Zdroj data'!O104&lt;=Body!$BS$15),Body!$BQ$6,IF(AND('Zdroj data'!O104&gt;=Body!$BT$15,'Zdroj data'!O104&lt;=Body!$BV$15),Body!BT$6,IF(AND('Zdroj data'!O104&gt;=Body!$BW$15,'Zdroj data'!O104&lt;=Body!$BY$15),Body!$BW$6,IF('Zdroj data'!O104&gt;=Body!$CB$15,Body!$BZ$6," ")))))))))),IF(AND('Zdroj data'!BG104="ST",'Zdroj data'!AM104=Body!$AX$16),IF(AND('Zdroj data'!O104&gt;=Body!$AY$16,'Zdroj data'!O104&lt;=Body!$BA$16),Body!$AY$6,IF(AND('Zdroj data'!O104&gt;=Body!$BB$16,'Zdroj data'!O104&lt;=Body!$BD$16),Body!$BB$6,IF(AND('Zdroj data'!O104&gt;=Body!$BE$16,'Zdroj data'!O104&lt;=Body!$BG$16),Body!$BE$6,IF(AND('Zdroj data'!O104&gt;=Body!$BH$16,'Zdroj data'!O104&lt;=Body!$BJ$16),Body!$BH$6,IF(AND('Zdroj data'!O104&gt;=Body!$BK$16,'Zdroj data'!O104&lt;=Body!$BM$16),Body!$BK$6,IF(AND('Zdroj data'!O104&gt;=Body!$BN$16,'Zdroj data'!O104&lt;=Body!$BP$16),Body!$BN$6,IF(AND('Zdroj data'!O104&gt;=Body!$BQ$16,'Zdroj data'!O104&lt;=Body!$BS$16),Body!$BQ$6,IF(AND('Zdroj data'!O104&gt;=Body!$BT$16,'Zdroj data'!O104&lt;=Body!$BV$16),Body!$BT$6,IF(AND('Zdroj data'!O104&gt;=Body!$BW$16,'Zdroj data'!O104&lt;=Body!$BY$16),Body!$BW$6,IF('Zdroj data'!O104&gt;=Body!$CB$16,Body!$BZ$6," ")))))))))),IF(AND('Zdroj data'!BG104="T",'Zdroj data'!AM104=Body!$AX$17),IF(AND('Zdroj data'!O104&gt;=Body!$AY$17,'Zdroj data'!O104&lt;=Body!$BA$17),Body!$AY$6,IF(AND('Zdroj data'!O104&gt;=Body!$BB$17,'Zdroj data'!O104&lt;=Body!$BD$17),Body!$BB$6,IF(AND('Zdroj data'!O104&gt;=Body!$BE$17,'Zdroj data'!O104&lt;=Body!$BG$17),Body!$BE$6,IF(AND('Zdroj data'!O104&gt;=Body!$BH$17,'Zdroj data'!O104&lt;=Body!BJ118),Body!$BH$6,IF(AND('Zdroj data'!O104&gt;=Body!$BK$17,'Zdroj data'!O104&lt;=Body!$BM$17),Body!$BK$6,IF(AND('Zdroj data'!O104&gt;=Body!$BN$17,'Zdroj data'!O104&lt;=Body!$BP$17),Body!$BN$6,IF(AND('Zdroj data'!O104&gt;=Body!$BQ$17,'Zdroj data'!O104&lt;=Body!$BS$17),Body!$BQ$6,IF(AND('Zdroj data'!O104&gt;=Body!$BT$17,'Zdroj data'!O104&lt;=Body!$BV$17),Body!$BT$6,IF(AND('Zdroj data'!O104&gt;=Body!$BW$17,'Zdroj data'!O104&lt;=Body!$BY$17),Body!$BW$6,IF('Zdroj data'!O104&gt;=Body!$CB$17,Body!$BZ$6," "))))))))))," ")))</f>
        <v>1</v>
      </c>
      <c r="AG104" s="264">
        <f>IF(AND('Zdroj data'!$BG104="L",'Zdroj data'!$AM104=Body!$AX$15),IF(AND(Tabulka1[[#This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data'!$BG104="ST",'Zdroj data'!$AM104=Body!$AX$16),IF(AND(Tabulka1[[#This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data'!$BG104="T",'Zdroj data'!$AM104=Body!$AX$17),IF(AND(Tabulka1[[#This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Row],[K2O_60]]&lt;=Body!BJ118),Body!$BH$6,IF(AND(Tabulka1[[#This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04" s="264" t="str">
        <f>IF(AND('Zdroj data'!BG104="L",'Zdroj data'!AM104=Body!$AX$18),IF(AND('Zdroj data'!O104&gt;=Body!$AY$18,'Zdroj data'!O104&lt;=Body!$BA$18),Body!AY$6,IF(AND('Zdroj data'!O104&gt;=Body!$BB$18,'Zdroj data'!O104&lt;=Body!$BD$18),Body!BB$6,IF(AND('Zdroj data'!O104&gt;=Body!$BE$18,'Zdroj data'!O104&lt;=Body!$BG$18),Body!BE$6,IF(AND('Zdroj data'!O104&gt;=Body!$BH$18,'Zdroj data'!O104&lt;=Body!$BJ$18),Body!BH$6,IF(AND('Zdroj data'!O104&gt;=Body!$BK$18,'Zdroj data'!O104&lt;=Body!$BM$18),Body!$BK$6,IF(AND('Zdroj data'!O104&gt;=Body!$BN$18,'Zdroj data'!O104&lt;=Body!$BP$18),Body!BN$6,IF(AND('Zdroj data'!O104&gt;=Body!$BQ$18,'Zdroj data'!O104&lt;=Body!$BS$18),Body!$BQ$6,IF(AND('Zdroj data'!O104&gt;=Body!$BT$18,'Zdroj data'!O104&lt;=Body!$BV$18),Body!$BT$6,IF(AND('Zdroj data'!O104&gt;=Body!$BW$18,'Zdroj data'!O104&lt;=Body!$BY$18),Body!$BW$6,IF('Zdroj data'!O104&gt;=Body!$CB$18,Body!$BZ$6," ")))))))))),IF(AND('Zdroj data'!BG104="ST",'Zdroj data'!AM104=Body!$AX$19),IF(AND('Zdroj data'!O104&gt;=Body!$AY$19,'Zdroj data'!O104&lt;=Body!$BA$19),Body!$AY$6,IF(AND('Zdroj data'!O104&gt;=Body!$BB$19,'Zdroj data'!O104&lt;=Body!$BD$19),Body!$BB$6,IF(AND('Zdroj data'!O104&gt;=Body!$BE$19,'Zdroj data'!O104&lt;=Body!$BG$19),Body!$BE$6,IF(AND('Zdroj data'!O104&gt;=Body!$BH$19,'Zdroj data'!O104&lt;=Body!$BJ$19),Body!$BH$6,IF(AND('Zdroj data'!O104&gt;=Body!$BK$19,'Zdroj data'!O104&lt;=Body!$BM$19),Body!$BK$6,IF(AND('Zdroj data'!O104&gt;=Body!$BN$19,'Zdroj data'!O104&lt;=Body!$BP$19),Body!$BN$6,IF(AND('Zdroj data'!O104&gt;=Body!$BQ$19,'Zdroj data'!O104&lt;=Body!$BS$19),Body!$BQ$6,IF(AND('Zdroj data'!O104&gt;=Body!$BT$19,'Zdroj data'!O108&lt;=Body!$BV$19),Body!$BT$6,IF(AND('Zdroj data'!O104&gt;=Body!$BW$19,'Zdroj data'!O104&lt;=Body!$BY$19),Body!$BW$6,IF('Zdroj data'!O104&gt;=Body!$CB$19,Body!$BZ$6," ")))))))))),IF(AND('Zdroj data'!BG104="T",'Zdroj data'!AM104=Body!$AX$20),IF(AND('Zdroj data'!O104&gt;=Body!$AY$20,'Zdroj data'!O104&lt;=Body!$BA$20),Body!$AY$6,IF(AND('Zdroj data'!O104&gt;=Body!$BB$20,'Zdroj data'!O104&lt;=Body!$BD$20),Body!$BB$6,IF(AND('Zdroj data'!O104&gt;=Body!$BE$20,'Zdroj data'!O104&lt;=Body!$BG$20),Body!$BE$6,IF(AND('Zdroj data'!O104&gt;=Body!$BH$20,'Zdroj data'!O104&lt;=Body!$BJ$20),Body!$BH$6,IF(AND('Zdroj data'!O104&gt;=Body!$BK$20,'Zdroj data'!O104&lt;=Body!$BM$20),Body!$BK$6,IF(AND('Zdroj data'!O104&gt;=Body!$BN$20,'Zdroj data'!O104&lt;=Body!$BP$20),Body!$BN$6,IF(AND('Zdroj data'!O104&gt;=Body!$BQ$20,'Zdroj data'!O104&lt;=Body!$BS$20),Body!$BQ$6,IF(AND('Zdroj data'!O104&gt;=Body!$BT$20,'Zdroj data'!O104&lt;=Body!BV121),Body!$BT$6,IF(AND('Zdroj data'!O104&gt;=Body!$BW$20,'Zdroj data'!O104&lt;=Body!$BY$20),Body!$BW$6,IF('Zdroj data'!O104&gt;=Body!$CB$20,Body!$BZ$6," "))))))))))," ")))</f>
        <v xml:space="preserve"> </v>
      </c>
      <c r="AI104" s="264" t="str">
        <f>IF(AND('Zdroj data'!$BG104="L",'Zdroj data'!$AM104=Body!$AX$18),IF(AND(Tabulka1[[#This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data'!$BG104="ST",'Zdroj data'!$AM104=Body!$AX$19),IF(AND(Tabulka1[[#This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data'!$BG104="T",'Zdroj data'!$AM104=Body!$AX$20),IF(AND(Tabulka1[[#This Row],[K2O_60]]&gt;=Body!$AY$20,'Zdroj data'!O104&lt;=Body!$BA$20),Body!$AY$6,IF(AND(Tabulka1[[#This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Row],[K2O_60]]&lt;=Body!BV121),Body!$BT$6,IF(AND(Tabulka1[[#This Row],[K2O_60]]&gt;=Body!$BW$20,Tabulka1[[#This Row],[K2O_60]]&lt;=Body!$BY$20),Body!$BW$6,IF(Tabulka1[[#This Row],[K2O_60]]&gt;=Body!$CB$20,Body!$BZ$6," "))))))))))," ")))</f>
        <v xml:space="preserve"> </v>
      </c>
      <c r="AJ104" s="265">
        <f t="shared" si="13"/>
        <v>8.0000000000000071</v>
      </c>
      <c r="AK104" s="264">
        <f t="shared" si="14"/>
        <v>35.042964591540922</v>
      </c>
      <c r="AL104" s="264">
        <f t="shared" si="15"/>
        <v>33.812526868550528</v>
      </c>
      <c r="AM104" s="264">
        <f t="shared" si="16"/>
        <v>67.6616359372576</v>
      </c>
      <c r="AN104" s="264">
        <f t="shared" si="17"/>
        <v>62.203418772979639</v>
      </c>
      <c r="AO104" s="265">
        <f t="shared" si="21"/>
        <v>102.70460052879852</v>
      </c>
      <c r="AP104" s="265">
        <f t="shared" si="18"/>
        <v>96.015945641530166</v>
      </c>
      <c r="AQ104" s="318"/>
      <c r="AR104" s="338">
        <f t="shared" si="19"/>
        <v>206.7205461703287</v>
      </c>
      <c r="AS104" s="318"/>
      <c r="AT104" s="138"/>
      <c r="AU104" s="138"/>
    </row>
    <row r="105" spans="1:47" ht="15.5" x14ac:dyDescent="0.35">
      <c r="A105" s="270">
        <v>5481</v>
      </c>
      <c r="B105" s="156" t="s">
        <v>305</v>
      </c>
      <c r="C105" s="250" t="str">
        <f>VLOOKUP(B105,'Zdroj hloubka okresy'!$A$2:$D$171,2,FALSE)</f>
        <v>Kutna_Hora</v>
      </c>
      <c r="D105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105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3</v>
      </c>
      <c r="F105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6</v>
      </c>
      <c r="G105" s="264">
        <f>IF(AND(Tabulka1[[#This Row],[hum_60]]&gt;AY111,Tabulka1[[#This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5</v>
      </c>
      <c r="H105" s="264">
        <f>IF(Tabulka1[[#This Row],[kv.ek.]]=Body!$AX$13,IF(AND('Zdroj data'!M105&gt;=Body!$AY$13,'Zdroj data'!M105&lt;=Body!$BA$13),Body!$AY$6,IF(AND('Zdroj data'!M105&gt;=Body!$BB$13,'Zdroj data'!M105&lt;=Body!$BD$13),Body!$BB$6,IF(AND('Zdroj data'!M105&gt;=Body!$BE$13,'Zdroj data'!M105&lt;=Body!$BG$13),Body!$BE$6,IF(AND('Zdroj data'!M105&gt;=Body!$BH$13,'Zdroj data'!M105&lt;=Body!$BJ$13),Body!$BH$6,IF(AND('Zdroj data'!M105&gt;=Body!$BK$13,'Zdroj data'!M105&lt;=Body!$BM$13),Body!$BK$6,IF(AND('Zdroj data'!M105&gt;=Body!$BN$13,'Zdroj data'!M105&lt;=Body!$BP$13),Body!$BN$6,IF(AND('Zdroj data'!M105&gt;=Body!$BQ$13,'Zdroj data'!M105&lt;=Body!$BS$13),Body!$BQ$6,IF(AND('Zdroj data'!M105&gt;=Body!$BT$13,'Zdroj data'!M105&lt;=Body!$BV$13),Body!$BT$6,IF(AND('Zdroj data'!M105&gt;=Body!$BW$13,'Zdroj data'!M105&lt;=Body!$BY$13),Body!$BW$6,IF('Zdroj data'!M105&gt;=Body!$CB$13,Body!$BZ$6," ")))))))))),IF(Tabulka1[[#This Row],[kv.ek.]]=Body!$AX$14,IF(AND('Zdroj data'!N105&gt;=Body!$AY$14,'Zdroj data'!N105&lt;=Body!$BA$14),Body!$AY$6,IF(AND('Zdroj data'!N105&gt;=Body!$BB$14,'Zdroj data'!N105&lt;=Body!$BD$14),Body!$BB$6,IF(AND('Zdroj data'!N105&gt;=Body!$BE$14,'Zdroj data'!N105&lt;=Body!$BG$14),Body!$BE$6,IF(AND('Zdroj data'!N105&gt;=Body!$BH$14,'Zdroj data'!N105&lt;=Body!$BJ$14),Body!$BH$6,IF(AND('Zdroj data'!N105&gt;=Body!$BK$14,'Zdroj data'!N105&lt;=Body!$BM$14),Body!$BK$6,IF(AND('Zdroj data'!N105&gt;=Body!$BN$14,'Zdroj data'!N105&lt;=Body!$BP$14),Body!$BN$6,IF(AND('Zdroj data'!N105&gt;=Body!$BQ$14,'Zdroj data'!N105&lt;=Body!$BS$14),Body!$BQ$6,IF(AND('Zdroj data'!N105&gt;=Body!$BT$14,'Zdroj data'!N105&lt;=Body!$BV$14),Body!$BT$6,IF(AND('Zdroj data'!N105&gt;=Body!$BW$14,'Zdroj data'!N105&lt;=Body!$BY$14),Body!$BW$6,IF('Zdroj data'!N105&gt;=Body!$CB$14,Body!$BZ$6," "))))))))))," "))</f>
        <v>5</v>
      </c>
      <c r="I105" s="264">
        <f>IF(Tabulka1[[#This Row],[kv.ek.]]=Body!$AX$13,IF(AND('Zdroj data'!N105&gt;=Body!$AY$13,'Zdroj data'!N105&lt;=Body!$BA$13),Body!$AY$6,IF(AND('Zdroj data'!N105&gt;=Body!$BB$13,'Zdroj data'!N105&lt;=Body!$BD$13),Body!$BB$6,IF(AND('Zdroj data'!N105&gt;=Body!$BE$13,'Zdroj data'!N105&lt;=Body!$BG$13),Body!$BE$6,IF(AND('Zdroj data'!N105&gt;=Body!$BH$13,'Zdroj data'!N105&lt;=Body!$BJ$13),Body!$BH$6,IF(AND('Zdroj data'!N105&gt;=Body!$BK$13,'Zdroj data'!N105&lt;=Body!$BM$13),Body!$BK$6,IF(AND('Zdroj data'!N105&gt;=Body!$BN$13,'Zdroj data'!N105&lt;=Body!$BP$13),Body!$BN$6,IF(AND('Zdroj data'!N105&gt;=Body!$BQ$13,'Zdroj data'!N105&lt;=Body!$BS$13),Body!$BQ$6,IF(AND('Zdroj data'!N105&gt;=Body!$BT$13,'Zdroj data'!N105&lt;=Body!$BV$13),Body!$BT$6,IF(AND('Zdroj data'!N105&gt;=Body!$BW$13,'Zdroj data'!N105&lt;=Body!$BY$13),Body!$BW$6,IF('Zdroj data'!N105&gt;=Body!$CB$13,Body!$BZ$6," ")))))))))),IF(Tabulka1[[#This Row],[kv.ek.]]=Body!$AX$14,IF(AND('Zdroj data'!O105&gt;=Body!$AY$14,'Zdroj data'!O105&lt;=Body!$BA$14),Body!$AY$6,IF(AND('Zdroj data'!O105&gt;=Body!$BB$14,'Zdroj data'!O105&lt;=Body!$BD$14),Body!$BB$6,IF(AND('Zdroj data'!O105&gt;=Body!$BE$14,'Zdroj data'!O105&lt;=Body!$BG$14),Body!$BE$6,IF(AND('Zdroj data'!O105&gt;=Body!$BH$14,'Zdroj data'!O105&lt;=Body!$BJ$14),Body!$BH$6,IF(AND('Zdroj data'!O105&gt;=Body!$BK$14,'Zdroj data'!O105&lt;=Body!$BM$14),Body!$BK$6,IF(AND('Zdroj data'!O105&gt;=Body!$BN$14,'Zdroj data'!O105&lt;=Body!$BP$14),Body!$BN$6,IF(AND('Zdroj data'!O105&gt;=Body!$BQ$14,'Zdroj data'!O105&lt;=Body!$BS$14),Body!$BQ$6,IF(AND('Zdroj data'!O105&gt;=Body!$BT$14,'Zdroj data'!O105&lt;=Body!$BV$14),Body!$BT$6,IF(AND('Zdroj data'!O105&gt;=Body!$BW$14,'Zdroj data'!O105&lt;=Body!$BY$14),Body!$BW$6,IF('Zdroj data'!O105&gt;=Body!$CB$14,Body!$BZ$6," "))))))))))," "))</f>
        <v>3</v>
      </c>
      <c r="J105" s="264">
        <f>IF(AF105=" ",AH105,AF105)</f>
        <v>1</v>
      </c>
      <c r="K105" s="264">
        <f t="shared" si="24"/>
        <v>1</v>
      </c>
      <c r="L105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7</v>
      </c>
      <c r="M105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7</v>
      </c>
      <c r="N105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105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105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05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105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105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9</v>
      </c>
      <c r="T105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105" s="264">
        <f>IF('Zdroj data'!BB105=Body!$AY$25,Body!$AY$22,IF('Zdroj data'!BB105=Body!$BB$25,Body!$BB$22,IF('Zdroj data'!BB105=Body!$BE$25,Body!$BE$22,IF('Zdroj data'!BB105=Body!$BH$25,Body!$BH$22,IF('Zdroj data'!BB105=Body!BK$25,Body!$BK$22,IF('Zdroj data'!BB105=Body!$BN$25,Body!$BN$22,IF('Zdroj data'!BB105=Body!$BQ$25,Body!$BQ$22,IF('Zdroj data'!BB105=Body!$BT$25,Body!$BT$22,IF('Zdroj data'!BB105=Body!$BW$25,Body!$BW$22,IF('Zdroj data'!BB105=Body!$BZ$25,Body!$BZ$22," "))))))))))</f>
        <v>7</v>
      </c>
      <c r="V105" s="264">
        <f>IF(AND('Zdroj data'!BO105&gt;Body!$AY$27,'Zdroj data'!BO105&lt;=Body!$BA$27),Body!$AY$22,IF(AND('Zdroj data'!BO105&gt;=Body!$BB$27,'Zdroj data'!BO105&lt;=Body!$BD$27),Body!$BB$22,IF(AND('Zdroj data'!BO105&gt;=Body!$BE$27,'Zdroj data'!BO105&lt;=Body!$BG$27),Body!$BE$22,IF(AND('Zdroj data'!BO105&gt;=Body!$BH$27,'Zdroj data'!BO105&lt;=Body!$BJ$27),Body!$BH$22,IF(AND('Zdroj data'!BO105&gt;=Body!$BK$27,'Zdroj data'!BO105&lt;=Body!$BM$27),Body!$BK$22,IF(AND('Zdroj data'!BO105&gt;=Body!$BN$27,'Zdroj data'!BO105&lt;=Body!$BP$27),Body!$BN$22,IF(AND('Zdroj data'!BO105&gt;=Body!$BQ$27,'Zdroj data'!BO105&lt;=Body!$BS$27),Body!$BQ$22,IF(AND('Zdroj data'!BO105&gt;=Body!$BT$27,'Zdroj data'!BO105&lt;=Body!$BV$27),Body!$BT$22,IF(AND('Zdroj data'!BO105&gt;=Body!$BW$27,'Zdroj data'!BO105&lt;=Body!$BY$27),Body!$BW$22,IF('Zdroj data'!BO105&gt;=Body!$CB$27,$BZ$22," "))))))))))</f>
        <v>6</v>
      </c>
      <c r="W105" s="264">
        <f>IF(AND('Zdroj data'!BP105&gt;Body!$AY$27,'Zdroj data'!BP105&lt;=Body!$BA$27),Body!$AY$22,IF(AND('Zdroj data'!BP105&gt;=Body!$BB$27,'Zdroj data'!BP105&lt;=Body!$BD$27),Body!$BB$22,IF(AND('Zdroj data'!BP105&gt;=Body!$BE$27,'Zdroj data'!BP105&lt;=Body!$BG$27),Body!$BE$22,IF(AND('Zdroj data'!BP105&gt;=Body!$BH$27,'Zdroj data'!BP105&lt;=Body!$BJ$27),Body!$BH$22,IF(AND('Zdroj data'!BP105&gt;=Body!$BK$27,'Zdroj data'!BP105&lt;=Body!$BM$27),Body!$BK$22,IF(AND('Zdroj data'!BP105&gt;=Body!$BN$27,'Zdroj data'!BP105&lt;=Body!$BP$27),Body!$BN$22,IF(AND('Zdroj data'!BP105&gt;=Body!$BQ$27,'Zdroj data'!BP105&lt;=Body!$BS$27),Body!$BQ$22,IF(AND('Zdroj data'!BP105&gt;=Body!$BT$27,'Zdroj data'!BP105&lt;=Body!$BV$27),Body!$BT$22,IF(AND('Zdroj data'!BP105&gt;=Body!$BW$27,'Zdroj data'!BP105&lt;=Body!$BY$27),Body!$BW$22,IF('Zdroj data'!BP105&gt;=Body!$CB$27,$BZ$22," "))))))))))</f>
        <v>7</v>
      </c>
      <c r="X105" s="264">
        <f>IF('Zdroj data'!BA105=Body!$BB$28,$BB$22,IF('Zdroj data'!BA105=Body!$BE$28,$BE$22,IF(OR('Zdroj data'!BA105=Body!$BK$28,'Zdroj data'!BA105=Body!$BL$28,'Zdroj data'!BA105=Body!$BM$28),$BK$22,IF(OR('Zdroj data'!BA105=Body!$BT$28,'Zdroj data'!BA105=Body!$BV$28),$BT$22,IF(OR('Zdroj data'!BA105=Body!$BW$28,'Zdroj data'!BA105=Body!$BY$28),$BW$22,IF('Zdroj data'!BA105=Body!$BZ$28,$BZ$22," "))))))</f>
        <v>9</v>
      </c>
      <c r="Y105" s="264">
        <f>IF('Zdroj data'!AZ105=Body!$BZ$29,Body!$BZ$22,IF(OR('Zdroj data'!AZ105=$BT$29,'Zdroj data'!AZ105=$BU$29,'Zdroj data'!AZ105=$BV$29),$BT$22,IF(OR('Zdroj data'!AZ105=$BK$29,'Zdroj data'!AZ105=$BM$29),$BK$22,IF(OR('Zdroj data'!AZ105=$BE$29,'Zdroj data'!AZ105=$BG$29),$BE$22,IF(OR('Zdroj data'!AZ105=$AY$29,'Zdroj data'!AZ105=$BA$29),$AY$22," ")))))</f>
        <v>10</v>
      </c>
      <c r="Z105" s="264">
        <f>IF(AND('Zdroj data'!BF105="T",(OR('Zdroj data'!AZ105=Body!$AW$45,'Zdroj data'!AZ105=Body!$AW$46,'Zdroj data'!AZ105=Body!$AW$47,'Zdroj data'!AZ105=Body!$AW$48))),Body!$AY$22,IF(AND('Zdroj data'!BF105="T",(OR('Zdroj data'!AZ105=$AW$49,'Zdroj data'!AZ105=$AW$50,'Zdroj data'!AZ105=$AW$51,'Zdroj data'!AZ105=$AW$52))),$BZ$22,IF(AND(OR('Zdroj data'!BF105="VT",'Zdroj data'!BF105="T",'Zdroj data'!BF105="CH"),(OR('Zdroj data'!AZ105=$AW$43,'Zdroj data'!AZ105=$AW$44,))),$BZ$22,IF(AND('Zdroj data'!BF105="CH",(OR('Zdroj data'!AZ105=$AW$49,'Zdroj data'!AZ105=$AW$50,'Zdroj data'!AZ105=$AW$51,'Zdroj data'!AZ105=$AW$52))),$AY$22,IF(AND('Zdroj data'!BF105="CH",(OR('Zdroj data'!AZ105=$AW$45,'Zdroj data'!AZ105=$AW$46,'Zdroj data'!AZ105=$AW$47,'Zdroj data'!AZ105=$AW$48))),$BZ$22," ")))))</f>
        <v>10</v>
      </c>
      <c r="AA105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05" s="264">
        <f>IF(Tabulka1[[#This Row],[kv.ek.]]=Body!$BK$35,Body!$BK$34,IF(Tabulka1[[#This Row],[kv.ek.]]=Body!$BZ$35,Body!$BZ$34," "))</f>
        <v>5</v>
      </c>
      <c r="AC105" s="264" t="str">
        <f>IF(AND('Zdroj data'!BF105="T",(OR('Zdroj data'!AZ105=Body!$AW$45,'Zdroj data'!AZ105=Body!$AW$46,'Zdroj data'!AZ105=Body!$AW$47,'Zdroj data'!AZ105=Body!$AW$48))),Body!$AY$22,IF(AND('Zdroj data'!BF105="T",(OR('Zdroj data'!AZ105=$AW$49,'Zdroj data'!AZ105=$AW$50,'Zdroj data'!AZ105=$AW$51,'Zdroj data'!AZ105=$AW$52))),$BZ$22," "))</f>
        <v xml:space="preserve"> </v>
      </c>
      <c r="AD105" s="264">
        <f>IF(AND(OR('Zdroj data'!BF105="VT",'Zdroj data'!BF105="T",'Zdroj data'!BF105="CH"),(OR('Zdroj data'!AZ105=$AW$43,'Zdroj data'!AZ105=$AW$44,))),$BZ$22," ")</f>
        <v>10</v>
      </c>
      <c r="AE105" s="264" t="str">
        <f>IF(AND('Zdroj data'!BF105="CH",(OR('Zdroj data'!AZ105=$AW$49,'Zdroj data'!AZ105=$AW$50,'Zdroj data'!AZ105=$AW$51,'Zdroj data'!AZ105=$AW$52))),$AY$22,IF(AND('Zdroj data'!BF105="CH",(OR('Zdroj data'!AZ105=$AW$45,'Zdroj data'!AZ105=$AW$46,'Zdroj data'!AZ105=$AW$47,'Zdroj data'!AZ105=$AW$48))),$BZ$22," "))</f>
        <v xml:space="preserve"> </v>
      </c>
      <c r="AF105" s="264">
        <f>IF(AND('Zdroj data'!BG105="L",'Zdroj data'!AM105=Body!$AX$15),IF(AND('Zdroj data'!O105&gt;=Body!$AY$15,'Zdroj data'!O105&lt;=Body!$BA$15),Body!AY$6,IF(AND('Zdroj data'!O105&gt;=Body!$BB$15,'Zdroj data'!O105&lt;=Body!$BD$15),Body!BB$6,IF(AND('Zdroj data'!O105&gt;=Body!$BE$15,'Zdroj data'!O105&lt;=Body!$BG$15),Body!BE$6,IF(AND('Zdroj data'!O105&gt;=Body!$BH$15,'Zdroj data'!O105&lt;=Body!$BJ$15),Body!BH$6,IF(AND('Zdroj data'!O105&gt;=Body!$BK$15,'Zdroj data'!O105&lt;=Body!$BM$15),Body!BK$6,IF(AND('Zdroj data'!O105&gt;=Body!$BN$15,'Zdroj data'!O105&lt;=Body!$BP$15),Body!$BN$6,IF(AND('Zdroj data'!O105&gt;=Body!$BQ$15,'Zdroj data'!O105&lt;=Body!$BS$15),Body!$BQ$6,IF(AND('Zdroj data'!O105&gt;=Body!$BT$15,'Zdroj data'!O105&lt;=Body!$BV$15),Body!BT$6,IF(AND('Zdroj data'!O105&gt;=Body!$BW$15,'Zdroj data'!O105&lt;=Body!$BY$15),Body!$BW$6,IF('Zdroj data'!O105&gt;=Body!$CB$15,Body!$BZ$6," ")))))))))),IF(AND('Zdroj data'!BG105="ST",'Zdroj data'!AM105=Body!$AX$16),IF(AND('Zdroj data'!O105&gt;=Body!$AY$16,'Zdroj data'!O105&lt;=Body!$BA$16),Body!$AY$6,IF(AND('Zdroj data'!O105&gt;=Body!$BB$16,'Zdroj data'!O105&lt;=Body!$BD$16),Body!$BB$6,IF(AND('Zdroj data'!O105&gt;=Body!$BE$16,'Zdroj data'!O105&lt;=Body!$BG$16),Body!$BE$6,IF(AND('Zdroj data'!O105&gt;=Body!$BH$16,'Zdroj data'!O105&lt;=Body!$BJ$16),Body!$BH$6,IF(AND('Zdroj data'!O105&gt;=Body!$BK$16,'Zdroj data'!O105&lt;=Body!$BM$16),Body!$BK$6,IF(AND('Zdroj data'!O105&gt;=Body!$BN$16,'Zdroj data'!O105&lt;=Body!$BP$16),Body!$BN$6,IF(AND('Zdroj data'!O105&gt;=Body!$BQ$16,'Zdroj data'!O105&lt;=Body!$BS$16),Body!$BQ$6,IF(AND('Zdroj data'!O105&gt;=Body!$BT$16,'Zdroj data'!O105&lt;=Body!$BV$16),Body!$BT$6,IF(AND('Zdroj data'!O105&gt;=Body!$BW$16,'Zdroj data'!O105&lt;=Body!$BY$16),Body!$BW$6,IF('Zdroj data'!O105&gt;=Body!$CB$16,Body!$BZ$6," ")))))))))),IF(AND('Zdroj data'!BG105="T",'Zdroj data'!AM105=Body!$AX$17),IF(AND('Zdroj data'!O105&gt;=Body!$AY$17,'Zdroj data'!O105&lt;=Body!$BA$17),Body!$AY$6,IF(AND('Zdroj data'!O105&gt;=Body!$BB$17,'Zdroj data'!O105&lt;=Body!$BD$17),Body!$BB$6,IF(AND('Zdroj data'!O105&gt;=Body!$BE$17,'Zdroj data'!O105&lt;=Body!$BG$17),Body!$BE$6,IF(AND('Zdroj data'!O105&gt;=Body!$BH$17,'Zdroj data'!O105&lt;=Body!BJ119),Body!$BH$6,IF(AND('Zdroj data'!O105&gt;=Body!$BK$17,'Zdroj data'!O105&lt;=Body!$BM$17),Body!$BK$6,IF(AND('Zdroj data'!O105&gt;=Body!$BN$17,'Zdroj data'!O105&lt;=Body!$BP$17),Body!$BN$6,IF(AND('Zdroj data'!O105&gt;=Body!$BQ$17,'Zdroj data'!O105&lt;=Body!$BS$17),Body!$BQ$6,IF(AND('Zdroj data'!O105&gt;=Body!$BT$17,'Zdroj data'!O105&lt;=Body!$BV$17),Body!$BT$6,IF(AND('Zdroj data'!O105&gt;=Body!$BW$17,'Zdroj data'!O105&lt;=Body!$BY$17),Body!$BW$6,IF('Zdroj data'!O105&gt;=Body!$CB$17,Body!$BZ$6," "))))))))))," ")))</f>
        <v>1</v>
      </c>
      <c r="AG105" s="264">
        <f>IF(AND('Zdroj data'!$BG105="L",'Zdroj data'!$AM105=Body!$AX$15),IF(AND(Tabulka1[[#This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data'!$BG105="ST",'Zdroj data'!$AM105=Body!$AX$16),IF(AND(Tabulka1[[#This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data'!$BG105="T",'Zdroj data'!$AM105=Body!$AX$17),IF(AND(Tabulka1[[#This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Row],[K2O_60]]&lt;=Body!BJ119),Body!$BH$6,IF(AND(Tabulka1[[#This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05" s="264" t="str">
        <f>IF(AND('Zdroj data'!BG105="L",'Zdroj data'!AM105=Body!$AX$18),IF(AND('Zdroj data'!O105&gt;=Body!$AY$18,'Zdroj data'!O105&lt;=Body!$BA$18),Body!AY$6,IF(AND('Zdroj data'!O105&gt;=Body!$BB$18,'Zdroj data'!O105&lt;=Body!$BD$18),Body!BB$6,IF(AND('Zdroj data'!O105&gt;=Body!$BE$18,'Zdroj data'!O105&lt;=Body!$BG$18),Body!BE$6,IF(AND('Zdroj data'!O105&gt;=Body!$BH$18,'Zdroj data'!O105&lt;=Body!$BJ$18),Body!BH$6,IF(AND('Zdroj data'!O105&gt;=Body!$BK$18,'Zdroj data'!O105&lt;=Body!$BM$18),Body!$BK$6,IF(AND('Zdroj data'!O105&gt;=Body!$BN$18,'Zdroj data'!O105&lt;=Body!$BP$18),Body!BN$6,IF(AND('Zdroj data'!O105&gt;=Body!$BQ$18,'Zdroj data'!O105&lt;=Body!$BS$18),Body!$BQ$6,IF(AND('Zdroj data'!O105&gt;=Body!$BT$18,'Zdroj data'!O105&lt;=Body!$BV$18),Body!$BT$6,IF(AND('Zdroj data'!O105&gt;=Body!$BW$18,'Zdroj data'!O105&lt;=Body!$BY$18),Body!$BW$6,IF('Zdroj data'!O105&gt;=Body!$CB$18,Body!$BZ$6," ")))))))))),IF(AND('Zdroj data'!BG105="ST",'Zdroj data'!AM105=Body!$AX$19),IF(AND('Zdroj data'!O105&gt;=Body!$AY$19,'Zdroj data'!O105&lt;=Body!$BA$19),Body!$AY$6,IF(AND('Zdroj data'!O105&gt;=Body!$BB$19,'Zdroj data'!O105&lt;=Body!$BD$19),Body!$BB$6,IF(AND('Zdroj data'!O105&gt;=Body!$BE$19,'Zdroj data'!O105&lt;=Body!$BG$19),Body!$BE$6,IF(AND('Zdroj data'!O105&gt;=Body!$BH$19,'Zdroj data'!O105&lt;=Body!$BJ$19),Body!$BH$6,IF(AND('Zdroj data'!O105&gt;=Body!$BK$19,'Zdroj data'!O105&lt;=Body!$BM$19),Body!$BK$6,IF(AND('Zdroj data'!O105&gt;=Body!$BN$19,'Zdroj data'!O105&lt;=Body!$BP$19),Body!$BN$6,IF(AND('Zdroj data'!O105&gt;=Body!$BQ$19,'Zdroj data'!O105&lt;=Body!$BS$19),Body!$BQ$6,IF(AND('Zdroj data'!O105&gt;=Body!$BT$19,'Zdroj data'!O109&lt;=Body!$BV$19),Body!$BT$6,IF(AND('Zdroj data'!O105&gt;=Body!$BW$19,'Zdroj data'!O105&lt;=Body!$BY$19),Body!$BW$6,IF('Zdroj data'!O105&gt;=Body!$CB$19,Body!$BZ$6," ")))))))))),IF(AND('Zdroj data'!BG105="T",'Zdroj data'!AM105=Body!$AX$20),IF(AND('Zdroj data'!O105&gt;=Body!$AY$20,'Zdroj data'!O105&lt;=Body!$BA$20),Body!$AY$6,IF(AND('Zdroj data'!O105&gt;=Body!$BB$20,'Zdroj data'!O105&lt;=Body!$BD$20),Body!$BB$6,IF(AND('Zdroj data'!O105&gt;=Body!$BE$20,'Zdroj data'!O105&lt;=Body!$BG$20),Body!$BE$6,IF(AND('Zdroj data'!O105&gt;=Body!$BH$20,'Zdroj data'!O105&lt;=Body!$BJ$20),Body!$BH$6,IF(AND('Zdroj data'!O105&gt;=Body!$BK$20,'Zdroj data'!O105&lt;=Body!$BM$20),Body!$BK$6,IF(AND('Zdroj data'!O105&gt;=Body!$BN$20,'Zdroj data'!O105&lt;=Body!$BP$20),Body!$BN$6,IF(AND('Zdroj data'!O105&gt;=Body!$BQ$20,'Zdroj data'!O105&lt;=Body!$BS$20),Body!$BQ$6,IF(AND('Zdroj data'!O105&gt;=Body!$BT$20,'Zdroj data'!O105&lt;=Body!BV122),Body!$BT$6,IF(AND('Zdroj data'!O105&gt;=Body!$BW$20,'Zdroj data'!O105&lt;=Body!$BY$20),Body!$BW$6,IF('Zdroj data'!O105&gt;=Body!$CB$20,Body!$BZ$6," "))))))))))," ")))</f>
        <v xml:space="preserve"> </v>
      </c>
      <c r="AI105" s="264" t="str">
        <f>IF(AND('Zdroj data'!$BG105="L",'Zdroj data'!$AM105=Body!$AX$18),IF(AND(Tabulka1[[#This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data'!$BG105="ST",'Zdroj data'!$AM105=Body!$AX$19),IF(AND(Tabulka1[[#This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data'!$BG105="T",'Zdroj data'!$AM105=Body!$AX$20),IF(AND(Tabulka1[[#This Row],[K2O_60]]&gt;=Body!$AY$20,'Zdroj data'!O105&lt;=Body!$BA$20),Body!$AY$6,IF(AND(Tabulka1[[#This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Row],[K2O_60]]&lt;=Body!BV122),Body!$BT$6,IF(AND(Tabulka1[[#This Row],[K2O_60]]&gt;=Body!$BW$20,Tabulka1[[#This Row],[K2O_60]]&lt;=Body!$BY$20),Body!$BW$6,IF(Tabulka1[[#This Row],[K2O_60]]&gt;=Body!$CB$20,Body!$BZ$6," "))))))))))," ")))</f>
        <v xml:space="preserve"> </v>
      </c>
      <c r="AJ105" s="265">
        <f t="shared" si="13"/>
        <v>8.0000000000000071</v>
      </c>
      <c r="AK105" s="264">
        <f t="shared" si="14"/>
        <v>37.99028166353358</v>
      </c>
      <c r="AL105" s="264">
        <f t="shared" si="15"/>
        <v>36.19509467040767</v>
      </c>
      <c r="AM105" s="264">
        <f t="shared" si="16"/>
        <v>74.122583230067633</v>
      </c>
      <c r="AN105" s="264">
        <f t="shared" si="17"/>
        <v>75.667176437269617</v>
      </c>
      <c r="AO105" s="265">
        <f t="shared" si="21"/>
        <v>112.11286489360121</v>
      </c>
      <c r="AP105" s="265">
        <f t="shared" si="18"/>
        <v>111.86227110767729</v>
      </c>
      <c r="AQ105" s="318"/>
      <c r="AR105" s="338">
        <f t="shared" si="19"/>
        <v>231.97513600127849</v>
      </c>
      <c r="AS105" s="318"/>
      <c r="AT105" s="138"/>
      <c r="AU105" s="138"/>
    </row>
    <row r="106" spans="1:47" ht="15.5" x14ac:dyDescent="0.35">
      <c r="A106" s="270">
        <v>5484</v>
      </c>
      <c r="B106" s="156" t="s">
        <v>309</v>
      </c>
      <c r="C106" s="250" t="str">
        <f>VLOOKUP(B106,'Zdroj hloubka okresy'!$A$2:$D$171,2,FALSE)</f>
        <v>Kutna_Hora</v>
      </c>
      <c r="D106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9</v>
      </c>
      <c r="E106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106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106" s="264">
        <f>IF(AND(Tabulka1[[#This Row],[hum_60]]&gt;AY112,Tabulka1[[#This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5</v>
      </c>
      <c r="H106" s="264">
        <f>IF(Tabulka1[[#This Row],[kv.ek.]]=Body!$AX$13,IF(AND('Zdroj data'!M106&gt;=Body!$AY$13,'Zdroj data'!M106&lt;=Body!$BA$13),Body!$AY$6,IF(AND('Zdroj data'!M106&gt;=Body!$BB$13,'Zdroj data'!M106&lt;=Body!$BD$13),Body!$BB$6,IF(AND('Zdroj data'!M106&gt;=Body!$BE$13,'Zdroj data'!M106&lt;=Body!$BG$13),Body!$BE$6,IF(AND('Zdroj data'!M106&gt;=Body!$BH$13,'Zdroj data'!M106&lt;=Body!$BJ$13),Body!$BH$6,IF(AND('Zdroj data'!M106&gt;=Body!$BK$13,'Zdroj data'!M106&lt;=Body!$BM$13),Body!$BK$6,IF(AND('Zdroj data'!M106&gt;=Body!$BN$13,'Zdroj data'!M106&lt;=Body!$BP$13),Body!$BN$6,IF(AND('Zdroj data'!M106&gt;=Body!$BQ$13,'Zdroj data'!M106&lt;=Body!$BS$13),Body!$BQ$6,IF(AND('Zdroj data'!M106&gt;=Body!$BT$13,'Zdroj data'!M106&lt;=Body!$BV$13),Body!$BT$6,IF(AND('Zdroj data'!M106&gt;=Body!$BW$13,'Zdroj data'!M106&lt;=Body!$BY$13),Body!$BW$6,IF('Zdroj data'!M106&gt;=Body!$CB$13,Body!$BZ$6," ")))))))))),IF(Tabulka1[[#This Row],[kv.ek.]]=Body!$AX$14,IF(AND('Zdroj data'!N106&gt;=Body!$AY$14,'Zdroj data'!N106&lt;=Body!$BA$14),Body!$AY$6,IF(AND('Zdroj data'!N106&gt;=Body!$BB$14,'Zdroj data'!N106&lt;=Body!$BD$14),Body!$BB$6,IF(AND('Zdroj data'!N106&gt;=Body!$BE$14,'Zdroj data'!N106&lt;=Body!$BG$14),Body!$BE$6,IF(AND('Zdroj data'!N106&gt;=Body!$BH$14,'Zdroj data'!N106&lt;=Body!$BJ$14),Body!$BH$6,IF(AND('Zdroj data'!N106&gt;=Body!$BK$14,'Zdroj data'!N106&lt;=Body!$BM$14),Body!$BK$6,IF(AND('Zdroj data'!N106&gt;=Body!$BN$14,'Zdroj data'!N106&lt;=Body!$BP$14),Body!$BN$6,IF(AND('Zdroj data'!N106&gt;=Body!$BQ$14,'Zdroj data'!N106&lt;=Body!$BS$14),Body!$BQ$6,IF(AND('Zdroj data'!N106&gt;=Body!$BT$14,'Zdroj data'!N106&lt;=Body!$BV$14),Body!$BT$6,IF(AND('Zdroj data'!N106&gt;=Body!$BW$14,'Zdroj data'!N106&lt;=Body!$BY$14),Body!$BW$6,IF('Zdroj data'!N106&gt;=Body!$CB$14,Body!$BZ$6," "))))))))))," "))</f>
        <v>3</v>
      </c>
      <c r="I106" s="264">
        <f>IF(Tabulka1[[#This Row],[kv.ek.]]=Body!$AX$13,IF(AND('Zdroj data'!N106&gt;=Body!$AY$13,'Zdroj data'!N106&lt;=Body!$BA$13),Body!$AY$6,IF(AND('Zdroj data'!N106&gt;=Body!$BB$13,'Zdroj data'!N106&lt;=Body!$BD$13),Body!$BB$6,IF(AND('Zdroj data'!N106&gt;=Body!$BE$13,'Zdroj data'!N106&lt;=Body!$BG$13),Body!$BE$6,IF(AND('Zdroj data'!N106&gt;=Body!$BH$13,'Zdroj data'!N106&lt;=Body!$BJ$13),Body!$BH$6,IF(AND('Zdroj data'!N106&gt;=Body!$BK$13,'Zdroj data'!N106&lt;=Body!$BM$13),Body!$BK$6,IF(AND('Zdroj data'!N106&gt;=Body!$BN$13,'Zdroj data'!N106&lt;=Body!$BP$13),Body!$BN$6,IF(AND('Zdroj data'!N106&gt;=Body!$BQ$13,'Zdroj data'!N106&lt;=Body!$BS$13),Body!$BQ$6,IF(AND('Zdroj data'!N106&gt;=Body!$BT$13,'Zdroj data'!N106&lt;=Body!$BV$13),Body!$BT$6,IF(AND('Zdroj data'!N106&gt;=Body!$BW$13,'Zdroj data'!N106&lt;=Body!$BY$13),Body!$BW$6,IF('Zdroj data'!N106&gt;=Body!$CB$13,Body!$BZ$6," ")))))))))),IF(Tabulka1[[#This Row],[kv.ek.]]=Body!$AX$14,IF(AND('Zdroj data'!O106&gt;=Body!$AY$14,'Zdroj data'!O106&lt;=Body!$BA$14),Body!$AY$6,IF(AND('Zdroj data'!O106&gt;=Body!$BB$14,'Zdroj data'!O106&lt;=Body!$BD$14),Body!$BB$6,IF(AND('Zdroj data'!O106&gt;=Body!$BE$14,'Zdroj data'!O106&lt;=Body!$BG$14),Body!$BE$6,IF(AND('Zdroj data'!O106&gt;=Body!$BH$14,'Zdroj data'!O106&lt;=Body!$BJ$14),Body!$BH$6,IF(AND('Zdroj data'!O106&gt;=Body!$BK$14,'Zdroj data'!O106&lt;=Body!$BM$14),Body!$BK$6,IF(AND('Zdroj data'!O106&gt;=Body!$BN$14,'Zdroj data'!O106&lt;=Body!$BP$14),Body!$BN$6,IF(AND('Zdroj data'!O106&gt;=Body!$BQ$14,'Zdroj data'!O106&lt;=Body!$BS$14),Body!$BQ$6,IF(AND('Zdroj data'!O106&gt;=Body!$BT$14,'Zdroj data'!O106&lt;=Body!$BV$14),Body!$BT$6,IF(AND('Zdroj data'!O106&gt;=Body!$BW$14,'Zdroj data'!O106&lt;=Body!$BY$14),Body!$BW$6,IF('Zdroj data'!O106&gt;=Body!$CB$14,Body!$BZ$6," "))))))))))," "))</f>
        <v>2</v>
      </c>
      <c r="J106" s="264">
        <f t="shared" ref="J106:K169" si="25">IF(AF106=" ",AH106,AF106)</f>
        <v>1</v>
      </c>
      <c r="K106" s="264">
        <f t="shared" si="24"/>
        <v>1</v>
      </c>
      <c r="L106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106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6</v>
      </c>
      <c r="N106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9</v>
      </c>
      <c r="O106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106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06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106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106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106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106" s="264">
        <f>IF('Zdroj data'!BB106=Body!$AY$25,Body!$AY$22,IF('Zdroj data'!BB106=Body!$BB$25,Body!$BB$22,IF('Zdroj data'!BB106=Body!$BE$25,Body!$BE$22,IF('Zdroj data'!BB106=Body!$BH$25,Body!$BH$22,IF('Zdroj data'!BB106=Body!BK$25,Body!$BK$22,IF('Zdroj data'!BB106=Body!$BN$25,Body!$BN$22,IF('Zdroj data'!BB106=Body!$BQ$25,Body!$BQ$22,IF('Zdroj data'!BB106=Body!$BT$25,Body!$BT$22,IF('Zdroj data'!BB106=Body!$BW$25,Body!$BW$22,IF('Zdroj data'!BB106=Body!$BZ$25,Body!$BZ$22," "))))))))))</f>
        <v>7</v>
      </c>
      <c r="V106" s="264">
        <f>IF(AND('Zdroj data'!BO106&gt;Body!$AY$27,'Zdroj data'!BO106&lt;=Body!$BA$27),Body!$AY$22,IF(AND('Zdroj data'!BO106&gt;=Body!$BB$27,'Zdroj data'!BO106&lt;=Body!$BD$27),Body!$BB$22,IF(AND('Zdroj data'!BO106&gt;=Body!$BE$27,'Zdroj data'!BO106&lt;=Body!$BG$27),Body!$BE$22,IF(AND('Zdroj data'!BO106&gt;=Body!$BH$27,'Zdroj data'!BO106&lt;=Body!$BJ$27),Body!$BH$22,IF(AND('Zdroj data'!BO106&gt;=Body!$BK$27,'Zdroj data'!BO106&lt;=Body!$BM$27),Body!$BK$22,IF(AND('Zdroj data'!BO106&gt;=Body!$BN$27,'Zdroj data'!BO106&lt;=Body!$BP$27),Body!$BN$22,IF(AND('Zdroj data'!BO106&gt;=Body!$BQ$27,'Zdroj data'!BO106&lt;=Body!$BS$27),Body!$BQ$22,IF(AND('Zdroj data'!BO106&gt;=Body!$BT$27,'Zdroj data'!BO106&lt;=Body!$BV$27),Body!$BT$22,IF(AND('Zdroj data'!BO106&gt;=Body!$BW$27,'Zdroj data'!BO106&lt;=Body!$BY$27),Body!$BW$22,IF('Zdroj data'!BO106&gt;=Body!$CB$27,$BZ$22," "))))))))))</f>
        <v>7</v>
      </c>
      <c r="W106" s="264">
        <f>IF(AND('Zdroj data'!BP106&gt;Body!$AY$27,'Zdroj data'!BP106&lt;=Body!$BA$27),Body!$AY$22,IF(AND('Zdroj data'!BP106&gt;=Body!$BB$27,'Zdroj data'!BP106&lt;=Body!$BD$27),Body!$BB$22,IF(AND('Zdroj data'!BP106&gt;=Body!$BE$27,'Zdroj data'!BP106&lt;=Body!$BG$27),Body!$BE$22,IF(AND('Zdroj data'!BP106&gt;=Body!$BH$27,'Zdroj data'!BP106&lt;=Body!$BJ$27),Body!$BH$22,IF(AND('Zdroj data'!BP106&gt;=Body!$BK$27,'Zdroj data'!BP106&lt;=Body!$BM$27),Body!$BK$22,IF(AND('Zdroj data'!BP106&gt;=Body!$BN$27,'Zdroj data'!BP106&lt;=Body!$BP$27),Body!$BN$22,IF(AND('Zdroj data'!BP106&gt;=Body!$BQ$27,'Zdroj data'!BP106&lt;=Body!$BS$27),Body!$BQ$22,IF(AND('Zdroj data'!BP106&gt;=Body!$BT$27,'Zdroj data'!BP106&lt;=Body!$BV$27),Body!$BT$22,IF(AND('Zdroj data'!BP106&gt;=Body!$BW$27,'Zdroj data'!BP106&lt;=Body!$BY$27),Body!$BW$22,IF('Zdroj data'!BP106&gt;=Body!$CB$27,$BZ$22," "))))))))))</f>
        <v>8</v>
      </c>
      <c r="X106" s="264">
        <f>IF('Zdroj data'!BA106=Body!$BB$28,$BB$22,IF('Zdroj data'!BA106=Body!$BE$28,$BE$22,IF(OR('Zdroj data'!BA106=Body!$BK$28,'Zdroj data'!BA106=Body!$BL$28,'Zdroj data'!BA106=Body!$BM$28),$BK$22,IF(OR('Zdroj data'!BA106=Body!$BT$28,'Zdroj data'!BA106=Body!$BV$28),$BT$22,IF(OR('Zdroj data'!BA106=Body!$BW$28,'Zdroj data'!BA106=Body!$BY$28),$BW$22,IF('Zdroj data'!BA106=Body!$BZ$28,$BZ$22," "))))))</f>
        <v>10</v>
      </c>
      <c r="Y106" s="264">
        <f>IF('Zdroj data'!AZ106=Body!$BZ$29,Body!$BZ$22,IF(OR('Zdroj data'!AZ106=$BT$29,'Zdroj data'!AZ106=$BU$29,'Zdroj data'!AZ106=$BV$29),$BT$22,IF(OR('Zdroj data'!AZ106=$BK$29,'Zdroj data'!AZ106=$BM$29),$BK$22,IF(OR('Zdroj data'!AZ106=$BE$29,'Zdroj data'!AZ106=$BG$29),$BE$22,IF(OR('Zdroj data'!AZ106=$AY$29,'Zdroj data'!AZ106=$BA$29),$AY$22," ")))))</f>
        <v>10</v>
      </c>
      <c r="Z106" s="264">
        <f>IF(AND('Zdroj data'!BF106="T",(OR('Zdroj data'!AZ106=Body!$AW$45,'Zdroj data'!AZ106=Body!$AW$46,'Zdroj data'!AZ106=Body!$AW$47,'Zdroj data'!AZ106=Body!$AW$48))),Body!$AY$22,IF(AND('Zdroj data'!BF106="T",(OR('Zdroj data'!AZ106=$AW$49,'Zdroj data'!AZ106=$AW$50,'Zdroj data'!AZ106=$AW$51,'Zdroj data'!AZ106=$AW$52))),$BZ$22,IF(AND(OR('Zdroj data'!BF106="VT",'Zdroj data'!BF106="T",'Zdroj data'!BF106="CH"),(OR('Zdroj data'!AZ106=$AW$43,'Zdroj data'!AZ106=$AW$44,))),$BZ$22,IF(AND('Zdroj data'!BF106="CH",(OR('Zdroj data'!AZ106=$AW$49,'Zdroj data'!AZ106=$AW$50,'Zdroj data'!AZ106=$AW$51,'Zdroj data'!AZ106=$AW$52))),$AY$22,IF(AND('Zdroj data'!BF106="CH",(OR('Zdroj data'!AZ106=$AW$45,'Zdroj data'!AZ106=$AW$46,'Zdroj data'!AZ106=$AW$47,'Zdroj data'!AZ106=$AW$48))),$BZ$22," ")))))</f>
        <v>10</v>
      </c>
      <c r="AA106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06" s="264">
        <f>IF(Tabulka1[[#This Row],[kv.ek.]]=Body!$BK$35,Body!$BK$34,IF(Tabulka1[[#This Row],[kv.ek.]]=Body!$BZ$35,Body!$BZ$34," "))</f>
        <v>5</v>
      </c>
      <c r="AC106" s="264" t="str">
        <f>IF(AND('Zdroj data'!BF106="T",(OR('Zdroj data'!AZ106=Body!$AW$45,'Zdroj data'!AZ106=Body!$AW$46,'Zdroj data'!AZ106=Body!$AW$47,'Zdroj data'!AZ106=Body!$AW$48))),Body!$AY$22,IF(AND('Zdroj data'!BF106="T",(OR('Zdroj data'!AZ106=$AW$49,'Zdroj data'!AZ106=$AW$50,'Zdroj data'!AZ106=$AW$51,'Zdroj data'!AZ106=$AW$52))),$BZ$22," "))</f>
        <v xml:space="preserve"> </v>
      </c>
      <c r="AD106" s="264">
        <f>IF(AND(OR('Zdroj data'!BF106="VT",'Zdroj data'!BF106="T",'Zdroj data'!BF106="CH"),(OR('Zdroj data'!AZ106=$AW$43,'Zdroj data'!AZ106=$AW$44,))),$BZ$22," ")</f>
        <v>10</v>
      </c>
      <c r="AE106" s="264" t="str">
        <f>IF(AND('Zdroj data'!BF106="CH",(OR('Zdroj data'!AZ106=$AW$49,'Zdroj data'!AZ106=$AW$50,'Zdroj data'!AZ106=$AW$51,'Zdroj data'!AZ106=$AW$52))),$AY$22,IF(AND('Zdroj data'!BF106="CH",(OR('Zdroj data'!AZ106=$AW$45,'Zdroj data'!AZ106=$AW$46,'Zdroj data'!AZ106=$AW$47,'Zdroj data'!AZ106=$AW$48))),$BZ$22," "))</f>
        <v xml:space="preserve"> </v>
      </c>
      <c r="AF106" s="264">
        <f>IF(AND('Zdroj data'!BG106="L",'Zdroj data'!AM106=Body!$AX$15),IF(AND('Zdroj data'!O106&gt;=Body!$AY$15,'Zdroj data'!O106&lt;=Body!$BA$15),Body!AY$6,IF(AND('Zdroj data'!O106&gt;=Body!$BB$15,'Zdroj data'!O106&lt;=Body!$BD$15),Body!BB$6,IF(AND('Zdroj data'!O106&gt;=Body!$BE$15,'Zdroj data'!O106&lt;=Body!$BG$15),Body!BE$6,IF(AND('Zdroj data'!O106&gt;=Body!$BH$15,'Zdroj data'!O106&lt;=Body!$BJ$15),Body!BH$6,IF(AND('Zdroj data'!O106&gt;=Body!$BK$15,'Zdroj data'!O106&lt;=Body!$BM$15),Body!BK$6,IF(AND('Zdroj data'!O106&gt;=Body!$BN$15,'Zdroj data'!O106&lt;=Body!$BP$15),Body!$BN$6,IF(AND('Zdroj data'!O106&gt;=Body!$BQ$15,'Zdroj data'!O106&lt;=Body!$BS$15),Body!$BQ$6,IF(AND('Zdroj data'!O106&gt;=Body!$BT$15,'Zdroj data'!O106&lt;=Body!$BV$15),Body!BT$6,IF(AND('Zdroj data'!O106&gt;=Body!$BW$15,'Zdroj data'!O106&lt;=Body!$BY$15),Body!$BW$6,IF('Zdroj data'!O106&gt;=Body!$CB$15,Body!$BZ$6," ")))))))))),IF(AND('Zdroj data'!BG106="ST",'Zdroj data'!AM106=Body!$AX$16),IF(AND('Zdroj data'!O106&gt;=Body!$AY$16,'Zdroj data'!O106&lt;=Body!$BA$16),Body!$AY$6,IF(AND('Zdroj data'!O106&gt;=Body!$BB$16,'Zdroj data'!O106&lt;=Body!$BD$16),Body!$BB$6,IF(AND('Zdroj data'!O106&gt;=Body!$BE$16,'Zdroj data'!O106&lt;=Body!$BG$16),Body!$BE$6,IF(AND('Zdroj data'!O106&gt;=Body!$BH$16,'Zdroj data'!O106&lt;=Body!$BJ$16),Body!$BH$6,IF(AND('Zdroj data'!O106&gt;=Body!$BK$16,'Zdroj data'!O106&lt;=Body!$BM$16),Body!$BK$6,IF(AND('Zdroj data'!O106&gt;=Body!$BN$16,'Zdroj data'!O106&lt;=Body!$BP$16),Body!$BN$6,IF(AND('Zdroj data'!O106&gt;=Body!$BQ$16,'Zdroj data'!O106&lt;=Body!$BS$16),Body!$BQ$6,IF(AND('Zdroj data'!O106&gt;=Body!$BT$16,'Zdroj data'!O106&lt;=Body!$BV$16),Body!$BT$6,IF(AND('Zdroj data'!O106&gt;=Body!$BW$16,'Zdroj data'!O106&lt;=Body!$BY$16),Body!$BW$6,IF('Zdroj data'!O106&gt;=Body!$CB$16,Body!$BZ$6," ")))))))))),IF(AND('Zdroj data'!BG106="T",'Zdroj data'!AM106=Body!$AX$17),IF(AND('Zdroj data'!O106&gt;=Body!$AY$17,'Zdroj data'!O106&lt;=Body!$BA$17),Body!$AY$6,IF(AND('Zdroj data'!O106&gt;=Body!$BB$17,'Zdroj data'!O106&lt;=Body!$BD$17),Body!$BB$6,IF(AND('Zdroj data'!O106&gt;=Body!$BE$17,'Zdroj data'!O106&lt;=Body!$BG$17),Body!$BE$6,IF(AND('Zdroj data'!O106&gt;=Body!$BH$17,'Zdroj data'!O106&lt;=Body!BJ120),Body!$BH$6,IF(AND('Zdroj data'!O106&gt;=Body!$BK$17,'Zdroj data'!O106&lt;=Body!$BM$17),Body!$BK$6,IF(AND('Zdroj data'!O106&gt;=Body!$BN$17,'Zdroj data'!O106&lt;=Body!$BP$17),Body!$BN$6,IF(AND('Zdroj data'!O106&gt;=Body!$BQ$17,'Zdroj data'!O106&lt;=Body!$BS$17),Body!$BQ$6,IF(AND('Zdroj data'!O106&gt;=Body!$BT$17,'Zdroj data'!O106&lt;=Body!$BV$17),Body!$BT$6,IF(AND('Zdroj data'!O106&gt;=Body!$BW$17,'Zdroj data'!O106&lt;=Body!$BY$17),Body!$BW$6,IF('Zdroj data'!O106&gt;=Body!$CB$17,Body!$BZ$6," "))))))))))," ")))</f>
        <v>1</v>
      </c>
      <c r="AG106" s="264">
        <f>IF(AND('Zdroj data'!$BG106="L",'Zdroj data'!$AM106=Body!$AX$15),IF(AND(Tabulka1[[#This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data'!$BG106="ST",'Zdroj data'!$AM106=Body!$AX$16),IF(AND(Tabulka1[[#This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data'!$BG106="T",'Zdroj data'!$AM106=Body!$AX$17),IF(AND(Tabulka1[[#This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Row],[K2O_60]]&lt;=Body!BJ120),Body!$BH$6,IF(AND(Tabulka1[[#This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06" s="264" t="str">
        <f>IF(AND('Zdroj data'!BG106="L",'Zdroj data'!AM106=Body!$AX$18),IF(AND('Zdroj data'!O106&gt;=Body!$AY$18,'Zdroj data'!O106&lt;=Body!$BA$18),Body!AY$6,IF(AND('Zdroj data'!O106&gt;=Body!$BB$18,'Zdroj data'!O106&lt;=Body!$BD$18),Body!BB$6,IF(AND('Zdroj data'!O106&gt;=Body!$BE$18,'Zdroj data'!O106&lt;=Body!$BG$18),Body!BE$6,IF(AND('Zdroj data'!O106&gt;=Body!$BH$18,'Zdroj data'!O106&lt;=Body!$BJ$18),Body!BH$6,IF(AND('Zdroj data'!O106&gt;=Body!$BK$18,'Zdroj data'!O106&lt;=Body!$BM$18),Body!$BK$6,IF(AND('Zdroj data'!O106&gt;=Body!$BN$18,'Zdroj data'!O106&lt;=Body!$BP$18),Body!BN$6,IF(AND('Zdroj data'!O106&gt;=Body!$BQ$18,'Zdroj data'!O106&lt;=Body!$BS$18),Body!$BQ$6,IF(AND('Zdroj data'!O106&gt;=Body!$BT$18,'Zdroj data'!O106&lt;=Body!$BV$18),Body!$BT$6,IF(AND('Zdroj data'!O106&gt;=Body!$BW$18,'Zdroj data'!O106&lt;=Body!$BY$18),Body!$BW$6,IF('Zdroj data'!O106&gt;=Body!$CB$18,Body!$BZ$6," ")))))))))),IF(AND('Zdroj data'!BG106="ST",'Zdroj data'!AM106=Body!$AX$19),IF(AND('Zdroj data'!O106&gt;=Body!$AY$19,'Zdroj data'!O106&lt;=Body!$BA$19),Body!$AY$6,IF(AND('Zdroj data'!O106&gt;=Body!$BB$19,'Zdroj data'!O106&lt;=Body!$BD$19),Body!$BB$6,IF(AND('Zdroj data'!O106&gt;=Body!$BE$19,'Zdroj data'!O106&lt;=Body!$BG$19),Body!$BE$6,IF(AND('Zdroj data'!O106&gt;=Body!$BH$19,'Zdroj data'!O106&lt;=Body!$BJ$19),Body!$BH$6,IF(AND('Zdroj data'!O106&gt;=Body!$BK$19,'Zdroj data'!O106&lt;=Body!$BM$19),Body!$BK$6,IF(AND('Zdroj data'!O106&gt;=Body!$BN$19,'Zdroj data'!O106&lt;=Body!$BP$19),Body!$BN$6,IF(AND('Zdroj data'!O106&gt;=Body!$BQ$19,'Zdroj data'!O106&lt;=Body!$BS$19),Body!$BQ$6,IF(AND('Zdroj data'!O106&gt;=Body!$BT$19,'Zdroj data'!O110&lt;=Body!$BV$19),Body!$BT$6,IF(AND('Zdroj data'!O106&gt;=Body!$BW$19,'Zdroj data'!O106&lt;=Body!$BY$19),Body!$BW$6,IF('Zdroj data'!O106&gt;=Body!$CB$19,Body!$BZ$6," ")))))))))),IF(AND('Zdroj data'!BG106="T",'Zdroj data'!AM106=Body!$AX$20),IF(AND('Zdroj data'!O106&gt;=Body!$AY$20,'Zdroj data'!O106&lt;=Body!$BA$20),Body!$AY$6,IF(AND('Zdroj data'!O106&gt;=Body!$BB$20,'Zdroj data'!O106&lt;=Body!$BD$20),Body!$BB$6,IF(AND('Zdroj data'!O106&gt;=Body!$BE$20,'Zdroj data'!O106&lt;=Body!$BG$20),Body!$BE$6,IF(AND('Zdroj data'!O106&gt;=Body!$BH$20,'Zdroj data'!O106&lt;=Body!$BJ$20),Body!$BH$6,IF(AND('Zdroj data'!O106&gt;=Body!$BK$20,'Zdroj data'!O106&lt;=Body!$BM$20),Body!$BK$6,IF(AND('Zdroj data'!O106&gt;=Body!$BN$20,'Zdroj data'!O106&lt;=Body!$BP$20),Body!$BN$6,IF(AND('Zdroj data'!O106&gt;=Body!$BQ$20,'Zdroj data'!O106&lt;=Body!$BS$20),Body!$BQ$6,IF(AND('Zdroj data'!O106&gt;=Body!$BT$20,'Zdroj data'!O106&lt;=Body!BV123),Body!$BT$6,IF(AND('Zdroj data'!O106&gt;=Body!$BW$20,'Zdroj data'!O106&lt;=Body!$BY$20),Body!$BW$6,IF('Zdroj data'!O106&gt;=Body!$CB$20,Body!$BZ$6," "))))))))))," ")))</f>
        <v xml:space="preserve"> </v>
      </c>
      <c r="AI106" s="264" t="str">
        <f>IF(AND('Zdroj data'!$BG106="L",'Zdroj data'!$AM106=Body!$AX$18),IF(AND(Tabulka1[[#This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data'!$BG106="ST",'Zdroj data'!$AM106=Body!$AX$19),IF(AND(Tabulka1[[#This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data'!$BG106="T",'Zdroj data'!$AM106=Body!$AX$20),IF(AND(Tabulka1[[#This Row],[K2O_60]]&gt;=Body!$AY$20,'Zdroj data'!O106&lt;=Body!$BA$20),Body!$AY$6,IF(AND(Tabulka1[[#This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Row],[K2O_60]]&lt;=Body!BV123),Body!$BT$6,IF(AND(Tabulka1[[#This Row],[K2O_60]]&gt;=Body!$BW$20,Tabulka1[[#This Row],[K2O_60]]&lt;=Body!$BY$20),Body!$BW$6,IF(Tabulka1[[#This Row],[K2O_60]]&gt;=Body!$CB$20,Body!$BZ$6," "))))))))))," ")))</f>
        <v xml:space="preserve"> </v>
      </c>
      <c r="AJ106" s="265">
        <f t="shared" si="13"/>
        <v>5.3333333333333375</v>
      </c>
      <c r="AK106" s="264">
        <f t="shared" si="14"/>
        <v>33.320051484810186</v>
      </c>
      <c r="AL106" s="264">
        <f t="shared" si="15"/>
        <v>33.527816551341367</v>
      </c>
      <c r="AM106" s="264">
        <f t="shared" si="16"/>
        <v>80.319856929421761</v>
      </c>
      <c r="AN106" s="264">
        <f t="shared" si="17"/>
        <v>77.950826179547761</v>
      </c>
      <c r="AO106" s="265">
        <f t="shared" si="21"/>
        <v>113.63990841423194</v>
      </c>
      <c r="AP106" s="265">
        <f t="shared" si="18"/>
        <v>111.47864273088913</v>
      </c>
      <c r="AQ106" s="318"/>
      <c r="AR106" s="338">
        <f t="shared" si="19"/>
        <v>230.45188447845442</v>
      </c>
      <c r="AS106" s="318"/>
      <c r="AT106" s="138"/>
      <c r="AU106" s="138"/>
    </row>
    <row r="107" spans="1:47" ht="15.5" x14ac:dyDescent="0.35">
      <c r="A107" s="270">
        <v>5487</v>
      </c>
      <c r="B107" s="156" t="s">
        <v>294</v>
      </c>
      <c r="C107" s="250" t="str">
        <f>VLOOKUP(B107,'Zdroj hloubka okresy'!$A$2:$D$171,2,FALSE)</f>
        <v>Kutna_Hora</v>
      </c>
      <c r="D107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10</v>
      </c>
      <c r="E107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8</v>
      </c>
      <c r="F107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107" s="264">
        <f>IF(AND(Tabulka1[[#This Row],[hum_60]]&gt;AY113,Tabulka1[[#This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4</v>
      </c>
      <c r="H107" s="264">
        <f>IF(Tabulka1[[#This Row],[kv.ek.]]=Body!$AX$13,IF(AND('Zdroj data'!M107&gt;=Body!$AY$13,'Zdroj data'!M107&lt;=Body!$BA$13),Body!$AY$6,IF(AND('Zdroj data'!M107&gt;=Body!$BB$13,'Zdroj data'!M107&lt;=Body!$BD$13),Body!$BB$6,IF(AND('Zdroj data'!M107&gt;=Body!$BE$13,'Zdroj data'!M107&lt;=Body!$BG$13),Body!$BE$6,IF(AND('Zdroj data'!M107&gt;=Body!$BH$13,'Zdroj data'!M107&lt;=Body!$BJ$13),Body!$BH$6,IF(AND('Zdroj data'!M107&gt;=Body!$BK$13,'Zdroj data'!M107&lt;=Body!$BM$13),Body!$BK$6,IF(AND('Zdroj data'!M107&gt;=Body!$BN$13,'Zdroj data'!M107&lt;=Body!$BP$13),Body!$BN$6,IF(AND('Zdroj data'!M107&gt;=Body!$BQ$13,'Zdroj data'!M107&lt;=Body!$BS$13),Body!$BQ$6,IF(AND('Zdroj data'!M107&gt;=Body!$BT$13,'Zdroj data'!M107&lt;=Body!$BV$13),Body!$BT$6,IF(AND('Zdroj data'!M107&gt;=Body!$BW$13,'Zdroj data'!M107&lt;=Body!$BY$13),Body!$BW$6,IF('Zdroj data'!M107&gt;=Body!$CB$13,Body!$BZ$6," ")))))))))),IF(Tabulka1[[#This Row],[kv.ek.]]=Body!$AX$14,IF(AND('Zdroj data'!N107&gt;=Body!$AY$14,'Zdroj data'!N107&lt;=Body!$BA$14),Body!$AY$6,IF(AND('Zdroj data'!N107&gt;=Body!$BB$14,'Zdroj data'!N107&lt;=Body!$BD$14),Body!$BB$6,IF(AND('Zdroj data'!N107&gt;=Body!$BE$14,'Zdroj data'!N107&lt;=Body!$BG$14),Body!$BE$6,IF(AND('Zdroj data'!N107&gt;=Body!$BH$14,'Zdroj data'!N107&lt;=Body!$BJ$14),Body!$BH$6,IF(AND('Zdroj data'!N107&gt;=Body!$BK$14,'Zdroj data'!N107&lt;=Body!$BM$14),Body!$BK$6,IF(AND('Zdroj data'!N107&gt;=Body!$BN$14,'Zdroj data'!N107&lt;=Body!$BP$14),Body!$BN$6,IF(AND('Zdroj data'!N107&gt;=Body!$BQ$14,'Zdroj data'!N107&lt;=Body!$BS$14),Body!$BQ$6,IF(AND('Zdroj data'!N107&gt;=Body!$BT$14,'Zdroj data'!N107&lt;=Body!$BV$14),Body!$BT$6,IF(AND('Zdroj data'!N107&gt;=Body!$BW$14,'Zdroj data'!N107&lt;=Body!$BY$14),Body!$BW$6,IF('Zdroj data'!N107&gt;=Body!$CB$14,Body!$BZ$6," "))))))))))," "))</f>
        <v>6</v>
      </c>
      <c r="I107" s="264">
        <f>IF(Tabulka1[[#This Row],[kv.ek.]]=Body!$AX$13,IF(AND('Zdroj data'!N107&gt;=Body!$AY$13,'Zdroj data'!N107&lt;=Body!$BA$13),Body!$AY$6,IF(AND('Zdroj data'!N107&gt;=Body!$BB$13,'Zdroj data'!N107&lt;=Body!$BD$13),Body!$BB$6,IF(AND('Zdroj data'!N107&gt;=Body!$BE$13,'Zdroj data'!N107&lt;=Body!$BG$13),Body!$BE$6,IF(AND('Zdroj data'!N107&gt;=Body!$BH$13,'Zdroj data'!N107&lt;=Body!$BJ$13),Body!$BH$6,IF(AND('Zdroj data'!N107&gt;=Body!$BK$13,'Zdroj data'!N107&lt;=Body!$BM$13),Body!$BK$6,IF(AND('Zdroj data'!N107&gt;=Body!$BN$13,'Zdroj data'!N107&lt;=Body!$BP$13),Body!$BN$6,IF(AND('Zdroj data'!N107&gt;=Body!$BQ$13,'Zdroj data'!N107&lt;=Body!$BS$13),Body!$BQ$6,IF(AND('Zdroj data'!N107&gt;=Body!$BT$13,'Zdroj data'!N107&lt;=Body!$BV$13),Body!$BT$6,IF(AND('Zdroj data'!N107&gt;=Body!$BW$13,'Zdroj data'!N107&lt;=Body!$BY$13),Body!$BW$6,IF('Zdroj data'!N107&gt;=Body!$CB$13,Body!$BZ$6," ")))))))))),IF(Tabulka1[[#This Row],[kv.ek.]]=Body!$AX$14,IF(AND('Zdroj data'!O107&gt;=Body!$AY$14,'Zdroj data'!O107&lt;=Body!$BA$14),Body!$AY$6,IF(AND('Zdroj data'!O107&gt;=Body!$BB$14,'Zdroj data'!O107&lt;=Body!$BD$14),Body!$BB$6,IF(AND('Zdroj data'!O107&gt;=Body!$BE$14,'Zdroj data'!O107&lt;=Body!$BG$14),Body!$BE$6,IF(AND('Zdroj data'!O107&gt;=Body!$BH$14,'Zdroj data'!O107&lt;=Body!$BJ$14),Body!$BH$6,IF(AND('Zdroj data'!O107&gt;=Body!$BK$14,'Zdroj data'!O107&lt;=Body!$BM$14),Body!$BK$6,IF(AND('Zdroj data'!O107&gt;=Body!$BN$14,'Zdroj data'!O107&lt;=Body!$BP$14),Body!$BN$6,IF(AND('Zdroj data'!O107&gt;=Body!$BQ$14,'Zdroj data'!O107&lt;=Body!$BS$14),Body!$BQ$6,IF(AND('Zdroj data'!O107&gt;=Body!$BT$14,'Zdroj data'!O107&lt;=Body!$BV$14),Body!$BT$6,IF(AND('Zdroj data'!O107&gt;=Body!$BW$14,'Zdroj data'!O107&lt;=Body!$BY$14),Body!$BW$6,IF('Zdroj data'!O107&gt;=Body!$CB$14,Body!$BZ$6," "))))))))))," "))</f>
        <v>5</v>
      </c>
      <c r="J107" s="264">
        <f t="shared" si="25"/>
        <v>1</v>
      </c>
      <c r="K107" s="264">
        <f t="shared" si="24"/>
        <v>1</v>
      </c>
      <c r="L107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6</v>
      </c>
      <c r="M107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7</v>
      </c>
      <c r="N107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9</v>
      </c>
      <c r="O107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9</v>
      </c>
      <c r="P107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07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107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107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107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107" s="264">
        <f>IF('Zdroj data'!BB107=Body!$AY$25,Body!$AY$22,IF('Zdroj data'!BB107=Body!$BB$25,Body!$BB$22,IF('Zdroj data'!BB107=Body!$BE$25,Body!$BE$22,IF('Zdroj data'!BB107=Body!$BH$25,Body!$BH$22,IF('Zdroj data'!BB107=Body!BK$25,Body!$BK$22,IF('Zdroj data'!BB107=Body!$BN$25,Body!$BN$22,IF('Zdroj data'!BB107=Body!$BQ$25,Body!$BQ$22,IF('Zdroj data'!BB107=Body!$BT$25,Body!$BT$22,IF('Zdroj data'!BB107=Body!$BW$25,Body!$BW$22,IF('Zdroj data'!BB107=Body!$BZ$25,Body!$BZ$22," "))))))))))</f>
        <v>7</v>
      </c>
      <c r="V107" s="264">
        <f>IF(AND('Zdroj data'!BO107&gt;Body!$AY$27,'Zdroj data'!BO107&lt;=Body!$BA$27),Body!$AY$22,IF(AND('Zdroj data'!BO107&gt;=Body!$BB$27,'Zdroj data'!BO107&lt;=Body!$BD$27),Body!$BB$22,IF(AND('Zdroj data'!BO107&gt;=Body!$BE$27,'Zdroj data'!BO107&lt;=Body!$BG$27),Body!$BE$22,IF(AND('Zdroj data'!BO107&gt;=Body!$BH$27,'Zdroj data'!BO107&lt;=Body!$BJ$27),Body!$BH$22,IF(AND('Zdroj data'!BO107&gt;=Body!$BK$27,'Zdroj data'!BO107&lt;=Body!$BM$27),Body!$BK$22,IF(AND('Zdroj data'!BO107&gt;=Body!$BN$27,'Zdroj data'!BO107&lt;=Body!$BP$27),Body!$BN$22,IF(AND('Zdroj data'!BO107&gt;=Body!$BQ$27,'Zdroj data'!BO107&lt;=Body!$BS$27),Body!$BQ$22,IF(AND('Zdroj data'!BO107&gt;=Body!$BT$27,'Zdroj data'!BO107&lt;=Body!$BV$27),Body!$BT$22,IF(AND('Zdroj data'!BO107&gt;=Body!$BW$27,'Zdroj data'!BO107&lt;=Body!$BY$27),Body!$BW$22,IF('Zdroj data'!BO107&gt;=Body!$CB$27,$BZ$22," "))))))))))</f>
        <v>8</v>
      </c>
      <c r="W107" s="264">
        <f>IF(AND('Zdroj data'!BP107&gt;Body!$AY$27,'Zdroj data'!BP107&lt;=Body!$BA$27),Body!$AY$22,IF(AND('Zdroj data'!BP107&gt;=Body!$BB$27,'Zdroj data'!BP107&lt;=Body!$BD$27),Body!$BB$22,IF(AND('Zdroj data'!BP107&gt;=Body!$BE$27,'Zdroj data'!BP107&lt;=Body!$BG$27),Body!$BE$22,IF(AND('Zdroj data'!BP107&gt;=Body!$BH$27,'Zdroj data'!BP107&lt;=Body!$BJ$27),Body!$BH$22,IF(AND('Zdroj data'!BP107&gt;=Body!$BK$27,'Zdroj data'!BP107&lt;=Body!$BM$27),Body!$BK$22,IF(AND('Zdroj data'!BP107&gt;=Body!$BN$27,'Zdroj data'!BP107&lt;=Body!$BP$27),Body!$BN$22,IF(AND('Zdroj data'!BP107&gt;=Body!$BQ$27,'Zdroj data'!BP107&lt;=Body!$BS$27),Body!$BQ$22,IF(AND('Zdroj data'!BP107&gt;=Body!$BT$27,'Zdroj data'!BP107&lt;=Body!$BV$27),Body!$BT$22,IF(AND('Zdroj data'!BP107&gt;=Body!$BW$27,'Zdroj data'!BP107&lt;=Body!$BY$27),Body!$BW$22,IF('Zdroj data'!BP107&gt;=Body!$CB$27,$BZ$22," "))))))))))</f>
        <v>8</v>
      </c>
      <c r="X107" s="264">
        <f>IF('Zdroj data'!BA107=Body!$BB$28,$BB$22,IF('Zdroj data'!BA107=Body!$BE$28,$BE$22,IF(OR('Zdroj data'!BA107=Body!$BK$28,'Zdroj data'!BA107=Body!$BL$28,'Zdroj data'!BA107=Body!$BM$28),$BK$22,IF(OR('Zdroj data'!BA107=Body!$BT$28,'Zdroj data'!BA107=Body!$BV$28),$BT$22,IF(OR('Zdroj data'!BA107=Body!$BW$28,'Zdroj data'!BA107=Body!$BY$28),$BW$22,IF('Zdroj data'!BA107=Body!$BZ$28,$BZ$22," "))))))</f>
        <v>10</v>
      </c>
      <c r="Y107" s="264">
        <f>IF('Zdroj data'!AZ107=Body!$BZ$29,Body!$BZ$22,IF(OR('Zdroj data'!AZ107=$BT$29,'Zdroj data'!AZ107=$BU$29,'Zdroj data'!AZ107=$BV$29),$BT$22,IF(OR('Zdroj data'!AZ107=$BK$29,'Zdroj data'!AZ107=$BM$29),$BK$22,IF(OR('Zdroj data'!AZ107=$BE$29,'Zdroj data'!AZ107=$BG$29),$BE$22,IF(OR('Zdroj data'!AZ107=$AY$29,'Zdroj data'!AZ107=$BA$29),$AY$22," ")))))</f>
        <v>10</v>
      </c>
      <c r="Z107" s="264">
        <f>IF(AND('Zdroj data'!BF107="T",(OR('Zdroj data'!AZ107=Body!$AW$45,'Zdroj data'!AZ107=Body!$AW$46,'Zdroj data'!AZ107=Body!$AW$47,'Zdroj data'!AZ107=Body!$AW$48))),Body!$AY$22,IF(AND('Zdroj data'!BF107="T",(OR('Zdroj data'!AZ107=$AW$49,'Zdroj data'!AZ107=$AW$50,'Zdroj data'!AZ107=$AW$51,'Zdroj data'!AZ107=$AW$52))),$BZ$22,IF(AND(OR('Zdroj data'!BF107="VT",'Zdroj data'!BF107="T",'Zdroj data'!BF107="CH"),(OR('Zdroj data'!AZ107=$AW$43,'Zdroj data'!AZ107=$AW$44,))),$BZ$22,IF(AND('Zdroj data'!BF107="CH",(OR('Zdroj data'!AZ107=$AW$49,'Zdroj data'!AZ107=$AW$50,'Zdroj data'!AZ107=$AW$51,'Zdroj data'!AZ107=$AW$52))),$AY$22,IF(AND('Zdroj data'!BF107="CH",(OR('Zdroj data'!AZ107=$AW$45,'Zdroj data'!AZ107=$AW$46,'Zdroj data'!AZ107=$AW$47,'Zdroj data'!AZ107=$AW$48))),$BZ$22," ")))))</f>
        <v>10</v>
      </c>
      <c r="AA107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07" s="264">
        <f>IF(Tabulka1[[#This Row],[kv.ek.]]=Body!$BK$35,Body!$BK$34,IF(Tabulka1[[#This Row],[kv.ek.]]=Body!$BZ$35,Body!$BZ$34," "))</f>
        <v>5</v>
      </c>
      <c r="AC107" s="264" t="str">
        <f>IF(AND('Zdroj data'!BF107="T",(OR('Zdroj data'!AZ107=Body!$AW$45,'Zdroj data'!AZ107=Body!$AW$46,'Zdroj data'!AZ107=Body!$AW$47,'Zdroj data'!AZ107=Body!$AW$48))),Body!$AY$22,IF(AND('Zdroj data'!BF107="T",(OR('Zdroj data'!AZ107=$AW$49,'Zdroj data'!AZ107=$AW$50,'Zdroj data'!AZ107=$AW$51,'Zdroj data'!AZ107=$AW$52))),$BZ$22," "))</f>
        <v xml:space="preserve"> </v>
      </c>
      <c r="AD107" s="264">
        <f>IF(AND(OR('Zdroj data'!BF107="VT",'Zdroj data'!BF107="T",'Zdroj data'!BF107="CH"),(OR('Zdroj data'!AZ107=$AW$43,'Zdroj data'!AZ107=$AW$44,))),$BZ$22," ")</f>
        <v>10</v>
      </c>
      <c r="AE107" s="264" t="str">
        <f>IF(AND('Zdroj data'!BF107="CH",(OR('Zdroj data'!AZ107=$AW$49,'Zdroj data'!AZ107=$AW$50,'Zdroj data'!AZ107=$AW$51,'Zdroj data'!AZ107=$AW$52))),$AY$22,IF(AND('Zdroj data'!BF107="CH",(OR('Zdroj data'!AZ107=$AW$45,'Zdroj data'!AZ107=$AW$46,'Zdroj data'!AZ107=$AW$47,'Zdroj data'!AZ107=$AW$48))),$BZ$22," "))</f>
        <v xml:space="preserve"> </v>
      </c>
      <c r="AF107" s="264">
        <f>IF(AND('Zdroj data'!BG107="L",'Zdroj data'!AM107=Body!$AX$15),IF(AND('Zdroj data'!O107&gt;=Body!$AY$15,'Zdroj data'!O107&lt;=Body!$BA$15),Body!AY$6,IF(AND('Zdroj data'!O107&gt;=Body!$BB$15,'Zdroj data'!O107&lt;=Body!$BD$15),Body!BB$6,IF(AND('Zdroj data'!O107&gt;=Body!$BE$15,'Zdroj data'!O107&lt;=Body!$BG$15),Body!BE$6,IF(AND('Zdroj data'!O107&gt;=Body!$BH$15,'Zdroj data'!O107&lt;=Body!$BJ$15),Body!BH$6,IF(AND('Zdroj data'!O107&gt;=Body!$BK$15,'Zdroj data'!O107&lt;=Body!$BM$15),Body!BK$6,IF(AND('Zdroj data'!O107&gt;=Body!$BN$15,'Zdroj data'!O107&lt;=Body!$BP$15),Body!$BN$6,IF(AND('Zdroj data'!O107&gt;=Body!$BQ$15,'Zdroj data'!O107&lt;=Body!$BS$15),Body!$BQ$6,IF(AND('Zdroj data'!O107&gt;=Body!$BT$15,'Zdroj data'!O107&lt;=Body!$BV$15),Body!BT$6,IF(AND('Zdroj data'!O107&gt;=Body!$BW$15,'Zdroj data'!O107&lt;=Body!$BY$15),Body!$BW$6,IF('Zdroj data'!O107&gt;=Body!$CB$15,Body!$BZ$6," ")))))))))),IF(AND('Zdroj data'!BG107="ST",'Zdroj data'!AM107=Body!$AX$16),IF(AND('Zdroj data'!O107&gt;=Body!$AY$16,'Zdroj data'!O107&lt;=Body!$BA$16),Body!$AY$6,IF(AND('Zdroj data'!O107&gt;=Body!$BB$16,'Zdroj data'!O107&lt;=Body!$BD$16),Body!$BB$6,IF(AND('Zdroj data'!O107&gt;=Body!$BE$16,'Zdroj data'!O107&lt;=Body!$BG$16),Body!$BE$6,IF(AND('Zdroj data'!O107&gt;=Body!$BH$16,'Zdroj data'!O107&lt;=Body!$BJ$16),Body!$BH$6,IF(AND('Zdroj data'!O107&gt;=Body!$BK$16,'Zdroj data'!O107&lt;=Body!$BM$16),Body!$BK$6,IF(AND('Zdroj data'!O107&gt;=Body!$BN$16,'Zdroj data'!O107&lt;=Body!$BP$16),Body!$BN$6,IF(AND('Zdroj data'!O107&gt;=Body!$BQ$16,'Zdroj data'!O107&lt;=Body!$BS$16),Body!$BQ$6,IF(AND('Zdroj data'!O107&gt;=Body!$BT$16,'Zdroj data'!O107&lt;=Body!$BV$16),Body!$BT$6,IF(AND('Zdroj data'!O107&gt;=Body!$BW$16,'Zdroj data'!O107&lt;=Body!$BY$16),Body!$BW$6,IF('Zdroj data'!O107&gt;=Body!$CB$16,Body!$BZ$6," ")))))))))),IF(AND('Zdroj data'!BG107="T",'Zdroj data'!AM107=Body!$AX$17),IF(AND('Zdroj data'!O107&gt;=Body!$AY$17,'Zdroj data'!O107&lt;=Body!$BA$17),Body!$AY$6,IF(AND('Zdroj data'!O107&gt;=Body!$BB$17,'Zdroj data'!O107&lt;=Body!$BD$17),Body!$BB$6,IF(AND('Zdroj data'!O107&gt;=Body!$BE$17,'Zdroj data'!O107&lt;=Body!$BG$17),Body!$BE$6,IF(AND('Zdroj data'!O107&gt;=Body!$BH$17,'Zdroj data'!O107&lt;=Body!BJ121),Body!$BH$6,IF(AND('Zdroj data'!O107&gt;=Body!$BK$17,'Zdroj data'!O107&lt;=Body!$BM$17),Body!$BK$6,IF(AND('Zdroj data'!O107&gt;=Body!$BN$17,'Zdroj data'!O107&lt;=Body!$BP$17),Body!$BN$6,IF(AND('Zdroj data'!O107&gt;=Body!$BQ$17,'Zdroj data'!O107&lt;=Body!$BS$17),Body!$BQ$6,IF(AND('Zdroj data'!O107&gt;=Body!$BT$17,'Zdroj data'!O107&lt;=Body!$BV$17),Body!$BT$6,IF(AND('Zdroj data'!O107&gt;=Body!$BW$17,'Zdroj data'!O107&lt;=Body!$BY$17),Body!$BW$6,IF('Zdroj data'!O107&gt;=Body!$CB$17,Body!$BZ$6," "))))))))))," ")))</f>
        <v>1</v>
      </c>
      <c r="AG107" s="264">
        <f>IF(AND('Zdroj data'!$BG107="L",'Zdroj data'!$AM107=Body!$AX$15),IF(AND(Tabulka1[[#This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data'!$BG107="ST",'Zdroj data'!$AM107=Body!$AX$16),IF(AND(Tabulka1[[#This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data'!$BG107="T",'Zdroj data'!$AM107=Body!$AX$17),IF(AND(Tabulka1[[#This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Row],[K2O_60]]&lt;=Body!BJ121),Body!$BH$6,IF(AND(Tabulka1[[#This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07" s="264" t="str">
        <f>IF(AND('Zdroj data'!BG107="L",'Zdroj data'!AM107=Body!$AX$18),IF(AND('Zdroj data'!O107&gt;=Body!$AY$18,'Zdroj data'!O107&lt;=Body!$BA$18),Body!AY$6,IF(AND('Zdroj data'!O107&gt;=Body!$BB$18,'Zdroj data'!O107&lt;=Body!$BD$18),Body!BB$6,IF(AND('Zdroj data'!O107&gt;=Body!$BE$18,'Zdroj data'!O107&lt;=Body!$BG$18),Body!BE$6,IF(AND('Zdroj data'!O107&gt;=Body!$BH$18,'Zdroj data'!O107&lt;=Body!$BJ$18),Body!BH$6,IF(AND('Zdroj data'!O107&gt;=Body!$BK$18,'Zdroj data'!O107&lt;=Body!$BM$18),Body!$BK$6,IF(AND('Zdroj data'!O107&gt;=Body!$BN$18,'Zdroj data'!O107&lt;=Body!$BP$18),Body!BN$6,IF(AND('Zdroj data'!O107&gt;=Body!$BQ$18,'Zdroj data'!O107&lt;=Body!$BS$18),Body!$BQ$6,IF(AND('Zdroj data'!O107&gt;=Body!$BT$18,'Zdroj data'!O107&lt;=Body!$BV$18),Body!$BT$6,IF(AND('Zdroj data'!O107&gt;=Body!$BW$18,'Zdroj data'!O107&lt;=Body!$BY$18),Body!$BW$6,IF('Zdroj data'!O107&gt;=Body!$CB$18,Body!$BZ$6," ")))))))))),IF(AND('Zdroj data'!BG107="ST",'Zdroj data'!AM107=Body!$AX$19),IF(AND('Zdroj data'!O107&gt;=Body!$AY$19,'Zdroj data'!O107&lt;=Body!$BA$19),Body!$AY$6,IF(AND('Zdroj data'!O107&gt;=Body!$BB$19,'Zdroj data'!O107&lt;=Body!$BD$19),Body!$BB$6,IF(AND('Zdroj data'!O107&gt;=Body!$BE$19,'Zdroj data'!O107&lt;=Body!$BG$19),Body!$BE$6,IF(AND('Zdroj data'!O107&gt;=Body!$BH$19,'Zdroj data'!O107&lt;=Body!$BJ$19),Body!$BH$6,IF(AND('Zdroj data'!O107&gt;=Body!$BK$19,'Zdroj data'!O107&lt;=Body!$BM$19),Body!$BK$6,IF(AND('Zdroj data'!O107&gt;=Body!$BN$19,'Zdroj data'!O107&lt;=Body!$BP$19),Body!$BN$6,IF(AND('Zdroj data'!O107&gt;=Body!$BQ$19,'Zdroj data'!O107&lt;=Body!$BS$19),Body!$BQ$6,IF(AND('Zdroj data'!O107&gt;=Body!$BT$19,'Zdroj data'!O111&lt;=Body!$BV$19),Body!$BT$6,IF(AND('Zdroj data'!O107&gt;=Body!$BW$19,'Zdroj data'!O107&lt;=Body!$BY$19),Body!$BW$6,IF('Zdroj data'!O107&gt;=Body!$CB$19,Body!$BZ$6," ")))))))))),IF(AND('Zdroj data'!BG107="T",'Zdroj data'!AM107=Body!$AX$20),IF(AND('Zdroj data'!O107&gt;=Body!$AY$20,'Zdroj data'!O107&lt;=Body!$BA$20),Body!$AY$6,IF(AND('Zdroj data'!O107&gt;=Body!$BB$20,'Zdroj data'!O107&lt;=Body!$BD$20),Body!$BB$6,IF(AND('Zdroj data'!O107&gt;=Body!$BE$20,'Zdroj data'!O107&lt;=Body!$BG$20),Body!$BE$6,IF(AND('Zdroj data'!O107&gt;=Body!$BH$20,'Zdroj data'!O107&lt;=Body!$BJ$20),Body!$BH$6,IF(AND('Zdroj data'!O107&gt;=Body!$BK$20,'Zdroj data'!O107&lt;=Body!$BM$20),Body!$BK$6,IF(AND('Zdroj data'!O107&gt;=Body!$BN$20,'Zdroj data'!O107&lt;=Body!$BP$20),Body!$BN$6,IF(AND('Zdroj data'!O107&gt;=Body!$BQ$20,'Zdroj data'!O107&lt;=Body!$BS$20),Body!$BQ$6,IF(AND('Zdroj data'!O107&gt;=Body!$BT$20,'Zdroj data'!O107&lt;=Body!BV124),Body!$BT$6,IF(AND('Zdroj data'!O107&gt;=Body!$BW$20,'Zdroj data'!O107&lt;=Body!$BY$20),Body!$BW$6,IF('Zdroj data'!O107&gt;=Body!$CB$20,Body!$BZ$6," "))))))))))," ")))</f>
        <v xml:space="preserve"> </v>
      </c>
      <c r="AI107" s="264" t="str">
        <f>IF(AND('Zdroj data'!$BG107="L",'Zdroj data'!$AM107=Body!$AX$18),IF(AND(Tabulka1[[#This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data'!$BG107="ST",'Zdroj data'!$AM107=Body!$AX$19),IF(AND(Tabulka1[[#This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data'!$BG107="T",'Zdroj data'!$AM107=Body!$AX$20),IF(AND(Tabulka1[[#This Row],[K2O_60]]&gt;=Body!$AY$20,'Zdroj data'!O107&lt;=Body!$BA$20),Body!$AY$6,IF(AND(Tabulka1[[#This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Row],[K2O_60]]&lt;=Body!BV124),Body!$BT$6,IF(AND(Tabulka1[[#This Row],[K2O_60]]&gt;=Body!$BW$20,Tabulka1[[#This Row],[K2O_60]]&lt;=Body!$BY$20),Body!$BW$6,IF(Tabulka1[[#This Row],[K2O_60]]&gt;=Body!$CB$20,Body!$BZ$6," "))))))))))," ")))</f>
        <v xml:space="preserve"> </v>
      </c>
      <c r="AJ107" s="265">
        <f t="shared" si="13"/>
        <v>5.3333333333333375</v>
      </c>
      <c r="AK107" s="264">
        <f t="shared" si="14"/>
        <v>34.987558733562913</v>
      </c>
      <c r="AL107" s="264">
        <f t="shared" si="15"/>
        <v>32.862577839005191</v>
      </c>
      <c r="AM107" s="264">
        <f t="shared" si="16"/>
        <v>81.864450136623731</v>
      </c>
      <c r="AN107" s="264">
        <f t="shared" si="17"/>
        <v>77.950826179547761</v>
      </c>
      <c r="AO107" s="265">
        <f t="shared" si="21"/>
        <v>116.85200887018664</v>
      </c>
      <c r="AP107" s="265">
        <f t="shared" si="18"/>
        <v>110.81340401855294</v>
      </c>
      <c r="AQ107" s="318"/>
      <c r="AR107" s="338">
        <f t="shared" si="19"/>
        <v>232.99874622207292</v>
      </c>
      <c r="AS107" s="318"/>
      <c r="AT107" s="138"/>
      <c r="AU107" s="138"/>
    </row>
    <row r="108" spans="1:47" ht="15.5" x14ac:dyDescent="0.35">
      <c r="A108" s="270">
        <v>5490</v>
      </c>
      <c r="B108" s="156" t="s">
        <v>292</v>
      </c>
      <c r="C108" s="250" t="str">
        <f>VLOOKUP(B108,'Zdroj hloubka okresy'!$A$2:$D$171,2,FALSE)</f>
        <v>Kutna_Hora</v>
      </c>
      <c r="D108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9</v>
      </c>
      <c r="E108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10</v>
      </c>
      <c r="F108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108" s="264">
        <f>IF(AND(Tabulka1[[#This Row],[hum_60]]&gt;AY114,Tabulka1[[#This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4</v>
      </c>
      <c r="H108" s="264">
        <f>IF(Tabulka1[[#This Row],[kv.ek.]]=Body!$AX$13,IF(AND('Zdroj data'!M108&gt;=Body!$AY$13,'Zdroj data'!M108&lt;=Body!$BA$13),Body!$AY$6,IF(AND('Zdroj data'!M108&gt;=Body!$BB$13,'Zdroj data'!M108&lt;=Body!$BD$13),Body!$BB$6,IF(AND('Zdroj data'!M108&gt;=Body!$BE$13,'Zdroj data'!M108&lt;=Body!$BG$13),Body!$BE$6,IF(AND('Zdroj data'!M108&gt;=Body!$BH$13,'Zdroj data'!M108&lt;=Body!$BJ$13),Body!$BH$6,IF(AND('Zdroj data'!M108&gt;=Body!$BK$13,'Zdroj data'!M108&lt;=Body!$BM$13),Body!$BK$6,IF(AND('Zdroj data'!M108&gt;=Body!$BN$13,'Zdroj data'!M108&lt;=Body!$BP$13),Body!$BN$6,IF(AND('Zdroj data'!M108&gt;=Body!$BQ$13,'Zdroj data'!M108&lt;=Body!$BS$13),Body!$BQ$6,IF(AND('Zdroj data'!M108&gt;=Body!$BT$13,'Zdroj data'!M108&lt;=Body!$BV$13),Body!$BT$6,IF(AND('Zdroj data'!M108&gt;=Body!$BW$13,'Zdroj data'!M108&lt;=Body!$BY$13),Body!$BW$6,IF('Zdroj data'!M108&gt;=Body!$CB$13,Body!$BZ$6," ")))))))))),IF(Tabulka1[[#This Row],[kv.ek.]]=Body!$AX$14,IF(AND('Zdroj data'!N108&gt;=Body!$AY$14,'Zdroj data'!N108&lt;=Body!$BA$14),Body!$AY$6,IF(AND('Zdroj data'!N108&gt;=Body!$BB$14,'Zdroj data'!N108&lt;=Body!$BD$14),Body!$BB$6,IF(AND('Zdroj data'!N108&gt;=Body!$BE$14,'Zdroj data'!N108&lt;=Body!$BG$14),Body!$BE$6,IF(AND('Zdroj data'!N108&gt;=Body!$BH$14,'Zdroj data'!N108&lt;=Body!$BJ$14),Body!$BH$6,IF(AND('Zdroj data'!N108&gt;=Body!$BK$14,'Zdroj data'!N108&lt;=Body!$BM$14),Body!$BK$6,IF(AND('Zdroj data'!N108&gt;=Body!$BN$14,'Zdroj data'!N108&lt;=Body!$BP$14),Body!$BN$6,IF(AND('Zdroj data'!N108&gt;=Body!$BQ$14,'Zdroj data'!N108&lt;=Body!$BS$14),Body!$BQ$6,IF(AND('Zdroj data'!N108&gt;=Body!$BT$14,'Zdroj data'!N108&lt;=Body!$BV$14),Body!$BT$6,IF(AND('Zdroj data'!N108&gt;=Body!$BW$14,'Zdroj data'!N108&lt;=Body!$BY$14),Body!$BW$6,IF('Zdroj data'!N108&gt;=Body!$CB$14,Body!$BZ$6," "))))))))))," "))</f>
        <v>10</v>
      </c>
      <c r="I108" s="264">
        <f>IF(Tabulka1[[#This Row],[kv.ek.]]=Body!$AX$13,IF(AND('Zdroj data'!N108&gt;=Body!$AY$13,'Zdroj data'!N108&lt;=Body!$BA$13),Body!$AY$6,IF(AND('Zdroj data'!N108&gt;=Body!$BB$13,'Zdroj data'!N108&lt;=Body!$BD$13),Body!$BB$6,IF(AND('Zdroj data'!N108&gt;=Body!$BE$13,'Zdroj data'!N108&lt;=Body!$BG$13),Body!$BE$6,IF(AND('Zdroj data'!N108&gt;=Body!$BH$13,'Zdroj data'!N108&lt;=Body!$BJ$13),Body!$BH$6,IF(AND('Zdroj data'!N108&gt;=Body!$BK$13,'Zdroj data'!N108&lt;=Body!$BM$13),Body!$BK$6,IF(AND('Zdroj data'!N108&gt;=Body!$BN$13,'Zdroj data'!N108&lt;=Body!$BP$13),Body!$BN$6,IF(AND('Zdroj data'!N108&gt;=Body!$BQ$13,'Zdroj data'!N108&lt;=Body!$BS$13),Body!$BQ$6,IF(AND('Zdroj data'!N108&gt;=Body!$BT$13,'Zdroj data'!N108&lt;=Body!$BV$13),Body!$BT$6,IF(AND('Zdroj data'!N108&gt;=Body!$BW$13,'Zdroj data'!N108&lt;=Body!$BY$13),Body!$BW$6,IF('Zdroj data'!N108&gt;=Body!$CB$13,Body!$BZ$6," ")))))))))),IF(Tabulka1[[#This Row],[kv.ek.]]=Body!$AX$14,IF(AND('Zdroj data'!O108&gt;=Body!$AY$14,'Zdroj data'!O108&lt;=Body!$BA$14),Body!$AY$6,IF(AND('Zdroj data'!O108&gt;=Body!$BB$14,'Zdroj data'!O108&lt;=Body!$BD$14),Body!$BB$6,IF(AND('Zdroj data'!O108&gt;=Body!$BE$14,'Zdroj data'!O108&lt;=Body!$BG$14),Body!$BE$6,IF(AND('Zdroj data'!O108&gt;=Body!$BH$14,'Zdroj data'!O108&lt;=Body!$BJ$14),Body!$BH$6,IF(AND('Zdroj data'!O108&gt;=Body!$BK$14,'Zdroj data'!O108&lt;=Body!$BM$14),Body!$BK$6,IF(AND('Zdroj data'!O108&gt;=Body!$BN$14,'Zdroj data'!O108&lt;=Body!$BP$14),Body!$BN$6,IF(AND('Zdroj data'!O108&gt;=Body!$BQ$14,'Zdroj data'!O108&lt;=Body!$BS$14),Body!$BQ$6,IF(AND('Zdroj data'!O108&gt;=Body!$BT$14,'Zdroj data'!O108&lt;=Body!$BV$14),Body!$BT$6,IF(AND('Zdroj data'!O108&gt;=Body!$BW$14,'Zdroj data'!O108&lt;=Body!$BY$14),Body!$BW$6,IF('Zdroj data'!O108&gt;=Body!$CB$14,Body!$BZ$6," "))))))))))," "))</f>
        <v>10</v>
      </c>
      <c r="J108" s="264">
        <f t="shared" si="25"/>
        <v>1</v>
      </c>
      <c r="K108" s="264">
        <f t="shared" si="24"/>
        <v>1</v>
      </c>
      <c r="L108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108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108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108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108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08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108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108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9</v>
      </c>
      <c r="T108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108" s="264">
        <f>IF('Zdroj data'!BB108=Body!$AY$25,Body!$AY$22,IF('Zdroj data'!BB108=Body!$BB$25,Body!$BB$22,IF('Zdroj data'!BB108=Body!$BE$25,Body!$BE$22,IF('Zdroj data'!BB108=Body!$BH$25,Body!$BH$22,IF('Zdroj data'!BB108=Body!BK$25,Body!$BK$22,IF('Zdroj data'!BB108=Body!$BN$25,Body!$BN$22,IF('Zdroj data'!BB108=Body!$BQ$25,Body!$BQ$22,IF('Zdroj data'!BB108=Body!$BT$25,Body!$BT$22,IF('Zdroj data'!BB108=Body!$BW$25,Body!$BW$22,IF('Zdroj data'!BB108=Body!$BZ$25,Body!$BZ$22," "))))))))))</f>
        <v>7</v>
      </c>
      <c r="V108" s="264">
        <f>IF(AND('Zdroj data'!BO108&gt;Body!$AY$27,'Zdroj data'!BO108&lt;=Body!$BA$27),Body!$AY$22,IF(AND('Zdroj data'!BO108&gt;=Body!$BB$27,'Zdroj data'!BO108&lt;=Body!$BD$27),Body!$BB$22,IF(AND('Zdroj data'!BO108&gt;=Body!$BE$27,'Zdroj data'!BO108&lt;=Body!$BG$27),Body!$BE$22,IF(AND('Zdroj data'!BO108&gt;=Body!$BH$27,'Zdroj data'!BO108&lt;=Body!$BJ$27),Body!$BH$22,IF(AND('Zdroj data'!BO108&gt;=Body!$BK$27,'Zdroj data'!BO108&lt;=Body!$BM$27),Body!$BK$22,IF(AND('Zdroj data'!BO108&gt;=Body!$BN$27,'Zdroj data'!BO108&lt;=Body!$BP$27),Body!$BN$22,IF(AND('Zdroj data'!BO108&gt;=Body!$BQ$27,'Zdroj data'!BO108&lt;=Body!$BS$27),Body!$BQ$22,IF(AND('Zdroj data'!BO108&gt;=Body!$BT$27,'Zdroj data'!BO108&lt;=Body!$BV$27),Body!$BT$22,IF(AND('Zdroj data'!BO108&gt;=Body!$BW$27,'Zdroj data'!BO108&lt;=Body!$BY$27),Body!$BW$22,IF('Zdroj data'!BO108&gt;=Body!$CB$27,$BZ$22," "))))))))))</f>
        <v>8</v>
      </c>
      <c r="W108" s="264">
        <f>IF(AND('Zdroj data'!BP108&gt;Body!$AY$27,'Zdroj data'!BP108&lt;=Body!$BA$27),Body!$AY$22,IF(AND('Zdroj data'!BP108&gt;=Body!$BB$27,'Zdroj data'!BP108&lt;=Body!$BD$27),Body!$BB$22,IF(AND('Zdroj data'!BP108&gt;=Body!$BE$27,'Zdroj data'!BP108&lt;=Body!$BG$27),Body!$BE$22,IF(AND('Zdroj data'!BP108&gt;=Body!$BH$27,'Zdroj data'!BP108&lt;=Body!$BJ$27),Body!$BH$22,IF(AND('Zdroj data'!BP108&gt;=Body!$BK$27,'Zdroj data'!BP108&lt;=Body!$BM$27),Body!$BK$22,IF(AND('Zdroj data'!BP108&gt;=Body!$BN$27,'Zdroj data'!BP108&lt;=Body!$BP$27),Body!$BN$22,IF(AND('Zdroj data'!BP108&gt;=Body!$BQ$27,'Zdroj data'!BP108&lt;=Body!$BS$27),Body!$BQ$22,IF(AND('Zdroj data'!BP108&gt;=Body!$BT$27,'Zdroj data'!BP108&lt;=Body!$BV$27),Body!$BT$22,IF(AND('Zdroj data'!BP108&gt;=Body!$BW$27,'Zdroj data'!BP108&lt;=Body!$BY$27),Body!$BW$22,IF('Zdroj data'!BP108&gt;=Body!$CB$27,$BZ$22," "))))))))))</f>
        <v>4</v>
      </c>
      <c r="X108" s="264">
        <f>IF('Zdroj data'!BA108=Body!$BB$28,$BB$22,IF('Zdroj data'!BA108=Body!$BE$28,$BE$22,IF(OR('Zdroj data'!BA108=Body!$BK$28,'Zdroj data'!BA108=Body!$BL$28,'Zdroj data'!BA108=Body!$BM$28),$BK$22,IF(OR('Zdroj data'!BA108=Body!$BT$28,'Zdroj data'!BA108=Body!$BV$28),$BT$22,IF(OR('Zdroj data'!BA108=Body!$BW$28,'Zdroj data'!BA108=Body!$BY$28),$BW$22,IF('Zdroj data'!BA108=Body!$BZ$28,$BZ$22," "))))))</f>
        <v>10</v>
      </c>
      <c r="Y108" s="264">
        <f>IF('Zdroj data'!AZ108=Body!$BZ$29,Body!$BZ$22,IF(OR('Zdroj data'!AZ108=$BT$29,'Zdroj data'!AZ108=$BU$29,'Zdroj data'!AZ108=$BV$29),$BT$22,IF(OR('Zdroj data'!AZ108=$BK$29,'Zdroj data'!AZ108=$BM$29),$BK$22,IF(OR('Zdroj data'!AZ108=$BE$29,'Zdroj data'!AZ108=$BG$29),$BE$22,IF(OR('Zdroj data'!AZ108=$AY$29,'Zdroj data'!AZ108=$BA$29),$AY$22," ")))))</f>
        <v>10</v>
      </c>
      <c r="Z108" s="264">
        <f>IF(AND('Zdroj data'!BF108="T",(OR('Zdroj data'!AZ108=Body!$AW$45,'Zdroj data'!AZ108=Body!$AW$46,'Zdroj data'!AZ108=Body!$AW$47,'Zdroj data'!AZ108=Body!$AW$48))),Body!$AY$22,IF(AND('Zdroj data'!BF108="T",(OR('Zdroj data'!AZ108=$AW$49,'Zdroj data'!AZ108=$AW$50,'Zdroj data'!AZ108=$AW$51,'Zdroj data'!AZ108=$AW$52))),$BZ$22,IF(AND(OR('Zdroj data'!BF108="VT",'Zdroj data'!BF108="T",'Zdroj data'!BF108="CH"),(OR('Zdroj data'!AZ108=$AW$43,'Zdroj data'!AZ108=$AW$44,))),$BZ$22,IF(AND('Zdroj data'!BF108="CH",(OR('Zdroj data'!AZ108=$AW$49,'Zdroj data'!AZ108=$AW$50,'Zdroj data'!AZ108=$AW$51,'Zdroj data'!AZ108=$AW$52))),$AY$22,IF(AND('Zdroj data'!BF108="CH",(OR('Zdroj data'!AZ108=$AW$45,'Zdroj data'!AZ108=$AW$46,'Zdroj data'!AZ108=$AW$47,'Zdroj data'!AZ108=$AW$48))),$BZ$22," ")))))</f>
        <v>10</v>
      </c>
      <c r="AA108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08" s="264">
        <f>IF(Tabulka1[[#This Row],[kv.ek.]]=Body!$BK$35,Body!$BK$34,IF(Tabulka1[[#This Row],[kv.ek.]]=Body!$BZ$35,Body!$BZ$34," "))</f>
        <v>5</v>
      </c>
      <c r="AC108" s="264" t="str">
        <f>IF(AND('Zdroj data'!BF108="T",(OR('Zdroj data'!AZ108=Body!$AW$45,'Zdroj data'!AZ108=Body!$AW$46,'Zdroj data'!AZ108=Body!$AW$47,'Zdroj data'!AZ108=Body!$AW$48))),Body!$AY$22,IF(AND('Zdroj data'!BF108="T",(OR('Zdroj data'!AZ108=$AW$49,'Zdroj data'!AZ108=$AW$50,'Zdroj data'!AZ108=$AW$51,'Zdroj data'!AZ108=$AW$52))),$BZ$22," "))</f>
        <v xml:space="preserve"> </v>
      </c>
      <c r="AD108" s="264">
        <f>IF(AND(OR('Zdroj data'!BF108="VT",'Zdroj data'!BF108="T",'Zdroj data'!BF108="CH"),(OR('Zdroj data'!AZ108=$AW$43,'Zdroj data'!AZ108=$AW$44,))),$BZ$22," ")</f>
        <v>10</v>
      </c>
      <c r="AE108" s="264" t="str">
        <f>IF(AND('Zdroj data'!BF108="CH",(OR('Zdroj data'!AZ108=$AW$49,'Zdroj data'!AZ108=$AW$50,'Zdroj data'!AZ108=$AW$51,'Zdroj data'!AZ108=$AW$52))),$AY$22,IF(AND('Zdroj data'!BF108="CH",(OR('Zdroj data'!AZ108=$AW$45,'Zdroj data'!AZ108=$AW$46,'Zdroj data'!AZ108=$AW$47,'Zdroj data'!AZ108=$AW$48))),$BZ$22," "))</f>
        <v xml:space="preserve"> </v>
      </c>
      <c r="AF108" s="264">
        <f>IF(AND('Zdroj data'!BG108="L",'Zdroj data'!AM108=Body!$AX$15),IF(AND('Zdroj data'!O108&gt;=Body!$AY$15,'Zdroj data'!O108&lt;=Body!$BA$15),Body!AY$6,IF(AND('Zdroj data'!O108&gt;=Body!$BB$15,'Zdroj data'!O108&lt;=Body!$BD$15),Body!BB$6,IF(AND('Zdroj data'!O108&gt;=Body!$BE$15,'Zdroj data'!O108&lt;=Body!$BG$15),Body!BE$6,IF(AND('Zdroj data'!O108&gt;=Body!$BH$15,'Zdroj data'!O108&lt;=Body!$BJ$15),Body!BH$6,IF(AND('Zdroj data'!O108&gt;=Body!$BK$15,'Zdroj data'!O108&lt;=Body!$BM$15),Body!BK$6,IF(AND('Zdroj data'!O108&gt;=Body!$BN$15,'Zdroj data'!O108&lt;=Body!$BP$15),Body!$BN$6,IF(AND('Zdroj data'!O108&gt;=Body!$BQ$15,'Zdroj data'!O108&lt;=Body!$BS$15),Body!$BQ$6,IF(AND('Zdroj data'!O108&gt;=Body!$BT$15,'Zdroj data'!O108&lt;=Body!$BV$15),Body!BT$6,IF(AND('Zdroj data'!O108&gt;=Body!$BW$15,'Zdroj data'!O108&lt;=Body!$BY$15),Body!$BW$6,IF('Zdroj data'!O108&gt;=Body!$CB$15,Body!$BZ$6," ")))))))))),IF(AND('Zdroj data'!BG108="ST",'Zdroj data'!AM108=Body!$AX$16),IF(AND('Zdroj data'!O108&gt;=Body!$AY$16,'Zdroj data'!O108&lt;=Body!$BA$16),Body!$AY$6,IF(AND('Zdroj data'!O108&gt;=Body!$BB$16,'Zdroj data'!O108&lt;=Body!$BD$16),Body!$BB$6,IF(AND('Zdroj data'!O108&gt;=Body!$BE$16,'Zdroj data'!O108&lt;=Body!$BG$16),Body!$BE$6,IF(AND('Zdroj data'!O108&gt;=Body!$BH$16,'Zdroj data'!O108&lt;=Body!$BJ$16),Body!$BH$6,IF(AND('Zdroj data'!O108&gt;=Body!$BK$16,'Zdroj data'!O108&lt;=Body!$BM$16),Body!$BK$6,IF(AND('Zdroj data'!O108&gt;=Body!$BN$16,'Zdroj data'!O108&lt;=Body!$BP$16),Body!$BN$6,IF(AND('Zdroj data'!O108&gt;=Body!$BQ$16,'Zdroj data'!O108&lt;=Body!$BS$16),Body!$BQ$6,IF(AND('Zdroj data'!O108&gt;=Body!$BT$16,'Zdroj data'!O108&lt;=Body!$BV$16),Body!$BT$6,IF(AND('Zdroj data'!O108&gt;=Body!$BW$16,'Zdroj data'!O108&lt;=Body!$BY$16),Body!$BW$6,IF('Zdroj data'!O108&gt;=Body!$CB$16,Body!$BZ$6," ")))))))))),IF(AND('Zdroj data'!BG108="T",'Zdroj data'!AM108=Body!$AX$17),IF(AND('Zdroj data'!O108&gt;=Body!$AY$17,'Zdroj data'!O108&lt;=Body!$BA$17),Body!$AY$6,IF(AND('Zdroj data'!O108&gt;=Body!$BB$17,'Zdroj data'!O108&lt;=Body!$BD$17),Body!$BB$6,IF(AND('Zdroj data'!O108&gt;=Body!$BE$17,'Zdroj data'!O108&lt;=Body!$BG$17),Body!$BE$6,IF(AND('Zdroj data'!O108&gt;=Body!$BH$17,'Zdroj data'!O108&lt;=Body!BJ122),Body!$BH$6,IF(AND('Zdroj data'!O108&gt;=Body!$BK$17,'Zdroj data'!O108&lt;=Body!$BM$17),Body!$BK$6,IF(AND('Zdroj data'!O108&gt;=Body!$BN$17,'Zdroj data'!O108&lt;=Body!$BP$17),Body!$BN$6,IF(AND('Zdroj data'!O108&gt;=Body!$BQ$17,'Zdroj data'!O108&lt;=Body!$BS$17),Body!$BQ$6,IF(AND('Zdroj data'!O108&gt;=Body!$BT$17,'Zdroj data'!O108&lt;=Body!$BV$17),Body!$BT$6,IF(AND('Zdroj data'!O108&gt;=Body!$BW$17,'Zdroj data'!O108&lt;=Body!$BY$17),Body!$BW$6,IF('Zdroj data'!O108&gt;=Body!$CB$17,Body!$BZ$6," "))))))))))," ")))</f>
        <v>1</v>
      </c>
      <c r="AG108" s="264">
        <f>IF(AND('Zdroj data'!$BG108="L",'Zdroj data'!$AM108=Body!$AX$15),IF(AND(Tabulka1[[#This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data'!$BG108="ST",'Zdroj data'!$AM108=Body!$AX$16),IF(AND(Tabulka1[[#This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data'!$BG108="T",'Zdroj data'!$AM108=Body!$AX$17),IF(AND(Tabulka1[[#This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Row],[K2O_60]]&lt;=Body!BJ122),Body!$BH$6,IF(AND(Tabulka1[[#This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08" s="264" t="str">
        <f>IF(AND('Zdroj data'!BG108="L",'Zdroj data'!AM108=Body!$AX$18),IF(AND('Zdroj data'!O108&gt;=Body!$AY$18,'Zdroj data'!O108&lt;=Body!$BA$18),Body!AY$6,IF(AND('Zdroj data'!O108&gt;=Body!$BB$18,'Zdroj data'!O108&lt;=Body!$BD$18),Body!BB$6,IF(AND('Zdroj data'!O108&gt;=Body!$BE$18,'Zdroj data'!O108&lt;=Body!$BG$18),Body!BE$6,IF(AND('Zdroj data'!O108&gt;=Body!$BH$18,'Zdroj data'!O108&lt;=Body!$BJ$18),Body!BH$6,IF(AND('Zdroj data'!O108&gt;=Body!$BK$18,'Zdroj data'!O108&lt;=Body!$BM$18),Body!$BK$6,IF(AND('Zdroj data'!O108&gt;=Body!$BN$18,'Zdroj data'!O108&lt;=Body!$BP$18),Body!BN$6,IF(AND('Zdroj data'!O108&gt;=Body!$BQ$18,'Zdroj data'!O108&lt;=Body!$BS$18),Body!$BQ$6,IF(AND('Zdroj data'!O108&gt;=Body!$BT$18,'Zdroj data'!O108&lt;=Body!$BV$18),Body!$BT$6,IF(AND('Zdroj data'!O108&gt;=Body!$BW$18,'Zdroj data'!O108&lt;=Body!$BY$18),Body!$BW$6,IF('Zdroj data'!O108&gt;=Body!$CB$18,Body!$BZ$6," ")))))))))),IF(AND('Zdroj data'!BG108="ST",'Zdroj data'!AM108=Body!$AX$19),IF(AND('Zdroj data'!O108&gt;=Body!$AY$19,'Zdroj data'!O108&lt;=Body!$BA$19),Body!$AY$6,IF(AND('Zdroj data'!O108&gt;=Body!$BB$19,'Zdroj data'!O108&lt;=Body!$BD$19),Body!$BB$6,IF(AND('Zdroj data'!O108&gt;=Body!$BE$19,'Zdroj data'!O108&lt;=Body!$BG$19),Body!$BE$6,IF(AND('Zdroj data'!O108&gt;=Body!$BH$19,'Zdroj data'!O108&lt;=Body!$BJ$19),Body!$BH$6,IF(AND('Zdroj data'!O108&gt;=Body!$BK$19,'Zdroj data'!O108&lt;=Body!$BM$19),Body!$BK$6,IF(AND('Zdroj data'!O108&gt;=Body!$BN$19,'Zdroj data'!O108&lt;=Body!$BP$19),Body!$BN$6,IF(AND('Zdroj data'!O108&gt;=Body!$BQ$19,'Zdroj data'!O108&lt;=Body!$BS$19),Body!$BQ$6,IF(AND('Zdroj data'!O108&gt;=Body!$BT$19,'Zdroj data'!O112&lt;=Body!$BV$19),Body!$BT$6,IF(AND('Zdroj data'!O108&gt;=Body!$BW$19,'Zdroj data'!O108&lt;=Body!$BY$19),Body!$BW$6,IF('Zdroj data'!O108&gt;=Body!$CB$19,Body!$BZ$6," ")))))))))),IF(AND('Zdroj data'!BG108="T",'Zdroj data'!AM108=Body!$AX$20),IF(AND('Zdroj data'!O108&gt;=Body!$AY$20,'Zdroj data'!O108&lt;=Body!$BA$20),Body!$AY$6,IF(AND('Zdroj data'!O108&gt;=Body!$BB$20,'Zdroj data'!O108&lt;=Body!$BD$20),Body!$BB$6,IF(AND('Zdroj data'!O108&gt;=Body!$BE$20,'Zdroj data'!O108&lt;=Body!$BG$20),Body!$BE$6,IF(AND('Zdroj data'!O108&gt;=Body!$BH$20,'Zdroj data'!O108&lt;=Body!$BJ$20),Body!$BH$6,IF(AND('Zdroj data'!O108&gt;=Body!$BK$20,'Zdroj data'!O108&lt;=Body!$BM$20),Body!$BK$6,IF(AND('Zdroj data'!O108&gt;=Body!$BN$20,'Zdroj data'!O108&lt;=Body!$BP$20),Body!$BN$6,IF(AND('Zdroj data'!O108&gt;=Body!$BQ$20,'Zdroj data'!O108&lt;=Body!$BS$20),Body!$BQ$6,IF(AND('Zdroj data'!O108&gt;=Body!$BT$20,'Zdroj data'!O108&lt;=Body!BV125),Body!$BT$6,IF(AND('Zdroj data'!O108&gt;=Body!$BW$20,'Zdroj data'!O108&lt;=Body!$BY$20),Body!$BW$6,IF('Zdroj data'!O108&gt;=Body!$CB$20,Body!$BZ$6," "))))))))))," ")))</f>
        <v xml:space="preserve"> </v>
      </c>
      <c r="AI108" s="264" t="str">
        <f>IF(AND('Zdroj data'!$BG108="L",'Zdroj data'!$AM108=Body!$AX$18),IF(AND(Tabulka1[[#This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data'!$BG108="ST",'Zdroj data'!$AM108=Body!$AX$19),IF(AND(Tabulka1[[#This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data'!$BG108="T",'Zdroj data'!$AM108=Body!$AX$20),IF(AND(Tabulka1[[#This Row],[K2O_60]]&gt;=Body!$AY$20,'Zdroj data'!O108&lt;=Body!$BA$20),Body!$AY$6,IF(AND(Tabulka1[[#This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Row],[K2O_60]]&lt;=Body!BV125),Body!$BT$6,IF(AND(Tabulka1[[#This Row],[K2O_60]]&gt;=Body!$BW$20,Tabulka1[[#This Row],[K2O_60]]&lt;=Body!$BY$20),Body!$BW$6,IF(Tabulka1[[#This Row],[K2O_60]]&gt;=Body!$CB$20,Body!$BZ$6," "))))))))))," ")))</f>
        <v xml:space="preserve"> </v>
      </c>
      <c r="AJ108" s="265">
        <f t="shared" si="13"/>
        <v>5.3333333333333375</v>
      </c>
      <c r="AK108" s="264">
        <f t="shared" si="14"/>
        <v>33.315485607328334</v>
      </c>
      <c r="AL108" s="264">
        <f t="shared" si="15"/>
        <v>33.786095048763869</v>
      </c>
      <c r="AM108" s="264">
        <f t="shared" si="16"/>
        <v>77.950826179547761</v>
      </c>
      <c r="AN108" s="264">
        <f t="shared" si="17"/>
        <v>71.772453350739809</v>
      </c>
      <c r="AO108" s="265">
        <f t="shared" si="21"/>
        <v>111.26631178687609</v>
      </c>
      <c r="AP108" s="265">
        <f t="shared" si="18"/>
        <v>105.55854839950368</v>
      </c>
      <c r="AQ108" s="318"/>
      <c r="AR108" s="338">
        <f t="shared" si="19"/>
        <v>222.15819351971311</v>
      </c>
      <c r="AS108" s="318"/>
      <c r="AT108" s="138"/>
      <c r="AU108" s="138"/>
    </row>
    <row r="109" spans="1:47" ht="15.5" x14ac:dyDescent="0.35">
      <c r="A109" s="270">
        <v>5493</v>
      </c>
      <c r="B109" s="156" t="s">
        <v>312</v>
      </c>
      <c r="C109" s="250" t="str">
        <f>VLOOKUP(B109,'Zdroj hloubka okresy'!$A$2:$D$171,2,FALSE)</f>
        <v>Kutna_Hora</v>
      </c>
      <c r="D109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2</v>
      </c>
      <c r="E109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1</v>
      </c>
      <c r="F109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9</v>
      </c>
      <c r="G109" s="264">
        <f>IF(AND(Tabulka1[[#This Row],[hum_60]]&gt;AY115,Tabulka1[[#This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8</v>
      </c>
      <c r="H109" s="264">
        <f>IF(Tabulka1[[#This Row],[kv.ek.]]=Body!$AX$13,IF(AND('Zdroj data'!M109&gt;=Body!$AY$13,'Zdroj data'!M109&lt;=Body!$BA$13),Body!$AY$6,IF(AND('Zdroj data'!M109&gt;=Body!$BB$13,'Zdroj data'!M109&lt;=Body!$BD$13),Body!$BB$6,IF(AND('Zdroj data'!M109&gt;=Body!$BE$13,'Zdroj data'!M109&lt;=Body!$BG$13),Body!$BE$6,IF(AND('Zdroj data'!M109&gt;=Body!$BH$13,'Zdroj data'!M109&lt;=Body!$BJ$13),Body!$BH$6,IF(AND('Zdroj data'!M109&gt;=Body!$BK$13,'Zdroj data'!M109&lt;=Body!$BM$13),Body!$BK$6,IF(AND('Zdroj data'!M109&gt;=Body!$BN$13,'Zdroj data'!M109&lt;=Body!$BP$13),Body!$BN$6,IF(AND('Zdroj data'!M109&gt;=Body!$BQ$13,'Zdroj data'!M109&lt;=Body!$BS$13),Body!$BQ$6,IF(AND('Zdroj data'!M109&gt;=Body!$BT$13,'Zdroj data'!M109&lt;=Body!$BV$13),Body!$BT$6,IF(AND('Zdroj data'!M109&gt;=Body!$BW$13,'Zdroj data'!M109&lt;=Body!$BY$13),Body!$BW$6,IF('Zdroj data'!M109&gt;=Body!$CB$13,Body!$BZ$6," ")))))))))),IF(Tabulka1[[#This Row],[kv.ek.]]=Body!$AX$14,IF(AND('Zdroj data'!N109&gt;=Body!$AY$14,'Zdroj data'!N109&lt;=Body!$BA$14),Body!$AY$6,IF(AND('Zdroj data'!N109&gt;=Body!$BB$14,'Zdroj data'!N109&lt;=Body!$BD$14),Body!$BB$6,IF(AND('Zdroj data'!N109&gt;=Body!$BE$14,'Zdroj data'!N109&lt;=Body!$BG$14),Body!$BE$6,IF(AND('Zdroj data'!N109&gt;=Body!$BH$14,'Zdroj data'!N109&lt;=Body!$BJ$14),Body!$BH$6,IF(AND('Zdroj data'!N109&gt;=Body!$BK$14,'Zdroj data'!N109&lt;=Body!$BM$14),Body!$BK$6,IF(AND('Zdroj data'!N109&gt;=Body!$BN$14,'Zdroj data'!N109&lt;=Body!$BP$14),Body!$BN$6,IF(AND('Zdroj data'!N109&gt;=Body!$BQ$14,'Zdroj data'!N109&lt;=Body!$BS$14),Body!$BQ$6,IF(AND('Zdroj data'!N109&gt;=Body!$BT$14,'Zdroj data'!N109&lt;=Body!$BV$14),Body!$BT$6,IF(AND('Zdroj data'!N109&gt;=Body!$BW$14,'Zdroj data'!N109&lt;=Body!$BY$14),Body!$BW$6,IF('Zdroj data'!N109&gt;=Body!$CB$14,Body!$BZ$6," "))))))))))," "))</f>
        <v>9</v>
      </c>
      <c r="I109" s="264">
        <f>IF(Tabulka1[[#This Row],[kv.ek.]]=Body!$AX$13,IF(AND('Zdroj data'!N109&gt;=Body!$AY$13,'Zdroj data'!N109&lt;=Body!$BA$13),Body!$AY$6,IF(AND('Zdroj data'!N109&gt;=Body!$BB$13,'Zdroj data'!N109&lt;=Body!$BD$13),Body!$BB$6,IF(AND('Zdroj data'!N109&gt;=Body!$BE$13,'Zdroj data'!N109&lt;=Body!$BG$13),Body!$BE$6,IF(AND('Zdroj data'!N109&gt;=Body!$BH$13,'Zdroj data'!N109&lt;=Body!$BJ$13),Body!$BH$6,IF(AND('Zdroj data'!N109&gt;=Body!$BK$13,'Zdroj data'!N109&lt;=Body!$BM$13),Body!$BK$6,IF(AND('Zdroj data'!N109&gt;=Body!$BN$13,'Zdroj data'!N109&lt;=Body!$BP$13),Body!$BN$6,IF(AND('Zdroj data'!N109&gt;=Body!$BQ$13,'Zdroj data'!N109&lt;=Body!$BS$13),Body!$BQ$6,IF(AND('Zdroj data'!N109&gt;=Body!$BT$13,'Zdroj data'!N109&lt;=Body!$BV$13),Body!$BT$6,IF(AND('Zdroj data'!N109&gt;=Body!$BW$13,'Zdroj data'!N109&lt;=Body!$BY$13),Body!$BW$6,IF('Zdroj data'!N109&gt;=Body!$CB$13,Body!$BZ$6," ")))))))))),IF(Tabulka1[[#This Row],[kv.ek.]]=Body!$AX$14,IF(AND('Zdroj data'!O109&gt;=Body!$AY$14,'Zdroj data'!O109&lt;=Body!$BA$14),Body!$AY$6,IF(AND('Zdroj data'!O109&gt;=Body!$BB$14,'Zdroj data'!O109&lt;=Body!$BD$14),Body!$BB$6,IF(AND('Zdroj data'!O109&gt;=Body!$BE$14,'Zdroj data'!O109&lt;=Body!$BG$14),Body!$BE$6,IF(AND('Zdroj data'!O109&gt;=Body!$BH$14,'Zdroj data'!O109&lt;=Body!$BJ$14),Body!$BH$6,IF(AND('Zdroj data'!O109&gt;=Body!$BK$14,'Zdroj data'!O109&lt;=Body!$BM$14),Body!$BK$6,IF(AND('Zdroj data'!O109&gt;=Body!$BN$14,'Zdroj data'!O109&lt;=Body!$BP$14),Body!$BN$6,IF(AND('Zdroj data'!O109&gt;=Body!$BQ$14,'Zdroj data'!O109&lt;=Body!$BS$14),Body!$BQ$6,IF(AND('Zdroj data'!O109&gt;=Body!$BT$14,'Zdroj data'!O109&lt;=Body!$BV$14),Body!$BT$6,IF(AND('Zdroj data'!O109&gt;=Body!$BW$14,'Zdroj data'!O109&lt;=Body!$BY$14),Body!$BW$6,IF('Zdroj data'!O109&gt;=Body!$CB$14,Body!$BZ$6," "))))))))))," "))</f>
        <v>6</v>
      </c>
      <c r="J109" s="264">
        <f t="shared" si="25"/>
        <v>1</v>
      </c>
      <c r="K109" s="264">
        <f t="shared" si="24"/>
        <v>1</v>
      </c>
      <c r="L109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10</v>
      </c>
      <c r="M109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9</v>
      </c>
      <c r="N109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109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109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09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109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109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109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109" s="264">
        <f>IF('Zdroj data'!BB109=Body!$AY$25,Body!$AY$22,IF('Zdroj data'!BB109=Body!$BB$25,Body!$BB$22,IF('Zdroj data'!BB109=Body!$BE$25,Body!$BE$22,IF('Zdroj data'!BB109=Body!$BH$25,Body!$BH$22,IF('Zdroj data'!BB109=Body!BK$25,Body!$BK$22,IF('Zdroj data'!BB109=Body!$BN$25,Body!$BN$22,IF('Zdroj data'!BB109=Body!$BQ$25,Body!$BQ$22,IF('Zdroj data'!BB109=Body!$BT$25,Body!$BT$22,IF('Zdroj data'!BB109=Body!$BW$25,Body!$BW$22,IF('Zdroj data'!BB109=Body!$BZ$25,Body!$BZ$22," "))))))))))</f>
        <v>7</v>
      </c>
      <c r="V109" s="264">
        <f>IF(AND('Zdroj data'!BO109&gt;Body!$AY$27,'Zdroj data'!BO109&lt;=Body!$BA$27),Body!$AY$22,IF(AND('Zdroj data'!BO109&gt;=Body!$BB$27,'Zdroj data'!BO109&lt;=Body!$BD$27),Body!$BB$22,IF(AND('Zdroj data'!BO109&gt;=Body!$BE$27,'Zdroj data'!BO109&lt;=Body!$BG$27),Body!$BE$22,IF(AND('Zdroj data'!BO109&gt;=Body!$BH$27,'Zdroj data'!BO109&lt;=Body!$BJ$27),Body!$BH$22,IF(AND('Zdroj data'!BO109&gt;=Body!$BK$27,'Zdroj data'!BO109&lt;=Body!$BM$27),Body!$BK$22,IF(AND('Zdroj data'!BO109&gt;=Body!$BN$27,'Zdroj data'!BO109&lt;=Body!$BP$27),Body!$BN$22,IF(AND('Zdroj data'!BO109&gt;=Body!$BQ$27,'Zdroj data'!BO109&lt;=Body!$BS$27),Body!$BQ$22,IF(AND('Zdroj data'!BO109&gt;=Body!$BT$27,'Zdroj data'!BO109&lt;=Body!$BV$27),Body!$BT$22,IF(AND('Zdroj data'!BO109&gt;=Body!$BW$27,'Zdroj data'!BO109&lt;=Body!$BY$27),Body!$BW$22,IF('Zdroj data'!BO109&gt;=Body!$CB$27,$BZ$22," "))))))))))</f>
        <v>6</v>
      </c>
      <c r="W109" s="264">
        <f>IF(AND('Zdroj data'!BP109&gt;Body!$AY$27,'Zdroj data'!BP109&lt;=Body!$BA$27),Body!$AY$22,IF(AND('Zdroj data'!BP109&gt;=Body!$BB$27,'Zdroj data'!BP109&lt;=Body!$BD$27),Body!$BB$22,IF(AND('Zdroj data'!BP109&gt;=Body!$BE$27,'Zdroj data'!BP109&lt;=Body!$BG$27),Body!$BE$22,IF(AND('Zdroj data'!BP109&gt;=Body!$BH$27,'Zdroj data'!BP109&lt;=Body!$BJ$27),Body!$BH$22,IF(AND('Zdroj data'!BP109&gt;=Body!$BK$27,'Zdroj data'!BP109&lt;=Body!$BM$27),Body!$BK$22,IF(AND('Zdroj data'!BP109&gt;=Body!$BN$27,'Zdroj data'!BP109&lt;=Body!$BP$27),Body!$BN$22,IF(AND('Zdroj data'!BP109&gt;=Body!$BQ$27,'Zdroj data'!BP109&lt;=Body!$BS$27),Body!$BQ$22,IF(AND('Zdroj data'!BP109&gt;=Body!$BT$27,'Zdroj data'!BP109&lt;=Body!$BV$27),Body!$BT$22,IF(AND('Zdroj data'!BP109&gt;=Body!$BW$27,'Zdroj data'!BP109&lt;=Body!$BY$27),Body!$BW$22,IF('Zdroj data'!BP109&gt;=Body!$CB$27,$BZ$22," "))))))))))</f>
        <v>10</v>
      </c>
      <c r="X109" s="264">
        <f>IF('Zdroj data'!BA109=Body!$BB$28,$BB$22,IF('Zdroj data'!BA109=Body!$BE$28,$BE$22,IF(OR('Zdroj data'!BA109=Body!$BK$28,'Zdroj data'!BA109=Body!$BL$28,'Zdroj data'!BA109=Body!$BM$28),$BK$22,IF(OR('Zdroj data'!BA109=Body!$BT$28,'Zdroj data'!BA109=Body!$BV$28),$BT$22,IF(OR('Zdroj data'!BA109=Body!$BW$28,'Zdroj data'!BA109=Body!$BY$28),$BW$22,IF('Zdroj data'!BA109=Body!$BZ$28,$BZ$22," "))))))</f>
        <v>10</v>
      </c>
      <c r="Y109" s="264">
        <f>IF('Zdroj data'!AZ109=Body!$BZ$29,Body!$BZ$22,IF(OR('Zdroj data'!AZ109=$BT$29,'Zdroj data'!AZ109=$BU$29,'Zdroj data'!AZ109=$BV$29),$BT$22,IF(OR('Zdroj data'!AZ109=$BK$29,'Zdroj data'!AZ109=$BM$29),$BK$22,IF(OR('Zdroj data'!AZ109=$BE$29,'Zdroj data'!AZ109=$BG$29),$BE$22,IF(OR('Zdroj data'!AZ109=$AY$29,'Zdroj data'!AZ109=$BA$29),$AY$22," ")))))</f>
        <v>8</v>
      </c>
      <c r="Z109" s="264">
        <f>IF(AND('Zdroj data'!BF109="T",(OR('Zdroj data'!AZ109=Body!$AW$45,'Zdroj data'!AZ109=Body!$AW$46,'Zdroj data'!AZ109=Body!$AW$47,'Zdroj data'!AZ109=Body!$AW$48))),Body!$AY$22,IF(AND('Zdroj data'!BF109="T",(OR('Zdroj data'!AZ109=$AW$49,'Zdroj data'!AZ109=$AW$50,'Zdroj data'!AZ109=$AW$51,'Zdroj data'!AZ109=$AW$52))),$BZ$22,IF(AND(OR('Zdroj data'!BF109="VT",'Zdroj data'!BF109="T",'Zdroj data'!BF109="CH"),(OR('Zdroj data'!AZ109=$AW$43,'Zdroj data'!AZ109=$AW$44,))),$BZ$22,IF(AND('Zdroj data'!BF109="CH",(OR('Zdroj data'!AZ109=$AW$49,'Zdroj data'!AZ109=$AW$50,'Zdroj data'!AZ109=$AW$51,'Zdroj data'!AZ109=$AW$52))),$AY$22,IF(AND('Zdroj data'!BF109="CH",(OR('Zdroj data'!AZ109=$AW$45,'Zdroj data'!AZ109=$AW$46,'Zdroj data'!AZ109=$AW$47,'Zdroj data'!AZ109=$AW$48))),$BZ$22," ")))))</f>
        <v>10</v>
      </c>
      <c r="AA109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09" s="264">
        <f>IF(Tabulka1[[#This Row],[kv.ek.]]=Body!$BK$35,Body!$BK$34,IF(Tabulka1[[#This Row],[kv.ek.]]=Body!$BZ$35,Body!$BZ$34," "))</f>
        <v>5</v>
      </c>
      <c r="AC109" s="264" t="str">
        <f>IF(AND('Zdroj data'!BF109="T",(OR('Zdroj data'!AZ109=Body!$AW$45,'Zdroj data'!AZ109=Body!$AW$46,'Zdroj data'!AZ109=Body!$AW$47,'Zdroj data'!AZ109=Body!$AW$48))),Body!$AY$22,IF(AND('Zdroj data'!BF109="T",(OR('Zdroj data'!AZ109=$AW$49,'Zdroj data'!AZ109=$AW$50,'Zdroj data'!AZ109=$AW$51,'Zdroj data'!AZ109=$AW$52))),$BZ$22," "))</f>
        <v xml:space="preserve"> </v>
      </c>
      <c r="AD109" s="264">
        <f>IF(AND(OR('Zdroj data'!BF109="VT",'Zdroj data'!BF109="T",'Zdroj data'!BF109="CH"),(OR('Zdroj data'!AZ109=$AW$43,'Zdroj data'!AZ109=$AW$44,))),$BZ$22," ")</f>
        <v>10</v>
      </c>
      <c r="AE109" s="264" t="str">
        <f>IF(AND('Zdroj data'!BF109="CH",(OR('Zdroj data'!AZ109=$AW$49,'Zdroj data'!AZ109=$AW$50,'Zdroj data'!AZ109=$AW$51,'Zdroj data'!AZ109=$AW$52))),$AY$22,IF(AND('Zdroj data'!BF109="CH",(OR('Zdroj data'!AZ109=$AW$45,'Zdroj data'!AZ109=$AW$46,'Zdroj data'!AZ109=$AW$47,'Zdroj data'!AZ109=$AW$48))),$BZ$22," "))</f>
        <v xml:space="preserve"> </v>
      </c>
      <c r="AF109" s="264">
        <f>IF(AND('Zdroj data'!BG109="L",'Zdroj data'!AM109=Body!$AX$15),IF(AND('Zdroj data'!O109&gt;=Body!$AY$15,'Zdroj data'!O109&lt;=Body!$BA$15),Body!AY$6,IF(AND('Zdroj data'!O109&gt;=Body!$BB$15,'Zdroj data'!O109&lt;=Body!$BD$15),Body!BB$6,IF(AND('Zdroj data'!O109&gt;=Body!$BE$15,'Zdroj data'!O109&lt;=Body!$BG$15),Body!BE$6,IF(AND('Zdroj data'!O109&gt;=Body!$BH$15,'Zdroj data'!O109&lt;=Body!$BJ$15),Body!BH$6,IF(AND('Zdroj data'!O109&gt;=Body!$BK$15,'Zdroj data'!O109&lt;=Body!$BM$15),Body!BK$6,IF(AND('Zdroj data'!O109&gt;=Body!$BN$15,'Zdroj data'!O109&lt;=Body!$BP$15),Body!$BN$6,IF(AND('Zdroj data'!O109&gt;=Body!$BQ$15,'Zdroj data'!O109&lt;=Body!$BS$15),Body!$BQ$6,IF(AND('Zdroj data'!O109&gt;=Body!$BT$15,'Zdroj data'!O109&lt;=Body!$BV$15),Body!BT$6,IF(AND('Zdroj data'!O109&gt;=Body!$BW$15,'Zdroj data'!O109&lt;=Body!$BY$15),Body!$BW$6,IF('Zdroj data'!O109&gt;=Body!$CB$15,Body!$BZ$6," ")))))))))),IF(AND('Zdroj data'!BG109="ST",'Zdroj data'!AM109=Body!$AX$16),IF(AND('Zdroj data'!O109&gt;=Body!$AY$16,'Zdroj data'!O109&lt;=Body!$BA$16),Body!$AY$6,IF(AND('Zdroj data'!O109&gt;=Body!$BB$16,'Zdroj data'!O109&lt;=Body!$BD$16),Body!$BB$6,IF(AND('Zdroj data'!O109&gt;=Body!$BE$16,'Zdroj data'!O109&lt;=Body!$BG$16),Body!$BE$6,IF(AND('Zdroj data'!O109&gt;=Body!$BH$16,'Zdroj data'!O109&lt;=Body!$BJ$16),Body!$BH$6,IF(AND('Zdroj data'!O109&gt;=Body!$BK$16,'Zdroj data'!O109&lt;=Body!$BM$16),Body!$BK$6,IF(AND('Zdroj data'!O109&gt;=Body!$BN$16,'Zdroj data'!O109&lt;=Body!$BP$16),Body!$BN$6,IF(AND('Zdroj data'!O109&gt;=Body!$BQ$16,'Zdroj data'!O109&lt;=Body!$BS$16),Body!$BQ$6,IF(AND('Zdroj data'!O109&gt;=Body!$BT$16,'Zdroj data'!O109&lt;=Body!$BV$16),Body!$BT$6,IF(AND('Zdroj data'!O109&gt;=Body!$BW$16,'Zdroj data'!O109&lt;=Body!$BY$16),Body!$BW$6,IF('Zdroj data'!O109&gt;=Body!$CB$16,Body!$BZ$6," ")))))))))),IF(AND('Zdroj data'!BG109="T",'Zdroj data'!AM109=Body!$AX$17),IF(AND('Zdroj data'!O109&gt;=Body!$AY$17,'Zdroj data'!O109&lt;=Body!$BA$17),Body!$AY$6,IF(AND('Zdroj data'!O109&gt;=Body!$BB$17,'Zdroj data'!O109&lt;=Body!$BD$17),Body!$BB$6,IF(AND('Zdroj data'!O109&gt;=Body!$BE$17,'Zdroj data'!O109&lt;=Body!$BG$17),Body!$BE$6,IF(AND('Zdroj data'!O109&gt;=Body!$BH$17,'Zdroj data'!O109&lt;=Body!BJ123),Body!$BH$6,IF(AND('Zdroj data'!O109&gt;=Body!$BK$17,'Zdroj data'!O109&lt;=Body!$BM$17),Body!$BK$6,IF(AND('Zdroj data'!O109&gt;=Body!$BN$17,'Zdroj data'!O109&lt;=Body!$BP$17),Body!$BN$6,IF(AND('Zdroj data'!O109&gt;=Body!$BQ$17,'Zdroj data'!O109&lt;=Body!$BS$17),Body!$BQ$6,IF(AND('Zdroj data'!O109&gt;=Body!$BT$17,'Zdroj data'!O109&lt;=Body!$BV$17),Body!$BT$6,IF(AND('Zdroj data'!O109&gt;=Body!$BW$17,'Zdroj data'!O109&lt;=Body!$BY$17),Body!$BW$6,IF('Zdroj data'!O109&gt;=Body!$CB$17,Body!$BZ$6," "))))))))))," ")))</f>
        <v>1</v>
      </c>
      <c r="AG109" s="264">
        <f>IF(AND('Zdroj data'!$BG109="L",'Zdroj data'!$AM109=Body!$AX$15),IF(AND(Tabulka1[[#This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data'!$BG109="ST",'Zdroj data'!$AM109=Body!$AX$16),IF(AND(Tabulka1[[#This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data'!$BG109="T",'Zdroj data'!$AM109=Body!$AX$17),IF(AND(Tabulka1[[#This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Row],[K2O_60]]&lt;=Body!BJ123),Body!$BH$6,IF(AND(Tabulka1[[#This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09" s="264" t="str">
        <f>IF(AND('Zdroj data'!BG109="L",'Zdroj data'!AM109=Body!$AX$18),IF(AND('Zdroj data'!O109&gt;=Body!$AY$18,'Zdroj data'!O109&lt;=Body!$BA$18),Body!AY$6,IF(AND('Zdroj data'!O109&gt;=Body!$BB$18,'Zdroj data'!O109&lt;=Body!$BD$18),Body!BB$6,IF(AND('Zdroj data'!O109&gt;=Body!$BE$18,'Zdroj data'!O109&lt;=Body!$BG$18),Body!BE$6,IF(AND('Zdroj data'!O109&gt;=Body!$BH$18,'Zdroj data'!O109&lt;=Body!$BJ$18),Body!BH$6,IF(AND('Zdroj data'!O109&gt;=Body!$BK$18,'Zdroj data'!O109&lt;=Body!$BM$18),Body!$BK$6,IF(AND('Zdroj data'!O109&gt;=Body!$BN$18,'Zdroj data'!O109&lt;=Body!$BP$18),Body!BN$6,IF(AND('Zdroj data'!O109&gt;=Body!$BQ$18,'Zdroj data'!O109&lt;=Body!$BS$18),Body!$BQ$6,IF(AND('Zdroj data'!O109&gt;=Body!$BT$18,'Zdroj data'!O109&lt;=Body!$BV$18),Body!$BT$6,IF(AND('Zdroj data'!O109&gt;=Body!$BW$18,'Zdroj data'!O109&lt;=Body!$BY$18),Body!$BW$6,IF('Zdroj data'!O109&gt;=Body!$CB$18,Body!$BZ$6," ")))))))))),IF(AND('Zdroj data'!BG109="ST",'Zdroj data'!AM109=Body!$AX$19),IF(AND('Zdroj data'!O109&gt;=Body!$AY$19,'Zdroj data'!O109&lt;=Body!$BA$19),Body!$AY$6,IF(AND('Zdroj data'!O109&gt;=Body!$BB$19,'Zdroj data'!O109&lt;=Body!$BD$19),Body!$BB$6,IF(AND('Zdroj data'!O109&gt;=Body!$BE$19,'Zdroj data'!O109&lt;=Body!$BG$19),Body!$BE$6,IF(AND('Zdroj data'!O109&gt;=Body!$BH$19,'Zdroj data'!O109&lt;=Body!$BJ$19),Body!$BH$6,IF(AND('Zdroj data'!O109&gt;=Body!$BK$19,'Zdroj data'!O109&lt;=Body!$BM$19),Body!$BK$6,IF(AND('Zdroj data'!O109&gt;=Body!$BN$19,'Zdroj data'!O109&lt;=Body!$BP$19),Body!$BN$6,IF(AND('Zdroj data'!O109&gt;=Body!$BQ$19,'Zdroj data'!O109&lt;=Body!$BS$19),Body!$BQ$6,IF(AND('Zdroj data'!O109&gt;=Body!$BT$19,'Zdroj data'!O113&lt;=Body!$BV$19),Body!$BT$6,IF(AND('Zdroj data'!O109&gt;=Body!$BW$19,'Zdroj data'!O109&lt;=Body!$BY$19),Body!$BW$6,IF('Zdroj data'!O109&gt;=Body!$CB$19,Body!$BZ$6," ")))))))))),IF(AND('Zdroj data'!BG109="T",'Zdroj data'!AM109=Body!$AX$20),IF(AND('Zdroj data'!O109&gt;=Body!$AY$20,'Zdroj data'!O109&lt;=Body!$BA$20),Body!$AY$6,IF(AND('Zdroj data'!O109&gt;=Body!$BB$20,'Zdroj data'!O109&lt;=Body!$BD$20),Body!$BB$6,IF(AND('Zdroj data'!O109&gt;=Body!$BE$20,'Zdroj data'!O109&lt;=Body!$BG$20),Body!$BE$6,IF(AND('Zdroj data'!O109&gt;=Body!$BH$20,'Zdroj data'!O109&lt;=Body!$BJ$20),Body!$BH$6,IF(AND('Zdroj data'!O109&gt;=Body!$BK$20,'Zdroj data'!O109&lt;=Body!$BM$20),Body!$BK$6,IF(AND('Zdroj data'!O109&gt;=Body!$BN$20,'Zdroj data'!O109&lt;=Body!$BP$20),Body!$BN$6,IF(AND('Zdroj data'!O109&gt;=Body!$BQ$20,'Zdroj data'!O109&lt;=Body!$BS$20),Body!$BQ$6,IF(AND('Zdroj data'!O109&gt;=Body!$BT$20,'Zdroj data'!O109&lt;=Body!BV126),Body!$BT$6,IF(AND('Zdroj data'!O109&gt;=Body!$BW$20,'Zdroj data'!O109&lt;=Body!$BY$20),Body!$BW$6,IF('Zdroj data'!O109&gt;=Body!$CB$20,Body!$BZ$6," "))))))))))," ")))</f>
        <v xml:space="preserve"> </v>
      </c>
      <c r="AI109" s="264" t="str">
        <f>IF(AND('Zdroj data'!$BG109="L",'Zdroj data'!$AM109=Body!$AX$18),IF(AND(Tabulka1[[#This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data'!$BG109="ST",'Zdroj data'!$AM109=Body!$AX$19),IF(AND(Tabulka1[[#This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data'!$BG109="T",'Zdroj data'!$AM109=Body!$AX$20),IF(AND(Tabulka1[[#This Row],[K2O_60]]&gt;=Body!$AY$20,'Zdroj data'!O109&lt;=Body!$BA$20),Body!$AY$6,IF(AND(Tabulka1[[#This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Row],[K2O_60]]&lt;=Body!BV126),Body!$BT$6,IF(AND(Tabulka1[[#This Row],[K2O_60]]&gt;=Body!$BW$20,Tabulka1[[#This Row],[K2O_60]]&lt;=Body!$BY$20),Body!$BW$6,IF(Tabulka1[[#This Row],[K2O_60]]&gt;=Body!$CB$20,Body!$BZ$6," "))))))))))," ")))</f>
        <v xml:space="preserve"> </v>
      </c>
      <c r="AJ109" s="265">
        <f t="shared" si="13"/>
        <v>8.0000000000000071</v>
      </c>
      <c r="AK109" s="264">
        <f t="shared" si="14"/>
        <v>43.845106442718269</v>
      </c>
      <c r="AL109" s="264">
        <f t="shared" si="15"/>
        <v>40.307065135227219</v>
      </c>
      <c r="AM109" s="264">
        <f t="shared" si="16"/>
        <v>66.117042730055616</v>
      </c>
      <c r="AN109" s="264">
        <f t="shared" si="17"/>
        <v>72.295415558863553</v>
      </c>
      <c r="AO109" s="265">
        <f t="shared" si="21"/>
        <v>109.96214917277388</v>
      </c>
      <c r="AP109" s="265">
        <f t="shared" si="18"/>
        <v>112.60248069409077</v>
      </c>
      <c r="AQ109" s="318"/>
      <c r="AR109" s="338">
        <f t="shared" si="19"/>
        <v>230.56462986686466</v>
      </c>
      <c r="AS109" s="318"/>
      <c r="AT109" s="138"/>
      <c r="AU109" s="138"/>
    </row>
    <row r="110" spans="1:47" ht="15.5" x14ac:dyDescent="0.35">
      <c r="A110" s="270">
        <v>5496</v>
      </c>
      <c r="B110" s="156" t="s">
        <v>78</v>
      </c>
      <c r="C110" s="250" t="str">
        <f>VLOOKUP(B110,'Zdroj hloubka okresy'!$A$2:$D$171,2,FALSE)</f>
        <v>Kutna_Hora</v>
      </c>
      <c r="D110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110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110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10" s="264">
        <f>IF(AND(Tabulka1[[#This Row],[hum_60]]&gt;AY116,Tabulka1[[#This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10" s="264">
        <f>IF(Tabulka1[[#This Row],[kv.ek.]]=Body!$AX$13,IF(AND('Zdroj data'!M110&gt;=Body!$AY$13,'Zdroj data'!M110&lt;=Body!$BA$13),Body!$AY$6,IF(AND('Zdroj data'!M110&gt;=Body!$BB$13,'Zdroj data'!M110&lt;=Body!$BD$13),Body!$BB$6,IF(AND('Zdroj data'!M110&gt;=Body!$BE$13,'Zdroj data'!M110&lt;=Body!$BG$13),Body!$BE$6,IF(AND('Zdroj data'!M110&gt;=Body!$BH$13,'Zdroj data'!M110&lt;=Body!$BJ$13),Body!$BH$6,IF(AND('Zdroj data'!M110&gt;=Body!$BK$13,'Zdroj data'!M110&lt;=Body!$BM$13),Body!$BK$6,IF(AND('Zdroj data'!M110&gt;=Body!$BN$13,'Zdroj data'!M110&lt;=Body!$BP$13),Body!$BN$6,IF(AND('Zdroj data'!M110&gt;=Body!$BQ$13,'Zdroj data'!M110&lt;=Body!$BS$13),Body!$BQ$6,IF(AND('Zdroj data'!M110&gt;=Body!$BT$13,'Zdroj data'!M110&lt;=Body!$BV$13),Body!$BT$6,IF(AND('Zdroj data'!M110&gt;=Body!$BW$13,'Zdroj data'!M110&lt;=Body!$BY$13),Body!$BW$6,IF('Zdroj data'!M110&gt;=Body!$CB$13,Body!$BZ$6," ")))))))))),IF(Tabulka1[[#This Row],[kv.ek.]]=Body!$AX$14,IF(AND('Zdroj data'!N110&gt;=Body!$AY$14,'Zdroj data'!N110&lt;=Body!$BA$14),Body!$AY$6,IF(AND('Zdroj data'!N110&gt;=Body!$BB$14,'Zdroj data'!N110&lt;=Body!$BD$14),Body!$BB$6,IF(AND('Zdroj data'!N110&gt;=Body!$BE$14,'Zdroj data'!N110&lt;=Body!$BG$14),Body!$BE$6,IF(AND('Zdroj data'!N110&gt;=Body!$BH$14,'Zdroj data'!N110&lt;=Body!$BJ$14),Body!$BH$6,IF(AND('Zdroj data'!N110&gt;=Body!$BK$14,'Zdroj data'!N110&lt;=Body!$BM$14),Body!$BK$6,IF(AND('Zdroj data'!N110&gt;=Body!$BN$14,'Zdroj data'!N110&lt;=Body!$BP$14),Body!$BN$6,IF(AND('Zdroj data'!N110&gt;=Body!$BQ$14,'Zdroj data'!N110&lt;=Body!$BS$14),Body!$BQ$6,IF(AND('Zdroj data'!N110&gt;=Body!$BT$14,'Zdroj data'!N110&lt;=Body!$BV$14),Body!$BT$6,IF(AND('Zdroj data'!N110&gt;=Body!$BW$14,'Zdroj data'!N110&lt;=Body!$BY$14),Body!$BW$6,IF('Zdroj data'!N110&gt;=Body!$CB$14,Body!$BZ$6," "))))))))))," "))</f>
        <v>1</v>
      </c>
      <c r="I110" s="264">
        <f>IF(Tabulka1[[#This Row],[kv.ek.]]=Body!$AX$13,IF(AND('Zdroj data'!N110&gt;=Body!$AY$13,'Zdroj data'!N110&lt;=Body!$BA$13),Body!$AY$6,IF(AND('Zdroj data'!N110&gt;=Body!$BB$13,'Zdroj data'!N110&lt;=Body!$BD$13),Body!$BB$6,IF(AND('Zdroj data'!N110&gt;=Body!$BE$13,'Zdroj data'!N110&lt;=Body!$BG$13),Body!$BE$6,IF(AND('Zdroj data'!N110&gt;=Body!$BH$13,'Zdroj data'!N110&lt;=Body!$BJ$13),Body!$BH$6,IF(AND('Zdroj data'!N110&gt;=Body!$BK$13,'Zdroj data'!N110&lt;=Body!$BM$13),Body!$BK$6,IF(AND('Zdroj data'!N110&gt;=Body!$BN$13,'Zdroj data'!N110&lt;=Body!$BP$13),Body!$BN$6,IF(AND('Zdroj data'!N110&gt;=Body!$BQ$13,'Zdroj data'!N110&lt;=Body!$BS$13),Body!$BQ$6,IF(AND('Zdroj data'!N110&gt;=Body!$BT$13,'Zdroj data'!N110&lt;=Body!$BV$13),Body!$BT$6,IF(AND('Zdroj data'!N110&gt;=Body!$BW$13,'Zdroj data'!N110&lt;=Body!$BY$13),Body!$BW$6,IF('Zdroj data'!N110&gt;=Body!$CB$13,Body!$BZ$6," ")))))))))),IF(Tabulka1[[#This Row],[kv.ek.]]=Body!$AX$14,IF(AND('Zdroj data'!O110&gt;=Body!$AY$14,'Zdroj data'!O110&lt;=Body!$BA$14),Body!$AY$6,IF(AND('Zdroj data'!O110&gt;=Body!$BB$14,'Zdroj data'!O110&lt;=Body!$BD$14),Body!$BB$6,IF(AND('Zdroj data'!O110&gt;=Body!$BE$14,'Zdroj data'!O110&lt;=Body!$BG$14),Body!$BE$6,IF(AND('Zdroj data'!O110&gt;=Body!$BH$14,'Zdroj data'!O110&lt;=Body!$BJ$14),Body!$BH$6,IF(AND('Zdroj data'!O110&gt;=Body!$BK$14,'Zdroj data'!O110&lt;=Body!$BM$14),Body!$BK$6,IF(AND('Zdroj data'!O110&gt;=Body!$BN$14,'Zdroj data'!O110&lt;=Body!$BP$14),Body!$BN$6,IF(AND('Zdroj data'!O110&gt;=Body!$BQ$14,'Zdroj data'!O110&lt;=Body!$BS$14),Body!$BQ$6,IF(AND('Zdroj data'!O110&gt;=Body!$BT$14,'Zdroj data'!O110&lt;=Body!$BV$14),Body!$BT$6,IF(AND('Zdroj data'!O110&gt;=Body!$BW$14,'Zdroj data'!O110&lt;=Body!$BY$14),Body!$BW$6,IF('Zdroj data'!O110&gt;=Body!$CB$14,Body!$BZ$6," "))))))))))," "))</f>
        <v>1</v>
      </c>
      <c r="J110" s="264">
        <f t="shared" si="25"/>
        <v>1</v>
      </c>
      <c r="K110" s="264">
        <f t="shared" si="24"/>
        <v>1</v>
      </c>
      <c r="L110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110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7</v>
      </c>
      <c r="N110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110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110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10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7</v>
      </c>
      <c r="R110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110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110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110" s="264">
        <f>IF('Zdroj data'!BB110=Body!$AY$25,Body!$AY$22,IF('Zdroj data'!BB110=Body!$BB$25,Body!$BB$22,IF('Zdroj data'!BB110=Body!$BE$25,Body!$BE$22,IF('Zdroj data'!BB110=Body!$BH$25,Body!$BH$22,IF('Zdroj data'!BB110=Body!BK$25,Body!$BK$22,IF('Zdroj data'!BB110=Body!$BN$25,Body!$BN$22,IF('Zdroj data'!BB110=Body!$BQ$25,Body!$BQ$22,IF('Zdroj data'!BB110=Body!$BT$25,Body!$BT$22,IF('Zdroj data'!BB110=Body!$BW$25,Body!$BW$22,IF('Zdroj data'!BB110=Body!$BZ$25,Body!$BZ$22," "))))))))))</f>
        <v>7</v>
      </c>
      <c r="V110" s="264">
        <f>IF(AND('Zdroj data'!BO110&gt;Body!$AY$27,'Zdroj data'!BO110&lt;=Body!$BA$27),Body!$AY$22,IF(AND('Zdroj data'!BO110&gt;=Body!$BB$27,'Zdroj data'!BO110&lt;=Body!$BD$27),Body!$BB$22,IF(AND('Zdroj data'!BO110&gt;=Body!$BE$27,'Zdroj data'!BO110&lt;=Body!$BG$27),Body!$BE$22,IF(AND('Zdroj data'!BO110&gt;=Body!$BH$27,'Zdroj data'!BO110&lt;=Body!$BJ$27),Body!$BH$22,IF(AND('Zdroj data'!BO110&gt;=Body!$BK$27,'Zdroj data'!BO110&lt;=Body!$BM$27),Body!$BK$22,IF(AND('Zdroj data'!BO110&gt;=Body!$BN$27,'Zdroj data'!BO110&lt;=Body!$BP$27),Body!$BN$22,IF(AND('Zdroj data'!BO110&gt;=Body!$BQ$27,'Zdroj data'!BO110&lt;=Body!$BS$27),Body!$BQ$22,IF(AND('Zdroj data'!BO110&gt;=Body!$BT$27,'Zdroj data'!BO110&lt;=Body!$BV$27),Body!$BT$22,IF(AND('Zdroj data'!BO110&gt;=Body!$BW$27,'Zdroj data'!BO110&lt;=Body!$BY$27),Body!$BW$22,IF('Zdroj data'!BO110&gt;=Body!$CB$27,$BZ$22," "))))))))))</f>
        <v>7</v>
      </c>
      <c r="W110" s="264">
        <f>IF(AND('Zdroj data'!BP110&gt;Body!$AY$27,'Zdroj data'!BP110&lt;=Body!$BA$27),Body!$AY$22,IF(AND('Zdroj data'!BP110&gt;=Body!$BB$27,'Zdroj data'!BP110&lt;=Body!$BD$27),Body!$BB$22,IF(AND('Zdroj data'!BP110&gt;=Body!$BE$27,'Zdroj data'!BP110&lt;=Body!$BG$27),Body!$BE$22,IF(AND('Zdroj data'!BP110&gt;=Body!$BH$27,'Zdroj data'!BP110&lt;=Body!$BJ$27),Body!$BH$22,IF(AND('Zdroj data'!BP110&gt;=Body!$BK$27,'Zdroj data'!BP110&lt;=Body!$BM$27),Body!$BK$22,IF(AND('Zdroj data'!BP110&gt;=Body!$BN$27,'Zdroj data'!BP110&lt;=Body!$BP$27),Body!$BN$22,IF(AND('Zdroj data'!BP110&gt;=Body!$BQ$27,'Zdroj data'!BP110&lt;=Body!$BS$27),Body!$BQ$22,IF(AND('Zdroj data'!BP110&gt;=Body!$BT$27,'Zdroj data'!BP110&lt;=Body!$BV$27),Body!$BT$22,IF(AND('Zdroj data'!BP110&gt;=Body!$BW$27,'Zdroj data'!BP110&lt;=Body!$BY$27),Body!$BW$22,IF('Zdroj data'!BP110&gt;=Body!$CB$27,$BZ$22," "))))))))))</f>
        <v>6</v>
      </c>
      <c r="X110" s="264">
        <f>IF('Zdroj data'!BA110=Body!$BB$28,$BB$22,IF('Zdroj data'!BA110=Body!$BE$28,$BE$22,IF(OR('Zdroj data'!BA110=Body!$BK$28,'Zdroj data'!BA110=Body!$BL$28,'Zdroj data'!BA110=Body!$BM$28),$BK$22,IF(OR('Zdroj data'!BA110=Body!$BT$28,'Zdroj data'!BA110=Body!$BV$28),$BT$22,IF(OR('Zdroj data'!BA110=Body!$BW$28,'Zdroj data'!BA110=Body!$BY$28),$BW$22,IF('Zdroj data'!BA110=Body!$BZ$28,$BZ$22," "))))))</f>
        <v>10</v>
      </c>
      <c r="Y110" s="264">
        <f>IF('Zdroj data'!AZ110=Body!$BZ$29,Body!$BZ$22,IF(OR('Zdroj data'!AZ110=$BT$29,'Zdroj data'!AZ110=$BU$29,'Zdroj data'!AZ110=$BV$29),$BT$22,IF(OR('Zdroj data'!AZ110=$BK$29,'Zdroj data'!AZ110=$BM$29),$BK$22,IF(OR('Zdroj data'!AZ110=$BE$29,'Zdroj data'!AZ110=$BG$29),$BE$22,IF(OR('Zdroj data'!AZ110=$AY$29,'Zdroj data'!AZ110=$BA$29),$AY$22," ")))))</f>
        <v>10</v>
      </c>
      <c r="Z110" s="264">
        <f>IF(AND('Zdroj data'!BF110="T",(OR('Zdroj data'!AZ110=Body!$AW$45,'Zdroj data'!AZ110=Body!$AW$46,'Zdroj data'!AZ110=Body!$AW$47,'Zdroj data'!AZ110=Body!$AW$48))),Body!$AY$22,IF(AND('Zdroj data'!BF110="T",(OR('Zdroj data'!AZ110=$AW$49,'Zdroj data'!AZ110=$AW$50,'Zdroj data'!AZ110=$AW$51,'Zdroj data'!AZ110=$AW$52))),$BZ$22,IF(AND(OR('Zdroj data'!BF110="VT",'Zdroj data'!BF110="T",'Zdroj data'!BF110="CH"),(OR('Zdroj data'!AZ110=$AW$43,'Zdroj data'!AZ110=$AW$44,))),$BZ$22,IF(AND('Zdroj data'!BF110="CH",(OR('Zdroj data'!AZ110=$AW$49,'Zdroj data'!AZ110=$AW$50,'Zdroj data'!AZ110=$AW$51,'Zdroj data'!AZ110=$AW$52))),$AY$22,IF(AND('Zdroj data'!BF110="CH",(OR('Zdroj data'!AZ110=$AW$45,'Zdroj data'!AZ110=$AW$46,'Zdroj data'!AZ110=$AW$47,'Zdroj data'!AZ110=$AW$48))),$BZ$22," ")))))</f>
        <v>10</v>
      </c>
      <c r="AA110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10" s="264">
        <f>IF(Tabulka1[[#This Row],[kv.ek.]]=Body!$BK$35,Body!$BK$34,IF(Tabulka1[[#This Row],[kv.ek.]]=Body!$BZ$35,Body!$BZ$34," "))</f>
        <v>5</v>
      </c>
      <c r="AC110" s="264" t="str">
        <f>IF(AND('Zdroj data'!BF110="T",(OR('Zdroj data'!AZ110=Body!$AW$45,'Zdroj data'!AZ110=Body!$AW$46,'Zdroj data'!AZ110=Body!$AW$47,'Zdroj data'!AZ110=Body!$AW$48))),Body!$AY$22,IF(AND('Zdroj data'!BF110="T",(OR('Zdroj data'!AZ110=$AW$49,'Zdroj data'!AZ110=$AW$50,'Zdroj data'!AZ110=$AW$51,'Zdroj data'!AZ110=$AW$52))),$BZ$22," "))</f>
        <v xml:space="preserve"> </v>
      </c>
      <c r="AD110" s="264">
        <f>IF(AND(OR('Zdroj data'!BF110="VT",'Zdroj data'!BF110="T",'Zdroj data'!BF110="CH"),(OR('Zdroj data'!AZ110=$AW$43,'Zdroj data'!AZ110=$AW$44,))),$BZ$22," ")</f>
        <v>10</v>
      </c>
      <c r="AE110" s="264" t="str">
        <f>IF(AND('Zdroj data'!BF110="CH",(OR('Zdroj data'!AZ110=$AW$49,'Zdroj data'!AZ110=$AW$50,'Zdroj data'!AZ110=$AW$51,'Zdroj data'!AZ110=$AW$52))),$AY$22,IF(AND('Zdroj data'!BF110="CH",(OR('Zdroj data'!AZ110=$AW$45,'Zdroj data'!AZ110=$AW$46,'Zdroj data'!AZ110=$AW$47,'Zdroj data'!AZ110=$AW$48))),$BZ$22," "))</f>
        <v xml:space="preserve"> </v>
      </c>
      <c r="AF110" s="264">
        <f>IF(AND('Zdroj data'!BG110="L",'Zdroj data'!AM110=Body!$AX$15),IF(AND('Zdroj data'!O110&gt;=Body!$AY$15,'Zdroj data'!O110&lt;=Body!$BA$15),Body!AY$6,IF(AND('Zdroj data'!O110&gt;=Body!$BB$15,'Zdroj data'!O110&lt;=Body!$BD$15),Body!BB$6,IF(AND('Zdroj data'!O110&gt;=Body!$BE$15,'Zdroj data'!O110&lt;=Body!$BG$15),Body!BE$6,IF(AND('Zdroj data'!O110&gt;=Body!$BH$15,'Zdroj data'!O110&lt;=Body!$BJ$15),Body!BH$6,IF(AND('Zdroj data'!O110&gt;=Body!$BK$15,'Zdroj data'!O110&lt;=Body!$BM$15),Body!BK$6,IF(AND('Zdroj data'!O110&gt;=Body!$BN$15,'Zdroj data'!O110&lt;=Body!$BP$15),Body!$BN$6,IF(AND('Zdroj data'!O110&gt;=Body!$BQ$15,'Zdroj data'!O110&lt;=Body!$BS$15),Body!$BQ$6,IF(AND('Zdroj data'!O110&gt;=Body!$BT$15,'Zdroj data'!O110&lt;=Body!$BV$15),Body!BT$6,IF(AND('Zdroj data'!O110&gt;=Body!$BW$15,'Zdroj data'!O110&lt;=Body!$BY$15),Body!$BW$6,IF('Zdroj data'!O110&gt;=Body!$CB$15,Body!$BZ$6," ")))))))))),IF(AND('Zdroj data'!BG110="ST",'Zdroj data'!AM110=Body!$AX$16),IF(AND('Zdroj data'!O110&gt;=Body!$AY$16,'Zdroj data'!O110&lt;=Body!$BA$16),Body!$AY$6,IF(AND('Zdroj data'!O110&gt;=Body!$BB$16,'Zdroj data'!O110&lt;=Body!$BD$16),Body!$BB$6,IF(AND('Zdroj data'!O110&gt;=Body!$BE$16,'Zdroj data'!O110&lt;=Body!$BG$16),Body!$BE$6,IF(AND('Zdroj data'!O110&gt;=Body!$BH$16,'Zdroj data'!O110&lt;=Body!$BJ$16),Body!$BH$6,IF(AND('Zdroj data'!O110&gt;=Body!$BK$16,'Zdroj data'!O110&lt;=Body!$BM$16),Body!$BK$6,IF(AND('Zdroj data'!O110&gt;=Body!$BN$16,'Zdroj data'!O110&lt;=Body!$BP$16),Body!$BN$6,IF(AND('Zdroj data'!O110&gt;=Body!$BQ$16,'Zdroj data'!O110&lt;=Body!$BS$16),Body!$BQ$6,IF(AND('Zdroj data'!O110&gt;=Body!$BT$16,'Zdroj data'!O110&lt;=Body!$BV$16),Body!$BT$6,IF(AND('Zdroj data'!O110&gt;=Body!$BW$16,'Zdroj data'!O110&lt;=Body!$BY$16),Body!$BW$6,IF('Zdroj data'!O110&gt;=Body!$CB$16,Body!$BZ$6," ")))))))))),IF(AND('Zdroj data'!BG110="T",'Zdroj data'!AM110=Body!$AX$17),IF(AND('Zdroj data'!O110&gt;=Body!$AY$17,'Zdroj data'!O110&lt;=Body!$BA$17),Body!$AY$6,IF(AND('Zdroj data'!O110&gt;=Body!$BB$17,'Zdroj data'!O110&lt;=Body!$BD$17),Body!$BB$6,IF(AND('Zdroj data'!O110&gt;=Body!$BE$17,'Zdroj data'!O110&lt;=Body!$BG$17),Body!$BE$6,IF(AND('Zdroj data'!O110&gt;=Body!$BH$17,'Zdroj data'!O110&lt;=Body!BJ124),Body!$BH$6,IF(AND('Zdroj data'!O110&gt;=Body!$BK$17,'Zdroj data'!O110&lt;=Body!$BM$17),Body!$BK$6,IF(AND('Zdroj data'!O110&gt;=Body!$BN$17,'Zdroj data'!O110&lt;=Body!$BP$17),Body!$BN$6,IF(AND('Zdroj data'!O110&gt;=Body!$BQ$17,'Zdroj data'!O110&lt;=Body!$BS$17),Body!$BQ$6,IF(AND('Zdroj data'!O110&gt;=Body!$BT$17,'Zdroj data'!O110&lt;=Body!$BV$17),Body!$BT$6,IF(AND('Zdroj data'!O110&gt;=Body!$BW$17,'Zdroj data'!O110&lt;=Body!$BY$17),Body!$BW$6,IF('Zdroj data'!O110&gt;=Body!$CB$17,Body!$BZ$6," "))))))))))," ")))</f>
        <v>1</v>
      </c>
      <c r="AG110" s="264">
        <f>IF(AND('Zdroj data'!$BG110="L",'Zdroj data'!$AM110=Body!$AX$15),IF(AND(Tabulka1[[#This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data'!$BG110="ST",'Zdroj data'!$AM110=Body!$AX$16),IF(AND(Tabulka1[[#This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data'!$BG110="T",'Zdroj data'!$AM110=Body!$AX$17),IF(AND(Tabulka1[[#This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Row],[K2O_60]]&lt;=Body!BJ124),Body!$BH$6,IF(AND(Tabulka1[[#This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10" s="264" t="str">
        <f>IF(AND('Zdroj data'!BG110="L",'Zdroj data'!AM110=Body!$AX$18),IF(AND('Zdroj data'!O110&gt;=Body!$AY$18,'Zdroj data'!O110&lt;=Body!$BA$18),Body!AY$6,IF(AND('Zdroj data'!O110&gt;=Body!$BB$18,'Zdroj data'!O110&lt;=Body!$BD$18),Body!BB$6,IF(AND('Zdroj data'!O110&gt;=Body!$BE$18,'Zdroj data'!O110&lt;=Body!$BG$18),Body!BE$6,IF(AND('Zdroj data'!O110&gt;=Body!$BH$18,'Zdroj data'!O110&lt;=Body!$BJ$18),Body!BH$6,IF(AND('Zdroj data'!O110&gt;=Body!$BK$18,'Zdroj data'!O110&lt;=Body!$BM$18),Body!$BK$6,IF(AND('Zdroj data'!O110&gt;=Body!$BN$18,'Zdroj data'!O110&lt;=Body!$BP$18),Body!BN$6,IF(AND('Zdroj data'!O110&gt;=Body!$BQ$18,'Zdroj data'!O110&lt;=Body!$BS$18),Body!$BQ$6,IF(AND('Zdroj data'!O110&gt;=Body!$BT$18,'Zdroj data'!O110&lt;=Body!$BV$18),Body!$BT$6,IF(AND('Zdroj data'!O110&gt;=Body!$BW$18,'Zdroj data'!O110&lt;=Body!$BY$18),Body!$BW$6,IF('Zdroj data'!O110&gt;=Body!$CB$18,Body!$BZ$6," ")))))))))),IF(AND('Zdroj data'!BG110="ST",'Zdroj data'!AM110=Body!$AX$19),IF(AND('Zdroj data'!O110&gt;=Body!$AY$19,'Zdroj data'!O110&lt;=Body!$BA$19),Body!$AY$6,IF(AND('Zdroj data'!O110&gt;=Body!$BB$19,'Zdroj data'!O110&lt;=Body!$BD$19),Body!$BB$6,IF(AND('Zdroj data'!O110&gt;=Body!$BE$19,'Zdroj data'!O110&lt;=Body!$BG$19),Body!$BE$6,IF(AND('Zdroj data'!O110&gt;=Body!$BH$19,'Zdroj data'!O110&lt;=Body!$BJ$19),Body!$BH$6,IF(AND('Zdroj data'!O110&gt;=Body!$BK$19,'Zdroj data'!O110&lt;=Body!$BM$19),Body!$BK$6,IF(AND('Zdroj data'!O110&gt;=Body!$BN$19,'Zdroj data'!O110&lt;=Body!$BP$19),Body!$BN$6,IF(AND('Zdroj data'!O110&gt;=Body!$BQ$19,'Zdroj data'!O110&lt;=Body!$BS$19),Body!$BQ$6,IF(AND('Zdroj data'!O110&gt;=Body!$BT$19,'Zdroj data'!O114&lt;=Body!$BV$19),Body!$BT$6,IF(AND('Zdroj data'!O110&gt;=Body!$BW$19,'Zdroj data'!O110&lt;=Body!$BY$19),Body!$BW$6,IF('Zdroj data'!O110&gt;=Body!$CB$19,Body!$BZ$6," ")))))))))),IF(AND('Zdroj data'!BG110="T",'Zdroj data'!AM110=Body!$AX$20),IF(AND('Zdroj data'!O110&gt;=Body!$AY$20,'Zdroj data'!O110&lt;=Body!$BA$20),Body!$AY$6,IF(AND('Zdroj data'!O110&gt;=Body!$BB$20,'Zdroj data'!O110&lt;=Body!$BD$20),Body!$BB$6,IF(AND('Zdroj data'!O110&gt;=Body!$BE$20,'Zdroj data'!O110&lt;=Body!$BG$20),Body!$BE$6,IF(AND('Zdroj data'!O110&gt;=Body!$BH$20,'Zdroj data'!O110&lt;=Body!$BJ$20),Body!$BH$6,IF(AND('Zdroj data'!O110&gt;=Body!$BK$20,'Zdroj data'!O110&lt;=Body!$BM$20),Body!$BK$6,IF(AND('Zdroj data'!O110&gt;=Body!$BN$20,'Zdroj data'!O110&lt;=Body!$BP$20),Body!$BN$6,IF(AND('Zdroj data'!O110&gt;=Body!$BQ$20,'Zdroj data'!O110&lt;=Body!$BS$20),Body!$BQ$6,IF(AND('Zdroj data'!O110&gt;=Body!$BT$20,'Zdroj data'!O110&lt;=Body!BV127),Body!$BT$6,IF(AND('Zdroj data'!O110&gt;=Body!$BW$20,'Zdroj data'!O110&lt;=Body!$BY$20),Body!$BW$6,IF('Zdroj data'!O110&gt;=Body!$CB$20,Body!$BZ$6," "))))))))))," ")))</f>
        <v xml:space="preserve"> </v>
      </c>
      <c r="AI110" s="264" t="str">
        <f>IF(AND('Zdroj data'!$BG110="L",'Zdroj data'!$AM110=Body!$AX$18),IF(AND(Tabulka1[[#This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data'!$BG110="ST",'Zdroj data'!$AM110=Body!$AX$19),IF(AND(Tabulka1[[#This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data'!$BG110="T",'Zdroj data'!$AM110=Body!$AX$20),IF(AND(Tabulka1[[#This Row],[K2O_60]]&gt;=Body!$AY$20,'Zdroj data'!O110&lt;=Body!$BA$20),Body!$AY$6,IF(AND(Tabulka1[[#This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Row],[K2O_60]]&lt;=Body!BV127),Body!$BT$6,IF(AND(Tabulka1[[#This Row],[K2O_60]]&gt;=Body!$BW$20,Tabulka1[[#This Row],[K2O_60]]&lt;=Body!$BY$20),Body!$BW$6,IF(Tabulka1[[#This Row],[K2O_60]]&gt;=Body!$CB$20,Body!$BZ$6," "))))))))))," ")))</f>
        <v xml:space="preserve"> </v>
      </c>
      <c r="AJ110" s="265">
        <f t="shared" si="13"/>
        <v>5.3333333333333375</v>
      </c>
      <c r="AK110" s="264">
        <f t="shared" si="14"/>
        <v>29.589311699073374</v>
      </c>
      <c r="AL110" s="264">
        <f t="shared" si="15"/>
        <v>29.013468500907113</v>
      </c>
      <c r="AM110" s="264">
        <f t="shared" si="16"/>
        <v>68.578985058193794</v>
      </c>
      <c r="AN110" s="264">
        <f t="shared" si="17"/>
        <v>67.034391850991796</v>
      </c>
      <c r="AO110" s="265">
        <f t="shared" si="21"/>
        <v>98.168296757267171</v>
      </c>
      <c r="AP110" s="265">
        <f t="shared" si="18"/>
        <v>96.047860351898905</v>
      </c>
      <c r="AQ110" s="318"/>
      <c r="AR110" s="338">
        <f t="shared" si="19"/>
        <v>199.54949044249943</v>
      </c>
      <c r="AS110" s="318"/>
      <c r="AT110" s="138"/>
      <c r="AU110" s="138"/>
    </row>
    <row r="111" spans="1:47" ht="15.5" x14ac:dyDescent="0.35">
      <c r="A111" s="270">
        <v>5499</v>
      </c>
      <c r="B111" s="156" t="s">
        <v>81</v>
      </c>
      <c r="C111" s="250" t="str">
        <f>VLOOKUP(B111,'Zdroj hloubka okresy'!$A$2:$D$171,2,FALSE)</f>
        <v>Kutna_Hora</v>
      </c>
      <c r="D111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111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111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11" s="264">
        <f>IF(AND(Tabulka1[[#This Row],[hum_60]]&gt;AY117,Tabulka1[[#This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11" s="264">
        <f>IF(Tabulka1[[#This Row],[kv.ek.]]=Body!$AX$13,IF(AND('Zdroj data'!M111&gt;=Body!$AY$13,'Zdroj data'!M111&lt;=Body!$BA$13),Body!$AY$6,IF(AND('Zdroj data'!M111&gt;=Body!$BB$13,'Zdroj data'!M111&lt;=Body!$BD$13),Body!$BB$6,IF(AND('Zdroj data'!M111&gt;=Body!$BE$13,'Zdroj data'!M111&lt;=Body!$BG$13),Body!$BE$6,IF(AND('Zdroj data'!M111&gt;=Body!$BH$13,'Zdroj data'!M111&lt;=Body!$BJ$13),Body!$BH$6,IF(AND('Zdroj data'!M111&gt;=Body!$BK$13,'Zdroj data'!M111&lt;=Body!$BM$13),Body!$BK$6,IF(AND('Zdroj data'!M111&gt;=Body!$BN$13,'Zdroj data'!M111&lt;=Body!$BP$13),Body!$BN$6,IF(AND('Zdroj data'!M111&gt;=Body!$BQ$13,'Zdroj data'!M111&lt;=Body!$BS$13),Body!$BQ$6,IF(AND('Zdroj data'!M111&gt;=Body!$BT$13,'Zdroj data'!M111&lt;=Body!$BV$13),Body!$BT$6,IF(AND('Zdroj data'!M111&gt;=Body!$BW$13,'Zdroj data'!M111&lt;=Body!$BY$13),Body!$BW$6,IF('Zdroj data'!M111&gt;=Body!$CB$13,Body!$BZ$6," ")))))))))),IF(Tabulka1[[#This Row],[kv.ek.]]=Body!$AX$14,IF(AND('Zdroj data'!N111&gt;=Body!$AY$14,'Zdroj data'!N111&lt;=Body!$BA$14),Body!$AY$6,IF(AND('Zdroj data'!N111&gt;=Body!$BB$14,'Zdroj data'!N111&lt;=Body!$BD$14),Body!$BB$6,IF(AND('Zdroj data'!N111&gt;=Body!$BE$14,'Zdroj data'!N111&lt;=Body!$BG$14),Body!$BE$6,IF(AND('Zdroj data'!N111&gt;=Body!$BH$14,'Zdroj data'!N111&lt;=Body!$BJ$14),Body!$BH$6,IF(AND('Zdroj data'!N111&gt;=Body!$BK$14,'Zdroj data'!N111&lt;=Body!$BM$14),Body!$BK$6,IF(AND('Zdroj data'!N111&gt;=Body!$BN$14,'Zdroj data'!N111&lt;=Body!$BP$14),Body!$BN$6,IF(AND('Zdroj data'!N111&gt;=Body!$BQ$14,'Zdroj data'!N111&lt;=Body!$BS$14),Body!$BQ$6,IF(AND('Zdroj data'!N111&gt;=Body!$BT$14,'Zdroj data'!N111&lt;=Body!$BV$14),Body!$BT$6,IF(AND('Zdroj data'!N111&gt;=Body!$BW$14,'Zdroj data'!N111&lt;=Body!$BY$14),Body!$BW$6,IF('Zdroj data'!N111&gt;=Body!$CB$14,Body!$BZ$6," "))))))))))," "))</f>
        <v>1</v>
      </c>
      <c r="I111" s="264">
        <f>IF(Tabulka1[[#This Row],[kv.ek.]]=Body!$AX$13,IF(AND('Zdroj data'!N111&gt;=Body!$AY$13,'Zdroj data'!N111&lt;=Body!$BA$13),Body!$AY$6,IF(AND('Zdroj data'!N111&gt;=Body!$BB$13,'Zdroj data'!N111&lt;=Body!$BD$13),Body!$BB$6,IF(AND('Zdroj data'!N111&gt;=Body!$BE$13,'Zdroj data'!N111&lt;=Body!$BG$13),Body!$BE$6,IF(AND('Zdroj data'!N111&gt;=Body!$BH$13,'Zdroj data'!N111&lt;=Body!$BJ$13),Body!$BH$6,IF(AND('Zdroj data'!N111&gt;=Body!$BK$13,'Zdroj data'!N111&lt;=Body!$BM$13),Body!$BK$6,IF(AND('Zdroj data'!N111&gt;=Body!$BN$13,'Zdroj data'!N111&lt;=Body!$BP$13),Body!$BN$6,IF(AND('Zdroj data'!N111&gt;=Body!$BQ$13,'Zdroj data'!N111&lt;=Body!$BS$13),Body!$BQ$6,IF(AND('Zdroj data'!N111&gt;=Body!$BT$13,'Zdroj data'!N111&lt;=Body!$BV$13),Body!$BT$6,IF(AND('Zdroj data'!N111&gt;=Body!$BW$13,'Zdroj data'!N111&lt;=Body!$BY$13),Body!$BW$6,IF('Zdroj data'!N111&gt;=Body!$CB$13,Body!$BZ$6," ")))))))))),IF(Tabulka1[[#This Row],[kv.ek.]]=Body!$AX$14,IF(AND('Zdroj data'!O111&gt;=Body!$AY$14,'Zdroj data'!O111&lt;=Body!$BA$14),Body!$AY$6,IF(AND('Zdroj data'!O111&gt;=Body!$BB$14,'Zdroj data'!O111&lt;=Body!$BD$14),Body!$BB$6,IF(AND('Zdroj data'!O111&gt;=Body!$BE$14,'Zdroj data'!O111&lt;=Body!$BG$14),Body!$BE$6,IF(AND('Zdroj data'!O111&gt;=Body!$BH$14,'Zdroj data'!O111&lt;=Body!$BJ$14),Body!$BH$6,IF(AND('Zdroj data'!O111&gt;=Body!$BK$14,'Zdroj data'!O111&lt;=Body!$BM$14),Body!$BK$6,IF(AND('Zdroj data'!O111&gt;=Body!$BN$14,'Zdroj data'!O111&lt;=Body!$BP$14),Body!$BN$6,IF(AND('Zdroj data'!O111&gt;=Body!$BQ$14,'Zdroj data'!O111&lt;=Body!$BS$14),Body!$BQ$6,IF(AND('Zdroj data'!O111&gt;=Body!$BT$14,'Zdroj data'!O111&lt;=Body!$BV$14),Body!$BT$6,IF(AND('Zdroj data'!O111&gt;=Body!$BW$14,'Zdroj data'!O111&lt;=Body!$BY$14),Body!$BW$6,IF('Zdroj data'!O111&gt;=Body!$CB$14,Body!$BZ$6," "))))))))))," "))</f>
        <v>1</v>
      </c>
      <c r="J111" s="264">
        <f t="shared" si="25"/>
        <v>1</v>
      </c>
      <c r="K111" s="264">
        <f t="shared" si="24"/>
        <v>1</v>
      </c>
      <c r="L111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111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111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111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111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11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111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111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9</v>
      </c>
      <c r="T111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111" s="264">
        <f>IF('Zdroj data'!BB111=Body!$AY$25,Body!$AY$22,IF('Zdroj data'!BB111=Body!$BB$25,Body!$BB$22,IF('Zdroj data'!BB111=Body!$BE$25,Body!$BE$22,IF('Zdroj data'!BB111=Body!$BH$25,Body!$BH$22,IF('Zdroj data'!BB111=Body!BK$25,Body!$BK$22,IF('Zdroj data'!BB111=Body!$BN$25,Body!$BN$22,IF('Zdroj data'!BB111=Body!$BQ$25,Body!$BQ$22,IF('Zdroj data'!BB111=Body!$BT$25,Body!$BT$22,IF('Zdroj data'!BB111=Body!$BW$25,Body!$BW$22,IF('Zdroj data'!BB111=Body!$BZ$25,Body!$BZ$22," "))))))))))</f>
        <v>5</v>
      </c>
      <c r="V111" s="264">
        <f>IF(AND('Zdroj data'!BO111&gt;Body!$AY$27,'Zdroj data'!BO111&lt;=Body!$BA$27),Body!$AY$22,IF(AND('Zdroj data'!BO111&gt;=Body!$BB$27,'Zdroj data'!BO111&lt;=Body!$BD$27),Body!$BB$22,IF(AND('Zdroj data'!BO111&gt;=Body!$BE$27,'Zdroj data'!BO111&lt;=Body!$BG$27),Body!$BE$22,IF(AND('Zdroj data'!BO111&gt;=Body!$BH$27,'Zdroj data'!BO111&lt;=Body!$BJ$27),Body!$BH$22,IF(AND('Zdroj data'!BO111&gt;=Body!$BK$27,'Zdroj data'!BO111&lt;=Body!$BM$27),Body!$BK$22,IF(AND('Zdroj data'!BO111&gt;=Body!$BN$27,'Zdroj data'!BO111&lt;=Body!$BP$27),Body!$BN$22,IF(AND('Zdroj data'!BO111&gt;=Body!$BQ$27,'Zdroj data'!BO111&lt;=Body!$BS$27),Body!$BQ$22,IF(AND('Zdroj data'!BO111&gt;=Body!$BT$27,'Zdroj data'!BO111&lt;=Body!$BV$27),Body!$BT$22,IF(AND('Zdroj data'!BO111&gt;=Body!$BW$27,'Zdroj data'!BO111&lt;=Body!$BY$27),Body!$BW$22,IF('Zdroj data'!BO111&gt;=Body!$CB$27,$BZ$22," "))))))))))</f>
        <v>6</v>
      </c>
      <c r="W111" s="264">
        <f>IF(AND('Zdroj data'!BP111&gt;Body!$AY$27,'Zdroj data'!BP111&lt;=Body!$BA$27),Body!$AY$22,IF(AND('Zdroj data'!BP111&gt;=Body!$BB$27,'Zdroj data'!BP111&lt;=Body!$BD$27),Body!$BB$22,IF(AND('Zdroj data'!BP111&gt;=Body!$BE$27,'Zdroj data'!BP111&lt;=Body!$BG$27),Body!$BE$22,IF(AND('Zdroj data'!BP111&gt;=Body!$BH$27,'Zdroj data'!BP111&lt;=Body!$BJ$27),Body!$BH$22,IF(AND('Zdroj data'!BP111&gt;=Body!$BK$27,'Zdroj data'!BP111&lt;=Body!$BM$27),Body!$BK$22,IF(AND('Zdroj data'!BP111&gt;=Body!$BN$27,'Zdroj data'!BP111&lt;=Body!$BP$27),Body!$BN$22,IF(AND('Zdroj data'!BP111&gt;=Body!$BQ$27,'Zdroj data'!BP111&lt;=Body!$BS$27),Body!$BQ$22,IF(AND('Zdroj data'!BP111&gt;=Body!$BT$27,'Zdroj data'!BP111&lt;=Body!$BV$27),Body!$BT$22,IF(AND('Zdroj data'!BP111&gt;=Body!$BW$27,'Zdroj data'!BP111&lt;=Body!$BY$27),Body!$BW$22,IF('Zdroj data'!BP111&gt;=Body!$CB$27,$BZ$22," "))))))))))</f>
        <v>4</v>
      </c>
      <c r="X111" s="264">
        <f>IF('Zdroj data'!BA111=Body!$BB$28,$BB$22,IF('Zdroj data'!BA111=Body!$BE$28,$BE$22,IF(OR('Zdroj data'!BA111=Body!$BK$28,'Zdroj data'!BA111=Body!$BL$28,'Zdroj data'!BA111=Body!$BM$28),$BK$22,IF(OR('Zdroj data'!BA111=Body!$BT$28,'Zdroj data'!BA111=Body!$BV$28),$BT$22,IF(OR('Zdroj data'!BA111=Body!$BW$28,'Zdroj data'!BA111=Body!$BY$28),$BW$22,IF('Zdroj data'!BA111=Body!$BZ$28,$BZ$22," "))))))</f>
        <v>10</v>
      </c>
      <c r="Y111" s="264">
        <f>IF('Zdroj data'!AZ111=Body!$BZ$29,Body!$BZ$22,IF(OR('Zdroj data'!AZ111=$BT$29,'Zdroj data'!AZ111=$BU$29,'Zdroj data'!AZ111=$BV$29),$BT$22,IF(OR('Zdroj data'!AZ111=$BK$29,'Zdroj data'!AZ111=$BM$29),$BK$22,IF(OR('Zdroj data'!AZ111=$BE$29,'Zdroj data'!AZ111=$BG$29),$BE$22,IF(OR('Zdroj data'!AZ111=$AY$29,'Zdroj data'!AZ111=$BA$29),$AY$22," ")))))</f>
        <v>10</v>
      </c>
      <c r="Z111" s="264">
        <f>IF(AND('Zdroj data'!BF111="T",(OR('Zdroj data'!AZ111=Body!$AW$45,'Zdroj data'!AZ111=Body!$AW$46,'Zdroj data'!AZ111=Body!$AW$47,'Zdroj data'!AZ111=Body!$AW$48))),Body!$AY$22,IF(AND('Zdroj data'!BF111="T",(OR('Zdroj data'!AZ111=$AW$49,'Zdroj data'!AZ111=$AW$50,'Zdroj data'!AZ111=$AW$51,'Zdroj data'!AZ111=$AW$52))),$BZ$22,IF(AND(OR('Zdroj data'!BF111="VT",'Zdroj data'!BF111="T",'Zdroj data'!BF111="CH"),(OR('Zdroj data'!AZ111=$AW$43,'Zdroj data'!AZ111=$AW$44,))),$BZ$22,IF(AND('Zdroj data'!BF111="CH",(OR('Zdroj data'!AZ111=$AW$49,'Zdroj data'!AZ111=$AW$50,'Zdroj data'!AZ111=$AW$51,'Zdroj data'!AZ111=$AW$52))),$AY$22,IF(AND('Zdroj data'!BF111="CH",(OR('Zdroj data'!AZ111=$AW$45,'Zdroj data'!AZ111=$AW$46,'Zdroj data'!AZ111=$AW$47,'Zdroj data'!AZ111=$AW$48))),$BZ$22," ")))))</f>
        <v>10</v>
      </c>
      <c r="AA111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11" s="264">
        <f>IF(Tabulka1[[#This Row],[kv.ek.]]=Body!$BK$35,Body!$BK$34,IF(Tabulka1[[#This Row],[kv.ek.]]=Body!$BZ$35,Body!$BZ$34," "))</f>
        <v>5</v>
      </c>
      <c r="AC111" s="264" t="str">
        <f>IF(AND('Zdroj data'!BF111="T",(OR('Zdroj data'!AZ111=Body!$AW$45,'Zdroj data'!AZ111=Body!$AW$46,'Zdroj data'!AZ111=Body!$AW$47,'Zdroj data'!AZ111=Body!$AW$48))),Body!$AY$22,IF(AND('Zdroj data'!BF111="T",(OR('Zdroj data'!AZ111=$AW$49,'Zdroj data'!AZ111=$AW$50,'Zdroj data'!AZ111=$AW$51,'Zdroj data'!AZ111=$AW$52))),$BZ$22," "))</f>
        <v xml:space="preserve"> </v>
      </c>
      <c r="AD111" s="264">
        <f>IF(AND(OR('Zdroj data'!BF111="VT",'Zdroj data'!BF111="T",'Zdroj data'!BF111="CH"),(OR('Zdroj data'!AZ111=$AW$43,'Zdroj data'!AZ111=$AW$44,))),$BZ$22," ")</f>
        <v>10</v>
      </c>
      <c r="AE111" s="264" t="str">
        <f>IF(AND('Zdroj data'!BF111="CH",(OR('Zdroj data'!AZ111=$AW$49,'Zdroj data'!AZ111=$AW$50,'Zdroj data'!AZ111=$AW$51,'Zdroj data'!AZ111=$AW$52))),$AY$22,IF(AND('Zdroj data'!BF111="CH",(OR('Zdroj data'!AZ111=$AW$45,'Zdroj data'!AZ111=$AW$46,'Zdroj data'!AZ111=$AW$47,'Zdroj data'!AZ111=$AW$48))),$BZ$22," "))</f>
        <v xml:space="preserve"> </v>
      </c>
      <c r="AF111" s="264">
        <f>IF(AND('Zdroj data'!BG111="L",'Zdroj data'!AM111=Body!$AX$15),IF(AND('Zdroj data'!O111&gt;=Body!$AY$15,'Zdroj data'!O111&lt;=Body!$BA$15),Body!AY$6,IF(AND('Zdroj data'!O111&gt;=Body!$BB$15,'Zdroj data'!O111&lt;=Body!$BD$15),Body!BB$6,IF(AND('Zdroj data'!O111&gt;=Body!$BE$15,'Zdroj data'!O111&lt;=Body!$BG$15),Body!BE$6,IF(AND('Zdroj data'!O111&gt;=Body!$BH$15,'Zdroj data'!O111&lt;=Body!$BJ$15),Body!BH$6,IF(AND('Zdroj data'!O111&gt;=Body!$BK$15,'Zdroj data'!O111&lt;=Body!$BM$15),Body!BK$6,IF(AND('Zdroj data'!O111&gt;=Body!$BN$15,'Zdroj data'!O111&lt;=Body!$BP$15),Body!$BN$6,IF(AND('Zdroj data'!O111&gt;=Body!$BQ$15,'Zdroj data'!O111&lt;=Body!$BS$15),Body!$BQ$6,IF(AND('Zdroj data'!O111&gt;=Body!$BT$15,'Zdroj data'!O111&lt;=Body!$BV$15),Body!BT$6,IF(AND('Zdroj data'!O111&gt;=Body!$BW$15,'Zdroj data'!O111&lt;=Body!$BY$15),Body!$BW$6,IF('Zdroj data'!O111&gt;=Body!$CB$15,Body!$BZ$6," ")))))))))),IF(AND('Zdroj data'!BG111="ST",'Zdroj data'!AM111=Body!$AX$16),IF(AND('Zdroj data'!O111&gt;=Body!$AY$16,'Zdroj data'!O111&lt;=Body!$BA$16),Body!$AY$6,IF(AND('Zdroj data'!O111&gt;=Body!$BB$16,'Zdroj data'!O111&lt;=Body!$BD$16),Body!$BB$6,IF(AND('Zdroj data'!O111&gt;=Body!$BE$16,'Zdroj data'!O111&lt;=Body!$BG$16),Body!$BE$6,IF(AND('Zdroj data'!O111&gt;=Body!$BH$16,'Zdroj data'!O111&lt;=Body!$BJ$16),Body!$BH$6,IF(AND('Zdroj data'!O111&gt;=Body!$BK$16,'Zdroj data'!O111&lt;=Body!$BM$16),Body!$BK$6,IF(AND('Zdroj data'!O111&gt;=Body!$BN$16,'Zdroj data'!O111&lt;=Body!$BP$16),Body!$BN$6,IF(AND('Zdroj data'!O111&gt;=Body!$BQ$16,'Zdroj data'!O111&lt;=Body!$BS$16),Body!$BQ$6,IF(AND('Zdroj data'!O111&gt;=Body!$BT$16,'Zdroj data'!O111&lt;=Body!$BV$16),Body!$BT$6,IF(AND('Zdroj data'!O111&gt;=Body!$BW$16,'Zdroj data'!O111&lt;=Body!$BY$16),Body!$BW$6,IF('Zdroj data'!O111&gt;=Body!$CB$16,Body!$BZ$6," ")))))))))),IF(AND('Zdroj data'!BG111="T",'Zdroj data'!AM111=Body!$AX$17),IF(AND('Zdroj data'!O111&gt;=Body!$AY$17,'Zdroj data'!O111&lt;=Body!$BA$17),Body!$AY$6,IF(AND('Zdroj data'!O111&gt;=Body!$BB$17,'Zdroj data'!O111&lt;=Body!$BD$17),Body!$BB$6,IF(AND('Zdroj data'!O111&gt;=Body!$BE$17,'Zdroj data'!O111&lt;=Body!$BG$17),Body!$BE$6,IF(AND('Zdroj data'!O111&gt;=Body!$BH$17,'Zdroj data'!O111&lt;=Body!BJ125),Body!$BH$6,IF(AND('Zdroj data'!O111&gt;=Body!$BK$17,'Zdroj data'!O111&lt;=Body!$BM$17),Body!$BK$6,IF(AND('Zdroj data'!O111&gt;=Body!$BN$17,'Zdroj data'!O111&lt;=Body!$BP$17),Body!$BN$6,IF(AND('Zdroj data'!O111&gt;=Body!$BQ$17,'Zdroj data'!O111&lt;=Body!$BS$17),Body!$BQ$6,IF(AND('Zdroj data'!O111&gt;=Body!$BT$17,'Zdroj data'!O111&lt;=Body!$BV$17),Body!$BT$6,IF(AND('Zdroj data'!O111&gt;=Body!$BW$17,'Zdroj data'!O111&lt;=Body!$BY$17),Body!$BW$6,IF('Zdroj data'!O111&gt;=Body!$CB$17,Body!$BZ$6," "))))))))))," ")))</f>
        <v>1</v>
      </c>
      <c r="AG111" s="264">
        <f>IF(AND('Zdroj data'!$BG111="L",'Zdroj data'!$AM111=Body!$AX$15),IF(AND(Tabulka1[[#This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data'!$BG111="ST",'Zdroj data'!$AM111=Body!$AX$16),IF(AND(Tabulka1[[#This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data'!$BG111="T",'Zdroj data'!$AM111=Body!$AX$17),IF(AND(Tabulka1[[#This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Row],[K2O_60]]&lt;=Body!BJ125),Body!$BH$6,IF(AND(Tabulka1[[#This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11" s="264" t="str">
        <f>IF(AND('Zdroj data'!BG111="L",'Zdroj data'!AM111=Body!$AX$18),IF(AND('Zdroj data'!O111&gt;=Body!$AY$18,'Zdroj data'!O111&lt;=Body!$BA$18),Body!AY$6,IF(AND('Zdroj data'!O111&gt;=Body!$BB$18,'Zdroj data'!O111&lt;=Body!$BD$18),Body!BB$6,IF(AND('Zdroj data'!O111&gt;=Body!$BE$18,'Zdroj data'!O111&lt;=Body!$BG$18),Body!BE$6,IF(AND('Zdroj data'!O111&gt;=Body!$BH$18,'Zdroj data'!O111&lt;=Body!$BJ$18),Body!BH$6,IF(AND('Zdroj data'!O111&gt;=Body!$BK$18,'Zdroj data'!O111&lt;=Body!$BM$18),Body!$BK$6,IF(AND('Zdroj data'!O111&gt;=Body!$BN$18,'Zdroj data'!O111&lt;=Body!$BP$18),Body!BN$6,IF(AND('Zdroj data'!O111&gt;=Body!$BQ$18,'Zdroj data'!O111&lt;=Body!$BS$18),Body!$BQ$6,IF(AND('Zdroj data'!O111&gt;=Body!$BT$18,'Zdroj data'!O111&lt;=Body!$BV$18),Body!$BT$6,IF(AND('Zdroj data'!O111&gt;=Body!$BW$18,'Zdroj data'!O111&lt;=Body!$BY$18),Body!$BW$6,IF('Zdroj data'!O111&gt;=Body!$CB$18,Body!$BZ$6," ")))))))))),IF(AND('Zdroj data'!BG111="ST",'Zdroj data'!AM111=Body!$AX$19),IF(AND('Zdroj data'!O111&gt;=Body!$AY$19,'Zdroj data'!O111&lt;=Body!$BA$19),Body!$AY$6,IF(AND('Zdroj data'!O111&gt;=Body!$BB$19,'Zdroj data'!O111&lt;=Body!$BD$19),Body!$BB$6,IF(AND('Zdroj data'!O111&gt;=Body!$BE$19,'Zdroj data'!O111&lt;=Body!$BG$19),Body!$BE$6,IF(AND('Zdroj data'!O111&gt;=Body!$BH$19,'Zdroj data'!O111&lt;=Body!$BJ$19),Body!$BH$6,IF(AND('Zdroj data'!O111&gt;=Body!$BK$19,'Zdroj data'!O111&lt;=Body!$BM$19),Body!$BK$6,IF(AND('Zdroj data'!O111&gt;=Body!$BN$19,'Zdroj data'!O111&lt;=Body!$BP$19),Body!$BN$6,IF(AND('Zdroj data'!O111&gt;=Body!$BQ$19,'Zdroj data'!O111&lt;=Body!$BS$19),Body!$BQ$6,IF(AND('Zdroj data'!O111&gt;=Body!$BT$19,'Zdroj data'!O115&lt;=Body!$BV$19),Body!$BT$6,IF(AND('Zdroj data'!O111&gt;=Body!$BW$19,'Zdroj data'!O111&lt;=Body!$BY$19),Body!$BW$6,IF('Zdroj data'!O111&gt;=Body!$CB$19,Body!$BZ$6," ")))))))))),IF(AND('Zdroj data'!BG111="T",'Zdroj data'!AM111=Body!$AX$20),IF(AND('Zdroj data'!O111&gt;=Body!$AY$20,'Zdroj data'!O111&lt;=Body!$BA$20),Body!$AY$6,IF(AND('Zdroj data'!O111&gt;=Body!$BB$20,'Zdroj data'!O111&lt;=Body!$BD$20),Body!$BB$6,IF(AND('Zdroj data'!O111&gt;=Body!$BE$20,'Zdroj data'!O111&lt;=Body!$BG$20),Body!$BE$6,IF(AND('Zdroj data'!O111&gt;=Body!$BH$20,'Zdroj data'!O111&lt;=Body!$BJ$20),Body!$BH$6,IF(AND('Zdroj data'!O111&gt;=Body!$BK$20,'Zdroj data'!O111&lt;=Body!$BM$20),Body!$BK$6,IF(AND('Zdroj data'!O111&gt;=Body!$BN$20,'Zdroj data'!O111&lt;=Body!$BP$20),Body!$BN$6,IF(AND('Zdroj data'!O111&gt;=Body!$BQ$20,'Zdroj data'!O111&lt;=Body!$BS$20),Body!$BQ$6,IF(AND('Zdroj data'!O111&gt;=Body!$BT$20,'Zdroj data'!O111&lt;=Body!BV128),Body!$BT$6,IF(AND('Zdroj data'!O111&gt;=Body!$BW$20,'Zdroj data'!O111&lt;=Body!$BY$20),Body!$BW$6,IF('Zdroj data'!O111&gt;=Body!$CB$20,Body!$BZ$6," "))))))))))," ")))</f>
        <v xml:space="preserve"> </v>
      </c>
      <c r="AI111" s="264" t="str">
        <f>IF(AND('Zdroj data'!$BG111="L",'Zdroj data'!$AM111=Body!$AX$18),IF(AND(Tabulka1[[#This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data'!$BG111="ST",'Zdroj data'!$AM111=Body!$AX$19),IF(AND(Tabulka1[[#This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data'!$BG111="T",'Zdroj data'!$AM111=Body!$AX$20),IF(AND(Tabulka1[[#This Row],[K2O_60]]&gt;=Body!$AY$20,'Zdroj data'!O111&lt;=Body!$BA$20),Body!$AY$6,IF(AND(Tabulka1[[#This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Row],[K2O_60]]&lt;=Body!BV128),Body!$BT$6,IF(AND(Tabulka1[[#This Row],[K2O_60]]&gt;=Body!$BW$20,Tabulka1[[#This Row],[K2O_60]]&lt;=Body!$BY$20),Body!$BW$6,IF(Tabulka1[[#This Row],[K2O_60]]&gt;=Body!$CB$20,Body!$BZ$6," "))))))))))," ")))</f>
        <v xml:space="preserve"> </v>
      </c>
      <c r="AJ111" s="265">
        <f t="shared" si="13"/>
        <v>5.3333333333333375</v>
      </c>
      <c r="AK111" s="264">
        <f t="shared" si="14"/>
        <v>30.445187792181496</v>
      </c>
      <c r="AL111" s="264">
        <f t="shared" si="15"/>
        <v>29.779499339326613</v>
      </c>
      <c r="AM111" s="264">
        <f t="shared" si="16"/>
        <v>70.697397465828928</v>
      </c>
      <c r="AN111" s="264">
        <f t="shared" si="17"/>
        <v>67.608211051424959</v>
      </c>
      <c r="AO111" s="265">
        <f t="shared" si="21"/>
        <v>101.14258525801043</v>
      </c>
      <c r="AP111" s="265">
        <f t="shared" si="18"/>
        <v>97.387710390751579</v>
      </c>
      <c r="AQ111" s="318"/>
      <c r="AR111" s="338">
        <f t="shared" si="19"/>
        <v>203.86362898209535</v>
      </c>
      <c r="AS111" s="318"/>
      <c r="AT111" s="138"/>
      <c r="AU111" s="138"/>
    </row>
    <row r="112" spans="1:47" ht="15.5" x14ac:dyDescent="0.35">
      <c r="A112" s="270">
        <v>5502</v>
      </c>
      <c r="B112" s="156" t="s">
        <v>306</v>
      </c>
      <c r="C112" s="250" t="str">
        <f>VLOOKUP(B112,'Zdroj hloubka okresy'!$A$2:$D$171,2,FALSE)</f>
        <v>Kutna_Hora</v>
      </c>
      <c r="D112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8</v>
      </c>
      <c r="E112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10</v>
      </c>
      <c r="F112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12" s="264">
        <f>IF(AND(Tabulka1[[#This Row],[hum_60]]&gt;AY118,Tabulka1[[#This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12" s="264">
        <f>IF(Tabulka1[[#This Row],[kv.ek.]]=Body!$AX$13,IF(AND('Zdroj data'!M112&gt;=Body!$AY$13,'Zdroj data'!M112&lt;=Body!$BA$13),Body!$AY$6,IF(AND('Zdroj data'!M112&gt;=Body!$BB$13,'Zdroj data'!M112&lt;=Body!$BD$13),Body!$BB$6,IF(AND('Zdroj data'!M112&gt;=Body!$BE$13,'Zdroj data'!M112&lt;=Body!$BG$13),Body!$BE$6,IF(AND('Zdroj data'!M112&gt;=Body!$BH$13,'Zdroj data'!M112&lt;=Body!$BJ$13),Body!$BH$6,IF(AND('Zdroj data'!M112&gt;=Body!$BK$13,'Zdroj data'!M112&lt;=Body!$BM$13),Body!$BK$6,IF(AND('Zdroj data'!M112&gt;=Body!$BN$13,'Zdroj data'!M112&lt;=Body!$BP$13),Body!$BN$6,IF(AND('Zdroj data'!M112&gt;=Body!$BQ$13,'Zdroj data'!M112&lt;=Body!$BS$13),Body!$BQ$6,IF(AND('Zdroj data'!M112&gt;=Body!$BT$13,'Zdroj data'!M112&lt;=Body!$BV$13),Body!$BT$6,IF(AND('Zdroj data'!M112&gt;=Body!$BW$13,'Zdroj data'!M112&lt;=Body!$BY$13),Body!$BW$6,IF('Zdroj data'!M112&gt;=Body!$CB$13,Body!$BZ$6," ")))))))))),IF(Tabulka1[[#This Row],[kv.ek.]]=Body!$AX$14,IF(AND('Zdroj data'!N112&gt;=Body!$AY$14,'Zdroj data'!N112&lt;=Body!$BA$14),Body!$AY$6,IF(AND('Zdroj data'!N112&gt;=Body!$BB$14,'Zdroj data'!N112&lt;=Body!$BD$14),Body!$BB$6,IF(AND('Zdroj data'!N112&gt;=Body!$BE$14,'Zdroj data'!N112&lt;=Body!$BG$14),Body!$BE$6,IF(AND('Zdroj data'!N112&gt;=Body!$BH$14,'Zdroj data'!N112&lt;=Body!$BJ$14),Body!$BH$6,IF(AND('Zdroj data'!N112&gt;=Body!$BK$14,'Zdroj data'!N112&lt;=Body!$BM$14),Body!$BK$6,IF(AND('Zdroj data'!N112&gt;=Body!$BN$14,'Zdroj data'!N112&lt;=Body!$BP$14),Body!$BN$6,IF(AND('Zdroj data'!N112&gt;=Body!$BQ$14,'Zdroj data'!N112&lt;=Body!$BS$14),Body!$BQ$6,IF(AND('Zdroj data'!N112&gt;=Body!$BT$14,'Zdroj data'!N112&lt;=Body!$BV$14),Body!$BT$6,IF(AND('Zdroj data'!N112&gt;=Body!$BW$14,'Zdroj data'!N112&lt;=Body!$BY$14),Body!$BW$6,IF('Zdroj data'!N112&gt;=Body!$CB$14,Body!$BZ$6," "))))))))))," "))</f>
        <v>2</v>
      </c>
      <c r="I112" s="264">
        <f>IF(Tabulka1[[#This Row],[kv.ek.]]=Body!$AX$13,IF(AND('Zdroj data'!N112&gt;=Body!$AY$13,'Zdroj data'!N112&lt;=Body!$BA$13),Body!$AY$6,IF(AND('Zdroj data'!N112&gt;=Body!$BB$13,'Zdroj data'!N112&lt;=Body!$BD$13),Body!$BB$6,IF(AND('Zdroj data'!N112&gt;=Body!$BE$13,'Zdroj data'!N112&lt;=Body!$BG$13),Body!$BE$6,IF(AND('Zdroj data'!N112&gt;=Body!$BH$13,'Zdroj data'!N112&lt;=Body!$BJ$13),Body!$BH$6,IF(AND('Zdroj data'!N112&gt;=Body!$BK$13,'Zdroj data'!N112&lt;=Body!$BM$13),Body!$BK$6,IF(AND('Zdroj data'!N112&gt;=Body!$BN$13,'Zdroj data'!N112&lt;=Body!$BP$13),Body!$BN$6,IF(AND('Zdroj data'!N112&gt;=Body!$BQ$13,'Zdroj data'!N112&lt;=Body!$BS$13),Body!$BQ$6,IF(AND('Zdroj data'!N112&gt;=Body!$BT$13,'Zdroj data'!N112&lt;=Body!$BV$13),Body!$BT$6,IF(AND('Zdroj data'!N112&gt;=Body!$BW$13,'Zdroj data'!N112&lt;=Body!$BY$13),Body!$BW$6,IF('Zdroj data'!N112&gt;=Body!$CB$13,Body!$BZ$6," ")))))))))),IF(Tabulka1[[#This Row],[kv.ek.]]=Body!$AX$14,IF(AND('Zdroj data'!O112&gt;=Body!$AY$14,'Zdroj data'!O112&lt;=Body!$BA$14),Body!$AY$6,IF(AND('Zdroj data'!O112&gt;=Body!$BB$14,'Zdroj data'!O112&lt;=Body!$BD$14),Body!$BB$6,IF(AND('Zdroj data'!O112&gt;=Body!$BE$14,'Zdroj data'!O112&lt;=Body!$BG$14),Body!$BE$6,IF(AND('Zdroj data'!O112&gt;=Body!$BH$14,'Zdroj data'!O112&lt;=Body!$BJ$14),Body!$BH$6,IF(AND('Zdroj data'!O112&gt;=Body!$BK$14,'Zdroj data'!O112&lt;=Body!$BM$14),Body!$BK$6,IF(AND('Zdroj data'!O112&gt;=Body!$BN$14,'Zdroj data'!O112&lt;=Body!$BP$14),Body!$BN$6,IF(AND('Zdroj data'!O112&gt;=Body!$BQ$14,'Zdroj data'!O112&lt;=Body!$BS$14),Body!$BQ$6,IF(AND('Zdroj data'!O112&gt;=Body!$BT$14,'Zdroj data'!O112&lt;=Body!$BV$14),Body!$BT$6,IF(AND('Zdroj data'!O112&gt;=Body!$BW$14,'Zdroj data'!O112&lt;=Body!$BY$14),Body!$BW$6,IF('Zdroj data'!O112&gt;=Body!$CB$14,Body!$BZ$6," "))))))))))," "))</f>
        <v>1</v>
      </c>
      <c r="J112" s="264">
        <f t="shared" si="25"/>
        <v>1</v>
      </c>
      <c r="K112" s="264">
        <f t="shared" si="25"/>
        <v>1</v>
      </c>
      <c r="L112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10</v>
      </c>
      <c r="M112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10</v>
      </c>
      <c r="N112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112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9</v>
      </c>
      <c r="P112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12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112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8</v>
      </c>
      <c r="S112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9</v>
      </c>
      <c r="T112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112" s="264">
        <f>IF('Zdroj data'!BB112=Body!$AY$25,Body!$AY$22,IF('Zdroj data'!BB112=Body!$BB$25,Body!$BB$22,IF('Zdroj data'!BB112=Body!$BE$25,Body!$BE$22,IF('Zdroj data'!BB112=Body!$BH$25,Body!$BH$22,IF('Zdroj data'!BB112=Body!BK$25,Body!$BK$22,IF('Zdroj data'!BB112=Body!$BN$25,Body!$BN$22,IF('Zdroj data'!BB112=Body!$BQ$25,Body!$BQ$22,IF('Zdroj data'!BB112=Body!$BT$25,Body!$BT$22,IF('Zdroj data'!BB112=Body!$BW$25,Body!$BW$22,IF('Zdroj data'!BB112=Body!$BZ$25,Body!$BZ$22," "))))))))))</f>
        <v>7</v>
      </c>
      <c r="V112" s="264">
        <f>IF(AND('Zdroj data'!BO112&gt;Body!$AY$27,'Zdroj data'!BO112&lt;=Body!$BA$27),Body!$AY$22,IF(AND('Zdroj data'!BO112&gt;=Body!$BB$27,'Zdroj data'!BO112&lt;=Body!$BD$27),Body!$BB$22,IF(AND('Zdroj data'!BO112&gt;=Body!$BE$27,'Zdroj data'!BO112&lt;=Body!$BG$27),Body!$BE$22,IF(AND('Zdroj data'!BO112&gt;=Body!$BH$27,'Zdroj data'!BO112&lt;=Body!$BJ$27),Body!$BH$22,IF(AND('Zdroj data'!BO112&gt;=Body!$BK$27,'Zdroj data'!BO112&lt;=Body!$BM$27),Body!$BK$22,IF(AND('Zdroj data'!BO112&gt;=Body!$BN$27,'Zdroj data'!BO112&lt;=Body!$BP$27),Body!$BN$22,IF(AND('Zdroj data'!BO112&gt;=Body!$BQ$27,'Zdroj data'!BO112&lt;=Body!$BS$27),Body!$BQ$22,IF(AND('Zdroj data'!BO112&gt;=Body!$BT$27,'Zdroj data'!BO112&lt;=Body!$BV$27),Body!$BT$22,IF(AND('Zdroj data'!BO112&gt;=Body!$BW$27,'Zdroj data'!BO112&lt;=Body!$BY$27),Body!$BW$22,IF('Zdroj data'!BO112&gt;=Body!$CB$27,$BZ$22," "))))))))))</f>
        <v>7</v>
      </c>
      <c r="W112" s="264">
        <f>IF(AND('Zdroj data'!BP112&gt;Body!$AY$27,'Zdroj data'!BP112&lt;=Body!$BA$27),Body!$AY$22,IF(AND('Zdroj data'!BP112&gt;=Body!$BB$27,'Zdroj data'!BP112&lt;=Body!$BD$27),Body!$BB$22,IF(AND('Zdroj data'!BP112&gt;=Body!$BE$27,'Zdroj data'!BP112&lt;=Body!$BG$27),Body!$BE$22,IF(AND('Zdroj data'!BP112&gt;=Body!$BH$27,'Zdroj data'!BP112&lt;=Body!$BJ$27),Body!$BH$22,IF(AND('Zdroj data'!BP112&gt;=Body!$BK$27,'Zdroj data'!BP112&lt;=Body!$BM$27),Body!$BK$22,IF(AND('Zdroj data'!BP112&gt;=Body!$BN$27,'Zdroj data'!BP112&lt;=Body!$BP$27),Body!$BN$22,IF(AND('Zdroj data'!BP112&gt;=Body!$BQ$27,'Zdroj data'!BP112&lt;=Body!$BS$27),Body!$BQ$22,IF(AND('Zdroj data'!BP112&gt;=Body!$BT$27,'Zdroj data'!BP112&lt;=Body!$BV$27),Body!$BT$22,IF(AND('Zdroj data'!BP112&gt;=Body!$BW$27,'Zdroj data'!BP112&lt;=Body!$BY$27),Body!$BW$22,IF('Zdroj data'!BP112&gt;=Body!$CB$27,$BZ$22," "))))))))))</f>
        <v>4</v>
      </c>
      <c r="X112" s="264">
        <f>IF('Zdroj data'!BA112=Body!$BB$28,$BB$22,IF('Zdroj data'!BA112=Body!$BE$28,$BE$22,IF(OR('Zdroj data'!BA112=Body!$BK$28,'Zdroj data'!BA112=Body!$BL$28,'Zdroj data'!BA112=Body!$BM$28),$BK$22,IF(OR('Zdroj data'!BA112=Body!$BT$28,'Zdroj data'!BA112=Body!$BV$28),$BT$22,IF(OR('Zdroj data'!BA112=Body!$BW$28,'Zdroj data'!BA112=Body!$BY$28),$BW$22,IF('Zdroj data'!BA112=Body!$BZ$28,$BZ$22," "))))))</f>
        <v>10</v>
      </c>
      <c r="Y112" s="264">
        <f>IF('Zdroj data'!AZ112=Body!$BZ$29,Body!$BZ$22,IF(OR('Zdroj data'!AZ112=$BT$29,'Zdroj data'!AZ112=$BU$29,'Zdroj data'!AZ112=$BV$29),$BT$22,IF(OR('Zdroj data'!AZ112=$BK$29,'Zdroj data'!AZ112=$BM$29),$BK$22,IF(OR('Zdroj data'!AZ112=$BE$29,'Zdroj data'!AZ112=$BG$29),$BE$22,IF(OR('Zdroj data'!AZ112=$AY$29,'Zdroj data'!AZ112=$BA$29),$AY$22," ")))))</f>
        <v>10</v>
      </c>
      <c r="Z112" s="264">
        <f>IF(AND('Zdroj data'!BF112="T",(OR('Zdroj data'!AZ112=Body!$AW$45,'Zdroj data'!AZ112=Body!$AW$46,'Zdroj data'!AZ112=Body!$AW$47,'Zdroj data'!AZ112=Body!$AW$48))),Body!$AY$22,IF(AND('Zdroj data'!BF112="T",(OR('Zdroj data'!AZ112=$AW$49,'Zdroj data'!AZ112=$AW$50,'Zdroj data'!AZ112=$AW$51,'Zdroj data'!AZ112=$AW$52))),$BZ$22,IF(AND(OR('Zdroj data'!BF112="VT",'Zdroj data'!BF112="T",'Zdroj data'!BF112="CH"),(OR('Zdroj data'!AZ112=$AW$43,'Zdroj data'!AZ112=$AW$44,))),$BZ$22,IF(AND('Zdroj data'!BF112="CH",(OR('Zdroj data'!AZ112=$AW$49,'Zdroj data'!AZ112=$AW$50,'Zdroj data'!AZ112=$AW$51,'Zdroj data'!AZ112=$AW$52))),$AY$22,IF(AND('Zdroj data'!BF112="CH",(OR('Zdroj data'!AZ112=$AW$45,'Zdroj data'!AZ112=$AW$46,'Zdroj data'!AZ112=$AW$47,'Zdroj data'!AZ112=$AW$48))),$BZ$22," ")))))</f>
        <v>10</v>
      </c>
      <c r="AA112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12" s="264">
        <f>IF(Tabulka1[[#This Row],[kv.ek.]]=Body!$BK$35,Body!$BK$34,IF(Tabulka1[[#This Row],[kv.ek.]]=Body!$BZ$35,Body!$BZ$34," "))</f>
        <v>5</v>
      </c>
      <c r="AC112" s="264" t="str">
        <f>IF(AND('Zdroj data'!BF112="T",(OR('Zdroj data'!AZ112=Body!$AW$45,'Zdroj data'!AZ112=Body!$AW$46,'Zdroj data'!AZ112=Body!$AW$47,'Zdroj data'!AZ112=Body!$AW$48))),Body!$AY$22,IF(AND('Zdroj data'!BF112="T",(OR('Zdroj data'!AZ112=$AW$49,'Zdroj data'!AZ112=$AW$50,'Zdroj data'!AZ112=$AW$51,'Zdroj data'!AZ112=$AW$52))),$BZ$22," "))</f>
        <v xml:space="preserve"> </v>
      </c>
      <c r="AD112" s="264">
        <f>IF(AND(OR('Zdroj data'!BF112="VT",'Zdroj data'!BF112="T",'Zdroj data'!BF112="CH"),(OR('Zdroj data'!AZ112=$AW$43,'Zdroj data'!AZ112=$AW$44,))),$BZ$22," ")</f>
        <v>10</v>
      </c>
      <c r="AE112" s="264" t="str">
        <f>IF(AND('Zdroj data'!BF112="CH",(OR('Zdroj data'!AZ112=$AW$49,'Zdroj data'!AZ112=$AW$50,'Zdroj data'!AZ112=$AW$51,'Zdroj data'!AZ112=$AW$52))),$AY$22,IF(AND('Zdroj data'!BF112="CH",(OR('Zdroj data'!AZ112=$AW$45,'Zdroj data'!AZ112=$AW$46,'Zdroj data'!AZ112=$AW$47,'Zdroj data'!AZ112=$AW$48))),$BZ$22," "))</f>
        <v xml:space="preserve"> </v>
      </c>
      <c r="AF112" s="264">
        <f>IF(AND('Zdroj data'!BG112="L",'Zdroj data'!AM112=Body!$AX$15),IF(AND('Zdroj data'!O112&gt;=Body!$AY$15,'Zdroj data'!O112&lt;=Body!$BA$15),Body!AY$6,IF(AND('Zdroj data'!O112&gt;=Body!$BB$15,'Zdroj data'!O112&lt;=Body!$BD$15),Body!BB$6,IF(AND('Zdroj data'!O112&gt;=Body!$BE$15,'Zdroj data'!O112&lt;=Body!$BG$15),Body!BE$6,IF(AND('Zdroj data'!O112&gt;=Body!$BH$15,'Zdroj data'!O112&lt;=Body!$BJ$15),Body!BH$6,IF(AND('Zdroj data'!O112&gt;=Body!$BK$15,'Zdroj data'!O112&lt;=Body!$BM$15),Body!BK$6,IF(AND('Zdroj data'!O112&gt;=Body!$BN$15,'Zdroj data'!O112&lt;=Body!$BP$15),Body!$BN$6,IF(AND('Zdroj data'!O112&gt;=Body!$BQ$15,'Zdroj data'!O112&lt;=Body!$BS$15),Body!$BQ$6,IF(AND('Zdroj data'!O112&gt;=Body!$BT$15,'Zdroj data'!O112&lt;=Body!$BV$15),Body!BT$6,IF(AND('Zdroj data'!O112&gt;=Body!$BW$15,'Zdroj data'!O112&lt;=Body!$BY$15),Body!$BW$6,IF('Zdroj data'!O112&gt;=Body!$CB$15,Body!$BZ$6," ")))))))))),IF(AND('Zdroj data'!BG112="ST",'Zdroj data'!AM112=Body!$AX$16),IF(AND('Zdroj data'!O112&gt;=Body!$AY$16,'Zdroj data'!O112&lt;=Body!$BA$16),Body!$AY$6,IF(AND('Zdroj data'!O112&gt;=Body!$BB$16,'Zdroj data'!O112&lt;=Body!$BD$16),Body!$BB$6,IF(AND('Zdroj data'!O112&gt;=Body!$BE$16,'Zdroj data'!O112&lt;=Body!$BG$16),Body!$BE$6,IF(AND('Zdroj data'!O112&gt;=Body!$BH$16,'Zdroj data'!O112&lt;=Body!$BJ$16),Body!$BH$6,IF(AND('Zdroj data'!O112&gt;=Body!$BK$16,'Zdroj data'!O112&lt;=Body!$BM$16),Body!$BK$6,IF(AND('Zdroj data'!O112&gt;=Body!$BN$16,'Zdroj data'!O112&lt;=Body!$BP$16),Body!$BN$6,IF(AND('Zdroj data'!O112&gt;=Body!$BQ$16,'Zdroj data'!O112&lt;=Body!$BS$16),Body!$BQ$6,IF(AND('Zdroj data'!O112&gt;=Body!$BT$16,'Zdroj data'!O112&lt;=Body!$BV$16),Body!$BT$6,IF(AND('Zdroj data'!O112&gt;=Body!$BW$16,'Zdroj data'!O112&lt;=Body!$BY$16),Body!$BW$6,IF('Zdroj data'!O112&gt;=Body!$CB$16,Body!$BZ$6," ")))))))))),IF(AND('Zdroj data'!BG112="T",'Zdroj data'!AM112=Body!$AX$17),IF(AND('Zdroj data'!O112&gt;=Body!$AY$17,'Zdroj data'!O112&lt;=Body!$BA$17),Body!$AY$6,IF(AND('Zdroj data'!O112&gt;=Body!$BB$17,'Zdroj data'!O112&lt;=Body!$BD$17),Body!$BB$6,IF(AND('Zdroj data'!O112&gt;=Body!$BE$17,'Zdroj data'!O112&lt;=Body!$BG$17),Body!$BE$6,IF(AND('Zdroj data'!O112&gt;=Body!$BH$17,'Zdroj data'!O112&lt;=Body!BJ126),Body!$BH$6,IF(AND('Zdroj data'!O112&gt;=Body!$BK$17,'Zdroj data'!O112&lt;=Body!$BM$17),Body!$BK$6,IF(AND('Zdroj data'!O112&gt;=Body!$BN$17,'Zdroj data'!O112&lt;=Body!$BP$17),Body!$BN$6,IF(AND('Zdroj data'!O112&gt;=Body!$BQ$17,'Zdroj data'!O112&lt;=Body!$BS$17),Body!$BQ$6,IF(AND('Zdroj data'!O112&gt;=Body!$BT$17,'Zdroj data'!O112&lt;=Body!$BV$17),Body!$BT$6,IF(AND('Zdroj data'!O112&gt;=Body!$BW$17,'Zdroj data'!O112&lt;=Body!$BY$17),Body!$BW$6,IF('Zdroj data'!O112&gt;=Body!$CB$17,Body!$BZ$6," "))))))))))," ")))</f>
        <v>1</v>
      </c>
      <c r="AG112" s="264">
        <f>IF(AND('Zdroj data'!$BG112="L",'Zdroj data'!$AM112=Body!$AX$15),IF(AND(Tabulka1[[#This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data'!$BG112="ST",'Zdroj data'!$AM112=Body!$AX$16),IF(AND(Tabulka1[[#This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data'!$BG112="T",'Zdroj data'!$AM112=Body!$AX$17),IF(AND(Tabulka1[[#This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Row],[K2O_60]]&lt;=Body!BJ126),Body!$BH$6,IF(AND(Tabulka1[[#This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12" s="264" t="str">
        <f>IF(AND('Zdroj data'!BG112="L",'Zdroj data'!AM112=Body!$AX$18),IF(AND('Zdroj data'!O112&gt;=Body!$AY$18,'Zdroj data'!O112&lt;=Body!$BA$18),Body!AY$6,IF(AND('Zdroj data'!O112&gt;=Body!$BB$18,'Zdroj data'!O112&lt;=Body!$BD$18),Body!BB$6,IF(AND('Zdroj data'!O112&gt;=Body!$BE$18,'Zdroj data'!O112&lt;=Body!$BG$18),Body!BE$6,IF(AND('Zdroj data'!O112&gt;=Body!$BH$18,'Zdroj data'!O112&lt;=Body!$BJ$18),Body!BH$6,IF(AND('Zdroj data'!O112&gt;=Body!$BK$18,'Zdroj data'!O112&lt;=Body!$BM$18),Body!$BK$6,IF(AND('Zdroj data'!O112&gt;=Body!$BN$18,'Zdroj data'!O112&lt;=Body!$BP$18),Body!BN$6,IF(AND('Zdroj data'!O112&gt;=Body!$BQ$18,'Zdroj data'!O112&lt;=Body!$BS$18),Body!$BQ$6,IF(AND('Zdroj data'!O112&gt;=Body!$BT$18,'Zdroj data'!O112&lt;=Body!$BV$18),Body!$BT$6,IF(AND('Zdroj data'!O112&gt;=Body!$BW$18,'Zdroj data'!O112&lt;=Body!$BY$18),Body!$BW$6,IF('Zdroj data'!O112&gt;=Body!$CB$18,Body!$BZ$6," ")))))))))),IF(AND('Zdroj data'!BG112="ST",'Zdroj data'!AM112=Body!$AX$19),IF(AND('Zdroj data'!O112&gt;=Body!$AY$19,'Zdroj data'!O112&lt;=Body!$BA$19),Body!$AY$6,IF(AND('Zdroj data'!O112&gt;=Body!$BB$19,'Zdroj data'!O112&lt;=Body!$BD$19),Body!$BB$6,IF(AND('Zdroj data'!O112&gt;=Body!$BE$19,'Zdroj data'!O112&lt;=Body!$BG$19),Body!$BE$6,IF(AND('Zdroj data'!O112&gt;=Body!$BH$19,'Zdroj data'!O112&lt;=Body!$BJ$19),Body!$BH$6,IF(AND('Zdroj data'!O112&gt;=Body!$BK$19,'Zdroj data'!O112&lt;=Body!$BM$19),Body!$BK$6,IF(AND('Zdroj data'!O112&gt;=Body!$BN$19,'Zdroj data'!O112&lt;=Body!$BP$19),Body!$BN$6,IF(AND('Zdroj data'!O112&gt;=Body!$BQ$19,'Zdroj data'!O112&lt;=Body!$BS$19),Body!$BQ$6,IF(AND('Zdroj data'!O112&gt;=Body!$BT$19,'Zdroj data'!O116&lt;=Body!$BV$19),Body!$BT$6,IF(AND('Zdroj data'!O112&gt;=Body!$BW$19,'Zdroj data'!O112&lt;=Body!$BY$19),Body!$BW$6,IF('Zdroj data'!O112&gt;=Body!$CB$19,Body!$BZ$6," ")))))))))),IF(AND('Zdroj data'!BG112="T",'Zdroj data'!AM112=Body!$AX$20),IF(AND('Zdroj data'!O112&gt;=Body!$AY$20,'Zdroj data'!O112&lt;=Body!$BA$20),Body!$AY$6,IF(AND('Zdroj data'!O112&gt;=Body!$BB$20,'Zdroj data'!O112&lt;=Body!$BD$20),Body!$BB$6,IF(AND('Zdroj data'!O112&gt;=Body!$BE$20,'Zdroj data'!O112&lt;=Body!$BG$20),Body!$BE$6,IF(AND('Zdroj data'!O112&gt;=Body!$BH$20,'Zdroj data'!O112&lt;=Body!$BJ$20),Body!$BH$6,IF(AND('Zdroj data'!O112&gt;=Body!$BK$20,'Zdroj data'!O112&lt;=Body!$BM$20),Body!$BK$6,IF(AND('Zdroj data'!O112&gt;=Body!$BN$20,'Zdroj data'!O112&lt;=Body!$BP$20),Body!$BN$6,IF(AND('Zdroj data'!O112&gt;=Body!$BQ$20,'Zdroj data'!O112&lt;=Body!$BS$20),Body!$BQ$6,IF(AND('Zdroj data'!O112&gt;=Body!$BT$20,'Zdroj data'!O112&lt;=Body!BV129),Body!$BT$6,IF(AND('Zdroj data'!O112&gt;=Body!$BW$20,'Zdroj data'!O112&lt;=Body!$BY$20),Body!$BW$6,IF('Zdroj data'!O112&gt;=Body!$CB$20,Body!$BZ$6," "))))))))))," ")))</f>
        <v xml:space="preserve"> </v>
      </c>
      <c r="AI112" s="264" t="str">
        <f>IF(AND('Zdroj data'!$BG112="L",'Zdroj data'!$AM112=Body!$AX$18),IF(AND(Tabulka1[[#This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data'!$BG112="ST",'Zdroj data'!$AM112=Body!$AX$19),IF(AND(Tabulka1[[#This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data'!$BG112="T",'Zdroj data'!$AM112=Body!$AX$20),IF(AND(Tabulka1[[#This Row],[K2O_60]]&gt;=Body!$AY$20,'Zdroj data'!O112&lt;=Body!$BA$20),Body!$AY$6,IF(AND(Tabulka1[[#This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Row],[K2O_60]]&lt;=Body!BV129),Body!$BT$6,IF(AND(Tabulka1[[#This Row],[K2O_60]]&gt;=Body!$BW$20,Tabulka1[[#This Row],[K2O_60]]&lt;=Body!$BY$20),Body!$BW$6,IF(Tabulka1[[#This Row],[K2O_60]]&gt;=Body!$CB$20,Body!$BZ$6," "))))))))))," ")))</f>
        <v xml:space="preserve"> </v>
      </c>
      <c r="AJ112" s="265">
        <f t="shared" si="13"/>
        <v>5.3333333333333375</v>
      </c>
      <c r="AK112" s="264">
        <f t="shared" si="14"/>
        <v>33.322240409046024</v>
      </c>
      <c r="AL112" s="264">
        <f t="shared" si="15"/>
        <v>35.107032178169334</v>
      </c>
      <c r="AM112" s="264">
        <f t="shared" si="16"/>
        <v>76.406232972345762</v>
      </c>
      <c r="AN112" s="264">
        <f t="shared" si="17"/>
        <v>63.945205436587827</v>
      </c>
      <c r="AO112" s="265">
        <f t="shared" si="21"/>
        <v>109.72847338139178</v>
      </c>
      <c r="AP112" s="265">
        <f t="shared" si="18"/>
        <v>99.052237614757161</v>
      </c>
      <c r="AQ112" s="318"/>
      <c r="AR112" s="338">
        <f t="shared" si="19"/>
        <v>214.11404432948228</v>
      </c>
      <c r="AS112" s="318"/>
      <c r="AT112" s="138"/>
      <c r="AU112" s="138"/>
    </row>
    <row r="113" spans="1:47" ht="15.5" x14ac:dyDescent="0.35">
      <c r="A113" s="270">
        <v>5505</v>
      </c>
      <c r="B113" s="156" t="s">
        <v>307</v>
      </c>
      <c r="C113" s="250" t="str">
        <f>VLOOKUP(B113,'Zdroj hloubka okresy'!$A$2:$D$171,2,FALSE)</f>
        <v>Kutna_Hora</v>
      </c>
      <c r="D113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113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113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13" s="264">
        <f>IF(AND(Tabulka1[[#This Row],[hum_60]]&gt;AY119,Tabulka1[[#This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13" s="264">
        <f>IF(Tabulka1[[#This Row],[kv.ek.]]=Body!$AX$13,IF(AND('Zdroj data'!M113&gt;=Body!$AY$13,'Zdroj data'!M113&lt;=Body!$BA$13),Body!$AY$6,IF(AND('Zdroj data'!M113&gt;=Body!$BB$13,'Zdroj data'!M113&lt;=Body!$BD$13),Body!$BB$6,IF(AND('Zdroj data'!M113&gt;=Body!$BE$13,'Zdroj data'!M113&lt;=Body!$BG$13),Body!$BE$6,IF(AND('Zdroj data'!M113&gt;=Body!$BH$13,'Zdroj data'!M113&lt;=Body!$BJ$13),Body!$BH$6,IF(AND('Zdroj data'!M113&gt;=Body!$BK$13,'Zdroj data'!M113&lt;=Body!$BM$13),Body!$BK$6,IF(AND('Zdroj data'!M113&gt;=Body!$BN$13,'Zdroj data'!M113&lt;=Body!$BP$13),Body!$BN$6,IF(AND('Zdroj data'!M113&gt;=Body!$BQ$13,'Zdroj data'!M113&lt;=Body!$BS$13),Body!$BQ$6,IF(AND('Zdroj data'!M113&gt;=Body!$BT$13,'Zdroj data'!M113&lt;=Body!$BV$13),Body!$BT$6,IF(AND('Zdroj data'!M113&gt;=Body!$BW$13,'Zdroj data'!M113&lt;=Body!$BY$13),Body!$BW$6,IF('Zdroj data'!M113&gt;=Body!$CB$13,Body!$BZ$6," ")))))))))),IF(Tabulka1[[#This Row],[kv.ek.]]=Body!$AX$14,IF(AND('Zdroj data'!N113&gt;=Body!$AY$14,'Zdroj data'!N113&lt;=Body!$BA$14),Body!$AY$6,IF(AND('Zdroj data'!N113&gt;=Body!$BB$14,'Zdroj data'!N113&lt;=Body!$BD$14),Body!$BB$6,IF(AND('Zdroj data'!N113&gt;=Body!$BE$14,'Zdroj data'!N113&lt;=Body!$BG$14),Body!$BE$6,IF(AND('Zdroj data'!N113&gt;=Body!$BH$14,'Zdroj data'!N113&lt;=Body!$BJ$14),Body!$BH$6,IF(AND('Zdroj data'!N113&gt;=Body!$BK$14,'Zdroj data'!N113&lt;=Body!$BM$14),Body!$BK$6,IF(AND('Zdroj data'!N113&gt;=Body!$BN$14,'Zdroj data'!N113&lt;=Body!$BP$14),Body!$BN$6,IF(AND('Zdroj data'!N113&gt;=Body!$BQ$14,'Zdroj data'!N113&lt;=Body!$BS$14),Body!$BQ$6,IF(AND('Zdroj data'!N113&gt;=Body!$BT$14,'Zdroj data'!N113&lt;=Body!$BV$14),Body!$BT$6,IF(AND('Zdroj data'!N113&gt;=Body!$BW$14,'Zdroj data'!N113&lt;=Body!$BY$14),Body!$BW$6,IF('Zdroj data'!N113&gt;=Body!$CB$14,Body!$BZ$6," "))))))))))," "))</f>
        <v>1</v>
      </c>
      <c r="I113" s="264">
        <f>IF(Tabulka1[[#This Row],[kv.ek.]]=Body!$AX$13,IF(AND('Zdroj data'!N113&gt;=Body!$AY$13,'Zdroj data'!N113&lt;=Body!$BA$13),Body!$AY$6,IF(AND('Zdroj data'!N113&gt;=Body!$BB$13,'Zdroj data'!N113&lt;=Body!$BD$13),Body!$BB$6,IF(AND('Zdroj data'!N113&gt;=Body!$BE$13,'Zdroj data'!N113&lt;=Body!$BG$13),Body!$BE$6,IF(AND('Zdroj data'!N113&gt;=Body!$BH$13,'Zdroj data'!N113&lt;=Body!$BJ$13),Body!$BH$6,IF(AND('Zdroj data'!N113&gt;=Body!$BK$13,'Zdroj data'!N113&lt;=Body!$BM$13),Body!$BK$6,IF(AND('Zdroj data'!N113&gt;=Body!$BN$13,'Zdroj data'!N113&lt;=Body!$BP$13),Body!$BN$6,IF(AND('Zdroj data'!N113&gt;=Body!$BQ$13,'Zdroj data'!N113&lt;=Body!$BS$13),Body!$BQ$6,IF(AND('Zdroj data'!N113&gt;=Body!$BT$13,'Zdroj data'!N113&lt;=Body!$BV$13),Body!$BT$6,IF(AND('Zdroj data'!N113&gt;=Body!$BW$13,'Zdroj data'!N113&lt;=Body!$BY$13),Body!$BW$6,IF('Zdroj data'!N113&gt;=Body!$CB$13,Body!$BZ$6," ")))))))))),IF(Tabulka1[[#This Row],[kv.ek.]]=Body!$AX$14,IF(AND('Zdroj data'!O113&gt;=Body!$AY$14,'Zdroj data'!O113&lt;=Body!$BA$14),Body!$AY$6,IF(AND('Zdroj data'!O113&gt;=Body!$BB$14,'Zdroj data'!O113&lt;=Body!$BD$14),Body!$BB$6,IF(AND('Zdroj data'!O113&gt;=Body!$BE$14,'Zdroj data'!O113&lt;=Body!$BG$14),Body!$BE$6,IF(AND('Zdroj data'!O113&gt;=Body!$BH$14,'Zdroj data'!O113&lt;=Body!$BJ$14),Body!$BH$6,IF(AND('Zdroj data'!O113&gt;=Body!$BK$14,'Zdroj data'!O113&lt;=Body!$BM$14),Body!$BK$6,IF(AND('Zdroj data'!O113&gt;=Body!$BN$14,'Zdroj data'!O113&lt;=Body!$BP$14),Body!$BN$6,IF(AND('Zdroj data'!O113&gt;=Body!$BQ$14,'Zdroj data'!O113&lt;=Body!$BS$14),Body!$BQ$6,IF(AND('Zdroj data'!O113&gt;=Body!$BT$14,'Zdroj data'!O113&lt;=Body!$BV$14),Body!$BT$6,IF(AND('Zdroj data'!O113&gt;=Body!$BW$14,'Zdroj data'!O113&lt;=Body!$BY$14),Body!$BW$6,IF('Zdroj data'!O113&gt;=Body!$CB$14,Body!$BZ$6," "))))))))))," "))</f>
        <v>4</v>
      </c>
      <c r="J113" s="264">
        <f t="shared" si="25"/>
        <v>1</v>
      </c>
      <c r="K113" s="264">
        <f t="shared" si="25"/>
        <v>1</v>
      </c>
      <c r="L113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113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113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113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113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113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113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113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113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113" s="264">
        <f>IF('Zdroj data'!BB113=Body!$AY$25,Body!$AY$22,IF('Zdroj data'!BB113=Body!$BB$25,Body!$BB$22,IF('Zdroj data'!BB113=Body!$BE$25,Body!$BE$22,IF('Zdroj data'!BB113=Body!$BH$25,Body!$BH$22,IF('Zdroj data'!BB113=Body!BK$25,Body!$BK$22,IF('Zdroj data'!BB113=Body!$BN$25,Body!$BN$22,IF('Zdroj data'!BB113=Body!$BQ$25,Body!$BQ$22,IF('Zdroj data'!BB113=Body!$BT$25,Body!$BT$22,IF('Zdroj data'!BB113=Body!$BW$25,Body!$BW$22,IF('Zdroj data'!BB113=Body!$BZ$25,Body!$BZ$22," "))))))))))</f>
        <v>7</v>
      </c>
      <c r="V113" s="264">
        <f>IF(AND('Zdroj data'!BO113&gt;Body!$AY$27,'Zdroj data'!BO113&lt;=Body!$BA$27),Body!$AY$22,IF(AND('Zdroj data'!BO113&gt;=Body!$BB$27,'Zdroj data'!BO113&lt;=Body!$BD$27),Body!$BB$22,IF(AND('Zdroj data'!BO113&gt;=Body!$BE$27,'Zdroj data'!BO113&lt;=Body!$BG$27),Body!$BE$22,IF(AND('Zdroj data'!BO113&gt;=Body!$BH$27,'Zdroj data'!BO113&lt;=Body!$BJ$27),Body!$BH$22,IF(AND('Zdroj data'!BO113&gt;=Body!$BK$27,'Zdroj data'!BO113&lt;=Body!$BM$27),Body!$BK$22,IF(AND('Zdroj data'!BO113&gt;=Body!$BN$27,'Zdroj data'!BO113&lt;=Body!$BP$27),Body!$BN$22,IF(AND('Zdroj data'!BO113&gt;=Body!$BQ$27,'Zdroj data'!BO113&lt;=Body!$BS$27),Body!$BQ$22,IF(AND('Zdroj data'!BO113&gt;=Body!$BT$27,'Zdroj data'!BO113&lt;=Body!$BV$27),Body!$BT$22,IF(AND('Zdroj data'!BO113&gt;=Body!$BW$27,'Zdroj data'!BO113&lt;=Body!$BY$27),Body!$BW$22,IF('Zdroj data'!BO113&gt;=Body!$CB$27,$BZ$22," "))))))))))</f>
        <v>7</v>
      </c>
      <c r="W113" s="264">
        <f>IF(AND('Zdroj data'!BP113&gt;Body!$AY$27,'Zdroj data'!BP113&lt;=Body!$BA$27),Body!$AY$22,IF(AND('Zdroj data'!BP113&gt;=Body!$BB$27,'Zdroj data'!BP113&lt;=Body!$BD$27),Body!$BB$22,IF(AND('Zdroj data'!BP113&gt;=Body!$BE$27,'Zdroj data'!BP113&lt;=Body!$BG$27),Body!$BE$22,IF(AND('Zdroj data'!BP113&gt;=Body!$BH$27,'Zdroj data'!BP113&lt;=Body!$BJ$27),Body!$BH$22,IF(AND('Zdroj data'!BP113&gt;=Body!$BK$27,'Zdroj data'!BP113&lt;=Body!$BM$27),Body!$BK$22,IF(AND('Zdroj data'!BP113&gt;=Body!$BN$27,'Zdroj data'!BP113&lt;=Body!$BP$27),Body!$BN$22,IF(AND('Zdroj data'!BP113&gt;=Body!$BQ$27,'Zdroj data'!BP113&lt;=Body!$BS$27),Body!$BQ$22,IF(AND('Zdroj data'!BP113&gt;=Body!$BT$27,'Zdroj data'!BP113&lt;=Body!$BV$27),Body!$BT$22,IF(AND('Zdroj data'!BP113&gt;=Body!$BW$27,'Zdroj data'!BP113&lt;=Body!$BY$27),Body!$BW$22,IF('Zdroj data'!BP113&gt;=Body!$CB$27,$BZ$22," "))))))))))</f>
        <v>6</v>
      </c>
      <c r="X113" s="264">
        <f>IF('Zdroj data'!BA113=Body!$BB$28,$BB$22,IF('Zdroj data'!BA113=Body!$BE$28,$BE$22,IF(OR('Zdroj data'!BA113=Body!$BK$28,'Zdroj data'!BA113=Body!$BL$28,'Zdroj data'!BA113=Body!$BM$28),$BK$22,IF(OR('Zdroj data'!BA113=Body!$BT$28,'Zdroj data'!BA113=Body!$BV$28),$BT$22,IF(OR('Zdroj data'!BA113=Body!$BW$28,'Zdroj data'!BA113=Body!$BY$28),$BW$22,IF('Zdroj data'!BA113=Body!$BZ$28,$BZ$22," "))))))</f>
        <v>10</v>
      </c>
      <c r="Y113" s="264">
        <f>IF('Zdroj data'!AZ113=Body!$BZ$29,Body!$BZ$22,IF(OR('Zdroj data'!AZ113=$BT$29,'Zdroj data'!AZ113=$BU$29,'Zdroj data'!AZ113=$BV$29),$BT$22,IF(OR('Zdroj data'!AZ113=$BK$29,'Zdroj data'!AZ113=$BM$29),$BK$22,IF(OR('Zdroj data'!AZ113=$BE$29,'Zdroj data'!AZ113=$BG$29),$BE$22,IF(OR('Zdroj data'!AZ113=$AY$29,'Zdroj data'!AZ113=$BA$29),$AY$22," ")))))</f>
        <v>10</v>
      </c>
      <c r="Z113" s="264">
        <f>IF(AND('Zdroj data'!BF113="T",(OR('Zdroj data'!AZ113=Body!$AW$45,'Zdroj data'!AZ113=Body!$AW$46,'Zdroj data'!AZ113=Body!$AW$47,'Zdroj data'!AZ113=Body!$AW$48))),Body!$AY$22,IF(AND('Zdroj data'!BF113="T",(OR('Zdroj data'!AZ113=$AW$49,'Zdroj data'!AZ113=$AW$50,'Zdroj data'!AZ113=$AW$51,'Zdroj data'!AZ113=$AW$52))),$BZ$22,IF(AND(OR('Zdroj data'!BF113="VT",'Zdroj data'!BF113="T",'Zdroj data'!BF113="CH"),(OR('Zdroj data'!AZ113=$AW$43,'Zdroj data'!AZ113=$AW$44,))),$BZ$22,IF(AND('Zdroj data'!BF113="CH",(OR('Zdroj data'!AZ113=$AW$49,'Zdroj data'!AZ113=$AW$50,'Zdroj data'!AZ113=$AW$51,'Zdroj data'!AZ113=$AW$52))),$AY$22,IF(AND('Zdroj data'!BF113="CH",(OR('Zdroj data'!AZ113=$AW$45,'Zdroj data'!AZ113=$AW$46,'Zdroj data'!AZ113=$AW$47,'Zdroj data'!AZ113=$AW$48))),$BZ$22," ")))))</f>
        <v>10</v>
      </c>
      <c r="AA113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13" s="264">
        <f>IF(Tabulka1[[#This Row],[kv.ek.]]=Body!$BK$35,Body!$BK$34,IF(Tabulka1[[#This Row],[kv.ek.]]=Body!$BZ$35,Body!$BZ$34," "))</f>
        <v>10</v>
      </c>
      <c r="AC113" s="264" t="str">
        <f>IF(AND('Zdroj data'!BF113="T",(OR('Zdroj data'!AZ113=Body!$AW$45,'Zdroj data'!AZ113=Body!$AW$46,'Zdroj data'!AZ113=Body!$AW$47,'Zdroj data'!AZ113=Body!$AW$48))),Body!$AY$22,IF(AND('Zdroj data'!BF113="T",(OR('Zdroj data'!AZ113=$AW$49,'Zdroj data'!AZ113=$AW$50,'Zdroj data'!AZ113=$AW$51,'Zdroj data'!AZ113=$AW$52))),$BZ$22," "))</f>
        <v xml:space="preserve"> </v>
      </c>
      <c r="AD113" s="264">
        <f>IF(AND(OR('Zdroj data'!BF113="VT",'Zdroj data'!BF113="T",'Zdroj data'!BF113="CH"),(OR('Zdroj data'!AZ113=$AW$43,'Zdroj data'!AZ113=$AW$44,))),$BZ$22," ")</f>
        <v>10</v>
      </c>
      <c r="AE113" s="264" t="str">
        <f>IF(AND('Zdroj data'!BF113="CH",(OR('Zdroj data'!AZ113=$AW$49,'Zdroj data'!AZ113=$AW$50,'Zdroj data'!AZ113=$AW$51,'Zdroj data'!AZ113=$AW$52))),$AY$22,IF(AND('Zdroj data'!BF113="CH",(OR('Zdroj data'!AZ113=$AW$45,'Zdroj data'!AZ113=$AW$46,'Zdroj data'!AZ113=$AW$47,'Zdroj data'!AZ113=$AW$48))),$BZ$22," "))</f>
        <v xml:space="preserve"> </v>
      </c>
      <c r="AF113" s="264" t="str">
        <f>IF(AND('Zdroj data'!BG113="L",'Zdroj data'!AM113=Body!$AX$15),IF(AND('Zdroj data'!O113&gt;=Body!$AY$15,'Zdroj data'!O113&lt;=Body!$BA$15),Body!AY$6,IF(AND('Zdroj data'!O113&gt;=Body!$BB$15,'Zdroj data'!O113&lt;=Body!$BD$15),Body!BB$6,IF(AND('Zdroj data'!O113&gt;=Body!$BE$15,'Zdroj data'!O113&lt;=Body!$BG$15),Body!BE$6,IF(AND('Zdroj data'!O113&gt;=Body!$BH$15,'Zdroj data'!O113&lt;=Body!$BJ$15),Body!BH$6,IF(AND('Zdroj data'!O113&gt;=Body!$BK$15,'Zdroj data'!O113&lt;=Body!$BM$15),Body!BK$6,IF(AND('Zdroj data'!O113&gt;=Body!$BN$15,'Zdroj data'!O113&lt;=Body!$BP$15),Body!$BN$6,IF(AND('Zdroj data'!O113&gt;=Body!$BQ$15,'Zdroj data'!O113&lt;=Body!$BS$15),Body!$BQ$6,IF(AND('Zdroj data'!O113&gt;=Body!$BT$15,'Zdroj data'!O113&lt;=Body!$BV$15),Body!BT$6,IF(AND('Zdroj data'!O113&gt;=Body!$BW$15,'Zdroj data'!O113&lt;=Body!$BY$15),Body!$BW$6,IF('Zdroj data'!O113&gt;=Body!$CB$15,Body!$BZ$6," ")))))))))),IF(AND('Zdroj data'!BG113="ST",'Zdroj data'!AM113=Body!$AX$16),IF(AND('Zdroj data'!O113&gt;=Body!$AY$16,'Zdroj data'!O113&lt;=Body!$BA$16),Body!$AY$6,IF(AND('Zdroj data'!O113&gt;=Body!$BB$16,'Zdroj data'!O113&lt;=Body!$BD$16),Body!$BB$6,IF(AND('Zdroj data'!O113&gt;=Body!$BE$16,'Zdroj data'!O113&lt;=Body!$BG$16),Body!$BE$6,IF(AND('Zdroj data'!O113&gt;=Body!$BH$16,'Zdroj data'!O113&lt;=Body!$BJ$16),Body!$BH$6,IF(AND('Zdroj data'!O113&gt;=Body!$BK$16,'Zdroj data'!O113&lt;=Body!$BM$16),Body!$BK$6,IF(AND('Zdroj data'!O113&gt;=Body!$BN$16,'Zdroj data'!O113&lt;=Body!$BP$16),Body!$BN$6,IF(AND('Zdroj data'!O113&gt;=Body!$BQ$16,'Zdroj data'!O113&lt;=Body!$BS$16),Body!$BQ$6,IF(AND('Zdroj data'!O113&gt;=Body!$BT$16,'Zdroj data'!O113&lt;=Body!$BV$16),Body!$BT$6,IF(AND('Zdroj data'!O113&gt;=Body!$BW$16,'Zdroj data'!O113&lt;=Body!$BY$16),Body!$BW$6,IF('Zdroj data'!O113&gt;=Body!$CB$16,Body!$BZ$6," ")))))))))),IF(AND('Zdroj data'!BG113="T",'Zdroj data'!AM113=Body!$AX$17),IF(AND('Zdroj data'!O113&gt;=Body!$AY$17,'Zdroj data'!O113&lt;=Body!$BA$17),Body!$AY$6,IF(AND('Zdroj data'!O113&gt;=Body!$BB$17,'Zdroj data'!O113&lt;=Body!$BD$17),Body!$BB$6,IF(AND('Zdroj data'!O113&gt;=Body!$BE$17,'Zdroj data'!O113&lt;=Body!$BG$17),Body!$BE$6,IF(AND('Zdroj data'!O113&gt;=Body!$BH$17,'Zdroj data'!O113&lt;=Body!BJ127),Body!$BH$6,IF(AND('Zdroj data'!O113&gt;=Body!$BK$17,'Zdroj data'!O113&lt;=Body!$BM$17),Body!$BK$6,IF(AND('Zdroj data'!O113&gt;=Body!$BN$17,'Zdroj data'!O113&lt;=Body!$BP$17),Body!$BN$6,IF(AND('Zdroj data'!O113&gt;=Body!$BQ$17,'Zdroj data'!O113&lt;=Body!$BS$17),Body!$BQ$6,IF(AND('Zdroj data'!O113&gt;=Body!$BT$17,'Zdroj data'!O113&lt;=Body!$BV$17),Body!$BT$6,IF(AND('Zdroj data'!O113&gt;=Body!$BW$17,'Zdroj data'!O113&lt;=Body!$BY$17),Body!$BW$6,IF('Zdroj data'!O113&gt;=Body!$CB$17,Body!$BZ$6," "))))))))))," ")))</f>
        <v xml:space="preserve"> </v>
      </c>
      <c r="AG113" s="264" t="str">
        <f>IF(AND('Zdroj data'!$BG113="L",'Zdroj data'!$AM113=Body!$AX$15),IF(AND(Tabulka1[[#This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data'!$BG113="ST",'Zdroj data'!$AM113=Body!$AX$16),IF(AND(Tabulka1[[#This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data'!$BG113="T",'Zdroj data'!$AM113=Body!$AX$17),IF(AND(Tabulka1[[#This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Row],[K2O_60]]&lt;=Body!BJ127),Body!$BH$6,IF(AND(Tabulka1[[#This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113" s="264">
        <f>IF(AND('Zdroj data'!BG113="L",'Zdroj data'!AM113=Body!$AX$18),IF(AND('Zdroj data'!O113&gt;=Body!$AY$18,'Zdroj data'!O113&lt;=Body!$BA$18),Body!AY$6,IF(AND('Zdroj data'!O113&gt;=Body!$BB$18,'Zdroj data'!O113&lt;=Body!$BD$18),Body!BB$6,IF(AND('Zdroj data'!O113&gt;=Body!$BE$18,'Zdroj data'!O113&lt;=Body!$BG$18),Body!BE$6,IF(AND('Zdroj data'!O113&gt;=Body!$BH$18,'Zdroj data'!O113&lt;=Body!$BJ$18),Body!BH$6,IF(AND('Zdroj data'!O113&gt;=Body!$BK$18,'Zdroj data'!O113&lt;=Body!$BM$18),Body!$BK$6,IF(AND('Zdroj data'!O113&gt;=Body!$BN$18,'Zdroj data'!O113&lt;=Body!$BP$18),Body!BN$6,IF(AND('Zdroj data'!O113&gt;=Body!$BQ$18,'Zdroj data'!O113&lt;=Body!$BS$18),Body!$BQ$6,IF(AND('Zdroj data'!O113&gt;=Body!$BT$18,'Zdroj data'!O113&lt;=Body!$BV$18),Body!$BT$6,IF(AND('Zdroj data'!O113&gt;=Body!$BW$18,'Zdroj data'!O113&lt;=Body!$BY$18),Body!$BW$6,IF('Zdroj data'!O113&gt;=Body!$CB$18,Body!$BZ$6," ")))))))))),IF(AND('Zdroj data'!BG113="ST",'Zdroj data'!AM113=Body!$AX$19),IF(AND('Zdroj data'!O113&gt;=Body!$AY$19,'Zdroj data'!O113&lt;=Body!$BA$19),Body!$AY$6,IF(AND('Zdroj data'!O113&gt;=Body!$BB$19,'Zdroj data'!O113&lt;=Body!$BD$19),Body!$BB$6,IF(AND('Zdroj data'!O113&gt;=Body!$BE$19,'Zdroj data'!O113&lt;=Body!$BG$19),Body!$BE$6,IF(AND('Zdroj data'!O113&gt;=Body!$BH$19,'Zdroj data'!O113&lt;=Body!$BJ$19),Body!$BH$6,IF(AND('Zdroj data'!O113&gt;=Body!$BK$19,'Zdroj data'!O113&lt;=Body!$BM$19),Body!$BK$6,IF(AND('Zdroj data'!O113&gt;=Body!$BN$19,'Zdroj data'!O113&lt;=Body!$BP$19),Body!$BN$6,IF(AND('Zdroj data'!O113&gt;=Body!$BQ$19,'Zdroj data'!O113&lt;=Body!$BS$19),Body!$BQ$6,IF(AND('Zdroj data'!O113&gt;=Body!$BT$19,'Zdroj data'!O117&lt;=Body!$BV$19),Body!$BT$6,IF(AND('Zdroj data'!O113&gt;=Body!$BW$19,'Zdroj data'!O113&lt;=Body!$BY$19),Body!$BW$6,IF('Zdroj data'!O113&gt;=Body!$CB$19,Body!$BZ$6," ")))))))))),IF(AND('Zdroj data'!BG113="T",'Zdroj data'!AM113=Body!$AX$20),IF(AND('Zdroj data'!O113&gt;=Body!$AY$20,'Zdroj data'!O113&lt;=Body!$BA$20),Body!$AY$6,IF(AND('Zdroj data'!O113&gt;=Body!$BB$20,'Zdroj data'!O113&lt;=Body!$BD$20),Body!$BB$6,IF(AND('Zdroj data'!O113&gt;=Body!$BE$20,'Zdroj data'!O113&lt;=Body!$BG$20),Body!$BE$6,IF(AND('Zdroj data'!O113&gt;=Body!$BH$20,'Zdroj data'!O113&lt;=Body!$BJ$20),Body!$BH$6,IF(AND('Zdroj data'!O113&gt;=Body!$BK$20,'Zdroj data'!O113&lt;=Body!$BM$20),Body!$BK$6,IF(AND('Zdroj data'!O113&gt;=Body!$BN$20,'Zdroj data'!O113&lt;=Body!$BP$20),Body!$BN$6,IF(AND('Zdroj data'!O113&gt;=Body!$BQ$20,'Zdroj data'!O113&lt;=Body!$BS$20),Body!$BQ$6,IF(AND('Zdroj data'!O113&gt;=Body!$BT$20,'Zdroj data'!O113&lt;=Body!BV130),Body!$BT$6,IF(AND('Zdroj data'!O113&gt;=Body!$BW$20,'Zdroj data'!O113&lt;=Body!$BY$20),Body!$BW$6,IF('Zdroj data'!O113&gt;=Body!$CB$20,Body!$BZ$6," "))))))))))," ")))</f>
        <v>1</v>
      </c>
      <c r="AI113" s="264">
        <f>IF(AND('Zdroj data'!$BG113="L",'Zdroj data'!$AM113=Body!$AX$18),IF(AND(Tabulka1[[#This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data'!$BG113="ST",'Zdroj data'!$AM113=Body!$AX$19),IF(AND(Tabulka1[[#This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data'!$BG113="T",'Zdroj data'!$AM113=Body!$AX$20),IF(AND(Tabulka1[[#This Row],[K2O_60]]&gt;=Body!$AY$20,'Zdroj data'!O113&lt;=Body!$BA$20),Body!$AY$6,IF(AND(Tabulka1[[#This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Row],[K2O_60]]&lt;=Body!BV130),Body!$BT$6,IF(AND(Tabulka1[[#This Row],[K2O_60]]&gt;=Body!$BW$20,Tabulka1[[#This Row],[K2O_60]]&lt;=Body!$BY$20),Body!$BW$6,IF(Tabulka1[[#This Row],[K2O_60]]&gt;=Body!$CB$20,Body!$BZ$6," "))))))))))," ")))</f>
        <v>1</v>
      </c>
      <c r="AJ113" s="265">
        <f t="shared" si="13"/>
        <v>6.6666666666666714</v>
      </c>
      <c r="AK113" s="264">
        <f t="shared" si="14"/>
        <v>26.480707974550608</v>
      </c>
      <c r="AL113" s="264">
        <f t="shared" si="15"/>
        <v>28.281781668768947</v>
      </c>
      <c r="AM113" s="264">
        <f t="shared" si="16"/>
        <v>80.319856929421761</v>
      </c>
      <c r="AN113" s="264">
        <f t="shared" si="17"/>
        <v>74.861639765143778</v>
      </c>
      <c r="AO113" s="265">
        <f t="shared" si="21"/>
        <v>106.80056490397237</v>
      </c>
      <c r="AP113" s="265">
        <f t="shared" si="18"/>
        <v>103.14342143391272</v>
      </c>
      <c r="AQ113" s="318"/>
      <c r="AR113" s="338">
        <f t="shared" si="19"/>
        <v>216.61065300455175</v>
      </c>
      <c r="AS113" s="318"/>
      <c r="AT113" s="138"/>
      <c r="AU113" s="138"/>
    </row>
    <row r="114" spans="1:47" ht="15.5" x14ac:dyDescent="0.35">
      <c r="A114" s="270">
        <v>5508</v>
      </c>
      <c r="B114" s="156" t="s">
        <v>304</v>
      </c>
      <c r="C114" s="250" t="str">
        <f>VLOOKUP(B114,'Zdroj hloubka okresy'!$A$2:$D$171,2,FALSE)</f>
        <v>Kutna_Hora</v>
      </c>
      <c r="D114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114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114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14" s="264">
        <f>IF(AND(Tabulka1[[#This Row],[hum_60]]&gt;AY120,Tabulka1[[#This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14" s="264">
        <f>IF(Tabulka1[[#This Row],[kv.ek.]]=Body!$AX$13,IF(AND('Zdroj data'!M114&gt;=Body!$AY$13,'Zdroj data'!M114&lt;=Body!$BA$13),Body!$AY$6,IF(AND('Zdroj data'!M114&gt;=Body!$BB$13,'Zdroj data'!M114&lt;=Body!$BD$13),Body!$BB$6,IF(AND('Zdroj data'!M114&gt;=Body!$BE$13,'Zdroj data'!M114&lt;=Body!$BG$13),Body!$BE$6,IF(AND('Zdroj data'!M114&gt;=Body!$BH$13,'Zdroj data'!M114&lt;=Body!$BJ$13),Body!$BH$6,IF(AND('Zdroj data'!M114&gt;=Body!$BK$13,'Zdroj data'!M114&lt;=Body!$BM$13),Body!$BK$6,IF(AND('Zdroj data'!M114&gt;=Body!$BN$13,'Zdroj data'!M114&lt;=Body!$BP$13),Body!$BN$6,IF(AND('Zdroj data'!M114&gt;=Body!$BQ$13,'Zdroj data'!M114&lt;=Body!$BS$13),Body!$BQ$6,IF(AND('Zdroj data'!M114&gt;=Body!$BT$13,'Zdroj data'!M114&lt;=Body!$BV$13),Body!$BT$6,IF(AND('Zdroj data'!M114&gt;=Body!$BW$13,'Zdroj data'!M114&lt;=Body!$BY$13),Body!$BW$6,IF('Zdroj data'!M114&gt;=Body!$CB$13,Body!$BZ$6," ")))))))))),IF(Tabulka1[[#This Row],[kv.ek.]]=Body!$AX$14,IF(AND('Zdroj data'!N114&gt;=Body!$AY$14,'Zdroj data'!N114&lt;=Body!$BA$14),Body!$AY$6,IF(AND('Zdroj data'!N114&gt;=Body!$BB$14,'Zdroj data'!N114&lt;=Body!$BD$14),Body!$BB$6,IF(AND('Zdroj data'!N114&gt;=Body!$BE$14,'Zdroj data'!N114&lt;=Body!$BG$14),Body!$BE$6,IF(AND('Zdroj data'!N114&gt;=Body!$BH$14,'Zdroj data'!N114&lt;=Body!$BJ$14),Body!$BH$6,IF(AND('Zdroj data'!N114&gt;=Body!$BK$14,'Zdroj data'!N114&lt;=Body!$BM$14),Body!$BK$6,IF(AND('Zdroj data'!N114&gt;=Body!$BN$14,'Zdroj data'!N114&lt;=Body!$BP$14),Body!$BN$6,IF(AND('Zdroj data'!N114&gt;=Body!$BQ$14,'Zdroj data'!N114&lt;=Body!$BS$14),Body!$BQ$6,IF(AND('Zdroj data'!N114&gt;=Body!$BT$14,'Zdroj data'!N114&lt;=Body!$BV$14),Body!$BT$6,IF(AND('Zdroj data'!N114&gt;=Body!$BW$14,'Zdroj data'!N114&lt;=Body!$BY$14),Body!$BW$6,IF('Zdroj data'!N114&gt;=Body!$CB$14,Body!$BZ$6," "))))))))))," "))</f>
        <v>1</v>
      </c>
      <c r="I114" s="264">
        <f>IF(Tabulka1[[#This Row],[kv.ek.]]=Body!$AX$13,IF(AND('Zdroj data'!N114&gt;=Body!$AY$13,'Zdroj data'!N114&lt;=Body!$BA$13),Body!$AY$6,IF(AND('Zdroj data'!N114&gt;=Body!$BB$13,'Zdroj data'!N114&lt;=Body!$BD$13),Body!$BB$6,IF(AND('Zdroj data'!N114&gt;=Body!$BE$13,'Zdroj data'!N114&lt;=Body!$BG$13),Body!$BE$6,IF(AND('Zdroj data'!N114&gt;=Body!$BH$13,'Zdroj data'!N114&lt;=Body!$BJ$13),Body!$BH$6,IF(AND('Zdroj data'!N114&gt;=Body!$BK$13,'Zdroj data'!N114&lt;=Body!$BM$13),Body!$BK$6,IF(AND('Zdroj data'!N114&gt;=Body!$BN$13,'Zdroj data'!N114&lt;=Body!$BP$13),Body!$BN$6,IF(AND('Zdroj data'!N114&gt;=Body!$BQ$13,'Zdroj data'!N114&lt;=Body!$BS$13),Body!$BQ$6,IF(AND('Zdroj data'!N114&gt;=Body!$BT$13,'Zdroj data'!N114&lt;=Body!$BV$13),Body!$BT$6,IF(AND('Zdroj data'!N114&gt;=Body!$BW$13,'Zdroj data'!N114&lt;=Body!$BY$13),Body!$BW$6,IF('Zdroj data'!N114&gt;=Body!$CB$13,Body!$BZ$6," ")))))))))),IF(Tabulka1[[#This Row],[kv.ek.]]=Body!$AX$14,IF(AND('Zdroj data'!O114&gt;=Body!$AY$14,'Zdroj data'!O114&lt;=Body!$BA$14),Body!$AY$6,IF(AND('Zdroj data'!O114&gt;=Body!$BB$14,'Zdroj data'!O114&lt;=Body!$BD$14),Body!$BB$6,IF(AND('Zdroj data'!O114&gt;=Body!$BE$14,'Zdroj data'!O114&lt;=Body!$BG$14),Body!$BE$6,IF(AND('Zdroj data'!O114&gt;=Body!$BH$14,'Zdroj data'!O114&lt;=Body!$BJ$14),Body!$BH$6,IF(AND('Zdroj data'!O114&gt;=Body!$BK$14,'Zdroj data'!O114&lt;=Body!$BM$14),Body!$BK$6,IF(AND('Zdroj data'!O114&gt;=Body!$BN$14,'Zdroj data'!O114&lt;=Body!$BP$14),Body!$BN$6,IF(AND('Zdroj data'!O114&gt;=Body!$BQ$14,'Zdroj data'!O114&lt;=Body!$BS$14),Body!$BQ$6,IF(AND('Zdroj data'!O114&gt;=Body!$BT$14,'Zdroj data'!O114&lt;=Body!$BV$14),Body!$BT$6,IF(AND('Zdroj data'!O114&gt;=Body!$BW$14,'Zdroj data'!O114&lt;=Body!$BY$14),Body!$BW$6,IF('Zdroj data'!O114&gt;=Body!$CB$14,Body!$BZ$6," "))))))))))," "))</f>
        <v>1</v>
      </c>
      <c r="J114" s="264">
        <f t="shared" si="25"/>
        <v>1</v>
      </c>
      <c r="K114" s="264">
        <f t="shared" si="25"/>
        <v>1</v>
      </c>
      <c r="L114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114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114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114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5</v>
      </c>
      <c r="P114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14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114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114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114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114" s="264">
        <f>IF('Zdroj data'!BB114=Body!$AY$25,Body!$AY$22,IF('Zdroj data'!BB114=Body!$BB$25,Body!$BB$22,IF('Zdroj data'!BB114=Body!$BE$25,Body!$BE$22,IF('Zdroj data'!BB114=Body!$BH$25,Body!$BH$22,IF('Zdroj data'!BB114=Body!BK$25,Body!$BK$22,IF('Zdroj data'!BB114=Body!$BN$25,Body!$BN$22,IF('Zdroj data'!BB114=Body!$BQ$25,Body!$BQ$22,IF('Zdroj data'!BB114=Body!$BT$25,Body!$BT$22,IF('Zdroj data'!BB114=Body!$BW$25,Body!$BW$22,IF('Zdroj data'!BB114=Body!$BZ$25,Body!$BZ$22," "))))))))))</f>
        <v>5</v>
      </c>
      <c r="V114" s="264">
        <f>IF(AND('Zdroj data'!BO114&gt;Body!$AY$27,'Zdroj data'!BO114&lt;=Body!$BA$27),Body!$AY$22,IF(AND('Zdroj data'!BO114&gt;=Body!$BB$27,'Zdroj data'!BO114&lt;=Body!$BD$27),Body!$BB$22,IF(AND('Zdroj data'!BO114&gt;=Body!$BE$27,'Zdroj data'!BO114&lt;=Body!$BG$27),Body!$BE$22,IF(AND('Zdroj data'!BO114&gt;=Body!$BH$27,'Zdroj data'!BO114&lt;=Body!$BJ$27),Body!$BH$22,IF(AND('Zdroj data'!BO114&gt;=Body!$BK$27,'Zdroj data'!BO114&lt;=Body!$BM$27),Body!$BK$22,IF(AND('Zdroj data'!BO114&gt;=Body!$BN$27,'Zdroj data'!BO114&lt;=Body!$BP$27),Body!$BN$22,IF(AND('Zdroj data'!BO114&gt;=Body!$BQ$27,'Zdroj data'!BO114&lt;=Body!$BS$27),Body!$BQ$22,IF(AND('Zdroj data'!BO114&gt;=Body!$BT$27,'Zdroj data'!BO114&lt;=Body!$BV$27),Body!$BT$22,IF(AND('Zdroj data'!BO114&gt;=Body!$BW$27,'Zdroj data'!BO114&lt;=Body!$BY$27),Body!$BW$22,IF('Zdroj data'!BO114&gt;=Body!$CB$27,$BZ$22," "))))))))))</f>
        <v>6</v>
      </c>
      <c r="W114" s="264">
        <f>IF(AND('Zdroj data'!BP114&gt;Body!$AY$27,'Zdroj data'!BP114&lt;=Body!$BA$27),Body!$AY$22,IF(AND('Zdroj data'!BP114&gt;=Body!$BB$27,'Zdroj data'!BP114&lt;=Body!$BD$27),Body!$BB$22,IF(AND('Zdroj data'!BP114&gt;=Body!$BE$27,'Zdroj data'!BP114&lt;=Body!$BG$27),Body!$BE$22,IF(AND('Zdroj data'!BP114&gt;=Body!$BH$27,'Zdroj data'!BP114&lt;=Body!$BJ$27),Body!$BH$22,IF(AND('Zdroj data'!BP114&gt;=Body!$BK$27,'Zdroj data'!BP114&lt;=Body!$BM$27),Body!$BK$22,IF(AND('Zdroj data'!BP114&gt;=Body!$BN$27,'Zdroj data'!BP114&lt;=Body!$BP$27),Body!$BN$22,IF(AND('Zdroj data'!BP114&gt;=Body!$BQ$27,'Zdroj data'!BP114&lt;=Body!$BS$27),Body!$BQ$22,IF(AND('Zdroj data'!BP114&gt;=Body!$BT$27,'Zdroj data'!BP114&lt;=Body!$BV$27),Body!$BT$22,IF(AND('Zdroj data'!BP114&gt;=Body!$BW$27,'Zdroj data'!BP114&lt;=Body!$BY$27),Body!$BW$22,IF('Zdroj data'!BP114&gt;=Body!$CB$27,$BZ$22," "))))))))))</f>
        <v>5</v>
      </c>
      <c r="X114" s="264">
        <f>IF('Zdroj data'!BA114=Body!$BB$28,$BB$22,IF('Zdroj data'!BA114=Body!$BE$28,$BE$22,IF(OR('Zdroj data'!BA114=Body!$BK$28,'Zdroj data'!BA114=Body!$BL$28,'Zdroj data'!BA114=Body!$BM$28),$BK$22,IF(OR('Zdroj data'!BA114=Body!$BT$28,'Zdroj data'!BA114=Body!$BV$28),$BT$22,IF(OR('Zdroj data'!BA114=Body!$BW$28,'Zdroj data'!BA114=Body!$BY$28),$BW$22,IF('Zdroj data'!BA114=Body!$BZ$28,$BZ$22," "))))))</f>
        <v>10</v>
      </c>
      <c r="Y114" s="264">
        <f>IF('Zdroj data'!AZ114=Body!$BZ$29,Body!$BZ$22,IF(OR('Zdroj data'!AZ114=$BT$29,'Zdroj data'!AZ114=$BU$29,'Zdroj data'!AZ114=$BV$29),$BT$22,IF(OR('Zdroj data'!AZ114=$BK$29,'Zdroj data'!AZ114=$BM$29),$BK$22,IF(OR('Zdroj data'!AZ114=$BE$29,'Zdroj data'!AZ114=$BG$29),$BE$22,IF(OR('Zdroj data'!AZ114=$AY$29,'Zdroj data'!AZ114=$BA$29),$AY$22," ")))))</f>
        <v>8</v>
      </c>
      <c r="Z114" s="264">
        <f>IF(AND('Zdroj data'!BF114="T",(OR('Zdroj data'!AZ114=Body!$AW$45,'Zdroj data'!AZ114=Body!$AW$46,'Zdroj data'!AZ114=Body!$AW$47,'Zdroj data'!AZ114=Body!$AW$48))),Body!$AY$22,IF(AND('Zdroj data'!BF114="T",(OR('Zdroj data'!AZ114=$AW$49,'Zdroj data'!AZ114=$AW$50,'Zdroj data'!AZ114=$AW$51,'Zdroj data'!AZ114=$AW$52))),$BZ$22,IF(AND(OR('Zdroj data'!BF114="VT",'Zdroj data'!BF114="T",'Zdroj data'!BF114="CH"),(OR('Zdroj data'!AZ114=$AW$43,'Zdroj data'!AZ114=$AW$44,))),$BZ$22,IF(AND('Zdroj data'!BF114="CH",(OR('Zdroj data'!AZ114=$AW$49,'Zdroj data'!AZ114=$AW$50,'Zdroj data'!AZ114=$AW$51,'Zdroj data'!AZ114=$AW$52))),$AY$22,IF(AND('Zdroj data'!BF114="CH",(OR('Zdroj data'!AZ114=$AW$45,'Zdroj data'!AZ114=$AW$46,'Zdroj data'!AZ114=$AW$47,'Zdroj data'!AZ114=$AW$48))),$BZ$22," ")))))</f>
        <v>10</v>
      </c>
      <c r="AA114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14" s="264">
        <f>IF(Tabulka1[[#This Row],[kv.ek.]]=Body!$BK$35,Body!$BK$34,IF(Tabulka1[[#This Row],[kv.ek.]]=Body!$BZ$35,Body!$BZ$34," "))</f>
        <v>5</v>
      </c>
      <c r="AC114" s="264" t="str">
        <f>IF(AND('Zdroj data'!BF114="T",(OR('Zdroj data'!AZ114=Body!$AW$45,'Zdroj data'!AZ114=Body!$AW$46,'Zdroj data'!AZ114=Body!$AW$47,'Zdroj data'!AZ114=Body!$AW$48))),Body!$AY$22,IF(AND('Zdroj data'!BF114="T",(OR('Zdroj data'!AZ114=$AW$49,'Zdroj data'!AZ114=$AW$50,'Zdroj data'!AZ114=$AW$51,'Zdroj data'!AZ114=$AW$52))),$BZ$22," "))</f>
        <v xml:space="preserve"> </v>
      </c>
      <c r="AD114" s="264">
        <f>IF(AND(OR('Zdroj data'!BF114="VT",'Zdroj data'!BF114="T",'Zdroj data'!BF114="CH"),(OR('Zdroj data'!AZ114=$AW$43,'Zdroj data'!AZ114=$AW$44,))),$BZ$22," ")</f>
        <v>10</v>
      </c>
      <c r="AE114" s="264" t="str">
        <f>IF(AND('Zdroj data'!BF114="CH",(OR('Zdroj data'!AZ114=$AW$49,'Zdroj data'!AZ114=$AW$50,'Zdroj data'!AZ114=$AW$51,'Zdroj data'!AZ114=$AW$52))),$AY$22,IF(AND('Zdroj data'!BF114="CH",(OR('Zdroj data'!AZ114=$AW$45,'Zdroj data'!AZ114=$AW$46,'Zdroj data'!AZ114=$AW$47,'Zdroj data'!AZ114=$AW$48))),$BZ$22," "))</f>
        <v xml:space="preserve"> </v>
      </c>
      <c r="AF114" s="264">
        <f>IF(AND('Zdroj data'!BG114="L",'Zdroj data'!AM114=Body!$AX$15),IF(AND('Zdroj data'!O114&gt;=Body!$AY$15,'Zdroj data'!O114&lt;=Body!$BA$15),Body!AY$6,IF(AND('Zdroj data'!O114&gt;=Body!$BB$15,'Zdroj data'!O114&lt;=Body!$BD$15),Body!BB$6,IF(AND('Zdroj data'!O114&gt;=Body!$BE$15,'Zdroj data'!O114&lt;=Body!$BG$15),Body!BE$6,IF(AND('Zdroj data'!O114&gt;=Body!$BH$15,'Zdroj data'!O114&lt;=Body!$BJ$15),Body!BH$6,IF(AND('Zdroj data'!O114&gt;=Body!$BK$15,'Zdroj data'!O114&lt;=Body!$BM$15),Body!BK$6,IF(AND('Zdroj data'!O114&gt;=Body!$BN$15,'Zdroj data'!O114&lt;=Body!$BP$15),Body!$BN$6,IF(AND('Zdroj data'!O114&gt;=Body!$BQ$15,'Zdroj data'!O114&lt;=Body!$BS$15),Body!$BQ$6,IF(AND('Zdroj data'!O114&gt;=Body!$BT$15,'Zdroj data'!O114&lt;=Body!$BV$15),Body!BT$6,IF(AND('Zdroj data'!O114&gt;=Body!$BW$15,'Zdroj data'!O114&lt;=Body!$BY$15),Body!$BW$6,IF('Zdroj data'!O114&gt;=Body!$CB$15,Body!$BZ$6," ")))))))))),IF(AND('Zdroj data'!BG114="ST",'Zdroj data'!AM114=Body!$AX$16),IF(AND('Zdroj data'!O114&gt;=Body!$AY$16,'Zdroj data'!O114&lt;=Body!$BA$16),Body!$AY$6,IF(AND('Zdroj data'!O114&gt;=Body!$BB$16,'Zdroj data'!O114&lt;=Body!$BD$16),Body!$BB$6,IF(AND('Zdroj data'!O114&gt;=Body!$BE$16,'Zdroj data'!O114&lt;=Body!$BG$16),Body!$BE$6,IF(AND('Zdroj data'!O114&gt;=Body!$BH$16,'Zdroj data'!O114&lt;=Body!$BJ$16),Body!$BH$6,IF(AND('Zdroj data'!O114&gt;=Body!$BK$16,'Zdroj data'!O114&lt;=Body!$BM$16),Body!$BK$6,IF(AND('Zdroj data'!O114&gt;=Body!$BN$16,'Zdroj data'!O114&lt;=Body!$BP$16),Body!$BN$6,IF(AND('Zdroj data'!O114&gt;=Body!$BQ$16,'Zdroj data'!O114&lt;=Body!$BS$16),Body!$BQ$6,IF(AND('Zdroj data'!O114&gt;=Body!$BT$16,'Zdroj data'!O114&lt;=Body!$BV$16),Body!$BT$6,IF(AND('Zdroj data'!O114&gt;=Body!$BW$16,'Zdroj data'!O114&lt;=Body!$BY$16),Body!$BW$6,IF('Zdroj data'!O114&gt;=Body!$CB$16,Body!$BZ$6," ")))))))))),IF(AND('Zdroj data'!BG114="T",'Zdroj data'!AM114=Body!$AX$17),IF(AND('Zdroj data'!O114&gt;=Body!$AY$17,'Zdroj data'!O114&lt;=Body!$BA$17),Body!$AY$6,IF(AND('Zdroj data'!O114&gt;=Body!$BB$17,'Zdroj data'!O114&lt;=Body!$BD$17),Body!$BB$6,IF(AND('Zdroj data'!O114&gt;=Body!$BE$17,'Zdroj data'!O114&lt;=Body!$BG$17),Body!$BE$6,IF(AND('Zdroj data'!O114&gt;=Body!$BH$17,'Zdroj data'!O114&lt;=Body!BJ128),Body!$BH$6,IF(AND('Zdroj data'!O114&gt;=Body!$BK$17,'Zdroj data'!O114&lt;=Body!$BM$17),Body!$BK$6,IF(AND('Zdroj data'!O114&gt;=Body!$BN$17,'Zdroj data'!O114&lt;=Body!$BP$17),Body!$BN$6,IF(AND('Zdroj data'!O114&gt;=Body!$BQ$17,'Zdroj data'!O114&lt;=Body!$BS$17),Body!$BQ$6,IF(AND('Zdroj data'!O114&gt;=Body!$BT$17,'Zdroj data'!O114&lt;=Body!$BV$17),Body!$BT$6,IF(AND('Zdroj data'!O114&gt;=Body!$BW$17,'Zdroj data'!O114&lt;=Body!$BY$17),Body!$BW$6,IF('Zdroj data'!O114&gt;=Body!$CB$17,Body!$BZ$6," "))))))))))," ")))</f>
        <v>1</v>
      </c>
      <c r="AG114" s="264">
        <f>IF(AND('Zdroj data'!$BG114="L",'Zdroj data'!$AM114=Body!$AX$15),IF(AND(Tabulka1[[#This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data'!$BG114="ST",'Zdroj data'!$AM114=Body!$AX$16),IF(AND(Tabulka1[[#This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data'!$BG114="T",'Zdroj data'!$AM114=Body!$AX$17),IF(AND(Tabulka1[[#This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Row],[K2O_60]]&lt;=Body!BJ128),Body!$BH$6,IF(AND(Tabulka1[[#This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14" s="264" t="str">
        <f>IF(AND('Zdroj data'!BG114="L",'Zdroj data'!AM114=Body!$AX$18),IF(AND('Zdroj data'!O114&gt;=Body!$AY$18,'Zdroj data'!O114&lt;=Body!$BA$18),Body!AY$6,IF(AND('Zdroj data'!O114&gt;=Body!$BB$18,'Zdroj data'!O114&lt;=Body!$BD$18),Body!BB$6,IF(AND('Zdroj data'!O114&gt;=Body!$BE$18,'Zdroj data'!O114&lt;=Body!$BG$18),Body!BE$6,IF(AND('Zdroj data'!O114&gt;=Body!$BH$18,'Zdroj data'!O114&lt;=Body!$BJ$18),Body!BH$6,IF(AND('Zdroj data'!O114&gt;=Body!$BK$18,'Zdroj data'!O114&lt;=Body!$BM$18),Body!$BK$6,IF(AND('Zdroj data'!O114&gt;=Body!$BN$18,'Zdroj data'!O114&lt;=Body!$BP$18),Body!BN$6,IF(AND('Zdroj data'!O114&gt;=Body!$BQ$18,'Zdroj data'!O114&lt;=Body!$BS$18),Body!$BQ$6,IF(AND('Zdroj data'!O114&gt;=Body!$BT$18,'Zdroj data'!O114&lt;=Body!$BV$18),Body!$BT$6,IF(AND('Zdroj data'!O114&gt;=Body!$BW$18,'Zdroj data'!O114&lt;=Body!$BY$18),Body!$BW$6,IF('Zdroj data'!O114&gt;=Body!$CB$18,Body!$BZ$6," ")))))))))),IF(AND('Zdroj data'!BG114="ST",'Zdroj data'!AM114=Body!$AX$19),IF(AND('Zdroj data'!O114&gt;=Body!$AY$19,'Zdroj data'!O114&lt;=Body!$BA$19),Body!$AY$6,IF(AND('Zdroj data'!O114&gt;=Body!$BB$19,'Zdroj data'!O114&lt;=Body!$BD$19),Body!$BB$6,IF(AND('Zdroj data'!O114&gt;=Body!$BE$19,'Zdroj data'!O114&lt;=Body!$BG$19),Body!$BE$6,IF(AND('Zdroj data'!O114&gt;=Body!$BH$19,'Zdroj data'!O114&lt;=Body!$BJ$19),Body!$BH$6,IF(AND('Zdroj data'!O114&gt;=Body!$BK$19,'Zdroj data'!O114&lt;=Body!$BM$19),Body!$BK$6,IF(AND('Zdroj data'!O114&gt;=Body!$BN$19,'Zdroj data'!O114&lt;=Body!$BP$19),Body!$BN$6,IF(AND('Zdroj data'!O114&gt;=Body!$BQ$19,'Zdroj data'!O114&lt;=Body!$BS$19),Body!$BQ$6,IF(AND('Zdroj data'!O114&gt;=Body!$BT$19,'Zdroj data'!O118&lt;=Body!$BV$19),Body!$BT$6,IF(AND('Zdroj data'!O114&gt;=Body!$BW$19,'Zdroj data'!O114&lt;=Body!$BY$19),Body!$BW$6,IF('Zdroj data'!O114&gt;=Body!$CB$19,Body!$BZ$6," ")))))))))),IF(AND('Zdroj data'!BG114="T",'Zdroj data'!AM114=Body!$AX$20),IF(AND('Zdroj data'!O114&gt;=Body!$AY$20,'Zdroj data'!O114&lt;=Body!$BA$20),Body!$AY$6,IF(AND('Zdroj data'!O114&gt;=Body!$BB$20,'Zdroj data'!O114&lt;=Body!$BD$20),Body!$BB$6,IF(AND('Zdroj data'!O114&gt;=Body!$BE$20,'Zdroj data'!O114&lt;=Body!$BG$20),Body!$BE$6,IF(AND('Zdroj data'!O114&gt;=Body!$BH$20,'Zdroj data'!O114&lt;=Body!$BJ$20),Body!$BH$6,IF(AND('Zdroj data'!O114&gt;=Body!$BK$20,'Zdroj data'!O114&lt;=Body!$BM$20),Body!$BK$6,IF(AND('Zdroj data'!O114&gt;=Body!$BN$20,'Zdroj data'!O114&lt;=Body!$BP$20),Body!$BN$6,IF(AND('Zdroj data'!O114&gt;=Body!$BQ$20,'Zdroj data'!O114&lt;=Body!$BS$20),Body!$BQ$6,IF(AND('Zdroj data'!O114&gt;=Body!$BT$20,'Zdroj data'!O114&lt;=Body!BV131),Body!$BT$6,IF(AND('Zdroj data'!O114&gt;=Body!$BW$20,'Zdroj data'!O114&lt;=Body!$BY$20),Body!$BW$6,IF('Zdroj data'!O114&gt;=Body!$CB$20,Body!$BZ$6," "))))))))))," ")))</f>
        <v xml:space="preserve"> </v>
      </c>
      <c r="AI114" s="264" t="str">
        <f>IF(AND('Zdroj data'!$BG114="L",'Zdroj data'!$AM114=Body!$AX$18),IF(AND(Tabulka1[[#This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data'!$BG114="ST",'Zdroj data'!$AM114=Body!$AX$19),IF(AND(Tabulka1[[#This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data'!$BG114="T",'Zdroj data'!$AM114=Body!$AX$20),IF(AND(Tabulka1[[#This Row],[K2O_60]]&gt;=Body!$AY$20,'Zdroj data'!O114&lt;=Body!$BA$20),Body!$AY$6,IF(AND(Tabulka1[[#This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Row],[K2O_60]]&lt;=Body!BV131),Body!$BT$6,IF(AND(Tabulka1[[#This Row],[K2O_60]]&gt;=Body!$BW$20,Tabulka1[[#This Row],[K2O_60]]&lt;=Body!$BY$20),Body!$BW$6,IF(Tabulka1[[#This Row],[K2O_60]]&gt;=Body!$CB$20,Body!$BZ$6," "))))))))))," ")))</f>
        <v xml:space="preserve"> </v>
      </c>
      <c r="AJ114" s="265">
        <f t="shared" si="13"/>
        <v>5.3333333333333375</v>
      </c>
      <c r="AK114" s="264">
        <f t="shared" si="14"/>
        <v>26.290520334297359</v>
      </c>
      <c r="AL114" s="264">
        <f t="shared" si="15"/>
        <v>23.283688381268615</v>
      </c>
      <c r="AM114" s="264">
        <f t="shared" si="16"/>
        <v>73.693672301968732</v>
      </c>
      <c r="AN114" s="264">
        <f t="shared" si="17"/>
        <v>68.235455137690764</v>
      </c>
      <c r="AO114" s="265">
        <f t="shared" si="21"/>
        <v>99.984192636266087</v>
      </c>
      <c r="AP114" s="265">
        <f t="shared" si="18"/>
        <v>91.519143518959382</v>
      </c>
      <c r="AQ114" s="318"/>
      <c r="AR114" s="338">
        <f t="shared" si="19"/>
        <v>196.83666948855881</v>
      </c>
      <c r="AS114" s="318"/>
      <c r="AT114" s="138"/>
      <c r="AU114" s="138"/>
    </row>
    <row r="115" spans="1:47" ht="15.5" x14ac:dyDescent="0.35">
      <c r="A115" s="270">
        <v>5511</v>
      </c>
      <c r="B115" s="156" t="s">
        <v>293</v>
      </c>
      <c r="C115" s="250" t="str">
        <f>VLOOKUP(B115,'Zdroj hloubka okresy'!$A$2:$D$171,2,FALSE)</f>
        <v>Kutna_Hora</v>
      </c>
      <c r="D115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9</v>
      </c>
      <c r="E115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8</v>
      </c>
      <c r="F115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15" s="264">
        <f>IF(AND(Tabulka1[[#This Row],[hum_60]]&gt;AY121,Tabulka1[[#This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15" s="264">
        <f>IF(Tabulka1[[#This Row],[kv.ek.]]=Body!$AX$13,IF(AND('Zdroj data'!M115&gt;=Body!$AY$13,'Zdroj data'!M115&lt;=Body!$BA$13),Body!$AY$6,IF(AND('Zdroj data'!M115&gt;=Body!$BB$13,'Zdroj data'!M115&lt;=Body!$BD$13),Body!$BB$6,IF(AND('Zdroj data'!M115&gt;=Body!$BE$13,'Zdroj data'!M115&lt;=Body!$BG$13),Body!$BE$6,IF(AND('Zdroj data'!M115&gt;=Body!$BH$13,'Zdroj data'!M115&lt;=Body!$BJ$13),Body!$BH$6,IF(AND('Zdroj data'!M115&gt;=Body!$BK$13,'Zdroj data'!M115&lt;=Body!$BM$13),Body!$BK$6,IF(AND('Zdroj data'!M115&gt;=Body!$BN$13,'Zdroj data'!M115&lt;=Body!$BP$13),Body!$BN$6,IF(AND('Zdroj data'!M115&gt;=Body!$BQ$13,'Zdroj data'!M115&lt;=Body!$BS$13),Body!$BQ$6,IF(AND('Zdroj data'!M115&gt;=Body!$BT$13,'Zdroj data'!M115&lt;=Body!$BV$13),Body!$BT$6,IF(AND('Zdroj data'!M115&gt;=Body!$BW$13,'Zdroj data'!M115&lt;=Body!$BY$13),Body!$BW$6,IF('Zdroj data'!M115&gt;=Body!$CB$13,Body!$BZ$6," ")))))))))),IF(Tabulka1[[#This Row],[kv.ek.]]=Body!$AX$14,IF(AND('Zdroj data'!N115&gt;=Body!$AY$14,'Zdroj data'!N115&lt;=Body!$BA$14),Body!$AY$6,IF(AND('Zdroj data'!N115&gt;=Body!$BB$14,'Zdroj data'!N115&lt;=Body!$BD$14),Body!$BB$6,IF(AND('Zdroj data'!N115&gt;=Body!$BE$14,'Zdroj data'!N115&lt;=Body!$BG$14),Body!$BE$6,IF(AND('Zdroj data'!N115&gt;=Body!$BH$14,'Zdroj data'!N115&lt;=Body!$BJ$14),Body!$BH$6,IF(AND('Zdroj data'!N115&gt;=Body!$BK$14,'Zdroj data'!N115&lt;=Body!$BM$14),Body!$BK$6,IF(AND('Zdroj data'!N115&gt;=Body!$BN$14,'Zdroj data'!N115&lt;=Body!$BP$14),Body!$BN$6,IF(AND('Zdroj data'!N115&gt;=Body!$BQ$14,'Zdroj data'!N115&lt;=Body!$BS$14),Body!$BQ$6,IF(AND('Zdroj data'!N115&gt;=Body!$BT$14,'Zdroj data'!N115&lt;=Body!$BV$14),Body!$BT$6,IF(AND('Zdroj data'!N115&gt;=Body!$BW$14,'Zdroj data'!N115&lt;=Body!$BY$14),Body!$BW$6,IF('Zdroj data'!N115&gt;=Body!$CB$14,Body!$BZ$6," "))))))))))," "))</f>
        <v>1</v>
      </c>
      <c r="I115" s="264">
        <f>IF(Tabulka1[[#This Row],[kv.ek.]]=Body!$AX$13,IF(AND('Zdroj data'!N115&gt;=Body!$AY$13,'Zdroj data'!N115&lt;=Body!$BA$13),Body!$AY$6,IF(AND('Zdroj data'!N115&gt;=Body!$BB$13,'Zdroj data'!N115&lt;=Body!$BD$13),Body!$BB$6,IF(AND('Zdroj data'!N115&gt;=Body!$BE$13,'Zdroj data'!N115&lt;=Body!$BG$13),Body!$BE$6,IF(AND('Zdroj data'!N115&gt;=Body!$BH$13,'Zdroj data'!N115&lt;=Body!$BJ$13),Body!$BH$6,IF(AND('Zdroj data'!N115&gt;=Body!$BK$13,'Zdroj data'!N115&lt;=Body!$BM$13),Body!$BK$6,IF(AND('Zdroj data'!N115&gt;=Body!$BN$13,'Zdroj data'!N115&lt;=Body!$BP$13),Body!$BN$6,IF(AND('Zdroj data'!N115&gt;=Body!$BQ$13,'Zdroj data'!N115&lt;=Body!$BS$13),Body!$BQ$6,IF(AND('Zdroj data'!N115&gt;=Body!$BT$13,'Zdroj data'!N115&lt;=Body!$BV$13),Body!$BT$6,IF(AND('Zdroj data'!N115&gt;=Body!$BW$13,'Zdroj data'!N115&lt;=Body!$BY$13),Body!$BW$6,IF('Zdroj data'!N115&gt;=Body!$CB$13,Body!$BZ$6," ")))))))))),IF(Tabulka1[[#This Row],[kv.ek.]]=Body!$AX$14,IF(AND('Zdroj data'!O115&gt;=Body!$AY$14,'Zdroj data'!O115&lt;=Body!$BA$14),Body!$AY$6,IF(AND('Zdroj data'!O115&gt;=Body!$BB$14,'Zdroj data'!O115&lt;=Body!$BD$14),Body!$BB$6,IF(AND('Zdroj data'!O115&gt;=Body!$BE$14,'Zdroj data'!O115&lt;=Body!$BG$14),Body!$BE$6,IF(AND('Zdroj data'!O115&gt;=Body!$BH$14,'Zdroj data'!O115&lt;=Body!$BJ$14),Body!$BH$6,IF(AND('Zdroj data'!O115&gt;=Body!$BK$14,'Zdroj data'!O115&lt;=Body!$BM$14),Body!$BK$6,IF(AND('Zdroj data'!O115&gt;=Body!$BN$14,'Zdroj data'!O115&lt;=Body!$BP$14),Body!$BN$6,IF(AND('Zdroj data'!O115&gt;=Body!$BQ$14,'Zdroj data'!O115&lt;=Body!$BS$14),Body!$BQ$6,IF(AND('Zdroj data'!O115&gt;=Body!$BT$14,'Zdroj data'!O115&lt;=Body!$BV$14),Body!$BT$6,IF(AND('Zdroj data'!O115&gt;=Body!$BW$14,'Zdroj data'!O115&lt;=Body!$BY$14),Body!$BW$6,IF('Zdroj data'!O115&gt;=Body!$CB$14,Body!$BZ$6," "))))))))))," "))</f>
        <v>1</v>
      </c>
      <c r="J115" s="264">
        <f t="shared" si="25"/>
        <v>1</v>
      </c>
      <c r="K115" s="264">
        <f t="shared" si="25"/>
        <v>1</v>
      </c>
      <c r="L115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115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115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115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6</v>
      </c>
      <c r="P115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15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115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115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115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115" s="264">
        <f>IF('Zdroj data'!BB115=Body!$AY$25,Body!$AY$22,IF('Zdroj data'!BB115=Body!$BB$25,Body!$BB$22,IF('Zdroj data'!BB115=Body!$BE$25,Body!$BE$22,IF('Zdroj data'!BB115=Body!$BH$25,Body!$BH$22,IF('Zdroj data'!BB115=Body!BK$25,Body!$BK$22,IF('Zdroj data'!BB115=Body!$BN$25,Body!$BN$22,IF('Zdroj data'!BB115=Body!$BQ$25,Body!$BQ$22,IF('Zdroj data'!BB115=Body!$BT$25,Body!$BT$22,IF('Zdroj data'!BB115=Body!$BW$25,Body!$BW$22,IF('Zdroj data'!BB115=Body!$BZ$25,Body!$BZ$22," "))))))))))</f>
        <v>7</v>
      </c>
      <c r="V115" s="264">
        <f>IF(AND('Zdroj data'!BO115&gt;Body!$AY$27,'Zdroj data'!BO115&lt;=Body!$BA$27),Body!$AY$22,IF(AND('Zdroj data'!BO115&gt;=Body!$BB$27,'Zdroj data'!BO115&lt;=Body!$BD$27),Body!$BB$22,IF(AND('Zdroj data'!BO115&gt;=Body!$BE$27,'Zdroj data'!BO115&lt;=Body!$BG$27),Body!$BE$22,IF(AND('Zdroj data'!BO115&gt;=Body!$BH$27,'Zdroj data'!BO115&lt;=Body!$BJ$27),Body!$BH$22,IF(AND('Zdroj data'!BO115&gt;=Body!$BK$27,'Zdroj data'!BO115&lt;=Body!$BM$27),Body!$BK$22,IF(AND('Zdroj data'!BO115&gt;=Body!$BN$27,'Zdroj data'!BO115&lt;=Body!$BP$27),Body!$BN$22,IF(AND('Zdroj data'!BO115&gt;=Body!$BQ$27,'Zdroj data'!BO115&lt;=Body!$BS$27),Body!$BQ$22,IF(AND('Zdroj data'!BO115&gt;=Body!$BT$27,'Zdroj data'!BO115&lt;=Body!$BV$27),Body!$BT$22,IF(AND('Zdroj data'!BO115&gt;=Body!$BW$27,'Zdroj data'!BO115&lt;=Body!$BY$27),Body!$BW$22,IF('Zdroj data'!BO115&gt;=Body!$CB$27,$BZ$22," "))))))))))</f>
        <v>6</v>
      </c>
      <c r="W115" s="264">
        <f>IF(AND('Zdroj data'!BP115&gt;Body!$AY$27,'Zdroj data'!BP115&lt;=Body!$BA$27),Body!$AY$22,IF(AND('Zdroj data'!BP115&gt;=Body!$BB$27,'Zdroj data'!BP115&lt;=Body!$BD$27),Body!$BB$22,IF(AND('Zdroj data'!BP115&gt;=Body!$BE$27,'Zdroj data'!BP115&lt;=Body!$BG$27),Body!$BE$22,IF(AND('Zdroj data'!BP115&gt;=Body!$BH$27,'Zdroj data'!BP115&lt;=Body!$BJ$27),Body!$BH$22,IF(AND('Zdroj data'!BP115&gt;=Body!$BK$27,'Zdroj data'!BP115&lt;=Body!$BM$27),Body!$BK$22,IF(AND('Zdroj data'!BP115&gt;=Body!$BN$27,'Zdroj data'!BP115&lt;=Body!$BP$27),Body!$BN$22,IF(AND('Zdroj data'!BP115&gt;=Body!$BQ$27,'Zdroj data'!BP115&lt;=Body!$BS$27),Body!$BQ$22,IF(AND('Zdroj data'!BP115&gt;=Body!$BT$27,'Zdroj data'!BP115&lt;=Body!$BV$27),Body!$BT$22,IF(AND('Zdroj data'!BP115&gt;=Body!$BW$27,'Zdroj data'!BP115&lt;=Body!$BY$27),Body!$BW$22,IF('Zdroj data'!BP115&gt;=Body!$CB$27,$BZ$22," "))))))))))</f>
        <v>4</v>
      </c>
      <c r="X115" s="264">
        <f>IF('Zdroj data'!BA115=Body!$BB$28,$BB$22,IF('Zdroj data'!BA115=Body!$BE$28,$BE$22,IF(OR('Zdroj data'!BA115=Body!$BK$28,'Zdroj data'!BA115=Body!$BL$28,'Zdroj data'!BA115=Body!$BM$28),$BK$22,IF(OR('Zdroj data'!BA115=Body!$BT$28,'Zdroj data'!BA115=Body!$BV$28),$BT$22,IF(OR('Zdroj data'!BA115=Body!$BW$28,'Zdroj data'!BA115=Body!$BY$28),$BW$22,IF('Zdroj data'!BA115=Body!$BZ$28,$BZ$22," "))))))</f>
        <v>9</v>
      </c>
      <c r="Y115" s="264">
        <f>IF('Zdroj data'!AZ115=Body!$BZ$29,Body!$BZ$22,IF(OR('Zdroj data'!AZ115=$BT$29,'Zdroj data'!AZ115=$BU$29,'Zdroj data'!AZ115=$BV$29),$BT$22,IF(OR('Zdroj data'!AZ115=$BK$29,'Zdroj data'!AZ115=$BM$29),$BK$22,IF(OR('Zdroj data'!AZ115=$BE$29,'Zdroj data'!AZ115=$BG$29),$BE$22,IF(OR('Zdroj data'!AZ115=$AY$29,'Zdroj data'!AZ115=$BA$29),$AY$22," ")))))</f>
        <v>10</v>
      </c>
      <c r="Z115" s="264">
        <f>IF(AND('Zdroj data'!BF115="T",(OR('Zdroj data'!AZ115=Body!$AW$45,'Zdroj data'!AZ115=Body!$AW$46,'Zdroj data'!AZ115=Body!$AW$47,'Zdroj data'!AZ115=Body!$AW$48))),Body!$AY$22,IF(AND('Zdroj data'!BF115="T",(OR('Zdroj data'!AZ115=$AW$49,'Zdroj data'!AZ115=$AW$50,'Zdroj data'!AZ115=$AW$51,'Zdroj data'!AZ115=$AW$52))),$BZ$22,IF(AND(OR('Zdroj data'!BF115="VT",'Zdroj data'!BF115="T",'Zdroj data'!BF115="CH"),(OR('Zdroj data'!AZ115=$AW$43,'Zdroj data'!AZ115=$AW$44,))),$BZ$22,IF(AND('Zdroj data'!BF115="CH",(OR('Zdroj data'!AZ115=$AW$49,'Zdroj data'!AZ115=$AW$50,'Zdroj data'!AZ115=$AW$51,'Zdroj data'!AZ115=$AW$52))),$AY$22,IF(AND('Zdroj data'!BF115="CH",(OR('Zdroj data'!AZ115=$AW$45,'Zdroj data'!AZ115=$AW$46,'Zdroj data'!AZ115=$AW$47,'Zdroj data'!AZ115=$AW$48))),$BZ$22," ")))))</f>
        <v>10</v>
      </c>
      <c r="AA115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15" s="264">
        <f>IF(Tabulka1[[#This Row],[kv.ek.]]=Body!$BK$35,Body!$BK$34,IF(Tabulka1[[#This Row],[kv.ek.]]=Body!$BZ$35,Body!$BZ$34," "))</f>
        <v>5</v>
      </c>
      <c r="AC115" s="264" t="str">
        <f>IF(AND('Zdroj data'!BF115="T",(OR('Zdroj data'!AZ115=Body!$AW$45,'Zdroj data'!AZ115=Body!$AW$46,'Zdroj data'!AZ115=Body!$AW$47,'Zdroj data'!AZ115=Body!$AW$48))),Body!$AY$22,IF(AND('Zdroj data'!BF115="T",(OR('Zdroj data'!AZ115=$AW$49,'Zdroj data'!AZ115=$AW$50,'Zdroj data'!AZ115=$AW$51,'Zdroj data'!AZ115=$AW$52))),$BZ$22," "))</f>
        <v xml:space="preserve"> </v>
      </c>
      <c r="AD115" s="264">
        <f>IF(AND(OR('Zdroj data'!BF115="VT",'Zdroj data'!BF115="T",'Zdroj data'!BF115="CH"),(OR('Zdroj data'!AZ115=$AW$43,'Zdroj data'!AZ115=$AW$44,))),$BZ$22," ")</f>
        <v>10</v>
      </c>
      <c r="AE115" s="264" t="str">
        <f>IF(AND('Zdroj data'!BF115="CH",(OR('Zdroj data'!AZ115=$AW$49,'Zdroj data'!AZ115=$AW$50,'Zdroj data'!AZ115=$AW$51,'Zdroj data'!AZ115=$AW$52))),$AY$22,IF(AND('Zdroj data'!BF115="CH",(OR('Zdroj data'!AZ115=$AW$45,'Zdroj data'!AZ115=$AW$46,'Zdroj data'!AZ115=$AW$47,'Zdroj data'!AZ115=$AW$48))),$BZ$22," "))</f>
        <v xml:space="preserve"> </v>
      </c>
      <c r="AF115" s="264">
        <f>IF(AND('Zdroj data'!BG115="L",'Zdroj data'!AM115=Body!$AX$15),IF(AND('Zdroj data'!O115&gt;=Body!$AY$15,'Zdroj data'!O115&lt;=Body!$BA$15),Body!AY$6,IF(AND('Zdroj data'!O115&gt;=Body!$BB$15,'Zdroj data'!O115&lt;=Body!$BD$15),Body!BB$6,IF(AND('Zdroj data'!O115&gt;=Body!$BE$15,'Zdroj data'!O115&lt;=Body!$BG$15),Body!BE$6,IF(AND('Zdroj data'!O115&gt;=Body!$BH$15,'Zdroj data'!O115&lt;=Body!$BJ$15),Body!BH$6,IF(AND('Zdroj data'!O115&gt;=Body!$BK$15,'Zdroj data'!O115&lt;=Body!$BM$15),Body!BK$6,IF(AND('Zdroj data'!O115&gt;=Body!$BN$15,'Zdroj data'!O115&lt;=Body!$BP$15),Body!$BN$6,IF(AND('Zdroj data'!O115&gt;=Body!$BQ$15,'Zdroj data'!O115&lt;=Body!$BS$15),Body!$BQ$6,IF(AND('Zdroj data'!O115&gt;=Body!$BT$15,'Zdroj data'!O115&lt;=Body!$BV$15),Body!BT$6,IF(AND('Zdroj data'!O115&gt;=Body!$BW$15,'Zdroj data'!O115&lt;=Body!$BY$15),Body!$BW$6,IF('Zdroj data'!O115&gt;=Body!$CB$15,Body!$BZ$6," ")))))))))),IF(AND('Zdroj data'!BG115="ST",'Zdroj data'!AM115=Body!$AX$16),IF(AND('Zdroj data'!O115&gt;=Body!$AY$16,'Zdroj data'!O115&lt;=Body!$BA$16),Body!$AY$6,IF(AND('Zdroj data'!O115&gt;=Body!$BB$16,'Zdroj data'!O115&lt;=Body!$BD$16),Body!$BB$6,IF(AND('Zdroj data'!O115&gt;=Body!$BE$16,'Zdroj data'!O115&lt;=Body!$BG$16),Body!$BE$6,IF(AND('Zdroj data'!O115&gt;=Body!$BH$16,'Zdroj data'!O115&lt;=Body!$BJ$16),Body!$BH$6,IF(AND('Zdroj data'!O115&gt;=Body!$BK$16,'Zdroj data'!O115&lt;=Body!$BM$16),Body!$BK$6,IF(AND('Zdroj data'!O115&gt;=Body!$BN$16,'Zdroj data'!O115&lt;=Body!$BP$16),Body!$BN$6,IF(AND('Zdroj data'!O115&gt;=Body!$BQ$16,'Zdroj data'!O115&lt;=Body!$BS$16),Body!$BQ$6,IF(AND('Zdroj data'!O115&gt;=Body!$BT$16,'Zdroj data'!O115&lt;=Body!$BV$16),Body!$BT$6,IF(AND('Zdroj data'!O115&gt;=Body!$BW$16,'Zdroj data'!O115&lt;=Body!$BY$16),Body!$BW$6,IF('Zdroj data'!O115&gt;=Body!$CB$16,Body!$BZ$6," ")))))))))),IF(AND('Zdroj data'!BG115="T",'Zdroj data'!AM115=Body!$AX$17),IF(AND('Zdroj data'!O115&gt;=Body!$AY$17,'Zdroj data'!O115&lt;=Body!$BA$17),Body!$AY$6,IF(AND('Zdroj data'!O115&gt;=Body!$BB$17,'Zdroj data'!O115&lt;=Body!$BD$17),Body!$BB$6,IF(AND('Zdroj data'!O115&gt;=Body!$BE$17,'Zdroj data'!O115&lt;=Body!$BG$17),Body!$BE$6,IF(AND('Zdroj data'!O115&gt;=Body!$BH$17,'Zdroj data'!O115&lt;=Body!BJ129),Body!$BH$6,IF(AND('Zdroj data'!O115&gt;=Body!$BK$17,'Zdroj data'!O115&lt;=Body!$BM$17),Body!$BK$6,IF(AND('Zdroj data'!O115&gt;=Body!$BN$17,'Zdroj data'!O115&lt;=Body!$BP$17),Body!$BN$6,IF(AND('Zdroj data'!O115&gt;=Body!$BQ$17,'Zdroj data'!O115&lt;=Body!$BS$17),Body!$BQ$6,IF(AND('Zdroj data'!O115&gt;=Body!$BT$17,'Zdroj data'!O115&lt;=Body!$BV$17),Body!$BT$6,IF(AND('Zdroj data'!O115&gt;=Body!$BW$17,'Zdroj data'!O115&lt;=Body!$BY$17),Body!$BW$6,IF('Zdroj data'!O115&gt;=Body!$CB$17,Body!$BZ$6," "))))))))))," ")))</f>
        <v>1</v>
      </c>
      <c r="AG115" s="264">
        <f>IF(AND('Zdroj data'!$BG115="L",'Zdroj data'!$AM115=Body!$AX$15),IF(AND(Tabulka1[[#This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data'!$BG115="ST",'Zdroj data'!$AM115=Body!$AX$16),IF(AND(Tabulka1[[#This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data'!$BG115="T",'Zdroj data'!$AM115=Body!$AX$17),IF(AND(Tabulka1[[#This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Row],[K2O_60]]&lt;=Body!BJ129),Body!$BH$6,IF(AND(Tabulka1[[#This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15" s="264" t="str">
        <f>IF(AND('Zdroj data'!BG115="L",'Zdroj data'!AM115=Body!$AX$18),IF(AND('Zdroj data'!O115&gt;=Body!$AY$18,'Zdroj data'!O115&lt;=Body!$BA$18),Body!AY$6,IF(AND('Zdroj data'!O115&gt;=Body!$BB$18,'Zdroj data'!O115&lt;=Body!$BD$18),Body!BB$6,IF(AND('Zdroj data'!O115&gt;=Body!$BE$18,'Zdroj data'!O115&lt;=Body!$BG$18),Body!BE$6,IF(AND('Zdroj data'!O115&gt;=Body!$BH$18,'Zdroj data'!O115&lt;=Body!$BJ$18),Body!BH$6,IF(AND('Zdroj data'!O115&gt;=Body!$BK$18,'Zdroj data'!O115&lt;=Body!$BM$18),Body!$BK$6,IF(AND('Zdroj data'!O115&gt;=Body!$BN$18,'Zdroj data'!O115&lt;=Body!$BP$18),Body!BN$6,IF(AND('Zdroj data'!O115&gt;=Body!$BQ$18,'Zdroj data'!O115&lt;=Body!$BS$18),Body!$BQ$6,IF(AND('Zdroj data'!O115&gt;=Body!$BT$18,'Zdroj data'!O115&lt;=Body!$BV$18),Body!$BT$6,IF(AND('Zdroj data'!O115&gt;=Body!$BW$18,'Zdroj data'!O115&lt;=Body!$BY$18),Body!$BW$6,IF('Zdroj data'!O115&gt;=Body!$CB$18,Body!$BZ$6," ")))))))))),IF(AND('Zdroj data'!BG115="ST",'Zdroj data'!AM115=Body!$AX$19),IF(AND('Zdroj data'!O115&gt;=Body!$AY$19,'Zdroj data'!O115&lt;=Body!$BA$19),Body!$AY$6,IF(AND('Zdroj data'!O115&gt;=Body!$BB$19,'Zdroj data'!O115&lt;=Body!$BD$19),Body!$BB$6,IF(AND('Zdroj data'!O115&gt;=Body!$BE$19,'Zdroj data'!O115&lt;=Body!$BG$19),Body!$BE$6,IF(AND('Zdroj data'!O115&gt;=Body!$BH$19,'Zdroj data'!O115&lt;=Body!$BJ$19),Body!$BH$6,IF(AND('Zdroj data'!O115&gt;=Body!$BK$19,'Zdroj data'!O115&lt;=Body!$BM$19),Body!$BK$6,IF(AND('Zdroj data'!O115&gt;=Body!$BN$19,'Zdroj data'!O115&lt;=Body!$BP$19),Body!$BN$6,IF(AND('Zdroj data'!O115&gt;=Body!$BQ$19,'Zdroj data'!O115&lt;=Body!$BS$19),Body!$BQ$6,IF(AND('Zdroj data'!O115&gt;=Body!$BT$19,'Zdroj data'!O119&lt;=Body!$BV$19),Body!$BT$6,IF(AND('Zdroj data'!O115&gt;=Body!$BW$19,'Zdroj data'!O115&lt;=Body!$BY$19),Body!$BW$6,IF('Zdroj data'!O115&gt;=Body!$CB$19,Body!$BZ$6," ")))))))))),IF(AND('Zdroj data'!BG115="T",'Zdroj data'!AM115=Body!$AX$20),IF(AND('Zdroj data'!O115&gt;=Body!$AY$20,'Zdroj data'!O115&lt;=Body!$BA$20),Body!$AY$6,IF(AND('Zdroj data'!O115&gt;=Body!$BB$20,'Zdroj data'!O115&lt;=Body!$BD$20),Body!$BB$6,IF(AND('Zdroj data'!O115&gt;=Body!$BE$20,'Zdroj data'!O115&lt;=Body!$BG$20),Body!$BE$6,IF(AND('Zdroj data'!O115&gt;=Body!$BH$20,'Zdroj data'!O115&lt;=Body!$BJ$20),Body!$BH$6,IF(AND('Zdroj data'!O115&gt;=Body!$BK$20,'Zdroj data'!O115&lt;=Body!$BM$20),Body!$BK$6,IF(AND('Zdroj data'!O115&gt;=Body!$BN$20,'Zdroj data'!O115&lt;=Body!$BP$20),Body!$BN$6,IF(AND('Zdroj data'!O115&gt;=Body!$BQ$20,'Zdroj data'!O115&lt;=Body!$BS$20),Body!$BQ$6,IF(AND('Zdroj data'!O115&gt;=Body!$BT$20,'Zdroj data'!O115&lt;=Body!BV132),Body!$BT$6,IF(AND('Zdroj data'!O115&gt;=Body!$BW$20,'Zdroj data'!O115&lt;=Body!$BY$20),Body!$BW$6,IF('Zdroj data'!O115&gt;=Body!$CB$20,Body!$BZ$6," "))))))))))," ")))</f>
        <v xml:space="preserve"> </v>
      </c>
      <c r="AI115" s="264" t="str">
        <f>IF(AND('Zdroj data'!$BG115="L",'Zdroj data'!$AM115=Body!$AX$18),IF(AND(Tabulka1[[#This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data'!$BG115="ST",'Zdroj data'!$AM115=Body!$AX$19),IF(AND(Tabulka1[[#This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data'!$BG115="T",'Zdroj data'!$AM115=Body!$AX$20),IF(AND(Tabulka1[[#This Row],[K2O_60]]&gt;=Body!$AY$20,'Zdroj data'!O115&lt;=Body!$BA$20),Body!$AY$6,IF(AND(Tabulka1[[#This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Row],[K2O_60]]&lt;=Body!BV132),Body!$BT$6,IF(AND(Tabulka1[[#This Row],[K2O_60]]&gt;=Body!$BW$20,Tabulka1[[#This Row],[K2O_60]]&lt;=Body!$BY$20),Body!$BW$6,IF(Tabulka1[[#This Row],[K2O_60]]&gt;=Body!$CB$20,Body!$BZ$6," "))))))))))," ")))</f>
        <v xml:space="preserve"> </v>
      </c>
      <c r="AJ115" s="265">
        <f t="shared" si="13"/>
        <v>8.0000000000000071</v>
      </c>
      <c r="AK115" s="264">
        <f t="shared" si="14"/>
        <v>25.824779454226338</v>
      </c>
      <c r="AL115" s="264">
        <f t="shared" si="15"/>
        <v>25.469393435687575</v>
      </c>
      <c r="AM115" s="264">
        <f t="shared" si="16"/>
        <v>78.036207187143631</v>
      </c>
      <c r="AN115" s="264">
        <f t="shared" si="17"/>
        <v>71.033396815663664</v>
      </c>
      <c r="AO115" s="265">
        <f t="shared" si="21"/>
        <v>103.86098664136998</v>
      </c>
      <c r="AP115" s="265">
        <f t="shared" si="18"/>
        <v>96.502790251351243</v>
      </c>
      <c r="AQ115" s="318"/>
      <c r="AR115" s="338">
        <f t="shared" si="19"/>
        <v>208.36377689272121</v>
      </c>
      <c r="AS115" s="318"/>
      <c r="AT115" s="138"/>
      <c r="AU115" s="138"/>
    </row>
    <row r="116" spans="1:47" ht="15.5" x14ac:dyDescent="0.35">
      <c r="A116" s="270">
        <v>5516</v>
      </c>
      <c r="B116" s="156" t="s">
        <v>303</v>
      </c>
      <c r="C116" s="250" t="str">
        <f>VLOOKUP(B116,'Zdroj hloubka okresy'!$A$2:$D$171,2,FALSE)</f>
        <v>Kutna_Hora</v>
      </c>
      <c r="D116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7</v>
      </c>
      <c r="E116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116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16" s="264">
        <f>IF(AND(Tabulka1[[#This Row],[hum_60]]&gt;AY122,Tabulka1[[#This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16" s="264">
        <f>IF(Tabulka1[[#This Row],[kv.ek.]]=Body!$AX$13,IF(AND('Zdroj data'!M116&gt;=Body!$AY$13,'Zdroj data'!M116&lt;=Body!$BA$13),Body!$AY$6,IF(AND('Zdroj data'!M116&gt;=Body!$BB$13,'Zdroj data'!M116&lt;=Body!$BD$13),Body!$BB$6,IF(AND('Zdroj data'!M116&gt;=Body!$BE$13,'Zdroj data'!M116&lt;=Body!$BG$13),Body!$BE$6,IF(AND('Zdroj data'!M116&gt;=Body!$BH$13,'Zdroj data'!M116&lt;=Body!$BJ$13),Body!$BH$6,IF(AND('Zdroj data'!M116&gt;=Body!$BK$13,'Zdroj data'!M116&lt;=Body!$BM$13),Body!$BK$6,IF(AND('Zdroj data'!M116&gt;=Body!$BN$13,'Zdroj data'!M116&lt;=Body!$BP$13),Body!$BN$6,IF(AND('Zdroj data'!M116&gt;=Body!$BQ$13,'Zdroj data'!M116&lt;=Body!$BS$13),Body!$BQ$6,IF(AND('Zdroj data'!M116&gt;=Body!$BT$13,'Zdroj data'!M116&lt;=Body!$BV$13),Body!$BT$6,IF(AND('Zdroj data'!M116&gt;=Body!$BW$13,'Zdroj data'!M116&lt;=Body!$BY$13),Body!$BW$6,IF('Zdroj data'!M116&gt;=Body!$CB$13,Body!$BZ$6," ")))))))))),IF(Tabulka1[[#This Row],[kv.ek.]]=Body!$AX$14,IF(AND('Zdroj data'!N116&gt;=Body!$AY$14,'Zdroj data'!N116&lt;=Body!$BA$14),Body!$AY$6,IF(AND('Zdroj data'!N116&gt;=Body!$BB$14,'Zdroj data'!N116&lt;=Body!$BD$14),Body!$BB$6,IF(AND('Zdroj data'!N116&gt;=Body!$BE$14,'Zdroj data'!N116&lt;=Body!$BG$14),Body!$BE$6,IF(AND('Zdroj data'!N116&gt;=Body!$BH$14,'Zdroj data'!N116&lt;=Body!$BJ$14),Body!$BH$6,IF(AND('Zdroj data'!N116&gt;=Body!$BK$14,'Zdroj data'!N116&lt;=Body!$BM$14),Body!$BK$6,IF(AND('Zdroj data'!N116&gt;=Body!$BN$14,'Zdroj data'!N116&lt;=Body!$BP$14),Body!$BN$6,IF(AND('Zdroj data'!N116&gt;=Body!$BQ$14,'Zdroj data'!N116&lt;=Body!$BS$14),Body!$BQ$6,IF(AND('Zdroj data'!N116&gt;=Body!$BT$14,'Zdroj data'!N116&lt;=Body!$BV$14),Body!$BT$6,IF(AND('Zdroj data'!N116&gt;=Body!$BW$14,'Zdroj data'!N116&lt;=Body!$BY$14),Body!$BW$6,IF('Zdroj data'!N116&gt;=Body!$CB$14,Body!$BZ$6," "))))))))))," "))</f>
        <v>1</v>
      </c>
      <c r="I116" s="264">
        <f>IF(Tabulka1[[#This Row],[kv.ek.]]=Body!$AX$13,IF(AND('Zdroj data'!N116&gt;=Body!$AY$13,'Zdroj data'!N116&lt;=Body!$BA$13),Body!$AY$6,IF(AND('Zdroj data'!N116&gt;=Body!$BB$13,'Zdroj data'!N116&lt;=Body!$BD$13),Body!$BB$6,IF(AND('Zdroj data'!N116&gt;=Body!$BE$13,'Zdroj data'!N116&lt;=Body!$BG$13),Body!$BE$6,IF(AND('Zdroj data'!N116&gt;=Body!$BH$13,'Zdroj data'!N116&lt;=Body!$BJ$13),Body!$BH$6,IF(AND('Zdroj data'!N116&gt;=Body!$BK$13,'Zdroj data'!N116&lt;=Body!$BM$13),Body!$BK$6,IF(AND('Zdroj data'!N116&gt;=Body!$BN$13,'Zdroj data'!N116&lt;=Body!$BP$13),Body!$BN$6,IF(AND('Zdroj data'!N116&gt;=Body!$BQ$13,'Zdroj data'!N116&lt;=Body!$BS$13),Body!$BQ$6,IF(AND('Zdroj data'!N116&gt;=Body!$BT$13,'Zdroj data'!N116&lt;=Body!$BV$13),Body!$BT$6,IF(AND('Zdroj data'!N116&gt;=Body!$BW$13,'Zdroj data'!N116&lt;=Body!$BY$13),Body!$BW$6,IF('Zdroj data'!N116&gt;=Body!$CB$13,Body!$BZ$6," ")))))))))),IF(Tabulka1[[#This Row],[kv.ek.]]=Body!$AX$14,IF(AND('Zdroj data'!O116&gt;=Body!$AY$14,'Zdroj data'!O116&lt;=Body!$BA$14),Body!$AY$6,IF(AND('Zdroj data'!O116&gt;=Body!$BB$14,'Zdroj data'!O116&lt;=Body!$BD$14),Body!$BB$6,IF(AND('Zdroj data'!O116&gt;=Body!$BE$14,'Zdroj data'!O116&lt;=Body!$BG$14),Body!$BE$6,IF(AND('Zdroj data'!O116&gt;=Body!$BH$14,'Zdroj data'!O116&lt;=Body!$BJ$14),Body!$BH$6,IF(AND('Zdroj data'!O116&gt;=Body!$BK$14,'Zdroj data'!O116&lt;=Body!$BM$14),Body!$BK$6,IF(AND('Zdroj data'!O116&gt;=Body!$BN$14,'Zdroj data'!O116&lt;=Body!$BP$14),Body!$BN$6,IF(AND('Zdroj data'!O116&gt;=Body!$BQ$14,'Zdroj data'!O116&lt;=Body!$BS$14),Body!$BQ$6,IF(AND('Zdroj data'!O116&gt;=Body!$BT$14,'Zdroj data'!O116&lt;=Body!$BV$14),Body!$BT$6,IF(AND('Zdroj data'!O116&gt;=Body!$BW$14,'Zdroj data'!O116&lt;=Body!$BY$14),Body!$BW$6,IF('Zdroj data'!O116&gt;=Body!$CB$14,Body!$BZ$6," "))))))))))," "))</f>
        <v>1</v>
      </c>
      <c r="J116" s="264">
        <f t="shared" si="25"/>
        <v>1</v>
      </c>
      <c r="K116" s="264">
        <f t="shared" si="25"/>
        <v>1</v>
      </c>
      <c r="L116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116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116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116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116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16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116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116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116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116" s="264">
        <f>IF('Zdroj data'!BB116=Body!$AY$25,Body!$AY$22,IF('Zdroj data'!BB116=Body!$BB$25,Body!$BB$22,IF('Zdroj data'!BB116=Body!$BE$25,Body!$BE$22,IF('Zdroj data'!BB116=Body!$BH$25,Body!$BH$22,IF('Zdroj data'!BB116=Body!BK$25,Body!$BK$22,IF('Zdroj data'!BB116=Body!$BN$25,Body!$BN$22,IF('Zdroj data'!BB116=Body!$BQ$25,Body!$BQ$22,IF('Zdroj data'!BB116=Body!$BT$25,Body!$BT$22,IF('Zdroj data'!BB116=Body!$BW$25,Body!$BW$22,IF('Zdroj data'!BB116=Body!$BZ$25,Body!$BZ$22," "))))))))))</f>
        <v>5</v>
      </c>
      <c r="V116" s="264">
        <f>IF(AND('Zdroj data'!BO116&gt;Body!$AY$27,'Zdroj data'!BO116&lt;=Body!$BA$27),Body!$AY$22,IF(AND('Zdroj data'!BO116&gt;=Body!$BB$27,'Zdroj data'!BO116&lt;=Body!$BD$27),Body!$BB$22,IF(AND('Zdroj data'!BO116&gt;=Body!$BE$27,'Zdroj data'!BO116&lt;=Body!$BG$27),Body!$BE$22,IF(AND('Zdroj data'!BO116&gt;=Body!$BH$27,'Zdroj data'!BO116&lt;=Body!$BJ$27),Body!$BH$22,IF(AND('Zdroj data'!BO116&gt;=Body!$BK$27,'Zdroj data'!BO116&lt;=Body!$BM$27),Body!$BK$22,IF(AND('Zdroj data'!BO116&gt;=Body!$BN$27,'Zdroj data'!BO116&lt;=Body!$BP$27),Body!$BN$22,IF(AND('Zdroj data'!BO116&gt;=Body!$BQ$27,'Zdroj data'!BO116&lt;=Body!$BS$27),Body!$BQ$22,IF(AND('Zdroj data'!BO116&gt;=Body!$BT$27,'Zdroj data'!BO116&lt;=Body!$BV$27),Body!$BT$22,IF(AND('Zdroj data'!BO116&gt;=Body!$BW$27,'Zdroj data'!BO116&lt;=Body!$BY$27),Body!$BW$22,IF('Zdroj data'!BO116&gt;=Body!$CB$27,$BZ$22," "))))))))))</f>
        <v>5</v>
      </c>
      <c r="W116" s="264">
        <f>IF(AND('Zdroj data'!BP116&gt;Body!$AY$27,'Zdroj data'!BP116&lt;=Body!$BA$27),Body!$AY$22,IF(AND('Zdroj data'!BP116&gt;=Body!$BB$27,'Zdroj data'!BP116&lt;=Body!$BD$27),Body!$BB$22,IF(AND('Zdroj data'!BP116&gt;=Body!$BE$27,'Zdroj data'!BP116&lt;=Body!$BG$27),Body!$BE$22,IF(AND('Zdroj data'!BP116&gt;=Body!$BH$27,'Zdroj data'!BP116&lt;=Body!$BJ$27),Body!$BH$22,IF(AND('Zdroj data'!BP116&gt;=Body!$BK$27,'Zdroj data'!BP116&lt;=Body!$BM$27),Body!$BK$22,IF(AND('Zdroj data'!BP116&gt;=Body!$BN$27,'Zdroj data'!BP116&lt;=Body!$BP$27),Body!$BN$22,IF(AND('Zdroj data'!BP116&gt;=Body!$BQ$27,'Zdroj data'!BP116&lt;=Body!$BS$27),Body!$BQ$22,IF(AND('Zdroj data'!BP116&gt;=Body!$BT$27,'Zdroj data'!BP116&lt;=Body!$BV$27),Body!$BT$22,IF(AND('Zdroj data'!BP116&gt;=Body!$BW$27,'Zdroj data'!BP116&lt;=Body!$BY$27),Body!$BW$22,IF('Zdroj data'!BP116&gt;=Body!$CB$27,$BZ$22," "))))))))))</f>
        <v>4</v>
      </c>
      <c r="X116" s="264">
        <f>IF('Zdroj data'!BA116=Body!$BB$28,$BB$22,IF('Zdroj data'!BA116=Body!$BE$28,$BE$22,IF(OR('Zdroj data'!BA116=Body!$BK$28,'Zdroj data'!BA116=Body!$BL$28,'Zdroj data'!BA116=Body!$BM$28),$BK$22,IF(OR('Zdroj data'!BA116=Body!$BT$28,'Zdroj data'!BA116=Body!$BV$28),$BT$22,IF(OR('Zdroj data'!BA116=Body!$BW$28,'Zdroj data'!BA116=Body!$BY$28),$BW$22,IF('Zdroj data'!BA116=Body!$BZ$28,$BZ$22," "))))))</f>
        <v>10</v>
      </c>
      <c r="Y116" s="264">
        <f>IF('Zdroj data'!AZ116=Body!$BZ$29,Body!$BZ$22,IF(OR('Zdroj data'!AZ116=$BT$29,'Zdroj data'!AZ116=$BU$29,'Zdroj data'!AZ116=$BV$29),$BT$22,IF(OR('Zdroj data'!AZ116=$BK$29,'Zdroj data'!AZ116=$BM$29),$BK$22,IF(OR('Zdroj data'!AZ116=$BE$29,'Zdroj data'!AZ116=$BG$29),$BE$22,IF(OR('Zdroj data'!AZ116=$AY$29,'Zdroj data'!AZ116=$BA$29),$AY$22," ")))))</f>
        <v>10</v>
      </c>
      <c r="Z116" s="264">
        <f>IF(AND('Zdroj data'!BF116="T",(OR('Zdroj data'!AZ116=Body!$AW$45,'Zdroj data'!AZ116=Body!$AW$46,'Zdroj data'!AZ116=Body!$AW$47,'Zdroj data'!AZ116=Body!$AW$48))),Body!$AY$22,IF(AND('Zdroj data'!BF116="T",(OR('Zdroj data'!AZ116=$AW$49,'Zdroj data'!AZ116=$AW$50,'Zdroj data'!AZ116=$AW$51,'Zdroj data'!AZ116=$AW$52))),$BZ$22,IF(AND(OR('Zdroj data'!BF116="VT",'Zdroj data'!BF116="T",'Zdroj data'!BF116="CH"),(OR('Zdroj data'!AZ116=$AW$43,'Zdroj data'!AZ116=$AW$44,))),$BZ$22,IF(AND('Zdroj data'!BF116="CH",(OR('Zdroj data'!AZ116=$AW$49,'Zdroj data'!AZ116=$AW$50,'Zdroj data'!AZ116=$AW$51,'Zdroj data'!AZ116=$AW$52))),$AY$22,IF(AND('Zdroj data'!BF116="CH",(OR('Zdroj data'!AZ116=$AW$45,'Zdroj data'!AZ116=$AW$46,'Zdroj data'!AZ116=$AW$47,'Zdroj data'!AZ116=$AW$48))),$BZ$22," ")))))</f>
        <v>10</v>
      </c>
      <c r="AA116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16" s="264">
        <f>IF(Tabulka1[[#This Row],[kv.ek.]]=Body!$BK$35,Body!$BK$34,IF(Tabulka1[[#This Row],[kv.ek.]]=Body!$BZ$35,Body!$BZ$34," "))</f>
        <v>5</v>
      </c>
      <c r="AC116" s="264" t="str">
        <f>IF(AND('Zdroj data'!BF116="T",(OR('Zdroj data'!AZ116=Body!$AW$45,'Zdroj data'!AZ116=Body!$AW$46,'Zdroj data'!AZ116=Body!$AW$47,'Zdroj data'!AZ116=Body!$AW$48))),Body!$AY$22,IF(AND('Zdroj data'!BF116="T",(OR('Zdroj data'!AZ116=$AW$49,'Zdroj data'!AZ116=$AW$50,'Zdroj data'!AZ116=$AW$51,'Zdroj data'!AZ116=$AW$52))),$BZ$22," "))</f>
        <v xml:space="preserve"> </v>
      </c>
      <c r="AD116" s="264">
        <f>IF(AND(OR('Zdroj data'!BF116="VT",'Zdroj data'!BF116="T",'Zdroj data'!BF116="CH"),(OR('Zdroj data'!AZ116=$AW$43,'Zdroj data'!AZ116=$AW$44,))),$BZ$22," ")</f>
        <v>10</v>
      </c>
      <c r="AE116" s="264" t="str">
        <f>IF(AND('Zdroj data'!BF116="CH",(OR('Zdroj data'!AZ116=$AW$49,'Zdroj data'!AZ116=$AW$50,'Zdroj data'!AZ116=$AW$51,'Zdroj data'!AZ116=$AW$52))),$AY$22,IF(AND('Zdroj data'!BF116="CH",(OR('Zdroj data'!AZ116=$AW$45,'Zdroj data'!AZ116=$AW$46,'Zdroj data'!AZ116=$AW$47,'Zdroj data'!AZ116=$AW$48))),$BZ$22," "))</f>
        <v xml:space="preserve"> </v>
      </c>
      <c r="AF116" s="264">
        <f>IF(AND('Zdroj data'!BG116="L",'Zdroj data'!AM116=Body!$AX$15),IF(AND('Zdroj data'!O116&gt;=Body!$AY$15,'Zdroj data'!O116&lt;=Body!$BA$15),Body!AY$6,IF(AND('Zdroj data'!O116&gt;=Body!$BB$15,'Zdroj data'!O116&lt;=Body!$BD$15),Body!BB$6,IF(AND('Zdroj data'!O116&gt;=Body!$BE$15,'Zdroj data'!O116&lt;=Body!$BG$15),Body!BE$6,IF(AND('Zdroj data'!O116&gt;=Body!$BH$15,'Zdroj data'!O116&lt;=Body!$BJ$15),Body!BH$6,IF(AND('Zdroj data'!O116&gt;=Body!$BK$15,'Zdroj data'!O116&lt;=Body!$BM$15),Body!BK$6,IF(AND('Zdroj data'!O116&gt;=Body!$BN$15,'Zdroj data'!O116&lt;=Body!$BP$15),Body!$BN$6,IF(AND('Zdroj data'!O116&gt;=Body!$BQ$15,'Zdroj data'!O116&lt;=Body!$BS$15),Body!$BQ$6,IF(AND('Zdroj data'!O116&gt;=Body!$BT$15,'Zdroj data'!O116&lt;=Body!$BV$15),Body!BT$6,IF(AND('Zdroj data'!O116&gt;=Body!$BW$15,'Zdroj data'!O116&lt;=Body!$BY$15),Body!$BW$6,IF('Zdroj data'!O116&gt;=Body!$CB$15,Body!$BZ$6," ")))))))))),IF(AND('Zdroj data'!BG116="ST",'Zdroj data'!AM116=Body!$AX$16),IF(AND('Zdroj data'!O116&gt;=Body!$AY$16,'Zdroj data'!O116&lt;=Body!$BA$16),Body!$AY$6,IF(AND('Zdroj data'!O116&gt;=Body!$BB$16,'Zdroj data'!O116&lt;=Body!$BD$16),Body!$BB$6,IF(AND('Zdroj data'!O116&gt;=Body!$BE$16,'Zdroj data'!O116&lt;=Body!$BG$16),Body!$BE$6,IF(AND('Zdroj data'!O116&gt;=Body!$BH$16,'Zdroj data'!O116&lt;=Body!$BJ$16),Body!$BH$6,IF(AND('Zdroj data'!O116&gt;=Body!$BK$16,'Zdroj data'!O116&lt;=Body!$BM$16),Body!$BK$6,IF(AND('Zdroj data'!O116&gt;=Body!$BN$16,'Zdroj data'!O116&lt;=Body!$BP$16),Body!$BN$6,IF(AND('Zdroj data'!O116&gt;=Body!$BQ$16,'Zdroj data'!O116&lt;=Body!$BS$16),Body!$BQ$6,IF(AND('Zdroj data'!O116&gt;=Body!$BT$16,'Zdroj data'!O116&lt;=Body!$BV$16),Body!$BT$6,IF(AND('Zdroj data'!O116&gt;=Body!$BW$16,'Zdroj data'!O116&lt;=Body!$BY$16),Body!$BW$6,IF('Zdroj data'!O116&gt;=Body!$CB$16,Body!$BZ$6," ")))))))))),IF(AND('Zdroj data'!BG116="T",'Zdroj data'!AM116=Body!$AX$17),IF(AND('Zdroj data'!O116&gt;=Body!$AY$17,'Zdroj data'!O116&lt;=Body!$BA$17),Body!$AY$6,IF(AND('Zdroj data'!O116&gt;=Body!$BB$17,'Zdroj data'!O116&lt;=Body!$BD$17),Body!$BB$6,IF(AND('Zdroj data'!O116&gt;=Body!$BE$17,'Zdroj data'!O116&lt;=Body!$BG$17),Body!$BE$6,IF(AND('Zdroj data'!O116&gt;=Body!$BH$17,'Zdroj data'!O116&lt;=Body!BJ130),Body!$BH$6,IF(AND('Zdroj data'!O116&gt;=Body!$BK$17,'Zdroj data'!O116&lt;=Body!$BM$17),Body!$BK$6,IF(AND('Zdroj data'!O116&gt;=Body!$BN$17,'Zdroj data'!O116&lt;=Body!$BP$17),Body!$BN$6,IF(AND('Zdroj data'!O116&gt;=Body!$BQ$17,'Zdroj data'!O116&lt;=Body!$BS$17),Body!$BQ$6,IF(AND('Zdroj data'!O116&gt;=Body!$BT$17,'Zdroj data'!O116&lt;=Body!$BV$17),Body!$BT$6,IF(AND('Zdroj data'!O116&gt;=Body!$BW$17,'Zdroj data'!O116&lt;=Body!$BY$17),Body!$BW$6,IF('Zdroj data'!O116&gt;=Body!$CB$17,Body!$BZ$6," "))))))))))," ")))</f>
        <v>1</v>
      </c>
      <c r="AG116" s="264">
        <f>IF(AND('Zdroj data'!$BG116="L",'Zdroj data'!$AM116=Body!$AX$15),IF(AND(Tabulka1[[#This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data'!$BG116="ST",'Zdroj data'!$AM116=Body!$AX$16),IF(AND(Tabulka1[[#This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data'!$BG116="T",'Zdroj data'!$AM116=Body!$AX$17),IF(AND(Tabulka1[[#This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Row],[K2O_60]]&lt;=Body!BJ130),Body!$BH$6,IF(AND(Tabulka1[[#This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16" s="264" t="str">
        <f>IF(AND('Zdroj data'!BG116="L",'Zdroj data'!AM116=Body!$AX$18),IF(AND('Zdroj data'!O116&gt;=Body!$AY$18,'Zdroj data'!O116&lt;=Body!$BA$18),Body!AY$6,IF(AND('Zdroj data'!O116&gt;=Body!$BB$18,'Zdroj data'!O116&lt;=Body!$BD$18),Body!BB$6,IF(AND('Zdroj data'!O116&gt;=Body!$BE$18,'Zdroj data'!O116&lt;=Body!$BG$18),Body!BE$6,IF(AND('Zdroj data'!O116&gt;=Body!$BH$18,'Zdroj data'!O116&lt;=Body!$BJ$18),Body!BH$6,IF(AND('Zdroj data'!O116&gt;=Body!$BK$18,'Zdroj data'!O116&lt;=Body!$BM$18),Body!$BK$6,IF(AND('Zdroj data'!O116&gt;=Body!$BN$18,'Zdroj data'!O116&lt;=Body!$BP$18),Body!BN$6,IF(AND('Zdroj data'!O116&gt;=Body!$BQ$18,'Zdroj data'!O116&lt;=Body!$BS$18),Body!$BQ$6,IF(AND('Zdroj data'!O116&gt;=Body!$BT$18,'Zdroj data'!O116&lt;=Body!$BV$18),Body!$BT$6,IF(AND('Zdroj data'!O116&gt;=Body!$BW$18,'Zdroj data'!O116&lt;=Body!$BY$18),Body!$BW$6,IF('Zdroj data'!O116&gt;=Body!$CB$18,Body!$BZ$6," ")))))))))),IF(AND('Zdroj data'!BG116="ST",'Zdroj data'!AM116=Body!$AX$19),IF(AND('Zdroj data'!O116&gt;=Body!$AY$19,'Zdroj data'!O116&lt;=Body!$BA$19),Body!$AY$6,IF(AND('Zdroj data'!O116&gt;=Body!$BB$19,'Zdroj data'!O116&lt;=Body!$BD$19),Body!$BB$6,IF(AND('Zdroj data'!O116&gt;=Body!$BE$19,'Zdroj data'!O116&lt;=Body!$BG$19),Body!$BE$6,IF(AND('Zdroj data'!O116&gt;=Body!$BH$19,'Zdroj data'!O116&lt;=Body!$BJ$19),Body!$BH$6,IF(AND('Zdroj data'!O116&gt;=Body!$BK$19,'Zdroj data'!O116&lt;=Body!$BM$19),Body!$BK$6,IF(AND('Zdroj data'!O116&gt;=Body!$BN$19,'Zdroj data'!O116&lt;=Body!$BP$19),Body!$BN$6,IF(AND('Zdroj data'!O116&gt;=Body!$BQ$19,'Zdroj data'!O116&lt;=Body!$BS$19),Body!$BQ$6,IF(AND('Zdroj data'!O116&gt;=Body!$BT$19,'Zdroj data'!O120&lt;=Body!$BV$19),Body!$BT$6,IF(AND('Zdroj data'!O116&gt;=Body!$BW$19,'Zdroj data'!O116&lt;=Body!$BY$19),Body!$BW$6,IF('Zdroj data'!O116&gt;=Body!$CB$19,Body!$BZ$6," ")))))))))),IF(AND('Zdroj data'!BG116="T",'Zdroj data'!AM116=Body!$AX$20),IF(AND('Zdroj data'!O116&gt;=Body!$AY$20,'Zdroj data'!O116&lt;=Body!$BA$20),Body!$AY$6,IF(AND('Zdroj data'!O116&gt;=Body!$BB$20,'Zdroj data'!O116&lt;=Body!$BD$20),Body!$BB$6,IF(AND('Zdroj data'!O116&gt;=Body!$BE$20,'Zdroj data'!O116&lt;=Body!$BG$20),Body!$BE$6,IF(AND('Zdroj data'!O116&gt;=Body!$BH$20,'Zdroj data'!O116&lt;=Body!$BJ$20),Body!$BH$6,IF(AND('Zdroj data'!O116&gt;=Body!$BK$20,'Zdroj data'!O116&lt;=Body!$BM$20),Body!$BK$6,IF(AND('Zdroj data'!O116&gt;=Body!$BN$20,'Zdroj data'!O116&lt;=Body!$BP$20),Body!$BN$6,IF(AND('Zdroj data'!O116&gt;=Body!$BQ$20,'Zdroj data'!O116&lt;=Body!$BS$20),Body!$BQ$6,IF(AND('Zdroj data'!O116&gt;=Body!$BT$20,'Zdroj data'!O116&lt;=Body!BV133),Body!$BT$6,IF(AND('Zdroj data'!O116&gt;=Body!$BW$20,'Zdroj data'!O116&lt;=Body!$BY$20),Body!$BW$6,IF('Zdroj data'!O116&gt;=Body!$CB$20,Body!$BZ$6," "))))))))))," ")))</f>
        <v xml:space="preserve"> </v>
      </c>
      <c r="AI116" s="264" t="str">
        <f>IF(AND('Zdroj data'!$BG116="L",'Zdroj data'!$AM116=Body!$AX$18),IF(AND(Tabulka1[[#This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data'!$BG116="ST",'Zdroj data'!$AM116=Body!$AX$19),IF(AND(Tabulka1[[#This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data'!$BG116="T",'Zdroj data'!$AM116=Body!$AX$20),IF(AND(Tabulka1[[#This Row],[K2O_60]]&gt;=Body!$AY$20,'Zdroj data'!O116&lt;=Body!$BA$20),Body!$AY$6,IF(AND(Tabulka1[[#This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Row],[K2O_60]]&lt;=Body!BV133),Body!$BT$6,IF(AND(Tabulka1[[#This Row],[K2O_60]]&gt;=Body!$BW$20,Tabulka1[[#This Row],[K2O_60]]&lt;=Body!$BY$20),Body!$BW$6,IF(Tabulka1[[#This Row],[K2O_60]]&gt;=Body!$CB$20,Body!$BZ$6," "))))))))))," ")))</f>
        <v xml:space="preserve"> </v>
      </c>
      <c r="AJ116" s="265">
        <f t="shared" si="13"/>
        <v>5.3333333333333375</v>
      </c>
      <c r="AK116" s="264">
        <f t="shared" si="14"/>
        <v>24.351438563966003</v>
      </c>
      <c r="AL116" s="264">
        <f t="shared" si="15"/>
        <v>23.348707115141202</v>
      </c>
      <c r="AM116" s="264">
        <f t="shared" si="16"/>
        <v>65.239180301550959</v>
      </c>
      <c r="AN116" s="264">
        <f t="shared" si="17"/>
        <v>71.521835008500943</v>
      </c>
      <c r="AO116" s="265">
        <f t="shared" si="21"/>
        <v>89.590618865516959</v>
      </c>
      <c r="AP116" s="265">
        <f t="shared" si="18"/>
        <v>94.870542123642139</v>
      </c>
      <c r="AQ116" s="318"/>
      <c r="AR116" s="338">
        <f t="shared" si="19"/>
        <v>189.79449432249245</v>
      </c>
      <c r="AS116" s="318"/>
      <c r="AT116" s="138"/>
      <c r="AU116" s="138"/>
    </row>
    <row r="117" spans="1:47" ht="15.5" x14ac:dyDescent="0.35">
      <c r="A117" s="270">
        <v>5519</v>
      </c>
      <c r="B117" s="156" t="s">
        <v>106</v>
      </c>
      <c r="C117" s="250" t="str">
        <f>VLOOKUP(B117,'Zdroj hloubka okresy'!$A$2:$D$171,2,FALSE)</f>
        <v>Kutna_Hora</v>
      </c>
      <c r="D117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9</v>
      </c>
      <c r="E117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9</v>
      </c>
      <c r="F117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17" s="264">
        <f>IF(AND(Tabulka1[[#This Row],[hum_60]]&gt;AY123,Tabulka1[[#This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17" s="264">
        <f>IF(Tabulka1[[#This Row],[kv.ek.]]=Body!$AX$13,IF(AND('Zdroj data'!M117&gt;=Body!$AY$13,'Zdroj data'!M117&lt;=Body!$BA$13),Body!$AY$6,IF(AND('Zdroj data'!M117&gt;=Body!$BB$13,'Zdroj data'!M117&lt;=Body!$BD$13),Body!$BB$6,IF(AND('Zdroj data'!M117&gt;=Body!$BE$13,'Zdroj data'!M117&lt;=Body!$BG$13),Body!$BE$6,IF(AND('Zdroj data'!M117&gt;=Body!$BH$13,'Zdroj data'!M117&lt;=Body!$BJ$13),Body!$BH$6,IF(AND('Zdroj data'!M117&gt;=Body!$BK$13,'Zdroj data'!M117&lt;=Body!$BM$13),Body!$BK$6,IF(AND('Zdroj data'!M117&gt;=Body!$BN$13,'Zdroj data'!M117&lt;=Body!$BP$13),Body!$BN$6,IF(AND('Zdroj data'!M117&gt;=Body!$BQ$13,'Zdroj data'!M117&lt;=Body!$BS$13),Body!$BQ$6,IF(AND('Zdroj data'!M117&gt;=Body!$BT$13,'Zdroj data'!M117&lt;=Body!$BV$13),Body!$BT$6,IF(AND('Zdroj data'!M117&gt;=Body!$BW$13,'Zdroj data'!M117&lt;=Body!$BY$13),Body!$BW$6,IF('Zdroj data'!M117&gt;=Body!$CB$13,Body!$BZ$6," ")))))))))),IF(Tabulka1[[#This Row],[kv.ek.]]=Body!$AX$14,IF(AND('Zdroj data'!N117&gt;=Body!$AY$14,'Zdroj data'!N117&lt;=Body!$BA$14),Body!$AY$6,IF(AND('Zdroj data'!N117&gt;=Body!$BB$14,'Zdroj data'!N117&lt;=Body!$BD$14),Body!$BB$6,IF(AND('Zdroj data'!N117&gt;=Body!$BE$14,'Zdroj data'!N117&lt;=Body!$BG$14),Body!$BE$6,IF(AND('Zdroj data'!N117&gt;=Body!$BH$14,'Zdroj data'!N117&lt;=Body!$BJ$14),Body!$BH$6,IF(AND('Zdroj data'!N117&gt;=Body!$BK$14,'Zdroj data'!N117&lt;=Body!$BM$14),Body!$BK$6,IF(AND('Zdroj data'!N117&gt;=Body!$BN$14,'Zdroj data'!N117&lt;=Body!$BP$14),Body!$BN$6,IF(AND('Zdroj data'!N117&gt;=Body!$BQ$14,'Zdroj data'!N117&lt;=Body!$BS$14),Body!$BQ$6,IF(AND('Zdroj data'!N117&gt;=Body!$BT$14,'Zdroj data'!N117&lt;=Body!$BV$14),Body!$BT$6,IF(AND('Zdroj data'!N117&gt;=Body!$BW$14,'Zdroj data'!N117&lt;=Body!$BY$14),Body!$BW$6,IF('Zdroj data'!N117&gt;=Body!$CB$14,Body!$BZ$6," "))))))))))," "))</f>
        <v>2</v>
      </c>
      <c r="I117" s="264">
        <f>IF(Tabulka1[[#This Row],[kv.ek.]]=Body!$AX$13,IF(AND('Zdroj data'!N117&gt;=Body!$AY$13,'Zdroj data'!N117&lt;=Body!$BA$13),Body!$AY$6,IF(AND('Zdroj data'!N117&gt;=Body!$BB$13,'Zdroj data'!N117&lt;=Body!$BD$13),Body!$BB$6,IF(AND('Zdroj data'!N117&gt;=Body!$BE$13,'Zdroj data'!N117&lt;=Body!$BG$13),Body!$BE$6,IF(AND('Zdroj data'!N117&gt;=Body!$BH$13,'Zdroj data'!N117&lt;=Body!$BJ$13),Body!$BH$6,IF(AND('Zdroj data'!N117&gt;=Body!$BK$13,'Zdroj data'!N117&lt;=Body!$BM$13),Body!$BK$6,IF(AND('Zdroj data'!N117&gt;=Body!$BN$13,'Zdroj data'!N117&lt;=Body!$BP$13),Body!$BN$6,IF(AND('Zdroj data'!N117&gt;=Body!$BQ$13,'Zdroj data'!N117&lt;=Body!$BS$13),Body!$BQ$6,IF(AND('Zdroj data'!N117&gt;=Body!$BT$13,'Zdroj data'!N117&lt;=Body!$BV$13),Body!$BT$6,IF(AND('Zdroj data'!N117&gt;=Body!$BW$13,'Zdroj data'!N117&lt;=Body!$BY$13),Body!$BW$6,IF('Zdroj data'!N117&gt;=Body!$CB$13,Body!$BZ$6," ")))))))))),IF(Tabulka1[[#This Row],[kv.ek.]]=Body!$AX$14,IF(AND('Zdroj data'!O117&gt;=Body!$AY$14,'Zdroj data'!O117&lt;=Body!$BA$14),Body!$AY$6,IF(AND('Zdroj data'!O117&gt;=Body!$BB$14,'Zdroj data'!O117&lt;=Body!$BD$14),Body!$BB$6,IF(AND('Zdroj data'!O117&gt;=Body!$BE$14,'Zdroj data'!O117&lt;=Body!$BG$14),Body!$BE$6,IF(AND('Zdroj data'!O117&gt;=Body!$BH$14,'Zdroj data'!O117&lt;=Body!$BJ$14),Body!$BH$6,IF(AND('Zdroj data'!O117&gt;=Body!$BK$14,'Zdroj data'!O117&lt;=Body!$BM$14),Body!$BK$6,IF(AND('Zdroj data'!O117&gt;=Body!$BN$14,'Zdroj data'!O117&lt;=Body!$BP$14),Body!$BN$6,IF(AND('Zdroj data'!O117&gt;=Body!$BQ$14,'Zdroj data'!O117&lt;=Body!$BS$14),Body!$BQ$6,IF(AND('Zdroj data'!O117&gt;=Body!$BT$14,'Zdroj data'!O117&lt;=Body!$BV$14),Body!$BT$6,IF(AND('Zdroj data'!O117&gt;=Body!$BW$14,'Zdroj data'!O117&lt;=Body!$BY$14),Body!$BW$6,IF('Zdroj data'!O117&gt;=Body!$CB$14,Body!$BZ$6," "))))))))))," "))</f>
        <v>1</v>
      </c>
      <c r="J117" s="264">
        <f t="shared" si="25"/>
        <v>1</v>
      </c>
      <c r="K117" s="264">
        <f t="shared" si="25"/>
        <v>1</v>
      </c>
      <c r="L117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117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117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117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117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17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117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117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9</v>
      </c>
      <c r="T117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117" s="264">
        <f>IF('Zdroj data'!BB117=Body!$AY$25,Body!$AY$22,IF('Zdroj data'!BB117=Body!$BB$25,Body!$BB$22,IF('Zdroj data'!BB117=Body!$BE$25,Body!$BE$22,IF('Zdroj data'!BB117=Body!$BH$25,Body!$BH$22,IF('Zdroj data'!BB117=Body!BK$25,Body!$BK$22,IF('Zdroj data'!BB117=Body!$BN$25,Body!$BN$22,IF('Zdroj data'!BB117=Body!$BQ$25,Body!$BQ$22,IF('Zdroj data'!BB117=Body!$BT$25,Body!$BT$22,IF('Zdroj data'!BB117=Body!$BW$25,Body!$BW$22,IF('Zdroj data'!BB117=Body!$BZ$25,Body!$BZ$22," "))))))))))</f>
        <v>5</v>
      </c>
      <c r="V117" s="264">
        <f>IF(AND('Zdroj data'!BO117&gt;Body!$AY$27,'Zdroj data'!BO117&lt;=Body!$BA$27),Body!$AY$22,IF(AND('Zdroj data'!BO117&gt;=Body!$BB$27,'Zdroj data'!BO117&lt;=Body!$BD$27),Body!$BB$22,IF(AND('Zdroj data'!BO117&gt;=Body!$BE$27,'Zdroj data'!BO117&lt;=Body!$BG$27),Body!$BE$22,IF(AND('Zdroj data'!BO117&gt;=Body!$BH$27,'Zdroj data'!BO117&lt;=Body!$BJ$27),Body!$BH$22,IF(AND('Zdroj data'!BO117&gt;=Body!$BK$27,'Zdroj data'!BO117&lt;=Body!$BM$27),Body!$BK$22,IF(AND('Zdroj data'!BO117&gt;=Body!$BN$27,'Zdroj data'!BO117&lt;=Body!$BP$27),Body!$BN$22,IF(AND('Zdroj data'!BO117&gt;=Body!$BQ$27,'Zdroj data'!BO117&lt;=Body!$BS$27),Body!$BQ$22,IF(AND('Zdroj data'!BO117&gt;=Body!$BT$27,'Zdroj data'!BO117&lt;=Body!$BV$27),Body!$BT$22,IF(AND('Zdroj data'!BO117&gt;=Body!$BW$27,'Zdroj data'!BO117&lt;=Body!$BY$27),Body!$BW$22,IF('Zdroj data'!BO117&gt;=Body!$CB$27,$BZ$22," "))))))))))</f>
        <v>7</v>
      </c>
      <c r="W117" s="264">
        <f>IF(AND('Zdroj data'!BP117&gt;Body!$AY$27,'Zdroj data'!BP117&lt;=Body!$BA$27),Body!$AY$22,IF(AND('Zdroj data'!BP117&gt;=Body!$BB$27,'Zdroj data'!BP117&lt;=Body!$BD$27),Body!$BB$22,IF(AND('Zdroj data'!BP117&gt;=Body!$BE$27,'Zdroj data'!BP117&lt;=Body!$BG$27),Body!$BE$22,IF(AND('Zdroj data'!BP117&gt;=Body!$BH$27,'Zdroj data'!BP117&lt;=Body!$BJ$27),Body!$BH$22,IF(AND('Zdroj data'!BP117&gt;=Body!$BK$27,'Zdroj data'!BP117&lt;=Body!$BM$27),Body!$BK$22,IF(AND('Zdroj data'!BP117&gt;=Body!$BN$27,'Zdroj data'!BP117&lt;=Body!$BP$27),Body!$BN$22,IF(AND('Zdroj data'!BP117&gt;=Body!$BQ$27,'Zdroj data'!BP117&lt;=Body!$BS$27),Body!$BQ$22,IF(AND('Zdroj data'!BP117&gt;=Body!$BT$27,'Zdroj data'!BP117&lt;=Body!$BV$27),Body!$BT$22,IF(AND('Zdroj data'!BP117&gt;=Body!$BW$27,'Zdroj data'!BP117&lt;=Body!$BY$27),Body!$BW$22,IF('Zdroj data'!BP117&gt;=Body!$CB$27,$BZ$22," "))))))))))</f>
        <v>6</v>
      </c>
      <c r="X117" s="264">
        <f>IF('Zdroj data'!BA117=Body!$BB$28,$BB$22,IF('Zdroj data'!BA117=Body!$BE$28,$BE$22,IF(OR('Zdroj data'!BA117=Body!$BK$28,'Zdroj data'!BA117=Body!$BL$28,'Zdroj data'!BA117=Body!$BM$28),$BK$22,IF(OR('Zdroj data'!BA117=Body!$BT$28,'Zdroj data'!BA117=Body!$BV$28),$BT$22,IF(OR('Zdroj data'!BA117=Body!$BW$28,'Zdroj data'!BA117=Body!$BY$28),$BW$22,IF('Zdroj data'!BA117=Body!$BZ$28,$BZ$22," "))))))</f>
        <v>9</v>
      </c>
      <c r="Y117" s="264">
        <f>IF('Zdroj data'!AZ117=Body!$BZ$29,Body!$BZ$22,IF(OR('Zdroj data'!AZ117=$BT$29,'Zdroj data'!AZ117=$BU$29,'Zdroj data'!AZ117=$BV$29),$BT$22,IF(OR('Zdroj data'!AZ117=$BK$29,'Zdroj data'!AZ117=$BM$29),$BK$22,IF(OR('Zdroj data'!AZ117=$BE$29,'Zdroj data'!AZ117=$BG$29),$BE$22,IF(OR('Zdroj data'!AZ117=$AY$29,'Zdroj data'!AZ117=$BA$29),$AY$22," ")))))</f>
        <v>8</v>
      </c>
      <c r="Z117" s="264">
        <f>IF(AND('Zdroj data'!BF117="T",(OR('Zdroj data'!AZ117=Body!$AW$45,'Zdroj data'!AZ117=Body!$AW$46,'Zdroj data'!AZ117=Body!$AW$47,'Zdroj data'!AZ117=Body!$AW$48))),Body!$AY$22,IF(AND('Zdroj data'!BF117="T",(OR('Zdroj data'!AZ117=$AW$49,'Zdroj data'!AZ117=$AW$50,'Zdroj data'!AZ117=$AW$51,'Zdroj data'!AZ117=$AW$52))),$BZ$22,IF(AND(OR('Zdroj data'!BF117="VT",'Zdroj data'!BF117="T",'Zdroj data'!BF117="CH"),(OR('Zdroj data'!AZ117=$AW$43,'Zdroj data'!AZ117=$AW$44,))),$BZ$22,IF(AND('Zdroj data'!BF117="CH",(OR('Zdroj data'!AZ117=$AW$49,'Zdroj data'!AZ117=$AW$50,'Zdroj data'!AZ117=$AW$51,'Zdroj data'!AZ117=$AW$52))),$AY$22,IF(AND('Zdroj data'!BF117="CH",(OR('Zdroj data'!AZ117=$AW$45,'Zdroj data'!AZ117=$AW$46,'Zdroj data'!AZ117=$AW$47,'Zdroj data'!AZ117=$AW$48))),$BZ$22," ")))))</f>
        <v>10</v>
      </c>
      <c r="AA117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17" s="264">
        <f>IF(Tabulka1[[#This Row],[kv.ek.]]=Body!$BK$35,Body!$BK$34,IF(Tabulka1[[#This Row],[kv.ek.]]=Body!$BZ$35,Body!$BZ$34," "))</f>
        <v>5</v>
      </c>
      <c r="AC117" s="264" t="str">
        <f>IF(AND('Zdroj data'!BF117="T",(OR('Zdroj data'!AZ117=Body!$AW$45,'Zdroj data'!AZ117=Body!$AW$46,'Zdroj data'!AZ117=Body!$AW$47,'Zdroj data'!AZ117=Body!$AW$48))),Body!$AY$22,IF(AND('Zdroj data'!BF117="T",(OR('Zdroj data'!AZ117=$AW$49,'Zdroj data'!AZ117=$AW$50,'Zdroj data'!AZ117=$AW$51,'Zdroj data'!AZ117=$AW$52))),$BZ$22," "))</f>
        <v xml:space="preserve"> </v>
      </c>
      <c r="AD117" s="264">
        <f>IF(AND(OR('Zdroj data'!BF117="VT",'Zdroj data'!BF117="T",'Zdroj data'!BF117="CH"),(OR('Zdroj data'!AZ117=$AW$43,'Zdroj data'!AZ117=$AW$44,))),$BZ$22," ")</f>
        <v>10</v>
      </c>
      <c r="AE117" s="264" t="str">
        <f>IF(AND('Zdroj data'!BF117="CH",(OR('Zdroj data'!AZ117=$AW$49,'Zdroj data'!AZ117=$AW$50,'Zdroj data'!AZ117=$AW$51,'Zdroj data'!AZ117=$AW$52))),$AY$22,IF(AND('Zdroj data'!BF117="CH",(OR('Zdroj data'!AZ117=$AW$45,'Zdroj data'!AZ117=$AW$46,'Zdroj data'!AZ117=$AW$47,'Zdroj data'!AZ117=$AW$48))),$BZ$22," "))</f>
        <v xml:space="preserve"> </v>
      </c>
      <c r="AF117" s="264">
        <f>IF(AND('Zdroj data'!BG117="L",'Zdroj data'!AM117=Body!$AX$15),IF(AND('Zdroj data'!O117&gt;=Body!$AY$15,'Zdroj data'!O117&lt;=Body!$BA$15),Body!AY$6,IF(AND('Zdroj data'!O117&gt;=Body!$BB$15,'Zdroj data'!O117&lt;=Body!$BD$15),Body!BB$6,IF(AND('Zdroj data'!O117&gt;=Body!$BE$15,'Zdroj data'!O117&lt;=Body!$BG$15),Body!BE$6,IF(AND('Zdroj data'!O117&gt;=Body!$BH$15,'Zdroj data'!O117&lt;=Body!$BJ$15),Body!BH$6,IF(AND('Zdroj data'!O117&gt;=Body!$BK$15,'Zdroj data'!O117&lt;=Body!$BM$15),Body!BK$6,IF(AND('Zdroj data'!O117&gt;=Body!$BN$15,'Zdroj data'!O117&lt;=Body!$BP$15),Body!$BN$6,IF(AND('Zdroj data'!O117&gt;=Body!$BQ$15,'Zdroj data'!O117&lt;=Body!$BS$15),Body!$BQ$6,IF(AND('Zdroj data'!O117&gt;=Body!$BT$15,'Zdroj data'!O117&lt;=Body!$BV$15),Body!BT$6,IF(AND('Zdroj data'!O117&gt;=Body!$BW$15,'Zdroj data'!O117&lt;=Body!$BY$15),Body!$BW$6,IF('Zdroj data'!O117&gt;=Body!$CB$15,Body!$BZ$6," ")))))))))),IF(AND('Zdroj data'!BG117="ST",'Zdroj data'!AM117=Body!$AX$16),IF(AND('Zdroj data'!O117&gt;=Body!$AY$16,'Zdroj data'!O117&lt;=Body!$BA$16),Body!$AY$6,IF(AND('Zdroj data'!O117&gt;=Body!$BB$16,'Zdroj data'!O117&lt;=Body!$BD$16),Body!$BB$6,IF(AND('Zdroj data'!O117&gt;=Body!$BE$16,'Zdroj data'!O117&lt;=Body!$BG$16),Body!$BE$6,IF(AND('Zdroj data'!O117&gt;=Body!$BH$16,'Zdroj data'!O117&lt;=Body!$BJ$16),Body!$BH$6,IF(AND('Zdroj data'!O117&gt;=Body!$BK$16,'Zdroj data'!O117&lt;=Body!$BM$16),Body!$BK$6,IF(AND('Zdroj data'!O117&gt;=Body!$BN$16,'Zdroj data'!O117&lt;=Body!$BP$16),Body!$BN$6,IF(AND('Zdroj data'!O117&gt;=Body!$BQ$16,'Zdroj data'!O117&lt;=Body!$BS$16),Body!$BQ$6,IF(AND('Zdroj data'!O117&gt;=Body!$BT$16,'Zdroj data'!O117&lt;=Body!$BV$16),Body!$BT$6,IF(AND('Zdroj data'!O117&gt;=Body!$BW$16,'Zdroj data'!O117&lt;=Body!$BY$16),Body!$BW$6,IF('Zdroj data'!O117&gt;=Body!$CB$16,Body!$BZ$6," ")))))))))),IF(AND('Zdroj data'!BG117="T",'Zdroj data'!AM117=Body!$AX$17),IF(AND('Zdroj data'!O117&gt;=Body!$AY$17,'Zdroj data'!O117&lt;=Body!$BA$17),Body!$AY$6,IF(AND('Zdroj data'!O117&gt;=Body!$BB$17,'Zdroj data'!O117&lt;=Body!$BD$17),Body!$BB$6,IF(AND('Zdroj data'!O117&gt;=Body!$BE$17,'Zdroj data'!O117&lt;=Body!$BG$17),Body!$BE$6,IF(AND('Zdroj data'!O117&gt;=Body!$BH$17,'Zdroj data'!O117&lt;=Body!BJ131),Body!$BH$6,IF(AND('Zdroj data'!O117&gt;=Body!$BK$17,'Zdroj data'!O117&lt;=Body!$BM$17),Body!$BK$6,IF(AND('Zdroj data'!O117&gt;=Body!$BN$17,'Zdroj data'!O117&lt;=Body!$BP$17),Body!$BN$6,IF(AND('Zdroj data'!O117&gt;=Body!$BQ$17,'Zdroj data'!O117&lt;=Body!$BS$17),Body!$BQ$6,IF(AND('Zdroj data'!O117&gt;=Body!$BT$17,'Zdroj data'!O117&lt;=Body!$BV$17),Body!$BT$6,IF(AND('Zdroj data'!O117&gt;=Body!$BW$17,'Zdroj data'!O117&lt;=Body!$BY$17),Body!$BW$6,IF('Zdroj data'!O117&gt;=Body!$CB$17,Body!$BZ$6," "))))))))))," ")))</f>
        <v>1</v>
      </c>
      <c r="AG117" s="264">
        <f>IF(AND('Zdroj data'!$BG117="L",'Zdroj data'!$AM117=Body!$AX$15),IF(AND(Tabulka1[[#This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data'!$BG117="ST",'Zdroj data'!$AM117=Body!$AX$16),IF(AND(Tabulka1[[#This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data'!$BG117="T",'Zdroj data'!$AM117=Body!$AX$17),IF(AND(Tabulka1[[#This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Row],[K2O_60]]&lt;=Body!BJ131),Body!$BH$6,IF(AND(Tabulka1[[#This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17" s="264" t="str">
        <f>IF(AND('Zdroj data'!BG117="L",'Zdroj data'!AM117=Body!$AX$18),IF(AND('Zdroj data'!O117&gt;=Body!$AY$18,'Zdroj data'!O117&lt;=Body!$BA$18),Body!AY$6,IF(AND('Zdroj data'!O117&gt;=Body!$BB$18,'Zdroj data'!O117&lt;=Body!$BD$18),Body!BB$6,IF(AND('Zdroj data'!O117&gt;=Body!$BE$18,'Zdroj data'!O117&lt;=Body!$BG$18),Body!BE$6,IF(AND('Zdroj data'!O117&gt;=Body!$BH$18,'Zdroj data'!O117&lt;=Body!$BJ$18),Body!BH$6,IF(AND('Zdroj data'!O117&gt;=Body!$BK$18,'Zdroj data'!O117&lt;=Body!$BM$18),Body!$BK$6,IF(AND('Zdroj data'!O117&gt;=Body!$BN$18,'Zdroj data'!O117&lt;=Body!$BP$18),Body!BN$6,IF(AND('Zdroj data'!O117&gt;=Body!$BQ$18,'Zdroj data'!O117&lt;=Body!$BS$18),Body!$BQ$6,IF(AND('Zdroj data'!O117&gt;=Body!$BT$18,'Zdroj data'!O117&lt;=Body!$BV$18),Body!$BT$6,IF(AND('Zdroj data'!O117&gt;=Body!$BW$18,'Zdroj data'!O117&lt;=Body!$BY$18),Body!$BW$6,IF('Zdroj data'!O117&gt;=Body!$CB$18,Body!$BZ$6," ")))))))))),IF(AND('Zdroj data'!BG117="ST",'Zdroj data'!AM117=Body!$AX$19),IF(AND('Zdroj data'!O117&gt;=Body!$AY$19,'Zdroj data'!O117&lt;=Body!$BA$19),Body!$AY$6,IF(AND('Zdroj data'!O117&gt;=Body!$BB$19,'Zdroj data'!O117&lt;=Body!$BD$19),Body!$BB$6,IF(AND('Zdroj data'!O117&gt;=Body!$BE$19,'Zdroj data'!O117&lt;=Body!$BG$19),Body!$BE$6,IF(AND('Zdroj data'!O117&gt;=Body!$BH$19,'Zdroj data'!O117&lt;=Body!$BJ$19),Body!$BH$6,IF(AND('Zdroj data'!O117&gt;=Body!$BK$19,'Zdroj data'!O117&lt;=Body!$BM$19),Body!$BK$6,IF(AND('Zdroj data'!O117&gt;=Body!$BN$19,'Zdroj data'!O117&lt;=Body!$BP$19),Body!$BN$6,IF(AND('Zdroj data'!O117&gt;=Body!$BQ$19,'Zdroj data'!O117&lt;=Body!$BS$19),Body!$BQ$6,IF(AND('Zdroj data'!O117&gt;=Body!$BT$19,'Zdroj data'!O121&lt;=Body!$BV$19),Body!$BT$6,IF(AND('Zdroj data'!O117&gt;=Body!$BW$19,'Zdroj data'!O117&lt;=Body!$BY$19),Body!$BW$6,IF('Zdroj data'!O117&gt;=Body!$CB$19,Body!$BZ$6," ")))))))))),IF(AND('Zdroj data'!BG117="T",'Zdroj data'!AM117=Body!$AX$20),IF(AND('Zdroj data'!O117&gt;=Body!$AY$20,'Zdroj data'!O117&lt;=Body!$BA$20),Body!$AY$6,IF(AND('Zdroj data'!O117&gt;=Body!$BB$20,'Zdroj data'!O117&lt;=Body!$BD$20),Body!$BB$6,IF(AND('Zdroj data'!O117&gt;=Body!$BE$20,'Zdroj data'!O117&lt;=Body!$BG$20),Body!$BE$6,IF(AND('Zdroj data'!O117&gt;=Body!$BH$20,'Zdroj data'!O117&lt;=Body!$BJ$20),Body!$BH$6,IF(AND('Zdroj data'!O117&gt;=Body!$BK$20,'Zdroj data'!O117&lt;=Body!$BM$20),Body!$BK$6,IF(AND('Zdroj data'!O117&gt;=Body!$BN$20,'Zdroj data'!O117&lt;=Body!$BP$20),Body!$BN$6,IF(AND('Zdroj data'!O117&gt;=Body!$BQ$20,'Zdroj data'!O117&lt;=Body!$BS$20),Body!$BQ$6,IF(AND('Zdroj data'!O117&gt;=Body!$BT$20,'Zdroj data'!O117&lt;=Body!BV134),Body!$BT$6,IF(AND('Zdroj data'!O117&gt;=Body!$BW$20,'Zdroj data'!O117&lt;=Body!$BY$20),Body!$BW$6,IF('Zdroj data'!O117&gt;=Body!$CB$20,Body!$BZ$6," "))))))))))," ")))</f>
        <v xml:space="preserve"> </v>
      </c>
      <c r="AI117" s="264" t="str">
        <f>IF(AND('Zdroj data'!$BG117="L",'Zdroj data'!$AM117=Body!$AX$18),IF(AND(Tabulka1[[#This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data'!$BG117="ST",'Zdroj data'!$AM117=Body!$AX$19),IF(AND(Tabulka1[[#This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data'!$BG117="T",'Zdroj data'!$AM117=Body!$AX$20),IF(AND(Tabulka1[[#This Row],[K2O_60]]&gt;=Body!$AY$20,'Zdroj data'!O117&lt;=Body!$BA$20),Body!$AY$6,IF(AND(Tabulka1[[#This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Row],[K2O_60]]&lt;=Body!BV134),Body!$BT$6,IF(AND(Tabulka1[[#This Row],[K2O_60]]&gt;=Body!$BW$20,Tabulka1[[#This Row],[K2O_60]]&lt;=Body!$BY$20),Body!$BW$6,IF(Tabulka1[[#This Row],[K2O_60]]&gt;=Body!$CB$20,Body!$BZ$6," "))))))))))," ")))</f>
        <v xml:space="preserve"> </v>
      </c>
      <c r="AJ117" s="265">
        <f t="shared" si="13"/>
        <v>8.0000000000000071</v>
      </c>
      <c r="AK117" s="264">
        <f t="shared" si="14"/>
        <v>30.150531991488435</v>
      </c>
      <c r="AL117" s="264">
        <f t="shared" si="15"/>
        <v>29.257137264467968</v>
      </c>
      <c r="AM117" s="264">
        <f t="shared" si="16"/>
        <v>70.585585017018602</v>
      </c>
      <c r="AN117" s="264">
        <f t="shared" si="17"/>
        <v>69.040991809816603</v>
      </c>
      <c r="AO117" s="265">
        <f t="shared" si="21"/>
        <v>100.73611700850704</v>
      </c>
      <c r="AP117" s="265">
        <f t="shared" si="18"/>
        <v>98.298129074284574</v>
      </c>
      <c r="AQ117" s="318"/>
      <c r="AR117" s="338">
        <f t="shared" si="19"/>
        <v>207.03424608279161</v>
      </c>
      <c r="AS117" s="318"/>
      <c r="AT117" s="138"/>
      <c r="AU117" s="138"/>
    </row>
    <row r="118" spans="1:47" ht="15.5" x14ac:dyDescent="0.35">
      <c r="A118" s="270">
        <v>5522</v>
      </c>
      <c r="B118" s="156" t="s">
        <v>96</v>
      </c>
      <c r="C118" s="250" t="str">
        <f>VLOOKUP(B118,'Zdroj hloubka okresy'!$A$2:$D$171,2,FALSE)</f>
        <v>Kutna_Hora</v>
      </c>
      <c r="D118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9</v>
      </c>
      <c r="E118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7</v>
      </c>
      <c r="F118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18" s="264">
        <f>IF(AND(Tabulka1[[#This Row],[hum_60]]&gt;AY124,Tabulka1[[#This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18" s="264">
        <f>IF(Tabulka1[[#This Row],[kv.ek.]]=Body!$AX$13,IF(AND('Zdroj data'!M118&gt;=Body!$AY$13,'Zdroj data'!M118&lt;=Body!$BA$13),Body!$AY$6,IF(AND('Zdroj data'!M118&gt;=Body!$BB$13,'Zdroj data'!M118&lt;=Body!$BD$13),Body!$BB$6,IF(AND('Zdroj data'!M118&gt;=Body!$BE$13,'Zdroj data'!M118&lt;=Body!$BG$13),Body!$BE$6,IF(AND('Zdroj data'!M118&gt;=Body!$BH$13,'Zdroj data'!M118&lt;=Body!$BJ$13),Body!$BH$6,IF(AND('Zdroj data'!M118&gt;=Body!$BK$13,'Zdroj data'!M118&lt;=Body!$BM$13),Body!$BK$6,IF(AND('Zdroj data'!M118&gt;=Body!$BN$13,'Zdroj data'!M118&lt;=Body!$BP$13),Body!$BN$6,IF(AND('Zdroj data'!M118&gt;=Body!$BQ$13,'Zdroj data'!M118&lt;=Body!$BS$13),Body!$BQ$6,IF(AND('Zdroj data'!M118&gt;=Body!$BT$13,'Zdroj data'!M118&lt;=Body!$BV$13),Body!$BT$6,IF(AND('Zdroj data'!M118&gt;=Body!$BW$13,'Zdroj data'!M118&lt;=Body!$BY$13),Body!$BW$6,IF('Zdroj data'!M118&gt;=Body!$CB$13,Body!$BZ$6," ")))))))))),IF(Tabulka1[[#This Row],[kv.ek.]]=Body!$AX$14,IF(AND('Zdroj data'!N118&gt;=Body!$AY$14,'Zdroj data'!N118&lt;=Body!$BA$14),Body!$AY$6,IF(AND('Zdroj data'!N118&gt;=Body!$BB$14,'Zdroj data'!N118&lt;=Body!$BD$14),Body!$BB$6,IF(AND('Zdroj data'!N118&gt;=Body!$BE$14,'Zdroj data'!N118&lt;=Body!$BG$14),Body!$BE$6,IF(AND('Zdroj data'!N118&gt;=Body!$BH$14,'Zdroj data'!N118&lt;=Body!$BJ$14),Body!$BH$6,IF(AND('Zdroj data'!N118&gt;=Body!$BK$14,'Zdroj data'!N118&lt;=Body!$BM$14),Body!$BK$6,IF(AND('Zdroj data'!N118&gt;=Body!$BN$14,'Zdroj data'!N118&lt;=Body!$BP$14),Body!$BN$6,IF(AND('Zdroj data'!N118&gt;=Body!$BQ$14,'Zdroj data'!N118&lt;=Body!$BS$14),Body!$BQ$6,IF(AND('Zdroj data'!N118&gt;=Body!$BT$14,'Zdroj data'!N118&lt;=Body!$BV$14),Body!$BT$6,IF(AND('Zdroj data'!N118&gt;=Body!$BW$14,'Zdroj data'!N118&lt;=Body!$BY$14),Body!$BW$6,IF('Zdroj data'!N118&gt;=Body!$CB$14,Body!$BZ$6," "))))))))))," "))</f>
        <v>1</v>
      </c>
      <c r="I118" s="264">
        <f>IF(Tabulka1[[#This Row],[kv.ek.]]=Body!$AX$13,IF(AND('Zdroj data'!N118&gt;=Body!$AY$13,'Zdroj data'!N118&lt;=Body!$BA$13),Body!$AY$6,IF(AND('Zdroj data'!N118&gt;=Body!$BB$13,'Zdroj data'!N118&lt;=Body!$BD$13),Body!$BB$6,IF(AND('Zdroj data'!N118&gt;=Body!$BE$13,'Zdroj data'!N118&lt;=Body!$BG$13),Body!$BE$6,IF(AND('Zdroj data'!N118&gt;=Body!$BH$13,'Zdroj data'!N118&lt;=Body!$BJ$13),Body!$BH$6,IF(AND('Zdroj data'!N118&gt;=Body!$BK$13,'Zdroj data'!N118&lt;=Body!$BM$13),Body!$BK$6,IF(AND('Zdroj data'!N118&gt;=Body!$BN$13,'Zdroj data'!N118&lt;=Body!$BP$13),Body!$BN$6,IF(AND('Zdroj data'!N118&gt;=Body!$BQ$13,'Zdroj data'!N118&lt;=Body!$BS$13),Body!$BQ$6,IF(AND('Zdroj data'!N118&gt;=Body!$BT$13,'Zdroj data'!N118&lt;=Body!$BV$13),Body!$BT$6,IF(AND('Zdroj data'!N118&gt;=Body!$BW$13,'Zdroj data'!N118&lt;=Body!$BY$13),Body!$BW$6,IF('Zdroj data'!N118&gt;=Body!$CB$13,Body!$BZ$6," ")))))))))),IF(Tabulka1[[#This Row],[kv.ek.]]=Body!$AX$14,IF(AND('Zdroj data'!O118&gt;=Body!$AY$14,'Zdroj data'!O118&lt;=Body!$BA$14),Body!$AY$6,IF(AND('Zdroj data'!O118&gt;=Body!$BB$14,'Zdroj data'!O118&lt;=Body!$BD$14),Body!$BB$6,IF(AND('Zdroj data'!O118&gt;=Body!$BE$14,'Zdroj data'!O118&lt;=Body!$BG$14),Body!$BE$6,IF(AND('Zdroj data'!O118&gt;=Body!$BH$14,'Zdroj data'!O118&lt;=Body!$BJ$14),Body!$BH$6,IF(AND('Zdroj data'!O118&gt;=Body!$BK$14,'Zdroj data'!O118&lt;=Body!$BM$14),Body!$BK$6,IF(AND('Zdroj data'!O118&gt;=Body!$BN$14,'Zdroj data'!O118&lt;=Body!$BP$14),Body!$BN$6,IF(AND('Zdroj data'!O118&gt;=Body!$BQ$14,'Zdroj data'!O118&lt;=Body!$BS$14),Body!$BQ$6,IF(AND('Zdroj data'!O118&gt;=Body!$BT$14,'Zdroj data'!O118&lt;=Body!$BV$14),Body!$BT$6,IF(AND('Zdroj data'!O118&gt;=Body!$BW$14,'Zdroj data'!O118&lt;=Body!$BY$14),Body!$BW$6,IF('Zdroj data'!O118&gt;=Body!$CB$14,Body!$BZ$6," "))))))))))," "))</f>
        <v>1</v>
      </c>
      <c r="J118" s="264">
        <f t="shared" si="25"/>
        <v>1</v>
      </c>
      <c r="K118" s="264">
        <f t="shared" si="25"/>
        <v>1</v>
      </c>
      <c r="L118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118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118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118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118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18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118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118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118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118" s="264">
        <f>IF('Zdroj data'!BB118=Body!$AY$25,Body!$AY$22,IF('Zdroj data'!BB118=Body!$BB$25,Body!$BB$22,IF('Zdroj data'!BB118=Body!$BE$25,Body!$BE$22,IF('Zdroj data'!BB118=Body!$BH$25,Body!$BH$22,IF('Zdroj data'!BB118=Body!BK$25,Body!$BK$22,IF('Zdroj data'!BB118=Body!$BN$25,Body!$BN$22,IF('Zdroj data'!BB118=Body!$BQ$25,Body!$BQ$22,IF('Zdroj data'!BB118=Body!$BT$25,Body!$BT$22,IF('Zdroj data'!BB118=Body!$BW$25,Body!$BW$22,IF('Zdroj data'!BB118=Body!$BZ$25,Body!$BZ$22," "))))))))))</f>
        <v>5</v>
      </c>
      <c r="V118" s="264">
        <f>IF(AND('Zdroj data'!BO118&gt;Body!$AY$27,'Zdroj data'!BO118&lt;=Body!$BA$27),Body!$AY$22,IF(AND('Zdroj data'!BO118&gt;=Body!$BB$27,'Zdroj data'!BO118&lt;=Body!$BD$27),Body!$BB$22,IF(AND('Zdroj data'!BO118&gt;=Body!$BE$27,'Zdroj data'!BO118&lt;=Body!$BG$27),Body!$BE$22,IF(AND('Zdroj data'!BO118&gt;=Body!$BH$27,'Zdroj data'!BO118&lt;=Body!$BJ$27),Body!$BH$22,IF(AND('Zdroj data'!BO118&gt;=Body!$BK$27,'Zdroj data'!BO118&lt;=Body!$BM$27),Body!$BK$22,IF(AND('Zdroj data'!BO118&gt;=Body!$BN$27,'Zdroj data'!BO118&lt;=Body!$BP$27),Body!$BN$22,IF(AND('Zdroj data'!BO118&gt;=Body!$BQ$27,'Zdroj data'!BO118&lt;=Body!$BS$27),Body!$BQ$22,IF(AND('Zdroj data'!BO118&gt;=Body!$BT$27,'Zdroj data'!BO118&lt;=Body!$BV$27),Body!$BT$22,IF(AND('Zdroj data'!BO118&gt;=Body!$BW$27,'Zdroj data'!BO118&lt;=Body!$BY$27),Body!$BW$22,IF('Zdroj data'!BO118&gt;=Body!$CB$27,$BZ$22," "))))))))))</f>
        <v>7</v>
      </c>
      <c r="W118" s="264">
        <f>IF(AND('Zdroj data'!BP118&gt;Body!$AY$27,'Zdroj data'!BP118&lt;=Body!$BA$27),Body!$AY$22,IF(AND('Zdroj data'!BP118&gt;=Body!$BB$27,'Zdroj data'!BP118&lt;=Body!$BD$27),Body!$BB$22,IF(AND('Zdroj data'!BP118&gt;=Body!$BE$27,'Zdroj data'!BP118&lt;=Body!$BG$27),Body!$BE$22,IF(AND('Zdroj data'!BP118&gt;=Body!$BH$27,'Zdroj data'!BP118&lt;=Body!$BJ$27),Body!$BH$22,IF(AND('Zdroj data'!BP118&gt;=Body!$BK$27,'Zdroj data'!BP118&lt;=Body!$BM$27),Body!$BK$22,IF(AND('Zdroj data'!BP118&gt;=Body!$BN$27,'Zdroj data'!BP118&lt;=Body!$BP$27),Body!$BN$22,IF(AND('Zdroj data'!BP118&gt;=Body!$BQ$27,'Zdroj data'!BP118&lt;=Body!$BS$27),Body!$BQ$22,IF(AND('Zdroj data'!BP118&gt;=Body!$BT$27,'Zdroj data'!BP118&lt;=Body!$BV$27),Body!$BT$22,IF(AND('Zdroj data'!BP118&gt;=Body!$BW$27,'Zdroj data'!BP118&lt;=Body!$BY$27),Body!$BW$22,IF('Zdroj data'!BP118&gt;=Body!$CB$27,$BZ$22," "))))))))))</f>
        <v>6</v>
      </c>
      <c r="X118" s="264">
        <f>IF('Zdroj data'!BA118=Body!$BB$28,$BB$22,IF('Zdroj data'!BA118=Body!$BE$28,$BE$22,IF(OR('Zdroj data'!BA118=Body!$BK$28,'Zdroj data'!BA118=Body!$BL$28,'Zdroj data'!BA118=Body!$BM$28),$BK$22,IF(OR('Zdroj data'!BA118=Body!$BT$28,'Zdroj data'!BA118=Body!$BV$28),$BT$22,IF(OR('Zdroj data'!BA118=Body!$BW$28,'Zdroj data'!BA118=Body!$BY$28),$BW$22,IF('Zdroj data'!BA118=Body!$BZ$28,$BZ$22," "))))))</f>
        <v>10</v>
      </c>
      <c r="Y118" s="264">
        <f>IF('Zdroj data'!AZ118=Body!$BZ$29,Body!$BZ$22,IF(OR('Zdroj data'!AZ118=$BT$29,'Zdroj data'!AZ118=$BU$29,'Zdroj data'!AZ118=$BV$29),$BT$22,IF(OR('Zdroj data'!AZ118=$BK$29,'Zdroj data'!AZ118=$BM$29),$BK$22,IF(OR('Zdroj data'!AZ118=$BE$29,'Zdroj data'!AZ118=$BG$29),$BE$22,IF(OR('Zdroj data'!AZ118=$AY$29,'Zdroj data'!AZ118=$BA$29),$AY$22," ")))))</f>
        <v>10</v>
      </c>
      <c r="Z118" s="264">
        <f>IF(AND('Zdroj data'!BF118="T",(OR('Zdroj data'!AZ118=Body!$AW$45,'Zdroj data'!AZ118=Body!$AW$46,'Zdroj data'!AZ118=Body!$AW$47,'Zdroj data'!AZ118=Body!$AW$48))),Body!$AY$22,IF(AND('Zdroj data'!BF118="T",(OR('Zdroj data'!AZ118=$AW$49,'Zdroj data'!AZ118=$AW$50,'Zdroj data'!AZ118=$AW$51,'Zdroj data'!AZ118=$AW$52))),$BZ$22,IF(AND(OR('Zdroj data'!BF118="VT",'Zdroj data'!BF118="T",'Zdroj data'!BF118="CH"),(OR('Zdroj data'!AZ118=$AW$43,'Zdroj data'!AZ118=$AW$44,))),$BZ$22,IF(AND('Zdroj data'!BF118="CH",(OR('Zdroj data'!AZ118=$AW$49,'Zdroj data'!AZ118=$AW$50,'Zdroj data'!AZ118=$AW$51,'Zdroj data'!AZ118=$AW$52))),$AY$22,IF(AND('Zdroj data'!BF118="CH",(OR('Zdroj data'!AZ118=$AW$45,'Zdroj data'!AZ118=$AW$46,'Zdroj data'!AZ118=$AW$47,'Zdroj data'!AZ118=$AW$48))),$BZ$22," ")))))</f>
        <v>10</v>
      </c>
      <c r="AA118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18" s="264">
        <f>IF(Tabulka1[[#This Row],[kv.ek.]]=Body!$BK$35,Body!$BK$34,IF(Tabulka1[[#This Row],[kv.ek.]]=Body!$BZ$35,Body!$BZ$34," "))</f>
        <v>5</v>
      </c>
      <c r="AC118" s="264" t="str">
        <f>IF(AND('Zdroj data'!BF118="T",(OR('Zdroj data'!AZ118=Body!$AW$45,'Zdroj data'!AZ118=Body!$AW$46,'Zdroj data'!AZ118=Body!$AW$47,'Zdroj data'!AZ118=Body!$AW$48))),Body!$AY$22,IF(AND('Zdroj data'!BF118="T",(OR('Zdroj data'!AZ118=$AW$49,'Zdroj data'!AZ118=$AW$50,'Zdroj data'!AZ118=$AW$51,'Zdroj data'!AZ118=$AW$52))),$BZ$22," "))</f>
        <v xml:space="preserve"> </v>
      </c>
      <c r="AD118" s="264">
        <f>IF(AND(OR('Zdroj data'!BF118="VT",'Zdroj data'!BF118="T",'Zdroj data'!BF118="CH"),(OR('Zdroj data'!AZ118=$AW$43,'Zdroj data'!AZ118=$AW$44,))),$BZ$22," ")</f>
        <v>10</v>
      </c>
      <c r="AE118" s="264" t="str">
        <f>IF(AND('Zdroj data'!BF118="CH",(OR('Zdroj data'!AZ118=$AW$49,'Zdroj data'!AZ118=$AW$50,'Zdroj data'!AZ118=$AW$51,'Zdroj data'!AZ118=$AW$52))),$AY$22,IF(AND('Zdroj data'!BF118="CH",(OR('Zdroj data'!AZ118=$AW$45,'Zdroj data'!AZ118=$AW$46,'Zdroj data'!AZ118=$AW$47,'Zdroj data'!AZ118=$AW$48))),$BZ$22," "))</f>
        <v xml:space="preserve"> </v>
      </c>
      <c r="AF118" s="264">
        <f>IF(AND('Zdroj data'!BG118="L",'Zdroj data'!AM118=Body!$AX$15),IF(AND('Zdroj data'!O118&gt;=Body!$AY$15,'Zdroj data'!O118&lt;=Body!$BA$15),Body!AY$6,IF(AND('Zdroj data'!O118&gt;=Body!$BB$15,'Zdroj data'!O118&lt;=Body!$BD$15),Body!BB$6,IF(AND('Zdroj data'!O118&gt;=Body!$BE$15,'Zdroj data'!O118&lt;=Body!$BG$15),Body!BE$6,IF(AND('Zdroj data'!O118&gt;=Body!$BH$15,'Zdroj data'!O118&lt;=Body!$BJ$15),Body!BH$6,IF(AND('Zdroj data'!O118&gt;=Body!$BK$15,'Zdroj data'!O118&lt;=Body!$BM$15),Body!BK$6,IF(AND('Zdroj data'!O118&gt;=Body!$BN$15,'Zdroj data'!O118&lt;=Body!$BP$15),Body!$BN$6,IF(AND('Zdroj data'!O118&gt;=Body!$BQ$15,'Zdroj data'!O118&lt;=Body!$BS$15),Body!$BQ$6,IF(AND('Zdroj data'!O118&gt;=Body!$BT$15,'Zdroj data'!O118&lt;=Body!$BV$15),Body!BT$6,IF(AND('Zdroj data'!O118&gt;=Body!$BW$15,'Zdroj data'!O118&lt;=Body!$BY$15),Body!$BW$6,IF('Zdroj data'!O118&gt;=Body!$CB$15,Body!$BZ$6," ")))))))))),IF(AND('Zdroj data'!BG118="ST",'Zdroj data'!AM118=Body!$AX$16),IF(AND('Zdroj data'!O118&gt;=Body!$AY$16,'Zdroj data'!O118&lt;=Body!$BA$16),Body!$AY$6,IF(AND('Zdroj data'!O118&gt;=Body!$BB$16,'Zdroj data'!O118&lt;=Body!$BD$16),Body!$BB$6,IF(AND('Zdroj data'!O118&gt;=Body!$BE$16,'Zdroj data'!O118&lt;=Body!$BG$16),Body!$BE$6,IF(AND('Zdroj data'!O118&gt;=Body!$BH$16,'Zdroj data'!O118&lt;=Body!$BJ$16),Body!$BH$6,IF(AND('Zdroj data'!O118&gt;=Body!$BK$16,'Zdroj data'!O118&lt;=Body!$BM$16),Body!$BK$6,IF(AND('Zdroj data'!O118&gt;=Body!$BN$16,'Zdroj data'!O118&lt;=Body!$BP$16),Body!$BN$6,IF(AND('Zdroj data'!O118&gt;=Body!$BQ$16,'Zdroj data'!O118&lt;=Body!$BS$16),Body!$BQ$6,IF(AND('Zdroj data'!O118&gt;=Body!$BT$16,'Zdroj data'!O118&lt;=Body!$BV$16),Body!$BT$6,IF(AND('Zdroj data'!O118&gt;=Body!$BW$16,'Zdroj data'!O118&lt;=Body!$BY$16),Body!$BW$6,IF('Zdroj data'!O118&gt;=Body!$CB$16,Body!$BZ$6," ")))))))))),IF(AND('Zdroj data'!BG118="T",'Zdroj data'!AM118=Body!$AX$17),IF(AND('Zdroj data'!O118&gt;=Body!$AY$17,'Zdroj data'!O118&lt;=Body!$BA$17),Body!$AY$6,IF(AND('Zdroj data'!O118&gt;=Body!$BB$17,'Zdroj data'!O118&lt;=Body!$BD$17),Body!$BB$6,IF(AND('Zdroj data'!O118&gt;=Body!$BE$17,'Zdroj data'!O118&lt;=Body!$BG$17),Body!$BE$6,IF(AND('Zdroj data'!O118&gt;=Body!$BH$17,'Zdroj data'!O118&lt;=Body!BJ132),Body!$BH$6,IF(AND('Zdroj data'!O118&gt;=Body!$BK$17,'Zdroj data'!O118&lt;=Body!$BM$17),Body!$BK$6,IF(AND('Zdroj data'!O118&gt;=Body!$BN$17,'Zdroj data'!O118&lt;=Body!$BP$17),Body!$BN$6,IF(AND('Zdroj data'!O118&gt;=Body!$BQ$17,'Zdroj data'!O118&lt;=Body!$BS$17),Body!$BQ$6,IF(AND('Zdroj data'!O118&gt;=Body!$BT$17,'Zdroj data'!O118&lt;=Body!$BV$17),Body!$BT$6,IF(AND('Zdroj data'!O118&gt;=Body!$BW$17,'Zdroj data'!O118&lt;=Body!$BY$17),Body!$BW$6,IF('Zdroj data'!O118&gt;=Body!$CB$17,Body!$BZ$6," "))))))))))," ")))</f>
        <v>1</v>
      </c>
      <c r="AG118" s="264">
        <f>IF(AND('Zdroj data'!$BG118="L",'Zdroj data'!$AM118=Body!$AX$15),IF(AND(Tabulka1[[#This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data'!$BG118="ST",'Zdroj data'!$AM118=Body!$AX$16),IF(AND(Tabulka1[[#This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data'!$BG118="T",'Zdroj data'!$AM118=Body!$AX$17),IF(AND(Tabulka1[[#This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Row],[K2O_60]]&lt;=Body!BJ132),Body!$BH$6,IF(AND(Tabulka1[[#This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18" s="264" t="str">
        <f>IF(AND('Zdroj data'!BG118="L",'Zdroj data'!AM118=Body!$AX$18),IF(AND('Zdroj data'!O118&gt;=Body!$AY$18,'Zdroj data'!O118&lt;=Body!$BA$18),Body!AY$6,IF(AND('Zdroj data'!O118&gt;=Body!$BB$18,'Zdroj data'!O118&lt;=Body!$BD$18),Body!BB$6,IF(AND('Zdroj data'!O118&gt;=Body!$BE$18,'Zdroj data'!O118&lt;=Body!$BG$18),Body!BE$6,IF(AND('Zdroj data'!O118&gt;=Body!$BH$18,'Zdroj data'!O118&lt;=Body!$BJ$18),Body!BH$6,IF(AND('Zdroj data'!O118&gt;=Body!$BK$18,'Zdroj data'!O118&lt;=Body!$BM$18),Body!$BK$6,IF(AND('Zdroj data'!O118&gt;=Body!$BN$18,'Zdroj data'!O118&lt;=Body!$BP$18),Body!BN$6,IF(AND('Zdroj data'!O118&gt;=Body!$BQ$18,'Zdroj data'!O118&lt;=Body!$BS$18),Body!$BQ$6,IF(AND('Zdroj data'!O118&gt;=Body!$BT$18,'Zdroj data'!O118&lt;=Body!$BV$18),Body!$BT$6,IF(AND('Zdroj data'!O118&gt;=Body!$BW$18,'Zdroj data'!O118&lt;=Body!$BY$18),Body!$BW$6,IF('Zdroj data'!O118&gt;=Body!$CB$18,Body!$BZ$6," ")))))))))),IF(AND('Zdroj data'!BG118="ST",'Zdroj data'!AM118=Body!$AX$19),IF(AND('Zdroj data'!O118&gt;=Body!$AY$19,'Zdroj data'!O118&lt;=Body!$BA$19),Body!$AY$6,IF(AND('Zdroj data'!O118&gt;=Body!$BB$19,'Zdroj data'!O118&lt;=Body!$BD$19),Body!$BB$6,IF(AND('Zdroj data'!O118&gt;=Body!$BE$19,'Zdroj data'!O118&lt;=Body!$BG$19),Body!$BE$6,IF(AND('Zdroj data'!O118&gt;=Body!$BH$19,'Zdroj data'!O118&lt;=Body!$BJ$19),Body!$BH$6,IF(AND('Zdroj data'!O118&gt;=Body!$BK$19,'Zdroj data'!O118&lt;=Body!$BM$19),Body!$BK$6,IF(AND('Zdroj data'!O118&gt;=Body!$BN$19,'Zdroj data'!O118&lt;=Body!$BP$19),Body!$BN$6,IF(AND('Zdroj data'!O118&gt;=Body!$BQ$19,'Zdroj data'!O118&lt;=Body!$BS$19),Body!$BQ$6,IF(AND('Zdroj data'!O118&gt;=Body!$BT$19,'Zdroj data'!O122&lt;=Body!$BV$19),Body!$BT$6,IF(AND('Zdroj data'!O118&gt;=Body!$BW$19,'Zdroj data'!O118&lt;=Body!$BY$19),Body!$BW$6,IF('Zdroj data'!O118&gt;=Body!$CB$19,Body!$BZ$6," ")))))))))),IF(AND('Zdroj data'!BG118="T",'Zdroj data'!AM118=Body!$AX$20),IF(AND('Zdroj data'!O118&gt;=Body!$AY$20,'Zdroj data'!O118&lt;=Body!$BA$20),Body!$AY$6,IF(AND('Zdroj data'!O118&gt;=Body!$BB$20,'Zdroj data'!O118&lt;=Body!$BD$20),Body!$BB$6,IF(AND('Zdroj data'!O118&gt;=Body!$BE$20,'Zdroj data'!O118&lt;=Body!$BG$20),Body!$BE$6,IF(AND('Zdroj data'!O118&gt;=Body!$BH$20,'Zdroj data'!O118&lt;=Body!$BJ$20),Body!$BH$6,IF(AND('Zdroj data'!O118&gt;=Body!$BK$20,'Zdroj data'!O118&lt;=Body!$BM$20),Body!$BK$6,IF(AND('Zdroj data'!O118&gt;=Body!$BN$20,'Zdroj data'!O118&lt;=Body!$BP$20),Body!$BN$6,IF(AND('Zdroj data'!O118&gt;=Body!$BQ$20,'Zdroj data'!O118&lt;=Body!$BS$20),Body!$BQ$6,IF(AND('Zdroj data'!O118&gt;=Body!$BT$20,'Zdroj data'!O118&lt;=Body!BV135),Body!$BT$6,IF(AND('Zdroj data'!O118&gt;=Body!$BW$20,'Zdroj data'!O118&lt;=Body!$BY$20),Body!$BW$6,IF('Zdroj data'!O118&gt;=Body!$CB$20,Body!$BZ$6," "))))))))))," ")))</f>
        <v xml:space="preserve"> </v>
      </c>
      <c r="AI118" s="264" t="str">
        <f>IF(AND('Zdroj data'!$BG118="L",'Zdroj data'!$AM118=Body!$AX$18),IF(AND(Tabulka1[[#This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data'!$BG118="ST",'Zdroj data'!$AM118=Body!$AX$19),IF(AND(Tabulka1[[#This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data'!$BG118="T",'Zdroj data'!$AM118=Body!$AX$20),IF(AND(Tabulka1[[#This Row],[K2O_60]]&gt;=Body!$AY$20,'Zdroj data'!O118&lt;=Body!$BA$20),Body!$AY$6,IF(AND(Tabulka1[[#This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Row],[K2O_60]]&lt;=Body!BV135),Body!$BT$6,IF(AND(Tabulka1[[#This Row],[K2O_60]]&gt;=Body!$BW$20,Tabulka1[[#This Row],[K2O_60]]&lt;=Body!$BY$20),Body!$BW$6,IF(Tabulka1[[#This Row],[K2O_60]]&gt;=Body!$CB$20,Body!$BZ$6," "))))))))))," ")))</f>
        <v xml:space="preserve"> </v>
      </c>
      <c r="AJ118" s="265">
        <f t="shared" si="13"/>
        <v>5.3333333333333375</v>
      </c>
      <c r="AK118" s="264">
        <f t="shared" si="14"/>
        <v>28.190749475216236</v>
      </c>
      <c r="AL118" s="264">
        <f t="shared" si="15"/>
        <v>26.850975030421523</v>
      </c>
      <c r="AM118" s="264">
        <f t="shared" si="16"/>
        <v>76.155614630106911</v>
      </c>
      <c r="AN118" s="264">
        <f t="shared" si="17"/>
        <v>70.697397465828928</v>
      </c>
      <c r="AO118" s="265">
        <f t="shared" si="21"/>
        <v>104.34636410532315</v>
      </c>
      <c r="AP118" s="265">
        <f t="shared" si="18"/>
        <v>97.548372496250451</v>
      </c>
      <c r="AQ118" s="318"/>
      <c r="AR118" s="338">
        <f t="shared" si="19"/>
        <v>207.22806993490693</v>
      </c>
      <c r="AS118" s="318"/>
      <c r="AT118" s="138"/>
      <c r="AU118" s="138"/>
    </row>
    <row r="119" spans="1:47" ht="15.5" x14ac:dyDescent="0.35">
      <c r="A119" s="270">
        <v>5525</v>
      </c>
      <c r="B119" s="156" t="s">
        <v>103</v>
      </c>
      <c r="C119" s="250" t="str">
        <f>VLOOKUP(B119,'Zdroj hloubka okresy'!$A$2:$D$171,2,FALSE)</f>
        <v>Kutna_Hora</v>
      </c>
      <c r="D119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119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119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19" s="264">
        <f>IF(AND(Tabulka1[[#This Row],[hum_60]]&gt;AY125,Tabulka1[[#This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19" s="264">
        <f>IF(Tabulka1[[#This Row],[kv.ek.]]=Body!$AX$13,IF(AND('Zdroj data'!M119&gt;=Body!$AY$13,'Zdroj data'!M119&lt;=Body!$BA$13),Body!$AY$6,IF(AND('Zdroj data'!M119&gt;=Body!$BB$13,'Zdroj data'!M119&lt;=Body!$BD$13),Body!$BB$6,IF(AND('Zdroj data'!M119&gt;=Body!$BE$13,'Zdroj data'!M119&lt;=Body!$BG$13),Body!$BE$6,IF(AND('Zdroj data'!M119&gt;=Body!$BH$13,'Zdroj data'!M119&lt;=Body!$BJ$13),Body!$BH$6,IF(AND('Zdroj data'!M119&gt;=Body!$BK$13,'Zdroj data'!M119&lt;=Body!$BM$13),Body!$BK$6,IF(AND('Zdroj data'!M119&gt;=Body!$BN$13,'Zdroj data'!M119&lt;=Body!$BP$13),Body!$BN$6,IF(AND('Zdroj data'!M119&gt;=Body!$BQ$13,'Zdroj data'!M119&lt;=Body!$BS$13),Body!$BQ$6,IF(AND('Zdroj data'!M119&gt;=Body!$BT$13,'Zdroj data'!M119&lt;=Body!$BV$13),Body!$BT$6,IF(AND('Zdroj data'!M119&gt;=Body!$BW$13,'Zdroj data'!M119&lt;=Body!$BY$13),Body!$BW$6,IF('Zdroj data'!M119&gt;=Body!$CB$13,Body!$BZ$6," ")))))))))),IF(Tabulka1[[#This Row],[kv.ek.]]=Body!$AX$14,IF(AND('Zdroj data'!N119&gt;=Body!$AY$14,'Zdroj data'!N119&lt;=Body!$BA$14),Body!$AY$6,IF(AND('Zdroj data'!N119&gt;=Body!$BB$14,'Zdroj data'!N119&lt;=Body!$BD$14),Body!$BB$6,IF(AND('Zdroj data'!N119&gt;=Body!$BE$14,'Zdroj data'!N119&lt;=Body!$BG$14),Body!$BE$6,IF(AND('Zdroj data'!N119&gt;=Body!$BH$14,'Zdroj data'!N119&lt;=Body!$BJ$14),Body!$BH$6,IF(AND('Zdroj data'!N119&gt;=Body!$BK$14,'Zdroj data'!N119&lt;=Body!$BM$14),Body!$BK$6,IF(AND('Zdroj data'!N119&gt;=Body!$BN$14,'Zdroj data'!N119&lt;=Body!$BP$14),Body!$BN$6,IF(AND('Zdroj data'!N119&gt;=Body!$BQ$14,'Zdroj data'!N119&lt;=Body!$BS$14),Body!$BQ$6,IF(AND('Zdroj data'!N119&gt;=Body!$BT$14,'Zdroj data'!N119&lt;=Body!$BV$14),Body!$BT$6,IF(AND('Zdroj data'!N119&gt;=Body!$BW$14,'Zdroj data'!N119&lt;=Body!$BY$14),Body!$BW$6,IF('Zdroj data'!N119&gt;=Body!$CB$14,Body!$BZ$6," "))))))))))," "))</f>
        <v>1</v>
      </c>
      <c r="I119" s="264">
        <f>IF(Tabulka1[[#This Row],[kv.ek.]]=Body!$AX$13,IF(AND('Zdroj data'!N119&gt;=Body!$AY$13,'Zdroj data'!N119&lt;=Body!$BA$13),Body!$AY$6,IF(AND('Zdroj data'!N119&gt;=Body!$BB$13,'Zdroj data'!N119&lt;=Body!$BD$13),Body!$BB$6,IF(AND('Zdroj data'!N119&gt;=Body!$BE$13,'Zdroj data'!N119&lt;=Body!$BG$13),Body!$BE$6,IF(AND('Zdroj data'!N119&gt;=Body!$BH$13,'Zdroj data'!N119&lt;=Body!$BJ$13),Body!$BH$6,IF(AND('Zdroj data'!N119&gt;=Body!$BK$13,'Zdroj data'!N119&lt;=Body!$BM$13),Body!$BK$6,IF(AND('Zdroj data'!N119&gt;=Body!$BN$13,'Zdroj data'!N119&lt;=Body!$BP$13),Body!$BN$6,IF(AND('Zdroj data'!N119&gt;=Body!$BQ$13,'Zdroj data'!N119&lt;=Body!$BS$13),Body!$BQ$6,IF(AND('Zdroj data'!N119&gt;=Body!$BT$13,'Zdroj data'!N119&lt;=Body!$BV$13),Body!$BT$6,IF(AND('Zdroj data'!N119&gt;=Body!$BW$13,'Zdroj data'!N119&lt;=Body!$BY$13),Body!$BW$6,IF('Zdroj data'!N119&gt;=Body!$CB$13,Body!$BZ$6," ")))))))))),IF(Tabulka1[[#This Row],[kv.ek.]]=Body!$AX$14,IF(AND('Zdroj data'!O119&gt;=Body!$AY$14,'Zdroj data'!O119&lt;=Body!$BA$14),Body!$AY$6,IF(AND('Zdroj data'!O119&gt;=Body!$BB$14,'Zdroj data'!O119&lt;=Body!$BD$14),Body!$BB$6,IF(AND('Zdroj data'!O119&gt;=Body!$BE$14,'Zdroj data'!O119&lt;=Body!$BG$14),Body!$BE$6,IF(AND('Zdroj data'!O119&gt;=Body!$BH$14,'Zdroj data'!O119&lt;=Body!$BJ$14),Body!$BH$6,IF(AND('Zdroj data'!O119&gt;=Body!$BK$14,'Zdroj data'!O119&lt;=Body!$BM$14),Body!$BK$6,IF(AND('Zdroj data'!O119&gt;=Body!$BN$14,'Zdroj data'!O119&lt;=Body!$BP$14),Body!$BN$6,IF(AND('Zdroj data'!O119&gt;=Body!$BQ$14,'Zdroj data'!O119&lt;=Body!$BS$14),Body!$BQ$6,IF(AND('Zdroj data'!O119&gt;=Body!$BT$14,'Zdroj data'!O119&lt;=Body!$BV$14),Body!$BT$6,IF(AND('Zdroj data'!O119&gt;=Body!$BW$14,'Zdroj data'!O119&lt;=Body!$BY$14),Body!$BW$6,IF('Zdroj data'!O119&gt;=Body!$CB$14,Body!$BZ$6," "))))))))))," "))</f>
        <v>1</v>
      </c>
      <c r="J119" s="264">
        <f t="shared" si="25"/>
        <v>1</v>
      </c>
      <c r="K119" s="264">
        <f t="shared" si="25"/>
        <v>1</v>
      </c>
      <c r="L119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119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119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119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119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19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119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119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119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119" s="264">
        <f>IF('Zdroj data'!BB119=Body!$AY$25,Body!$AY$22,IF('Zdroj data'!BB119=Body!$BB$25,Body!$BB$22,IF('Zdroj data'!BB119=Body!$BE$25,Body!$BE$22,IF('Zdroj data'!BB119=Body!$BH$25,Body!$BH$22,IF('Zdroj data'!BB119=Body!BK$25,Body!$BK$22,IF('Zdroj data'!BB119=Body!$BN$25,Body!$BN$22,IF('Zdroj data'!BB119=Body!$BQ$25,Body!$BQ$22,IF('Zdroj data'!BB119=Body!$BT$25,Body!$BT$22,IF('Zdroj data'!BB119=Body!$BW$25,Body!$BW$22,IF('Zdroj data'!BB119=Body!$BZ$25,Body!$BZ$22," "))))))))))</f>
        <v>5</v>
      </c>
      <c r="V119" s="264">
        <f>IF(AND('Zdroj data'!BO119&gt;Body!$AY$27,'Zdroj data'!BO119&lt;=Body!$BA$27),Body!$AY$22,IF(AND('Zdroj data'!BO119&gt;=Body!$BB$27,'Zdroj data'!BO119&lt;=Body!$BD$27),Body!$BB$22,IF(AND('Zdroj data'!BO119&gt;=Body!$BE$27,'Zdroj data'!BO119&lt;=Body!$BG$27),Body!$BE$22,IF(AND('Zdroj data'!BO119&gt;=Body!$BH$27,'Zdroj data'!BO119&lt;=Body!$BJ$27),Body!$BH$22,IF(AND('Zdroj data'!BO119&gt;=Body!$BK$27,'Zdroj data'!BO119&lt;=Body!$BM$27),Body!$BK$22,IF(AND('Zdroj data'!BO119&gt;=Body!$BN$27,'Zdroj data'!BO119&lt;=Body!$BP$27),Body!$BN$22,IF(AND('Zdroj data'!BO119&gt;=Body!$BQ$27,'Zdroj data'!BO119&lt;=Body!$BS$27),Body!$BQ$22,IF(AND('Zdroj data'!BO119&gt;=Body!$BT$27,'Zdroj data'!BO119&lt;=Body!$BV$27),Body!$BT$22,IF(AND('Zdroj data'!BO119&gt;=Body!$BW$27,'Zdroj data'!BO119&lt;=Body!$BY$27),Body!$BW$22,IF('Zdroj data'!BO119&gt;=Body!$CB$27,$BZ$22," "))))))))))</f>
        <v>6</v>
      </c>
      <c r="W119" s="264">
        <f>IF(AND('Zdroj data'!BP119&gt;Body!$AY$27,'Zdroj data'!BP119&lt;=Body!$BA$27),Body!$AY$22,IF(AND('Zdroj data'!BP119&gt;=Body!$BB$27,'Zdroj data'!BP119&lt;=Body!$BD$27),Body!$BB$22,IF(AND('Zdroj data'!BP119&gt;=Body!$BE$27,'Zdroj data'!BP119&lt;=Body!$BG$27),Body!$BE$22,IF(AND('Zdroj data'!BP119&gt;=Body!$BH$27,'Zdroj data'!BP119&lt;=Body!$BJ$27),Body!$BH$22,IF(AND('Zdroj data'!BP119&gt;=Body!$BK$27,'Zdroj data'!BP119&lt;=Body!$BM$27),Body!$BK$22,IF(AND('Zdroj data'!BP119&gt;=Body!$BN$27,'Zdroj data'!BP119&lt;=Body!$BP$27),Body!$BN$22,IF(AND('Zdroj data'!BP119&gt;=Body!$BQ$27,'Zdroj data'!BP119&lt;=Body!$BS$27),Body!$BQ$22,IF(AND('Zdroj data'!BP119&gt;=Body!$BT$27,'Zdroj data'!BP119&lt;=Body!$BV$27),Body!$BT$22,IF(AND('Zdroj data'!BP119&gt;=Body!$BW$27,'Zdroj data'!BP119&lt;=Body!$BY$27),Body!$BW$22,IF('Zdroj data'!BP119&gt;=Body!$CB$27,$BZ$22," "))))))))))</f>
        <v>5</v>
      </c>
      <c r="X119" s="264">
        <f>IF('Zdroj data'!BA119=Body!$BB$28,$BB$22,IF('Zdroj data'!BA119=Body!$BE$28,$BE$22,IF(OR('Zdroj data'!BA119=Body!$BK$28,'Zdroj data'!BA119=Body!$BL$28,'Zdroj data'!BA119=Body!$BM$28),$BK$22,IF(OR('Zdroj data'!BA119=Body!$BT$28,'Zdroj data'!BA119=Body!$BV$28),$BT$22,IF(OR('Zdroj data'!BA119=Body!$BW$28,'Zdroj data'!BA119=Body!$BY$28),$BW$22,IF('Zdroj data'!BA119=Body!$BZ$28,$BZ$22," "))))))</f>
        <v>10</v>
      </c>
      <c r="Y119" s="264">
        <f>IF('Zdroj data'!AZ119=Body!$BZ$29,Body!$BZ$22,IF(OR('Zdroj data'!AZ119=$BT$29,'Zdroj data'!AZ119=$BU$29,'Zdroj data'!AZ119=$BV$29),$BT$22,IF(OR('Zdroj data'!AZ119=$BK$29,'Zdroj data'!AZ119=$BM$29),$BK$22,IF(OR('Zdroj data'!AZ119=$BE$29,'Zdroj data'!AZ119=$BG$29),$BE$22,IF(OR('Zdroj data'!AZ119=$AY$29,'Zdroj data'!AZ119=$BA$29),$AY$22," ")))))</f>
        <v>10</v>
      </c>
      <c r="Z119" s="264">
        <f>IF(AND('Zdroj data'!BF119="T",(OR('Zdroj data'!AZ119=Body!$AW$45,'Zdroj data'!AZ119=Body!$AW$46,'Zdroj data'!AZ119=Body!$AW$47,'Zdroj data'!AZ119=Body!$AW$48))),Body!$AY$22,IF(AND('Zdroj data'!BF119="T",(OR('Zdroj data'!AZ119=$AW$49,'Zdroj data'!AZ119=$AW$50,'Zdroj data'!AZ119=$AW$51,'Zdroj data'!AZ119=$AW$52))),$BZ$22,IF(AND(OR('Zdroj data'!BF119="VT",'Zdroj data'!BF119="T",'Zdroj data'!BF119="CH"),(OR('Zdroj data'!AZ119=$AW$43,'Zdroj data'!AZ119=$AW$44,))),$BZ$22,IF(AND('Zdroj data'!BF119="CH",(OR('Zdroj data'!AZ119=$AW$49,'Zdroj data'!AZ119=$AW$50,'Zdroj data'!AZ119=$AW$51,'Zdroj data'!AZ119=$AW$52))),$AY$22,IF(AND('Zdroj data'!BF119="CH",(OR('Zdroj data'!AZ119=$AW$45,'Zdroj data'!AZ119=$AW$46,'Zdroj data'!AZ119=$AW$47,'Zdroj data'!AZ119=$AW$48))),$BZ$22," ")))))</f>
        <v>10</v>
      </c>
      <c r="AA119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</v>
      </c>
      <c r="AB119" s="264">
        <f>IF(Tabulka1[[#This Row],[kv.ek.]]=Body!$BK$35,Body!$BK$34,IF(Tabulka1[[#This Row],[kv.ek.]]=Body!$BZ$35,Body!$BZ$34," "))</f>
        <v>5</v>
      </c>
      <c r="AC119" s="264" t="str">
        <f>IF(AND('Zdroj data'!BF119="T",(OR('Zdroj data'!AZ119=Body!$AW$45,'Zdroj data'!AZ119=Body!$AW$46,'Zdroj data'!AZ119=Body!$AW$47,'Zdroj data'!AZ119=Body!$AW$48))),Body!$AY$22,IF(AND('Zdroj data'!BF119="T",(OR('Zdroj data'!AZ119=$AW$49,'Zdroj data'!AZ119=$AW$50,'Zdroj data'!AZ119=$AW$51,'Zdroj data'!AZ119=$AW$52))),$BZ$22," "))</f>
        <v xml:space="preserve"> </v>
      </c>
      <c r="AD119" s="264">
        <f>IF(AND(OR('Zdroj data'!BF119="VT",'Zdroj data'!BF119="T",'Zdroj data'!BF119="CH"),(OR('Zdroj data'!AZ119=$AW$43,'Zdroj data'!AZ119=$AW$44,))),$BZ$22," ")</f>
        <v>10</v>
      </c>
      <c r="AE119" s="264" t="str">
        <f>IF(AND('Zdroj data'!BF119="CH",(OR('Zdroj data'!AZ119=$AW$49,'Zdroj data'!AZ119=$AW$50,'Zdroj data'!AZ119=$AW$51,'Zdroj data'!AZ119=$AW$52))),$AY$22,IF(AND('Zdroj data'!BF119="CH",(OR('Zdroj data'!AZ119=$AW$45,'Zdroj data'!AZ119=$AW$46,'Zdroj data'!AZ119=$AW$47,'Zdroj data'!AZ119=$AW$48))),$BZ$22," "))</f>
        <v xml:space="preserve"> </v>
      </c>
      <c r="AF119" s="264">
        <f>IF(AND('Zdroj data'!BG119="L",'Zdroj data'!AM119=Body!$AX$15),IF(AND('Zdroj data'!O119&gt;=Body!$AY$15,'Zdroj data'!O119&lt;=Body!$BA$15),Body!AY$6,IF(AND('Zdroj data'!O119&gt;=Body!$BB$15,'Zdroj data'!O119&lt;=Body!$BD$15),Body!BB$6,IF(AND('Zdroj data'!O119&gt;=Body!$BE$15,'Zdroj data'!O119&lt;=Body!$BG$15),Body!BE$6,IF(AND('Zdroj data'!O119&gt;=Body!$BH$15,'Zdroj data'!O119&lt;=Body!$BJ$15),Body!BH$6,IF(AND('Zdroj data'!O119&gt;=Body!$BK$15,'Zdroj data'!O119&lt;=Body!$BM$15),Body!BK$6,IF(AND('Zdroj data'!O119&gt;=Body!$BN$15,'Zdroj data'!O119&lt;=Body!$BP$15),Body!$BN$6,IF(AND('Zdroj data'!O119&gt;=Body!$BQ$15,'Zdroj data'!O119&lt;=Body!$BS$15),Body!$BQ$6,IF(AND('Zdroj data'!O119&gt;=Body!$BT$15,'Zdroj data'!O119&lt;=Body!$BV$15),Body!BT$6,IF(AND('Zdroj data'!O119&gt;=Body!$BW$15,'Zdroj data'!O119&lt;=Body!$BY$15),Body!$BW$6,IF('Zdroj data'!O119&gt;=Body!$CB$15,Body!$BZ$6," ")))))))))),IF(AND('Zdroj data'!BG119="ST",'Zdroj data'!AM119=Body!$AX$16),IF(AND('Zdroj data'!O119&gt;=Body!$AY$16,'Zdroj data'!O119&lt;=Body!$BA$16),Body!$AY$6,IF(AND('Zdroj data'!O119&gt;=Body!$BB$16,'Zdroj data'!O119&lt;=Body!$BD$16),Body!$BB$6,IF(AND('Zdroj data'!O119&gt;=Body!$BE$16,'Zdroj data'!O119&lt;=Body!$BG$16),Body!$BE$6,IF(AND('Zdroj data'!O119&gt;=Body!$BH$16,'Zdroj data'!O119&lt;=Body!$BJ$16),Body!$BH$6,IF(AND('Zdroj data'!O119&gt;=Body!$BK$16,'Zdroj data'!O119&lt;=Body!$BM$16),Body!$BK$6,IF(AND('Zdroj data'!O119&gt;=Body!$BN$16,'Zdroj data'!O119&lt;=Body!$BP$16),Body!$BN$6,IF(AND('Zdroj data'!O119&gt;=Body!$BQ$16,'Zdroj data'!O119&lt;=Body!$BS$16),Body!$BQ$6,IF(AND('Zdroj data'!O119&gt;=Body!$BT$16,'Zdroj data'!O119&lt;=Body!$BV$16),Body!$BT$6,IF(AND('Zdroj data'!O119&gt;=Body!$BW$16,'Zdroj data'!O119&lt;=Body!$BY$16),Body!$BW$6,IF('Zdroj data'!O119&gt;=Body!$CB$16,Body!$BZ$6," ")))))))))),IF(AND('Zdroj data'!BG119="T",'Zdroj data'!AM119=Body!$AX$17),IF(AND('Zdroj data'!O119&gt;=Body!$AY$17,'Zdroj data'!O119&lt;=Body!$BA$17),Body!$AY$6,IF(AND('Zdroj data'!O119&gt;=Body!$BB$17,'Zdroj data'!O119&lt;=Body!$BD$17),Body!$BB$6,IF(AND('Zdroj data'!O119&gt;=Body!$BE$17,'Zdroj data'!O119&lt;=Body!$BG$17),Body!$BE$6,IF(AND('Zdroj data'!O119&gt;=Body!$BH$17,'Zdroj data'!O119&lt;=Body!BJ133),Body!$BH$6,IF(AND('Zdroj data'!O119&gt;=Body!$BK$17,'Zdroj data'!O119&lt;=Body!$BM$17),Body!$BK$6,IF(AND('Zdroj data'!O119&gt;=Body!$BN$17,'Zdroj data'!O119&lt;=Body!$BP$17),Body!$BN$6,IF(AND('Zdroj data'!O119&gt;=Body!$BQ$17,'Zdroj data'!O119&lt;=Body!$BS$17),Body!$BQ$6,IF(AND('Zdroj data'!O119&gt;=Body!$BT$17,'Zdroj data'!O119&lt;=Body!$BV$17),Body!$BT$6,IF(AND('Zdroj data'!O119&gt;=Body!$BW$17,'Zdroj data'!O119&lt;=Body!$BY$17),Body!$BW$6,IF('Zdroj data'!O119&gt;=Body!$CB$17,Body!$BZ$6," "))))))))))," ")))</f>
        <v>1</v>
      </c>
      <c r="AG119" s="264">
        <f>IF(AND('Zdroj data'!$BG119="L",'Zdroj data'!$AM119=Body!$AX$15),IF(AND(Tabulka1[[#This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data'!$BG119="ST",'Zdroj data'!$AM119=Body!$AX$16),IF(AND(Tabulka1[[#This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data'!$BG119="T",'Zdroj data'!$AM119=Body!$AX$17),IF(AND(Tabulka1[[#This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Row],[K2O_60]]&lt;=Body!BJ133),Body!$BH$6,IF(AND(Tabulka1[[#This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19" s="264" t="str">
        <f>IF(AND('Zdroj data'!BG119="L",'Zdroj data'!AM119=Body!$AX$18),IF(AND('Zdroj data'!O119&gt;=Body!$AY$18,'Zdroj data'!O119&lt;=Body!$BA$18),Body!AY$6,IF(AND('Zdroj data'!O119&gt;=Body!$BB$18,'Zdroj data'!O119&lt;=Body!$BD$18),Body!BB$6,IF(AND('Zdroj data'!O119&gt;=Body!$BE$18,'Zdroj data'!O119&lt;=Body!$BG$18),Body!BE$6,IF(AND('Zdroj data'!O119&gt;=Body!$BH$18,'Zdroj data'!O119&lt;=Body!$BJ$18),Body!BH$6,IF(AND('Zdroj data'!O119&gt;=Body!$BK$18,'Zdroj data'!O119&lt;=Body!$BM$18),Body!$BK$6,IF(AND('Zdroj data'!O119&gt;=Body!$BN$18,'Zdroj data'!O119&lt;=Body!$BP$18),Body!BN$6,IF(AND('Zdroj data'!O119&gt;=Body!$BQ$18,'Zdroj data'!O119&lt;=Body!$BS$18),Body!$BQ$6,IF(AND('Zdroj data'!O119&gt;=Body!$BT$18,'Zdroj data'!O119&lt;=Body!$BV$18),Body!$BT$6,IF(AND('Zdroj data'!O119&gt;=Body!$BW$18,'Zdroj data'!O119&lt;=Body!$BY$18),Body!$BW$6,IF('Zdroj data'!O119&gt;=Body!$CB$18,Body!$BZ$6," ")))))))))),IF(AND('Zdroj data'!BG119="ST",'Zdroj data'!AM119=Body!$AX$19),IF(AND('Zdroj data'!O119&gt;=Body!$AY$19,'Zdroj data'!O119&lt;=Body!$BA$19),Body!$AY$6,IF(AND('Zdroj data'!O119&gt;=Body!$BB$19,'Zdroj data'!O119&lt;=Body!$BD$19),Body!$BB$6,IF(AND('Zdroj data'!O119&gt;=Body!$BE$19,'Zdroj data'!O119&lt;=Body!$BG$19),Body!$BE$6,IF(AND('Zdroj data'!O119&gt;=Body!$BH$19,'Zdroj data'!O119&lt;=Body!$BJ$19),Body!$BH$6,IF(AND('Zdroj data'!O119&gt;=Body!$BK$19,'Zdroj data'!O119&lt;=Body!$BM$19),Body!$BK$6,IF(AND('Zdroj data'!O119&gt;=Body!$BN$19,'Zdroj data'!O119&lt;=Body!$BP$19),Body!$BN$6,IF(AND('Zdroj data'!O119&gt;=Body!$BQ$19,'Zdroj data'!O119&lt;=Body!$BS$19),Body!$BQ$6,IF(AND('Zdroj data'!O119&gt;=Body!$BT$19,'Zdroj data'!O123&lt;=Body!$BV$19),Body!$BT$6,IF(AND('Zdroj data'!O119&gt;=Body!$BW$19,'Zdroj data'!O119&lt;=Body!$BY$19),Body!$BW$6,IF('Zdroj data'!O119&gt;=Body!$CB$19,Body!$BZ$6," ")))))))))),IF(AND('Zdroj data'!BG119="T",'Zdroj data'!AM119=Body!$AX$20),IF(AND('Zdroj data'!O119&gt;=Body!$AY$20,'Zdroj data'!O119&lt;=Body!$BA$20),Body!$AY$6,IF(AND('Zdroj data'!O119&gt;=Body!$BB$20,'Zdroj data'!O119&lt;=Body!$BD$20),Body!$BB$6,IF(AND('Zdroj data'!O119&gt;=Body!$BE$20,'Zdroj data'!O119&lt;=Body!$BG$20),Body!$BE$6,IF(AND('Zdroj data'!O119&gt;=Body!$BH$20,'Zdroj data'!O119&lt;=Body!$BJ$20),Body!$BH$6,IF(AND('Zdroj data'!O119&gt;=Body!$BK$20,'Zdroj data'!O119&lt;=Body!$BM$20),Body!$BK$6,IF(AND('Zdroj data'!O119&gt;=Body!$BN$20,'Zdroj data'!O119&lt;=Body!$BP$20),Body!$BN$6,IF(AND('Zdroj data'!O119&gt;=Body!$BQ$20,'Zdroj data'!O119&lt;=Body!$BS$20),Body!$BQ$6,IF(AND('Zdroj data'!O119&gt;=Body!$BT$20,'Zdroj data'!O119&lt;=Body!BV136),Body!$BT$6,IF(AND('Zdroj data'!O119&gt;=Body!$BW$20,'Zdroj data'!O119&lt;=Body!$BY$20),Body!$BW$6,IF('Zdroj data'!O119&gt;=Body!$CB$20,Body!$BZ$6," "))))))))))," ")))</f>
        <v xml:space="preserve"> </v>
      </c>
      <c r="AI119" s="264" t="str">
        <f>IF(AND('Zdroj data'!$BG119="L",'Zdroj data'!$AM119=Body!$AX$18),IF(AND(Tabulka1[[#This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data'!$BG119="ST",'Zdroj data'!$AM119=Body!$AX$19),IF(AND(Tabulka1[[#This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data'!$BG119="T",'Zdroj data'!$AM119=Body!$AX$20),IF(AND(Tabulka1[[#This Row],[K2O_60]]&gt;=Body!$AY$20,'Zdroj data'!O119&lt;=Body!$BA$20),Body!$AY$6,IF(AND(Tabulka1[[#This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Row],[K2O_60]]&lt;=Body!BV136),Body!$BT$6,IF(AND(Tabulka1[[#This Row],[K2O_60]]&gt;=Body!$BW$20,Tabulka1[[#This Row],[K2O_60]]&lt;=Body!$BY$20),Body!$BW$6,IF(Tabulka1[[#This Row],[K2O_60]]&gt;=Body!$CB$20,Body!$BZ$6," "))))))))))," ")))</f>
        <v xml:space="preserve"> </v>
      </c>
      <c r="AJ119" s="265">
        <f t="shared" si="13"/>
        <v>2.6666666666666687</v>
      </c>
      <c r="AK119" s="264">
        <f t="shared" si="14"/>
        <v>25.733020158699947</v>
      </c>
      <c r="AL119" s="264">
        <f t="shared" si="15"/>
        <v>25.866586604165562</v>
      </c>
      <c r="AM119" s="264">
        <f t="shared" si="16"/>
        <v>74.611021422904926</v>
      </c>
      <c r="AN119" s="264">
        <f t="shared" si="17"/>
        <v>69.152804258626944</v>
      </c>
      <c r="AO119" s="265">
        <f t="shared" si="21"/>
        <v>100.34404158160487</v>
      </c>
      <c r="AP119" s="265">
        <f t="shared" si="18"/>
        <v>95.019390862792505</v>
      </c>
      <c r="AQ119" s="318"/>
      <c r="AR119" s="338">
        <f t="shared" si="19"/>
        <v>198.03009911106403</v>
      </c>
      <c r="AS119" s="318"/>
      <c r="AT119" s="138"/>
      <c r="AU119" s="138"/>
    </row>
    <row r="120" spans="1:47" ht="15.5" x14ac:dyDescent="0.35">
      <c r="A120" s="270">
        <v>5528</v>
      </c>
      <c r="B120" s="156" t="s">
        <v>297</v>
      </c>
      <c r="C120" s="250" t="str">
        <f>VLOOKUP(B120,'Zdroj hloubka okresy'!$A$2:$D$171,2,FALSE)</f>
        <v>Kutna_Hora</v>
      </c>
      <c r="D120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120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120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20" s="264">
        <f>IF(AND(Tabulka1[[#This Row],[hum_60]]&gt;AY126,Tabulka1[[#This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20" s="264">
        <f>IF(Tabulka1[[#This Row],[kv.ek.]]=Body!$AX$13,IF(AND('Zdroj data'!M120&gt;=Body!$AY$13,'Zdroj data'!M120&lt;=Body!$BA$13),Body!$AY$6,IF(AND('Zdroj data'!M120&gt;=Body!$BB$13,'Zdroj data'!M120&lt;=Body!$BD$13),Body!$BB$6,IF(AND('Zdroj data'!M120&gt;=Body!$BE$13,'Zdroj data'!M120&lt;=Body!$BG$13),Body!$BE$6,IF(AND('Zdroj data'!M120&gt;=Body!$BH$13,'Zdroj data'!M120&lt;=Body!$BJ$13),Body!$BH$6,IF(AND('Zdroj data'!M120&gt;=Body!$BK$13,'Zdroj data'!M120&lt;=Body!$BM$13),Body!$BK$6,IF(AND('Zdroj data'!M120&gt;=Body!$BN$13,'Zdroj data'!M120&lt;=Body!$BP$13),Body!$BN$6,IF(AND('Zdroj data'!M120&gt;=Body!$BQ$13,'Zdroj data'!M120&lt;=Body!$BS$13),Body!$BQ$6,IF(AND('Zdroj data'!M120&gt;=Body!$BT$13,'Zdroj data'!M120&lt;=Body!$BV$13),Body!$BT$6,IF(AND('Zdroj data'!M120&gt;=Body!$BW$13,'Zdroj data'!M120&lt;=Body!$BY$13),Body!$BW$6,IF('Zdroj data'!M120&gt;=Body!$CB$13,Body!$BZ$6," ")))))))))),IF(Tabulka1[[#This Row],[kv.ek.]]=Body!$AX$14,IF(AND('Zdroj data'!N120&gt;=Body!$AY$14,'Zdroj data'!N120&lt;=Body!$BA$14),Body!$AY$6,IF(AND('Zdroj data'!N120&gt;=Body!$BB$14,'Zdroj data'!N120&lt;=Body!$BD$14),Body!$BB$6,IF(AND('Zdroj data'!N120&gt;=Body!$BE$14,'Zdroj data'!N120&lt;=Body!$BG$14),Body!$BE$6,IF(AND('Zdroj data'!N120&gt;=Body!$BH$14,'Zdroj data'!N120&lt;=Body!$BJ$14),Body!$BH$6,IF(AND('Zdroj data'!N120&gt;=Body!$BK$14,'Zdroj data'!N120&lt;=Body!$BM$14),Body!$BK$6,IF(AND('Zdroj data'!N120&gt;=Body!$BN$14,'Zdroj data'!N120&lt;=Body!$BP$14),Body!$BN$6,IF(AND('Zdroj data'!N120&gt;=Body!$BQ$14,'Zdroj data'!N120&lt;=Body!$BS$14),Body!$BQ$6,IF(AND('Zdroj data'!N120&gt;=Body!$BT$14,'Zdroj data'!N120&lt;=Body!$BV$14),Body!$BT$6,IF(AND('Zdroj data'!N120&gt;=Body!$BW$14,'Zdroj data'!N120&lt;=Body!$BY$14),Body!$BW$6,IF('Zdroj data'!N120&gt;=Body!$CB$14,Body!$BZ$6," "))))))))))," "))</f>
        <v>1</v>
      </c>
      <c r="I120" s="264">
        <f>IF(Tabulka1[[#This Row],[kv.ek.]]=Body!$AX$13,IF(AND('Zdroj data'!N120&gt;=Body!$AY$13,'Zdroj data'!N120&lt;=Body!$BA$13),Body!$AY$6,IF(AND('Zdroj data'!N120&gt;=Body!$BB$13,'Zdroj data'!N120&lt;=Body!$BD$13),Body!$BB$6,IF(AND('Zdroj data'!N120&gt;=Body!$BE$13,'Zdroj data'!N120&lt;=Body!$BG$13),Body!$BE$6,IF(AND('Zdroj data'!N120&gt;=Body!$BH$13,'Zdroj data'!N120&lt;=Body!$BJ$13),Body!$BH$6,IF(AND('Zdroj data'!N120&gt;=Body!$BK$13,'Zdroj data'!N120&lt;=Body!$BM$13),Body!$BK$6,IF(AND('Zdroj data'!N120&gt;=Body!$BN$13,'Zdroj data'!N120&lt;=Body!$BP$13),Body!$BN$6,IF(AND('Zdroj data'!N120&gt;=Body!$BQ$13,'Zdroj data'!N120&lt;=Body!$BS$13),Body!$BQ$6,IF(AND('Zdroj data'!N120&gt;=Body!$BT$13,'Zdroj data'!N120&lt;=Body!$BV$13),Body!$BT$6,IF(AND('Zdroj data'!N120&gt;=Body!$BW$13,'Zdroj data'!N120&lt;=Body!$BY$13),Body!$BW$6,IF('Zdroj data'!N120&gt;=Body!$CB$13,Body!$BZ$6," ")))))))))),IF(Tabulka1[[#This Row],[kv.ek.]]=Body!$AX$14,IF(AND('Zdroj data'!O120&gt;=Body!$AY$14,'Zdroj data'!O120&lt;=Body!$BA$14),Body!$AY$6,IF(AND('Zdroj data'!O120&gt;=Body!$BB$14,'Zdroj data'!O120&lt;=Body!$BD$14),Body!$BB$6,IF(AND('Zdroj data'!O120&gt;=Body!$BE$14,'Zdroj data'!O120&lt;=Body!$BG$14),Body!$BE$6,IF(AND('Zdroj data'!O120&gt;=Body!$BH$14,'Zdroj data'!O120&lt;=Body!$BJ$14),Body!$BH$6,IF(AND('Zdroj data'!O120&gt;=Body!$BK$14,'Zdroj data'!O120&lt;=Body!$BM$14),Body!$BK$6,IF(AND('Zdroj data'!O120&gt;=Body!$BN$14,'Zdroj data'!O120&lt;=Body!$BP$14),Body!$BN$6,IF(AND('Zdroj data'!O120&gt;=Body!$BQ$14,'Zdroj data'!O120&lt;=Body!$BS$14),Body!$BQ$6,IF(AND('Zdroj data'!O120&gt;=Body!$BT$14,'Zdroj data'!O120&lt;=Body!$BV$14),Body!$BT$6,IF(AND('Zdroj data'!O120&gt;=Body!$BW$14,'Zdroj data'!O120&lt;=Body!$BY$14),Body!$BW$6,IF('Zdroj data'!O120&gt;=Body!$CB$14,Body!$BZ$6," "))))))))))," "))</f>
        <v>1</v>
      </c>
      <c r="J120" s="264">
        <f t="shared" si="25"/>
        <v>1</v>
      </c>
      <c r="K120" s="264">
        <f>IF(AG120=" ",AI120,AG120)</f>
        <v>1</v>
      </c>
      <c r="L120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120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120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120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6</v>
      </c>
      <c r="P120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20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120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120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120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120" s="264">
        <f>IF('Zdroj data'!BB120=Body!$AY$25,Body!$AY$22,IF('Zdroj data'!BB120=Body!$BB$25,Body!$BB$22,IF('Zdroj data'!BB120=Body!$BE$25,Body!$BE$22,IF('Zdroj data'!BB120=Body!$BH$25,Body!$BH$22,IF('Zdroj data'!BB120=Body!BK$25,Body!$BK$22,IF('Zdroj data'!BB120=Body!$BN$25,Body!$BN$22,IF('Zdroj data'!BB120=Body!$BQ$25,Body!$BQ$22,IF('Zdroj data'!BB120=Body!$BT$25,Body!$BT$22,IF('Zdroj data'!BB120=Body!$BW$25,Body!$BW$22,IF('Zdroj data'!BB120=Body!$BZ$25,Body!$BZ$22," "))))))))))</f>
        <v>5</v>
      </c>
      <c r="V120" s="264">
        <f>IF(AND('Zdroj data'!BO120&gt;Body!$AY$27,'Zdroj data'!BO120&lt;=Body!$BA$27),Body!$AY$22,IF(AND('Zdroj data'!BO120&gt;=Body!$BB$27,'Zdroj data'!BO120&lt;=Body!$BD$27),Body!$BB$22,IF(AND('Zdroj data'!BO120&gt;=Body!$BE$27,'Zdroj data'!BO120&lt;=Body!$BG$27),Body!$BE$22,IF(AND('Zdroj data'!BO120&gt;=Body!$BH$27,'Zdroj data'!BO120&lt;=Body!$BJ$27),Body!$BH$22,IF(AND('Zdroj data'!BO120&gt;=Body!$BK$27,'Zdroj data'!BO120&lt;=Body!$BM$27),Body!$BK$22,IF(AND('Zdroj data'!BO120&gt;=Body!$BN$27,'Zdroj data'!BO120&lt;=Body!$BP$27),Body!$BN$22,IF(AND('Zdroj data'!BO120&gt;=Body!$BQ$27,'Zdroj data'!BO120&lt;=Body!$BS$27),Body!$BQ$22,IF(AND('Zdroj data'!BO120&gt;=Body!$BT$27,'Zdroj data'!BO120&lt;=Body!$BV$27),Body!$BT$22,IF(AND('Zdroj data'!BO120&gt;=Body!$BW$27,'Zdroj data'!BO120&lt;=Body!$BY$27),Body!$BW$22,IF('Zdroj data'!BO120&gt;=Body!$CB$27,$BZ$22," "))))))))))</f>
        <v>6</v>
      </c>
      <c r="W120" s="264">
        <f>IF(AND('Zdroj data'!BP120&gt;Body!$AY$27,'Zdroj data'!BP120&lt;=Body!$BA$27),Body!$AY$22,IF(AND('Zdroj data'!BP120&gt;=Body!$BB$27,'Zdroj data'!BP120&lt;=Body!$BD$27),Body!$BB$22,IF(AND('Zdroj data'!BP120&gt;=Body!$BE$27,'Zdroj data'!BP120&lt;=Body!$BG$27),Body!$BE$22,IF(AND('Zdroj data'!BP120&gt;=Body!$BH$27,'Zdroj data'!BP120&lt;=Body!$BJ$27),Body!$BH$22,IF(AND('Zdroj data'!BP120&gt;=Body!$BK$27,'Zdroj data'!BP120&lt;=Body!$BM$27),Body!$BK$22,IF(AND('Zdroj data'!BP120&gt;=Body!$BN$27,'Zdroj data'!BP120&lt;=Body!$BP$27),Body!$BN$22,IF(AND('Zdroj data'!BP120&gt;=Body!$BQ$27,'Zdroj data'!BP120&lt;=Body!$BS$27),Body!$BQ$22,IF(AND('Zdroj data'!BP120&gt;=Body!$BT$27,'Zdroj data'!BP120&lt;=Body!$BV$27),Body!$BT$22,IF(AND('Zdroj data'!BP120&gt;=Body!$BW$27,'Zdroj data'!BP120&lt;=Body!$BY$27),Body!$BW$22,IF('Zdroj data'!BP120&gt;=Body!$CB$27,$BZ$22," "))))))))))</f>
        <v>4</v>
      </c>
      <c r="X120" s="264">
        <f>IF('Zdroj data'!BA120=Body!$BB$28,$BB$22,IF('Zdroj data'!BA120=Body!$BE$28,$BE$22,IF(OR('Zdroj data'!BA120=Body!$BK$28,'Zdroj data'!BA120=Body!$BL$28,'Zdroj data'!BA120=Body!$BM$28),$BK$22,IF(OR('Zdroj data'!BA120=Body!$BT$28,'Zdroj data'!BA120=Body!$BV$28),$BT$22,IF(OR('Zdroj data'!BA120=Body!$BW$28,'Zdroj data'!BA120=Body!$BY$28),$BW$22,IF('Zdroj data'!BA120=Body!$BZ$28,$BZ$22," "))))))</f>
        <v>9</v>
      </c>
      <c r="Y120" s="264">
        <f>IF('Zdroj data'!AZ120=Body!$BZ$29,Body!$BZ$22,IF(OR('Zdroj data'!AZ120=$BT$29,'Zdroj data'!AZ120=$BU$29,'Zdroj data'!AZ120=$BV$29),$BT$22,IF(OR('Zdroj data'!AZ120=$BK$29,'Zdroj data'!AZ120=$BM$29),$BK$22,IF(OR('Zdroj data'!AZ120=$BE$29,'Zdroj data'!AZ120=$BG$29),$BE$22,IF(OR('Zdroj data'!AZ120=$AY$29,'Zdroj data'!AZ120=$BA$29),$AY$22," ")))))</f>
        <v>10</v>
      </c>
      <c r="Z120" s="264">
        <f>IF(AND('Zdroj data'!BF120="T",(OR('Zdroj data'!AZ120=Body!$AW$45,'Zdroj data'!AZ120=Body!$AW$46,'Zdroj data'!AZ120=Body!$AW$47,'Zdroj data'!AZ120=Body!$AW$48))),Body!$AY$22,IF(AND('Zdroj data'!BF120="T",(OR('Zdroj data'!AZ120=$AW$49,'Zdroj data'!AZ120=$AW$50,'Zdroj data'!AZ120=$AW$51,'Zdroj data'!AZ120=$AW$52))),$BZ$22,IF(AND(OR('Zdroj data'!BF120="VT",'Zdroj data'!BF120="T",'Zdroj data'!BF120="CH"),(OR('Zdroj data'!AZ120=$AW$43,'Zdroj data'!AZ120=$AW$44,))),$BZ$22,IF(AND('Zdroj data'!BF120="CH",(OR('Zdroj data'!AZ120=$AW$49,'Zdroj data'!AZ120=$AW$50,'Zdroj data'!AZ120=$AW$51,'Zdroj data'!AZ120=$AW$52))),$AY$22,IF(AND('Zdroj data'!BF120="CH",(OR('Zdroj data'!AZ120=$AW$45,'Zdroj data'!AZ120=$AW$46,'Zdroj data'!AZ120=$AW$47,'Zdroj data'!AZ120=$AW$48))),$BZ$22," ")))))</f>
        <v>10</v>
      </c>
      <c r="AA120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20" s="264">
        <f>IF(Tabulka1[[#This Row],[kv.ek.]]=Body!$BK$35,Body!$BK$34,IF(Tabulka1[[#This Row],[kv.ek.]]=Body!$BZ$35,Body!$BZ$34," "))</f>
        <v>5</v>
      </c>
      <c r="AC120" s="264" t="str">
        <f>IF(AND('Zdroj data'!BF120="T",(OR('Zdroj data'!AZ120=Body!$AW$45,'Zdroj data'!AZ120=Body!$AW$46,'Zdroj data'!AZ120=Body!$AW$47,'Zdroj data'!AZ120=Body!$AW$48))),Body!$AY$22,IF(AND('Zdroj data'!BF120="T",(OR('Zdroj data'!AZ120=$AW$49,'Zdroj data'!AZ120=$AW$50,'Zdroj data'!AZ120=$AW$51,'Zdroj data'!AZ120=$AW$52))),$BZ$22," "))</f>
        <v xml:space="preserve"> </v>
      </c>
      <c r="AD120" s="264">
        <f>IF(AND(OR('Zdroj data'!BF120="VT",'Zdroj data'!BF120="T",'Zdroj data'!BF120="CH"),(OR('Zdroj data'!AZ120=$AW$43,'Zdroj data'!AZ120=$AW$44,))),$BZ$22," ")</f>
        <v>10</v>
      </c>
      <c r="AE120" s="264" t="str">
        <f>IF(AND('Zdroj data'!BF120="CH",(OR('Zdroj data'!AZ120=$AW$49,'Zdroj data'!AZ120=$AW$50,'Zdroj data'!AZ120=$AW$51,'Zdroj data'!AZ120=$AW$52))),$AY$22,IF(AND('Zdroj data'!BF120="CH",(OR('Zdroj data'!AZ120=$AW$45,'Zdroj data'!AZ120=$AW$46,'Zdroj data'!AZ120=$AW$47,'Zdroj data'!AZ120=$AW$48))),$BZ$22," "))</f>
        <v xml:space="preserve"> </v>
      </c>
      <c r="AF120" s="264">
        <f>IF(AND('Zdroj data'!BG120="L",'Zdroj data'!AM120=Body!$AX$15),IF(AND('Zdroj data'!O120&gt;=Body!$AY$15,'Zdroj data'!O120&lt;=Body!$BA$15),Body!AY$6,IF(AND('Zdroj data'!O120&gt;=Body!$BB$15,'Zdroj data'!O120&lt;=Body!$BD$15),Body!BB$6,IF(AND('Zdroj data'!O120&gt;=Body!$BE$15,'Zdroj data'!O120&lt;=Body!$BG$15),Body!BE$6,IF(AND('Zdroj data'!O120&gt;=Body!$BH$15,'Zdroj data'!O120&lt;=Body!$BJ$15),Body!BH$6,IF(AND('Zdroj data'!O120&gt;=Body!$BK$15,'Zdroj data'!O120&lt;=Body!$BM$15),Body!BK$6,IF(AND('Zdroj data'!O120&gt;=Body!$BN$15,'Zdroj data'!O120&lt;=Body!$BP$15),Body!$BN$6,IF(AND('Zdroj data'!O120&gt;=Body!$BQ$15,'Zdroj data'!O120&lt;=Body!$BS$15),Body!$BQ$6,IF(AND('Zdroj data'!O120&gt;=Body!$BT$15,'Zdroj data'!O120&lt;=Body!$BV$15),Body!BT$6,IF(AND('Zdroj data'!O120&gt;=Body!$BW$15,'Zdroj data'!O120&lt;=Body!$BY$15),Body!$BW$6,IF('Zdroj data'!O120&gt;=Body!$CB$15,Body!$BZ$6," ")))))))))),IF(AND('Zdroj data'!BG120="ST",'Zdroj data'!AM120=Body!$AX$16),IF(AND('Zdroj data'!O120&gt;=Body!$AY$16,'Zdroj data'!O120&lt;=Body!$BA$16),Body!$AY$6,IF(AND('Zdroj data'!O120&gt;=Body!$BB$16,'Zdroj data'!O120&lt;=Body!$BD$16),Body!$BB$6,IF(AND('Zdroj data'!O120&gt;=Body!$BE$16,'Zdroj data'!O120&lt;=Body!$BG$16),Body!$BE$6,IF(AND('Zdroj data'!O120&gt;=Body!$BH$16,'Zdroj data'!O120&lt;=Body!$BJ$16),Body!$BH$6,IF(AND('Zdroj data'!O120&gt;=Body!$BK$16,'Zdroj data'!O120&lt;=Body!$BM$16),Body!$BK$6,IF(AND('Zdroj data'!O120&gt;=Body!$BN$16,'Zdroj data'!O120&lt;=Body!$BP$16),Body!$BN$6,IF(AND('Zdroj data'!O120&gt;=Body!$BQ$16,'Zdroj data'!O120&lt;=Body!$BS$16),Body!$BQ$6,IF(AND('Zdroj data'!O120&gt;=Body!$BT$16,'Zdroj data'!O120&lt;=Body!$BV$16),Body!$BT$6,IF(AND('Zdroj data'!O120&gt;=Body!$BW$16,'Zdroj data'!O120&lt;=Body!$BY$16),Body!$BW$6,IF('Zdroj data'!O120&gt;=Body!$CB$16,Body!$BZ$6," ")))))))))),IF(AND('Zdroj data'!BG120="T",'Zdroj data'!AM120=Body!$AX$17),IF(AND('Zdroj data'!O120&gt;=Body!$AY$17,'Zdroj data'!O120&lt;=Body!$BA$17),Body!$AY$6,IF(AND('Zdroj data'!O120&gt;=Body!$BB$17,'Zdroj data'!O120&lt;=Body!$BD$17),Body!$BB$6,IF(AND('Zdroj data'!O120&gt;=Body!$BE$17,'Zdroj data'!O120&lt;=Body!$BG$17),Body!$BE$6,IF(AND('Zdroj data'!O120&gt;=Body!$BH$17,'Zdroj data'!O120&lt;=Body!BJ134),Body!$BH$6,IF(AND('Zdroj data'!O120&gt;=Body!$BK$17,'Zdroj data'!O120&lt;=Body!$BM$17),Body!$BK$6,IF(AND('Zdroj data'!O120&gt;=Body!$BN$17,'Zdroj data'!O120&lt;=Body!$BP$17),Body!$BN$6,IF(AND('Zdroj data'!O120&gt;=Body!$BQ$17,'Zdroj data'!O120&lt;=Body!$BS$17),Body!$BQ$6,IF(AND('Zdroj data'!O120&gt;=Body!$BT$17,'Zdroj data'!O120&lt;=Body!$BV$17),Body!$BT$6,IF(AND('Zdroj data'!O120&gt;=Body!$BW$17,'Zdroj data'!O120&lt;=Body!$BY$17),Body!$BW$6,IF('Zdroj data'!O120&gt;=Body!$CB$17,Body!$BZ$6," "))))))))))," ")))</f>
        <v>1</v>
      </c>
      <c r="AG120" s="264">
        <f>IF(AND('Zdroj data'!$BG120="L",'Zdroj data'!$AM120=Body!$AX$15),IF(AND(Tabulka1[[#This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data'!$BG120="ST",'Zdroj data'!$AM120=Body!$AX$16),IF(AND(Tabulka1[[#This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data'!$BG120="T",'Zdroj data'!$AM120=Body!$AX$17),IF(AND(Tabulka1[[#This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Row],[K2O_60]]&lt;=Body!BJ134),Body!$BH$6,IF(AND(Tabulka1[[#This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20" s="264" t="str">
        <f>IF(AND('Zdroj data'!BG120="L",'Zdroj data'!AM120=Body!$AX$18),IF(AND('Zdroj data'!O120&gt;=Body!$AY$18,'Zdroj data'!O120&lt;=Body!$BA$18),Body!AY$6,IF(AND('Zdroj data'!O120&gt;=Body!$BB$18,'Zdroj data'!O120&lt;=Body!$BD$18),Body!BB$6,IF(AND('Zdroj data'!O120&gt;=Body!$BE$18,'Zdroj data'!O120&lt;=Body!$BG$18),Body!BE$6,IF(AND('Zdroj data'!O120&gt;=Body!$BH$18,'Zdroj data'!O120&lt;=Body!$BJ$18),Body!BH$6,IF(AND('Zdroj data'!O120&gt;=Body!$BK$18,'Zdroj data'!O120&lt;=Body!$BM$18),Body!$BK$6,IF(AND('Zdroj data'!O120&gt;=Body!$BN$18,'Zdroj data'!O120&lt;=Body!$BP$18),Body!BN$6,IF(AND('Zdroj data'!O120&gt;=Body!$BQ$18,'Zdroj data'!O120&lt;=Body!$BS$18),Body!$BQ$6,IF(AND('Zdroj data'!O120&gt;=Body!$BT$18,'Zdroj data'!O120&lt;=Body!$BV$18),Body!$BT$6,IF(AND('Zdroj data'!O120&gt;=Body!$BW$18,'Zdroj data'!O120&lt;=Body!$BY$18),Body!$BW$6,IF('Zdroj data'!O120&gt;=Body!$CB$18,Body!$BZ$6," ")))))))))),IF(AND('Zdroj data'!BG120="ST",'Zdroj data'!AM120=Body!$AX$19),IF(AND('Zdroj data'!O120&gt;=Body!$AY$19,'Zdroj data'!O120&lt;=Body!$BA$19),Body!$AY$6,IF(AND('Zdroj data'!O120&gt;=Body!$BB$19,'Zdroj data'!O120&lt;=Body!$BD$19),Body!$BB$6,IF(AND('Zdroj data'!O120&gt;=Body!$BE$19,'Zdroj data'!O120&lt;=Body!$BG$19),Body!$BE$6,IF(AND('Zdroj data'!O120&gt;=Body!$BH$19,'Zdroj data'!O120&lt;=Body!$BJ$19),Body!$BH$6,IF(AND('Zdroj data'!O120&gt;=Body!$BK$19,'Zdroj data'!O120&lt;=Body!$BM$19),Body!$BK$6,IF(AND('Zdroj data'!O120&gt;=Body!$BN$19,'Zdroj data'!O120&lt;=Body!$BP$19),Body!$BN$6,IF(AND('Zdroj data'!O120&gt;=Body!$BQ$19,'Zdroj data'!O120&lt;=Body!$BS$19),Body!$BQ$6,IF(AND('Zdroj data'!O120&gt;=Body!$BT$19,'Zdroj data'!O124&lt;=Body!$BV$19),Body!$BT$6,IF(AND('Zdroj data'!O120&gt;=Body!$BW$19,'Zdroj data'!O120&lt;=Body!$BY$19),Body!$BW$6,IF('Zdroj data'!O120&gt;=Body!$CB$19,Body!$BZ$6," ")))))))))),IF(AND('Zdroj data'!BG120="T",'Zdroj data'!AM120=Body!$AX$20),IF(AND('Zdroj data'!O120&gt;=Body!$AY$20,'Zdroj data'!O120&lt;=Body!$BA$20),Body!$AY$6,IF(AND('Zdroj data'!O120&gt;=Body!$BB$20,'Zdroj data'!O120&lt;=Body!$BD$20),Body!$BB$6,IF(AND('Zdroj data'!O120&gt;=Body!$BE$20,'Zdroj data'!O120&lt;=Body!$BG$20),Body!$BE$6,IF(AND('Zdroj data'!O120&gt;=Body!$BH$20,'Zdroj data'!O120&lt;=Body!$BJ$20),Body!$BH$6,IF(AND('Zdroj data'!O120&gt;=Body!$BK$20,'Zdroj data'!O120&lt;=Body!$BM$20),Body!$BK$6,IF(AND('Zdroj data'!O120&gt;=Body!$BN$20,'Zdroj data'!O120&lt;=Body!$BP$20),Body!$BN$6,IF(AND('Zdroj data'!O120&gt;=Body!$BQ$20,'Zdroj data'!O120&lt;=Body!$BS$20),Body!$BQ$6,IF(AND('Zdroj data'!O120&gt;=Body!$BT$20,'Zdroj data'!O120&lt;=Body!BV137),Body!$BT$6,IF(AND('Zdroj data'!O120&gt;=Body!$BW$20,'Zdroj data'!O120&lt;=Body!$BY$20),Body!$BW$6,IF('Zdroj data'!O120&gt;=Body!$CB$20,Body!$BZ$6," "))))))))))," ")))</f>
        <v xml:space="preserve"> </v>
      </c>
      <c r="AI120" s="264" t="str">
        <f>IF(AND('Zdroj data'!$BG120="L",'Zdroj data'!$AM120=Body!$AX$18),IF(AND(Tabulka1[[#This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data'!$BG120="ST",'Zdroj data'!$AM120=Body!$AX$19),IF(AND(Tabulka1[[#This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data'!$BG120="T",'Zdroj data'!$AM120=Body!$AX$20),IF(AND(Tabulka1[[#This Row],[K2O_60]]&gt;=Body!$AY$20,'Zdroj data'!O120&lt;=Body!$BA$20),Body!$AY$6,IF(AND(Tabulka1[[#This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Row],[K2O_60]]&lt;=Body!BV137),Body!$BT$6,IF(AND(Tabulka1[[#This Row],[K2O_60]]&gt;=Body!$BW$20,Tabulka1[[#This Row],[K2O_60]]&lt;=Body!$BY$20),Body!$BW$6,IF(Tabulka1[[#This Row],[K2O_60]]&gt;=Body!$CB$20,Body!$BZ$6," "))))))))))," ")))</f>
        <v xml:space="preserve"> </v>
      </c>
      <c r="AJ120" s="265">
        <f t="shared" si="13"/>
        <v>8.0000000000000071</v>
      </c>
      <c r="AK120" s="264">
        <f t="shared" si="14"/>
        <v>26.436986783773605</v>
      </c>
      <c r="AL120" s="264">
        <f t="shared" si="15"/>
        <v>25.771298330918732</v>
      </c>
      <c r="AM120" s="264">
        <f t="shared" si="16"/>
        <v>73.871964887828781</v>
      </c>
      <c r="AN120" s="264">
        <f t="shared" si="17"/>
        <v>70.782778473424798</v>
      </c>
      <c r="AO120" s="265">
        <f t="shared" si="21"/>
        <v>100.30895167160239</v>
      </c>
      <c r="AP120" s="265">
        <f t="shared" si="18"/>
        <v>96.554076804343538</v>
      </c>
      <c r="AQ120" s="318"/>
      <c r="AR120" s="338">
        <f t="shared" si="19"/>
        <v>204.86302847594592</v>
      </c>
      <c r="AS120" s="318"/>
      <c r="AT120" s="138"/>
      <c r="AU120" s="138"/>
    </row>
    <row r="121" spans="1:47" ht="15.5" x14ac:dyDescent="0.35">
      <c r="A121" s="270">
        <v>5531</v>
      </c>
      <c r="B121" s="156" t="s">
        <v>101</v>
      </c>
      <c r="C121" s="250" t="str">
        <f>VLOOKUP(B121,'Zdroj hloubka okresy'!$A$2:$D$171,2,FALSE)</f>
        <v>Kutna_Hora</v>
      </c>
      <c r="D121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9</v>
      </c>
      <c r="E121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7</v>
      </c>
      <c r="F121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21" s="264">
        <f>IF(AND(Tabulka1[[#This Row],[hum_60]]&gt;AY127,Tabulka1[[#This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21" s="264">
        <f>IF(Tabulka1[[#This Row],[kv.ek.]]=Body!$AX$13,IF(AND('Zdroj data'!M121&gt;=Body!$AY$13,'Zdroj data'!M121&lt;=Body!$BA$13),Body!$AY$6,IF(AND('Zdroj data'!M121&gt;=Body!$BB$13,'Zdroj data'!M121&lt;=Body!$BD$13),Body!$BB$6,IF(AND('Zdroj data'!M121&gt;=Body!$BE$13,'Zdroj data'!M121&lt;=Body!$BG$13),Body!$BE$6,IF(AND('Zdroj data'!M121&gt;=Body!$BH$13,'Zdroj data'!M121&lt;=Body!$BJ$13),Body!$BH$6,IF(AND('Zdroj data'!M121&gt;=Body!$BK$13,'Zdroj data'!M121&lt;=Body!$BM$13),Body!$BK$6,IF(AND('Zdroj data'!M121&gt;=Body!$BN$13,'Zdroj data'!M121&lt;=Body!$BP$13),Body!$BN$6,IF(AND('Zdroj data'!M121&gt;=Body!$BQ$13,'Zdroj data'!M121&lt;=Body!$BS$13),Body!$BQ$6,IF(AND('Zdroj data'!M121&gt;=Body!$BT$13,'Zdroj data'!M121&lt;=Body!$BV$13),Body!$BT$6,IF(AND('Zdroj data'!M121&gt;=Body!$BW$13,'Zdroj data'!M121&lt;=Body!$BY$13),Body!$BW$6,IF('Zdroj data'!M121&gt;=Body!$CB$13,Body!$BZ$6," ")))))))))),IF(Tabulka1[[#This Row],[kv.ek.]]=Body!$AX$14,IF(AND('Zdroj data'!N121&gt;=Body!$AY$14,'Zdroj data'!N121&lt;=Body!$BA$14),Body!$AY$6,IF(AND('Zdroj data'!N121&gt;=Body!$BB$14,'Zdroj data'!N121&lt;=Body!$BD$14),Body!$BB$6,IF(AND('Zdroj data'!N121&gt;=Body!$BE$14,'Zdroj data'!N121&lt;=Body!$BG$14),Body!$BE$6,IF(AND('Zdroj data'!N121&gt;=Body!$BH$14,'Zdroj data'!N121&lt;=Body!$BJ$14),Body!$BH$6,IF(AND('Zdroj data'!N121&gt;=Body!$BK$14,'Zdroj data'!N121&lt;=Body!$BM$14),Body!$BK$6,IF(AND('Zdroj data'!N121&gt;=Body!$BN$14,'Zdroj data'!N121&lt;=Body!$BP$14),Body!$BN$6,IF(AND('Zdroj data'!N121&gt;=Body!$BQ$14,'Zdroj data'!N121&lt;=Body!$BS$14),Body!$BQ$6,IF(AND('Zdroj data'!N121&gt;=Body!$BT$14,'Zdroj data'!N121&lt;=Body!$BV$14),Body!$BT$6,IF(AND('Zdroj data'!N121&gt;=Body!$BW$14,'Zdroj data'!N121&lt;=Body!$BY$14),Body!$BW$6,IF('Zdroj data'!N121&gt;=Body!$CB$14,Body!$BZ$6," "))))))))))," "))</f>
        <v>1</v>
      </c>
      <c r="I121" s="264">
        <f>IF(Tabulka1[[#This Row],[kv.ek.]]=Body!$AX$13,IF(AND('Zdroj data'!N121&gt;=Body!$AY$13,'Zdroj data'!N121&lt;=Body!$BA$13),Body!$AY$6,IF(AND('Zdroj data'!N121&gt;=Body!$BB$13,'Zdroj data'!N121&lt;=Body!$BD$13),Body!$BB$6,IF(AND('Zdroj data'!N121&gt;=Body!$BE$13,'Zdroj data'!N121&lt;=Body!$BG$13),Body!$BE$6,IF(AND('Zdroj data'!N121&gt;=Body!$BH$13,'Zdroj data'!N121&lt;=Body!$BJ$13),Body!$BH$6,IF(AND('Zdroj data'!N121&gt;=Body!$BK$13,'Zdroj data'!N121&lt;=Body!$BM$13),Body!$BK$6,IF(AND('Zdroj data'!N121&gt;=Body!$BN$13,'Zdroj data'!N121&lt;=Body!$BP$13),Body!$BN$6,IF(AND('Zdroj data'!N121&gt;=Body!$BQ$13,'Zdroj data'!N121&lt;=Body!$BS$13),Body!$BQ$6,IF(AND('Zdroj data'!N121&gt;=Body!$BT$13,'Zdroj data'!N121&lt;=Body!$BV$13),Body!$BT$6,IF(AND('Zdroj data'!N121&gt;=Body!$BW$13,'Zdroj data'!N121&lt;=Body!$BY$13),Body!$BW$6,IF('Zdroj data'!N121&gt;=Body!$CB$13,Body!$BZ$6," ")))))))))),IF(Tabulka1[[#This Row],[kv.ek.]]=Body!$AX$14,IF(AND('Zdroj data'!O121&gt;=Body!$AY$14,'Zdroj data'!O121&lt;=Body!$BA$14),Body!$AY$6,IF(AND('Zdroj data'!O121&gt;=Body!$BB$14,'Zdroj data'!O121&lt;=Body!$BD$14),Body!$BB$6,IF(AND('Zdroj data'!O121&gt;=Body!$BE$14,'Zdroj data'!O121&lt;=Body!$BG$14),Body!$BE$6,IF(AND('Zdroj data'!O121&gt;=Body!$BH$14,'Zdroj data'!O121&lt;=Body!$BJ$14),Body!$BH$6,IF(AND('Zdroj data'!O121&gt;=Body!$BK$14,'Zdroj data'!O121&lt;=Body!$BM$14),Body!$BK$6,IF(AND('Zdroj data'!O121&gt;=Body!$BN$14,'Zdroj data'!O121&lt;=Body!$BP$14),Body!$BN$6,IF(AND('Zdroj data'!O121&gt;=Body!$BQ$14,'Zdroj data'!O121&lt;=Body!$BS$14),Body!$BQ$6,IF(AND('Zdroj data'!O121&gt;=Body!$BT$14,'Zdroj data'!O121&lt;=Body!$BV$14),Body!$BT$6,IF(AND('Zdroj data'!O121&gt;=Body!$BW$14,'Zdroj data'!O121&lt;=Body!$BY$14),Body!$BW$6,IF('Zdroj data'!O121&gt;=Body!$CB$14,Body!$BZ$6," "))))))))))," "))</f>
        <v>1</v>
      </c>
      <c r="J121" s="264">
        <f>IF(AF121=" ",AH121,AF121)</f>
        <v>1</v>
      </c>
      <c r="K121" s="264">
        <f t="shared" si="25"/>
        <v>1</v>
      </c>
      <c r="L121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121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121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121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121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21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121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121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121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121" s="264">
        <f>IF('Zdroj data'!BB121=Body!$AY$25,Body!$AY$22,IF('Zdroj data'!BB121=Body!$BB$25,Body!$BB$22,IF('Zdroj data'!BB121=Body!$BE$25,Body!$BE$22,IF('Zdroj data'!BB121=Body!$BH$25,Body!$BH$22,IF('Zdroj data'!BB121=Body!BK$25,Body!$BK$22,IF('Zdroj data'!BB121=Body!$BN$25,Body!$BN$22,IF('Zdroj data'!BB121=Body!$BQ$25,Body!$BQ$22,IF('Zdroj data'!BB121=Body!$BT$25,Body!$BT$22,IF('Zdroj data'!BB121=Body!$BW$25,Body!$BW$22,IF('Zdroj data'!BB121=Body!$BZ$25,Body!$BZ$22," "))))))))))</f>
        <v>5</v>
      </c>
      <c r="V121" s="264">
        <f>IF(AND('Zdroj data'!BO121&gt;Body!$AY$27,'Zdroj data'!BO121&lt;=Body!$BA$27),Body!$AY$22,IF(AND('Zdroj data'!BO121&gt;=Body!$BB$27,'Zdroj data'!BO121&lt;=Body!$BD$27),Body!$BB$22,IF(AND('Zdroj data'!BO121&gt;=Body!$BE$27,'Zdroj data'!BO121&lt;=Body!$BG$27),Body!$BE$22,IF(AND('Zdroj data'!BO121&gt;=Body!$BH$27,'Zdroj data'!BO121&lt;=Body!$BJ$27),Body!$BH$22,IF(AND('Zdroj data'!BO121&gt;=Body!$BK$27,'Zdroj data'!BO121&lt;=Body!$BM$27),Body!$BK$22,IF(AND('Zdroj data'!BO121&gt;=Body!$BN$27,'Zdroj data'!BO121&lt;=Body!$BP$27),Body!$BN$22,IF(AND('Zdroj data'!BO121&gt;=Body!$BQ$27,'Zdroj data'!BO121&lt;=Body!$BS$27),Body!$BQ$22,IF(AND('Zdroj data'!BO121&gt;=Body!$BT$27,'Zdroj data'!BO121&lt;=Body!$BV$27),Body!$BT$22,IF(AND('Zdroj data'!BO121&gt;=Body!$BW$27,'Zdroj data'!BO121&lt;=Body!$BY$27),Body!$BW$22,IF('Zdroj data'!BO121&gt;=Body!$CB$27,$BZ$22," "))))))))))</f>
        <v>6</v>
      </c>
      <c r="W121" s="264">
        <f>IF(AND('Zdroj data'!BP121&gt;Body!$AY$27,'Zdroj data'!BP121&lt;=Body!$BA$27),Body!$AY$22,IF(AND('Zdroj data'!BP121&gt;=Body!$BB$27,'Zdroj data'!BP121&lt;=Body!$BD$27),Body!$BB$22,IF(AND('Zdroj data'!BP121&gt;=Body!$BE$27,'Zdroj data'!BP121&lt;=Body!$BG$27),Body!$BE$22,IF(AND('Zdroj data'!BP121&gt;=Body!$BH$27,'Zdroj data'!BP121&lt;=Body!$BJ$27),Body!$BH$22,IF(AND('Zdroj data'!BP121&gt;=Body!$BK$27,'Zdroj data'!BP121&lt;=Body!$BM$27),Body!$BK$22,IF(AND('Zdroj data'!BP121&gt;=Body!$BN$27,'Zdroj data'!BP121&lt;=Body!$BP$27),Body!$BN$22,IF(AND('Zdroj data'!BP121&gt;=Body!$BQ$27,'Zdroj data'!BP121&lt;=Body!$BS$27),Body!$BQ$22,IF(AND('Zdroj data'!BP121&gt;=Body!$BT$27,'Zdroj data'!BP121&lt;=Body!$BV$27),Body!$BT$22,IF(AND('Zdroj data'!BP121&gt;=Body!$BW$27,'Zdroj data'!BP121&lt;=Body!$BY$27),Body!$BW$22,IF('Zdroj data'!BP121&gt;=Body!$CB$27,$BZ$22," "))))))))))</f>
        <v>5</v>
      </c>
      <c r="X121" s="264">
        <f>IF('Zdroj data'!BA121=Body!$BB$28,$BB$22,IF('Zdroj data'!BA121=Body!$BE$28,$BE$22,IF(OR('Zdroj data'!BA121=Body!$BK$28,'Zdroj data'!BA121=Body!$BL$28,'Zdroj data'!BA121=Body!$BM$28),$BK$22,IF(OR('Zdroj data'!BA121=Body!$BT$28,'Zdroj data'!BA121=Body!$BV$28),$BT$22,IF(OR('Zdroj data'!BA121=Body!$BW$28,'Zdroj data'!BA121=Body!$BY$28),$BW$22,IF('Zdroj data'!BA121=Body!$BZ$28,$BZ$22," "))))))</f>
        <v>10</v>
      </c>
      <c r="Y121" s="264">
        <f>IF('Zdroj data'!AZ121=Body!$BZ$29,Body!$BZ$22,IF(OR('Zdroj data'!AZ121=$BT$29,'Zdroj data'!AZ121=$BU$29,'Zdroj data'!AZ121=$BV$29),$BT$22,IF(OR('Zdroj data'!AZ121=$BK$29,'Zdroj data'!AZ121=$BM$29),$BK$22,IF(OR('Zdroj data'!AZ121=$BE$29,'Zdroj data'!AZ121=$BG$29),$BE$22,IF(OR('Zdroj data'!AZ121=$AY$29,'Zdroj data'!AZ121=$BA$29),$AY$22," ")))))</f>
        <v>10</v>
      </c>
      <c r="Z121" s="264">
        <f>IF(AND('Zdroj data'!BF121="T",(OR('Zdroj data'!AZ121=Body!$AW$45,'Zdroj data'!AZ121=Body!$AW$46,'Zdroj data'!AZ121=Body!$AW$47,'Zdroj data'!AZ121=Body!$AW$48))),Body!$AY$22,IF(AND('Zdroj data'!BF121="T",(OR('Zdroj data'!AZ121=$AW$49,'Zdroj data'!AZ121=$AW$50,'Zdroj data'!AZ121=$AW$51,'Zdroj data'!AZ121=$AW$52))),$BZ$22,IF(AND(OR('Zdroj data'!BF121="VT",'Zdroj data'!BF121="T",'Zdroj data'!BF121="CH"),(OR('Zdroj data'!AZ121=$AW$43,'Zdroj data'!AZ121=$AW$44,))),$BZ$22,IF(AND('Zdroj data'!BF121="CH",(OR('Zdroj data'!AZ121=$AW$49,'Zdroj data'!AZ121=$AW$50,'Zdroj data'!AZ121=$AW$51,'Zdroj data'!AZ121=$AW$52))),$AY$22,IF(AND('Zdroj data'!BF121="CH",(OR('Zdroj data'!AZ121=$AW$45,'Zdroj data'!AZ121=$AW$46,'Zdroj data'!AZ121=$AW$47,'Zdroj data'!AZ121=$AW$48))),$BZ$22," ")))))</f>
        <v>10</v>
      </c>
      <c r="AA121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</v>
      </c>
      <c r="AB121" s="264">
        <f>IF(Tabulka1[[#This Row],[kv.ek.]]=Body!$BK$35,Body!$BK$34,IF(Tabulka1[[#This Row],[kv.ek.]]=Body!$BZ$35,Body!$BZ$34," "))</f>
        <v>5</v>
      </c>
      <c r="AC121" s="264" t="str">
        <f>IF(AND('Zdroj data'!BF121="T",(OR('Zdroj data'!AZ121=Body!$AW$45,'Zdroj data'!AZ121=Body!$AW$46,'Zdroj data'!AZ121=Body!$AW$47,'Zdroj data'!AZ121=Body!$AW$48))),Body!$AY$22,IF(AND('Zdroj data'!BF121="T",(OR('Zdroj data'!AZ121=$AW$49,'Zdroj data'!AZ121=$AW$50,'Zdroj data'!AZ121=$AW$51,'Zdroj data'!AZ121=$AW$52))),$BZ$22," "))</f>
        <v xml:space="preserve"> </v>
      </c>
      <c r="AD121" s="264">
        <f>IF(AND(OR('Zdroj data'!BF121="VT",'Zdroj data'!BF121="T",'Zdroj data'!BF121="CH"),(OR('Zdroj data'!AZ121=$AW$43,'Zdroj data'!AZ121=$AW$44,))),$BZ$22," ")</f>
        <v>10</v>
      </c>
      <c r="AE121" s="264" t="str">
        <f>IF(AND('Zdroj data'!BF121="CH",(OR('Zdroj data'!AZ121=$AW$49,'Zdroj data'!AZ121=$AW$50,'Zdroj data'!AZ121=$AW$51,'Zdroj data'!AZ121=$AW$52))),$AY$22,IF(AND('Zdroj data'!BF121="CH",(OR('Zdroj data'!AZ121=$AW$45,'Zdroj data'!AZ121=$AW$46,'Zdroj data'!AZ121=$AW$47,'Zdroj data'!AZ121=$AW$48))),$BZ$22," "))</f>
        <v xml:space="preserve"> </v>
      </c>
      <c r="AF121" s="264">
        <f>IF(AND('Zdroj data'!BG121="L",'Zdroj data'!AM121=Body!$AX$15),IF(AND('Zdroj data'!O121&gt;=Body!$AY$15,'Zdroj data'!O121&lt;=Body!$BA$15),Body!AY$6,IF(AND('Zdroj data'!O121&gt;=Body!$BB$15,'Zdroj data'!O121&lt;=Body!$BD$15),Body!BB$6,IF(AND('Zdroj data'!O121&gt;=Body!$BE$15,'Zdroj data'!O121&lt;=Body!$BG$15),Body!BE$6,IF(AND('Zdroj data'!O121&gt;=Body!$BH$15,'Zdroj data'!O121&lt;=Body!$BJ$15),Body!BH$6,IF(AND('Zdroj data'!O121&gt;=Body!$BK$15,'Zdroj data'!O121&lt;=Body!$BM$15),Body!BK$6,IF(AND('Zdroj data'!O121&gt;=Body!$BN$15,'Zdroj data'!O121&lt;=Body!$BP$15),Body!$BN$6,IF(AND('Zdroj data'!O121&gt;=Body!$BQ$15,'Zdroj data'!O121&lt;=Body!$BS$15),Body!$BQ$6,IF(AND('Zdroj data'!O121&gt;=Body!$BT$15,'Zdroj data'!O121&lt;=Body!$BV$15),Body!BT$6,IF(AND('Zdroj data'!O121&gt;=Body!$BW$15,'Zdroj data'!O121&lt;=Body!$BY$15),Body!$BW$6,IF('Zdroj data'!O121&gt;=Body!$CB$15,Body!$BZ$6," ")))))))))),IF(AND('Zdroj data'!BG121="ST",'Zdroj data'!AM121=Body!$AX$16),IF(AND('Zdroj data'!O121&gt;=Body!$AY$16,'Zdroj data'!O121&lt;=Body!$BA$16),Body!$AY$6,IF(AND('Zdroj data'!O121&gt;=Body!$BB$16,'Zdroj data'!O121&lt;=Body!$BD$16),Body!$BB$6,IF(AND('Zdroj data'!O121&gt;=Body!$BE$16,'Zdroj data'!O121&lt;=Body!$BG$16),Body!$BE$6,IF(AND('Zdroj data'!O121&gt;=Body!$BH$16,'Zdroj data'!O121&lt;=Body!$BJ$16),Body!$BH$6,IF(AND('Zdroj data'!O121&gt;=Body!$BK$16,'Zdroj data'!O121&lt;=Body!$BM$16),Body!$BK$6,IF(AND('Zdroj data'!O121&gt;=Body!$BN$16,'Zdroj data'!O121&lt;=Body!$BP$16),Body!$BN$6,IF(AND('Zdroj data'!O121&gt;=Body!$BQ$16,'Zdroj data'!O121&lt;=Body!$BS$16),Body!$BQ$6,IF(AND('Zdroj data'!O121&gt;=Body!$BT$16,'Zdroj data'!O121&lt;=Body!$BV$16),Body!$BT$6,IF(AND('Zdroj data'!O121&gt;=Body!$BW$16,'Zdroj data'!O121&lt;=Body!$BY$16),Body!$BW$6,IF('Zdroj data'!O121&gt;=Body!$CB$16,Body!$BZ$6," ")))))))))),IF(AND('Zdroj data'!BG121="T",'Zdroj data'!AM121=Body!$AX$17),IF(AND('Zdroj data'!O121&gt;=Body!$AY$17,'Zdroj data'!O121&lt;=Body!$BA$17),Body!$AY$6,IF(AND('Zdroj data'!O121&gt;=Body!$BB$17,'Zdroj data'!O121&lt;=Body!$BD$17),Body!$BB$6,IF(AND('Zdroj data'!O121&gt;=Body!$BE$17,'Zdroj data'!O121&lt;=Body!$BG$17),Body!$BE$6,IF(AND('Zdroj data'!O121&gt;=Body!$BH$17,'Zdroj data'!O121&lt;=Body!BJ135),Body!$BH$6,IF(AND('Zdroj data'!O121&gt;=Body!$BK$17,'Zdroj data'!O121&lt;=Body!$BM$17),Body!$BK$6,IF(AND('Zdroj data'!O121&gt;=Body!$BN$17,'Zdroj data'!O121&lt;=Body!$BP$17),Body!$BN$6,IF(AND('Zdroj data'!O121&gt;=Body!$BQ$17,'Zdroj data'!O121&lt;=Body!$BS$17),Body!$BQ$6,IF(AND('Zdroj data'!O121&gt;=Body!$BT$17,'Zdroj data'!O121&lt;=Body!$BV$17),Body!$BT$6,IF(AND('Zdroj data'!O121&gt;=Body!$BW$17,'Zdroj data'!O121&lt;=Body!$BY$17),Body!$BW$6,IF('Zdroj data'!O121&gt;=Body!$CB$17,Body!$BZ$6," "))))))))))," ")))</f>
        <v>1</v>
      </c>
      <c r="AG121" s="264">
        <f>IF(AND('Zdroj data'!$BG121="L",'Zdroj data'!$AM121=Body!$AX$15),IF(AND(Tabulka1[[#This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data'!$BG121="ST",'Zdroj data'!$AM121=Body!$AX$16),IF(AND(Tabulka1[[#This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data'!$BG121="T",'Zdroj data'!$AM121=Body!$AX$17),IF(AND(Tabulka1[[#This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Row],[K2O_60]]&lt;=Body!BJ135),Body!$BH$6,IF(AND(Tabulka1[[#This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21" s="264" t="str">
        <f>IF(AND('Zdroj data'!BG121="L",'Zdroj data'!AM121=Body!$AX$18),IF(AND('Zdroj data'!O121&gt;=Body!$AY$18,'Zdroj data'!O121&lt;=Body!$BA$18),Body!AY$6,IF(AND('Zdroj data'!O121&gt;=Body!$BB$18,'Zdroj data'!O121&lt;=Body!$BD$18),Body!BB$6,IF(AND('Zdroj data'!O121&gt;=Body!$BE$18,'Zdroj data'!O121&lt;=Body!$BG$18),Body!BE$6,IF(AND('Zdroj data'!O121&gt;=Body!$BH$18,'Zdroj data'!O121&lt;=Body!$BJ$18),Body!BH$6,IF(AND('Zdroj data'!O121&gt;=Body!$BK$18,'Zdroj data'!O121&lt;=Body!$BM$18),Body!$BK$6,IF(AND('Zdroj data'!O121&gt;=Body!$BN$18,'Zdroj data'!O121&lt;=Body!$BP$18),Body!BN$6,IF(AND('Zdroj data'!O121&gt;=Body!$BQ$18,'Zdroj data'!O121&lt;=Body!$BS$18),Body!$BQ$6,IF(AND('Zdroj data'!O121&gt;=Body!$BT$18,'Zdroj data'!O121&lt;=Body!$BV$18),Body!$BT$6,IF(AND('Zdroj data'!O121&gt;=Body!$BW$18,'Zdroj data'!O121&lt;=Body!$BY$18),Body!$BW$6,IF('Zdroj data'!O121&gt;=Body!$CB$18,Body!$BZ$6," ")))))))))),IF(AND('Zdroj data'!BG121="ST",'Zdroj data'!AM121=Body!$AX$19),IF(AND('Zdroj data'!O121&gt;=Body!$AY$19,'Zdroj data'!O121&lt;=Body!$BA$19),Body!$AY$6,IF(AND('Zdroj data'!O121&gt;=Body!$BB$19,'Zdroj data'!O121&lt;=Body!$BD$19),Body!$BB$6,IF(AND('Zdroj data'!O121&gt;=Body!$BE$19,'Zdroj data'!O121&lt;=Body!$BG$19),Body!$BE$6,IF(AND('Zdroj data'!O121&gt;=Body!$BH$19,'Zdroj data'!O121&lt;=Body!$BJ$19),Body!$BH$6,IF(AND('Zdroj data'!O121&gt;=Body!$BK$19,'Zdroj data'!O121&lt;=Body!$BM$19),Body!$BK$6,IF(AND('Zdroj data'!O121&gt;=Body!$BN$19,'Zdroj data'!O121&lt;=Body!$BP$19),Body!$BN$6,IF(AND('Zdroj data'!O121&gt;=Body!$BQ$19,'Zdroj data'!O121&lt;=Body!$BS$19),Body!$BQ$6,IF(AND('Zdroj data'!O121&gt;=Body!$BT$19,'Zdroj data'!O125&lt;=Body!$BV$19),Body!$BT$6,IF(AND('Zdroj data'!O121&gt;=Body!$BW$19,'Zdroj data'!O121&lt;=Body!$BY$19),Body!$BW$6,IF('Zdroj data'!O121&gt;=Body!$CB$19,Body!$BZ$6," ")))))))))),IF(AND('Zdroj data'!BG121="T",'Zdroj data'!AM121=Body!$AX$20),IF(AND('Zdroj data'!O121&gt;=Body!$AY$20,'Zdroj data'!O121&lt;=Body!$BA$20),Body!$AY$6,IF(AND('Zdroj data'!O121&gt;=Body!$BB$20,'Zdroj data'!O121&lt;=Body!$BD$20),Body!$BB$6,IF(AND('Zdroj data'!O121&gt;=Body!$BE$20,'Zdroj data'!O121&lt;=Body!$BG$20),Body!$BE$6,IF(AND('Zdroj data'!O121&gt;=Body!$BH$20,'Zdroj data'!O121&lt;=Body!$BJ$20),Body!$BH$6,IF(AND('Zdroj data'!O121&gt;=Body!$BK$20,'Zdroj data'!O121&lt;=Body!$BM$20),Body!$BK$6,IF(AND('Zdroj data'!O121&gt;=Body!$BN$20,'Zdroj data'!O121&lt;=Body!$BP$20),Body!$BN$6,IF(AND('Zdroj data'!O121&gt;=Body!$BQ$20,'Zdroj data'!O121&lt;=Body!$BS$20),Body!$BQ$6,IF(AND('Zdroj data'!O121&gt;=Body!$BT$20,'Zdroj data'!O121&lt;=Body!BV138),Body!$BT$6,IF(AND('Zdroj data'!O121&gt;=Body!$BW$20,'Zdroj data'!O121&lt;=Body!$BY$20),Body!$BW$6,IF('Zdroj data'!O121&gt;=Body!$CB$20,Body!$BZ$6," "))))))))))," ")))</f>
        <v xml:space="preserve"> </v>
      </c>
      <c r="AI121" s="264" t="str">
        <f>IF(AND('Zdroj data'!$BG121="L",'Zdroj data'!$AM121=Body!$AX$18),IF(AND(Tabulka1[[#This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data'!$BG121="ST",'Zdroj data'!$AM121=Body!$AX$19),IF(AND(Tabulka1[[#This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data'!$BG121="T",'Zdroj data'!$AM121=Body!$AX$20),IF(AND(Tabulka1[[#This Row],[K2O_60]]&gt;=Body!$AY$20,'Zdroj data'!O121&lt;=Body!$BA$20),Body!$AY$6,IF(AND(Tabulka1[[#This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Row],[K2O_60]]&lt;=Body!BV138),Body!$BT$6,IF(AND(Tabulka1[[#This Row],[K2O_60]]&gt;=Body!$BW$20,Tabulka1[[#This Row],[K2O_60]]&lt;=Body!$BY$20),Body!$BW$6,IF(Tabulka1[[#This Row],[K2O_60]]&gt;=Body!$CB$20,Body!$BZ$6," "))))))))))," ")))</f>
        <v xml:space="preserve"> </v>
      </c>
      <c r="AJ121" s="265">
        <f t="shared" si="13"/>
        <v>2.6666666666666687</v>
      </c>
      <c r="AK121" s="264">
        <f t="shared" si="14"/>
        <v>26.338558439046761</v>
      </c>
      <c r="AL121" s="264">
        <f t="shared" si="15"/>
        <v>24.333095541397153</v>
      </c>
      <c r="AM121" s="264">
        <f t="shared" si="16"/>
        <v>66.783773508752944</v>
      </c>
      <c r="AN121" s="264">
        <f t="shared" si="17"/>
        <v>73.066428215702942</v>
      </c>
      <c r="AO121" s="265">
        <f t="shared" si="21"/>
        <v>93.122331947799708</v>
      </c>
      <c r="AP121" s="265">
        <f t="shared" si="18"/>
        <v>97.399523757100098</v>
      </c>
      <c r="AQ121" s="318"/>
      <c r="AR121" s="338">
        <f t="shared" si="19"/>
        <v>193.18852237156645</v>
      </c>
      <c r="AS121" s="318"/>
      <c r="AT121" s="138"/>
      <c r="AU121" s="138"/>
    </row>
    <row r="122" spans="1:47" ht="15.5" x14ac:dyDescent="0.35">
      <c r="A122" s="270">
        <v>5534</v>
      </c>
      <c r="B122" s="156" t="s">
        <v>93</v>
      </c>
      <c r="C122" s="250" t="str">
        <f>VLOOKUP(B122,'Zdroj hloubka okresy'!$A$2:$D$171,2,FALSE)</f>
        <v>Kutna_Hora</v>
      </c>
      <c r="D122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10</v>
      </c>
      <c r="E122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8</v>
      </c>
      <c r="F122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22" s="264">
        <f>IF(AND(Tabulka1[[#This Row],[hum_60]]&gt;AY128,Tabulka1[[#This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22" s="264">
        <f>IF(Tabulka1[[#This Row],[kv.ek.]]=Body!$AX$13,IF(AND('Zdroj data'!M122&gt;=Body!$AY$13,'Zdroj data'!M122&lt;=Body!$BA$13),Body!$AY$6,IF(AND('Zdroj data'!M122&gt;=Body!$BB$13,'Zdroj data'!M122&lt;=Body!$BD$13),Body!$BB$6,IF(AND('Zdroj data'!M122&gt;=Body!$BE$13,'Zdroj data'!M122&lt;=Body!$BG$13),Body!$BE$6,IF(AND('Zdroj data'!M122&gt;=Body!$BH$13,'Zdroj data'!M122&lt;=Body!$BJ$13),Body!$BH$6,IF(AND('Zdroj data'!M122&gt;=Body!$BK$13,'Zdroj data'!M122&lt;=Body!$BM$13),Body!$BK$6,IF(AND('Zdroj data'!M122&gt;=Body!$BN$13,'Zdroj data'!M122&lt;=Body!$BP$13),Body!$BN$6,IF(AND('Zdroj data'!M122&gt;=Body!$BQ$13,'Zdroj data'!M122&lt;=Body!$BS$13),Body!$BQ$6,IF(AND('Zdroj data'!M122&gt;=Body!$BT$13,'Zdroj data'!M122&lt;=Body!$BV$13),Body!$BT$6,IF(AND('Zdroj data'!M122&gt;=Body!$BW$13,'Zdroj data'!M122&lt;=Body!$BY$13),Body!$BW$6,IF('Zdroj data'!M122&gt;=Body!$CB$13,Body!$BZ$6," ")))))))))),IF(Tabulka1[[#This Row],[kv.ek.]]=Body!$AX$14,IF(AND('Zdroj data'!N122&gt;=Body!$AY$14,'Zdroj data'!N122&lt;=Body!$BA$14),Body!$AY$6,IF(AND('Zdroj data'!N122&gt;=Body!$BB$14,'Zdroj data'!N122&lt;=Body!$BD$14),Body!$BB$6,IF(AND('Zdroj data'!N122&gt;=Body!$BE$14,'Zdroj data'!N122&lt;=Body!$BG$14),Body!$BE$6,IF(AND('Zdroj data'!N122&gt;=Body!$BH$14,'Zdroj data'!N122&lt;=Body!$BJ$14),Body!$BH$6,IF(AND('Zdroj data'!N122&gt;=Body!$BK$14,'Zdroj data'!N122&lt;=Body!$BM$14),Body!$BK$6,IF(AND('Zdroj data'!N122&gt;=Body!$BN$14,'Zdroj data'!N122&lt;=Body!$BP$14),Body!$BN$6,IF(AND('Zdroj data'!N122&gt;=Body!$BQ$14,'Zdroj data'!N122&lt;=Body!$BS$14),Body!$BQ$6,IF(AND('Zdroj data'!N122&gt;=Body!$BT$14,'Zdroj data'!N122&lt;=Body!$BV$14),Body!$BT$6,IF(AND('Zdroj data'!N122&gt;=Body!$BW$14,'Zdroj data'!N122&lt;=Body!$BY$14),Body!$BW$6,IF('Zdroj data'!N122&gt;=Body!$CB$14,Body!$BZ$6," "))))))))))," "))</f>
        <v>1</v>
      </c>
      <c r="I122" s="264">
        <f>IF(Tabulka1[[#This Row],[kv.ek.]]=Body!$AX$13,IF(AND('Zdroj data'!N122&gt;=Body!$AY$13,'Zdroj data'!N122&lt;=Body!$BA$13),Body!$AY$6,IF(AND('Zdroj data'!N122&gt;=Body!$BB$13,'Zdroj data'!N122&lt;=Body!$BD$13),Body!$BB$6,IF(AND('Zdroj data'!N122&gt;=Body!$BE$13,'Zdroj data'!N122&lt;=Body!$BG$13),Body!$BE$6,IF(AND('Zdroj data'!N122&gt;=Body!$BH$13,'Zdroj data'!N122&lt;=Body!$BJ$13),Body!$BH$6,IF(AND('Zdroj data'!N122&gt;=Body!$BK$13,'Zdroj data'!N122&lt;=Body!$BM$13),Body!$BK$6,IF(AND('Zdroj data'!N122&gt;=Body!$BN$13,'Zdroj data'!N122&lt;=Body!$BP$13),Body!$BN$6,IF(AND('Zdroj data'!N122&gt;=Body!$BQ$13,'Zdroj data'!N122&lt;=Body!$BS$13),Body!$BQ$6,IF(AND('Zdroj data'!N122&gt;=Body!$BT$13,'Zdroj data'!N122&lt;=Body!$BV$13),Body!$BT$6,IF(AND('Zdroj data'!N122&gt;=Body!$BW$13,'Zdroj data'!N122&lt;=Body!$BY$13),Body!$BW$6,IF('Zdroj data'!N122&gt;=Body!$CB$13,Body!$BZ$6," ")))))))))),IF(Tabulka1[[#This Row],[kv.ek.]]=Body!$AX$14,IF(AND('Zdroj data'!O122&gt;=Body!$AY$14,'Zdroj data'!O122&lt;=Body!$BA$14),Body!$AY$6,IF(AND('Zdroj data'!O122&gt;=Body!$BB$14,'Zdroj data'!O122&lt;=Body!$BD$14),Body!$BB$6,IF(AND('Zdroj data'!O122&gt;=Body!$BE$14,'Zdroj data'!O122&lt;=Body!$BG$14),Body!$BE$6,IF(AND('Zdroj data'!O122&gt;=Body!$BH$14,'Zdroj data'!O122&lt;=Body!$BJ$14),Body!$BH$6,IF(AND('Zdroj data'!O122&gt;=Body!$BK$14,'Zdroj data'!O122&lt;=Body!$BM$14),Body!$BK$6,IF(AND('Zdroj data'!O122&gt;=Body!$BN$14,'Zdroj data'!O122&lt;=Body!$BP$14),Body!$BN$6,IF(AND('Zdroj data'!O122&gt;=Body!$BQ$14,'Zdroj data'!O122&lt;=Body!$BS$14),Body!$BQ$6,IF(AND('Zdroj data'!O122&gt;=Body!$BT$14,'Zdroj data'!O122&lt;=Body!$BV$14),Body!$BT$6,IF(AND('Zdroj data'!O122&gt;=Body!$BW$14,'Zdroj data'!O122&lt;=Body!$BY$14),Body!$BW$6,IF('Zdroj data'!O122&gt;=Body!$CB$14,Body!$BZ$6," "))))))))))," "))</f>
        <v>5</v>
      </c>
      <c r="J122" s="264">
        <f t="shared" si="25"/>
        <v>1</v>
      </c>
      <c r="K122" s="264">
        <f t="shared" si="25"/>
        <v>1</v>
      </c>
      <c r="L122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122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122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122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122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22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122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122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9</v>
      </c>
      <c r="T122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122" s="264">
        <f>IF('Zdroj data'!BB122=Body!$AY$25,Body!$AY$22,IF('Zdroj data'!BB122=Body!$BB$25,Body!$BB$22,IF('Zdroj data'!BB122=Body!$BE$25,Body!$BE$22,IF('Zdroj data'!BB122=Body!$BH$25,Body!$BH$22,IF('Zdroj data'!BB122=Body!BK$25,Body!$BK$22,IF('Zdroj data'!BB122=Body!$BN$25,Body!$BN$22,IF('Zdroj data'!BB122=Body!$BQ$25,Body!$BQ$22,IF('Zdroj data'!BB122=Body!$BT$25,Body!$BT$22,IF('Zdroj data'!BB122=Body!$BW$25,Body!$BW$22,IF('Zdroj data'!BB122=Body!$BZ$25,Body!$BZ$22," "))))))))))</f>
        <v>3</v>
      </c>
      <c r="V122" s="264">
        <f>IF(AND('Zdroj data'!BO122&gt;Body!$AY$27,'Zdroj data'!BO122&lt;=Body!$BA$27),Body!$AY$22,IF(AND('Zdroj data'!BO122&gt;=Body!$BB$27,'Zdroj data'!BO122&lt;=Body!$BD$27),Body!$BB$22,IF(AND('Zdroj data'!BO122&gt;=Body!$BE$27,'Zdroj data'!BO122&lt;=Body!$BG$27),Body!$BE$22,IF(AND('Zdroj data'!BO122&gt;=Body!$BH$27,'Zdroj data'!BO122&lt;=Body!$BJ$27),Body!$BH$22,IF(AND('Zdroj data'!BO122&gt;=Body!$BK$27,'Zdroj data'!BO122&lt;=Body!$BM$27),Body!$BK$22,IF(AND('Zdroj data'!BO122&gt;=Body!$BN$27,'Zdroj data'!BO122&lt;=Body!$BP$27),Body!$BN$22,IF(AND('Zdroj data'!BO122&gt;=Body!$BQ$27,'Zdroj data'!BO122&lt;=Body!$BS$27),Body!$BQ$22,IF(AND('Zdroj data'!BO122&gt;=Body!$BT$27,'Zdroj data'!BO122&lt;=Body!$BV$27),Body!$BT$22,IF(AND('Zdroj data'!BO122&gt;=Body!$BW$27,'Zdroj data'!BO122&lt;=Body!$BY$27),Body!$BW$22,IF('Zdroj data'!BO122&gt;=Body!$CB$27,$BZ$22," "))))))))))</f>
        <v>7</v>
      </c>
      <c r="W122" s="264">
        <f>IF(AND('Zdroj data'!BP122&gt;Body!$AY$27,'Zdroj data'!BP122&lt;=Body!$BA$27),Body!$AY$22,IF(AND('Zdroj data'!BP122&gt;=Body!$BB$27,'Zdroj data'!BP122&lt;=Body!$BD$27),Body!$BB$22,IF(AND('Zdroj data'!BP122&gt;=Body!$BE$27,'Zdroj data'!BP122&lt;=Body!$BG$27),Body!$BE$22,IF(AND('Zdroj data'!BP122&gt;=Body!$BH$27,'Zdroj data'!BP122&lt;=Body!$BJ$27),Body!$BH$22,IF(AND('Zdroj data'!BP122&gt;=Body!$BK$27,'Zdroj data'!BP122&lt;=Body!$BM$27),Body!$BK$22,IF(AND('Zdroj data'!BP122&gt;=Body!$BN$27,'Zdroj data'!BP122&lt;=Body!$BP$27),Body!$BN$22,IF(AND('Zdroj data'!BP122&gt;=Body!$BQ$27,'Zdroj data'!BP122&lt;=Body!$BS$27),Body!$BQ$22,IF(AND('Zdroj data'!BP122&gt;=Body!$BT$27,'Zdroj data'!BP122&lt;=Body!$BV$27),Body!$BT$22,IF(AND('Zdroj data'!BP122&gt;=Body!$BW$27,'Zdroj data'!BP122&lt;=Body!$BY$27),Body!$BW$22,IF('Zdroj data'!BP122&gt;=Body!$CB$27,$BZ$22," "))))))))))</f>
        <v>5</v>
      </c>
      <c r="X122" s="264">
        <f>IF('Zdroj data'!BA122=Body!$BB$28,$BB$22,IF('Zdroj data'!BA122=Body!$BE$28,$BE$22,IF(OR('Zdroj data'!BA122=Body!$BK$28,'Zdroj data'!BA122=Body!$BL$28,'Zdroj data'!BA122=Body!$BM$28),$BK$22,IF(OR('Zdroj data'!BA122=Body!$BT$28,'Zdroj data'!BA122=Body!$BV$28),$BT$22,IF(OR('Zdroj data'!BA122=Body!$BW$28,'Zdroj data'!BA122=Body!$BY$28),$BW$22,IF('Zdroj data'!BA122=Body!$BZ$28,$BZ$22," "))))))</f>
        <v>9</v>
      </c>
      <c r="Y122" s="264">
        <f>IF('Zdroj data'!AZ122=Body!$BZ$29,Body!$BZ$22,IF(OR('Zdroj data'!AZ122=$BT$29,'Zdroj data'!AZ122=$BU$29,'Zdroj data'!AZ122=$BV$29),$BT$22,IF(OR('Zdroj data'!AZ122=$BK$29,'Zdroj data'!AZ122=$BM$29),$BK$22,IF(OR('Zdroj data'!AZ122=$BE$29,'Zdroj data'!AZ122=$BG$29),$BE$22,IF(OR('Zdroj data'!AZ122=$AY$29,'Zdroj data'!AZ122=$BA$29),$AY$22," ")))))</f>
        <v>10</v>
      </c>
      <c r="Z122" s="264">
        <f>IF(AND('Zdroj data'!BF122="T",(OR('Zdroj data'!AZ122=Body!$AW$45,'Zdroj data'!AZ122=Body!$AW$46,'Zdroj data'!AZ122=Body!$AW$47,'Zdroj data'!AZ122=Body!$AW$48))),Body!$AY$22,IF(AND('Zdroj data'!BF122="T",(OR('Zdroj data'!AZ122=$AW$49,'Zdroj data'!AZ122=$AW$50,'Zdroj data'!AZ122=$AW$51,'Zdroj data'!AZ122=$AW$52))),$BZ$22,IF(AND(OR('Zdroj data'!BF122="VT",'Zdroj data'!BF122="T",'Zdroj data'!BF122="CH"),(OR('Zdroj data'!AZ122=$AW$43,'Zdroj data'!AZ122=$AW$44,))),$BZ$22,IF(AND('Zdroj data'!BF122="CH",(OR('Zdroj data'!AZ122=$AW$49,'Zdroj data'!AZ122=$AW$50,'Zdroj data'!AZ122=$AW$51,'Zdroj data'!AZ122=$AW$52))),$AY$22,IF(AND('Zdroj data'!BF122="CH",(OR('Zdroj data'!AZ122=$AW$45,'Zdroj data'!AZ122=$AW$46,'Zdroj data'!AZ122=$AW$47,'Zdroj data'!AZ122=$AW$48))),$BZ$22," ")))))</f>
        <v>10</v>
      </c>
      <c r="AA122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22" s="264">
        <f>IF(Tabulka1[[#This Row],[kv.ek.]]=Body!$BK$35,Body!$BK$34,IF(Tabulka1[[#This Row],[kv.ek.]]=Body!$BZ$35,Body!$BZ$34," "))</f>
        <v>10</v>
      </c>
      <c r="AC122" s="264" t="str">
        <f>IF(AND('Zdroj data'!BF122="T",(OR('Zdroj data'!AZ122=Body!$AW$45,'Zdroj data'!AZ122=Body!$AW$46,'Zdroj data'!AZ122=Body!$AW$47,'Zdroj data'!AZ122=Body!$AW$48))),Body!$AY$22,IF(AND('Zdroj data'!BF122="T",(OR('Zdroj data'!AZ122=$AW$49,'Zdroj data'!AZ122=$AW$50,'Zdroj data'!AZ122=$AW$51,'Zdroj data'!AZ122=$AW$52))),$BZ$22," "))</f>
        <v xml:space="preserve"> </v>
      </c>
      <c r="AD122" s="264">
        <f>IF(AND(OR('Zdroj data'!BF122="VT",'Zdroj data'!BF122="T",'Zdroj data'!BF122="CH"),(OR('Zdroj data'!AZ122=$AW$43,'Zdroj data'!AZ122=$AW$44,))),$BZ$22," ")</f>
        <v>10</v>
      </c>
      <c r="AE122" s="264" t="str">
        <f>IF(AND('Zdroj data'!BF122="CH",(OR('Zdroj data'!AZ122=$AW$49,'Zdroj data'!AZ122=$AW$50,'Zdroj data'!AZ122=$AW$51,'Zdroj data'!AZ122=$AW$52))),$AY$22,IF(AND('Zdroj data'!BF122="CH",(OR('Zdroj data'!AZ122=$AW$45,'Zdroj data'!AZ122=$AW$46,'Zdroj data'!AZ122=$AW$47,'Zdroj data'!AZ122=$AW$48))),$BZ$22," "))</f>
        <v xml:space="preserve"> </v>
      </c>
      <c r="AF122" s="264" t="str">
        <f>IF(AND('Zdroj data'!BG122="L",'Zdroj data'!AM122=Body!$AX$15),IF(AND('Zdroj data'!O122&gt;=Body!$AY$15,'Zdroj data'!O122&lt;=Body!$BA$15),Body!AY$6,IF(AND('Zdroj data'!O122&gt;=Body!$BB$15,'Zdroj data'!O122&lt;=Body!$BD$15),Body!BB$6,IF(AND('Zdroj data'!O122&gt;=Body!$BE$15,'Zdroj data'!O122&lt;=Body!$BG$15),Body!BE$6,IF(AND('Zdroj data'!O122&gt;=Body!$BH$15,'Zdroj data'!O122&lt;=Body!$BJ$15),Body!BH$6,IF(AND('Zdroj data'!O122&gt;=Body!$BK$15,'Zdroj data'!O122&lt;=Body!$BM$15),Body!BK$6,IF(AND('Zdroj data'!O122&gt;=Body!$BN$15,'Zdroj data'!O122&lt;=Body!$BP$15),Body!$BN$6,IF(AND('Zdroj data'!O122&gt;=Body!$BQ$15,'Zdroj data'!O122&lt;=Body!$BS$15),Body!$BQ$6,IF(AND('Zdroj data'!O122&gt;=Body!$BT$15,'Zdroj data'!O122&lt;=Body!$BV$15),Body!BT$6,IF(AND('Zdroj data'!O122&gt;=Body!$BW$15,'Zdroj data'!O122&lt;=Body!$BY$15),Body!$BW$6,IF('Zdroj data'!O122&gt;=Body!$CB$15,Body!$BZ$6," ")))))))))),IF(AND('Zdroj data'!BG122="ST",'Zdroj data'!AM122=Body!$AX$16),IF(AND('Zdroj data'!O122&gt;=Body!$AY$16,'Zdroj data'!O122&lt;=Body!$BA$16),Body!$AY$6,IF(AND('Zdroj data'!O122&gt;=Body!$BB$16,'Zdroj data'!O122&lt;=Body!$BD$16),Body!$BB$6,IF(AND('Zdroj data'!O122&gt;=Body!$BE$16,'Zdroj data'!O122&lt;=Body!$BG$16),Body!$BE$6,IF(AND('Zdroj data'!O122&gt;=Body!$BH$16,'Zdroj data'!O122&lt;=Body!$BJ$16),Body!$BH$6,IF(AND('Zdroj data'!O122&gt;=Body!$BK$16,'Zdroj data'!O122&lt;=Body!$BM$16),Body!$BK$6,IF(AND('Zdroj data'!O122&gt;=Body!$BN$16,'Zdroj data'!O122&lt;=Body!$BP$16),Body!$BN$6,IF(AND('Zdroj data'!O122&gt;=Body!$BQ$16,'Zdroj data'!O122&lt;=Body!$BS$16),Body!$BQ$6,IF(AND('Zdroj data'!O122&gt;=Body!$BT$16,'Zdroj data'!O122&lt;=Body!$BV$16),Body!$BT$6,IF(AND('Zdroj data'!O122&gt;=Body!$BW$16,'Zdroj data'!O122&lt;=Body!$BY$16),Body!$BW$6,IF('Zdroj data'!O122&gt;=Body!$CB$16,Body!$BZ$6," ")))))))))),IF(AND('Zdroj data'!BG122="T",'Zdroj data'!AM122=Body!$AX$17),IF(AND('Zdroj data'!O122&gt;=Body!$AY$17,'Zdroj data'!O122&lt;=Body!$BA$17),Body!$AY$6,IF(AND('Zdroj data'!O122&gt;=Body!$BB$17,'Zdroj data'!O122&lt;=Body!$BD$17),Body!$BB$6,IF(AND('Zdroj data'!O122&gt;=Body!$BE$17,'Zdroj data'!O122&lt;=Body!$BG$17),Body!$BE$6,IF(AND('Zdroj data'!O122&gt;=Body!$BH$17,'Zdroj data'!O122&lt;=Body!BJ136),Body!$BH$6,IF(AND('Zdroj data'!O122&gt;=Body!$BK$17,'Zdroj data'!O122&lt;=Body!$BM$17),Body!$BK$6,IF(AND('Zdroj data'!O122&gt;=Body!$BN$17,'Zdroj data'!O122&lt;=Body!$BP$17),Body!$BN$6,IF(AND('Zdroj data'!O122&gt;=Body!$BQ$17,'Zdroj data'!O122&lt;=Body!$BS$17),Body!$BQ$6,IF(AND('Zdroj data'!O122&gt;=Body!$BT$17,'Zdroj data'!O122&lt;=Body!$BV$17),Body!$BT$6,IF(AND('Zdroj data'!O122&gt;=Body!$BW$17,'Zdroj data'!O122&lt;=Body!$BY$17),Body!$BW$6,IF('Zdroj data'!O122&gt;=Body!$CB$17,Body!$BZ$6," "))))))))))," ")))</f>
        <v xml:space="preserve"> </v>
      </c>
      <c r="AG122" s="264" t="str">
        <f>IF(AND('Zdroj data'!$BG122="L",'Zdroj data'!$AM122=Body!$AX$15),IF(AND(Tabulka1[[#This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data'!$BG122="ST",'Zdroj data'!$AM122=Body!$AX$16),IF(AND(Tabulka1[[#This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data'!$BG122="T",'Zdroj data'!$AM122=Body!$AX$17),IF(AND(Tabulka1[[#This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Row],[K2O_60]]&lt;=Body!BJ136),Body!$BH$6,IF(AND(Tabulka1[[#This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122" s="264">
        <f>IF(AND('Zdroj data'!BG122="L",'Zdroj data'!AM122=Body!$AX$18),IF(AND('Zdroj data'!O122&gt;=Body!$AY$18,'Zdroj data'!O122&lt;=Body!$BA$18),Body!AY$6,IF(AND('Zdroj data'!O122&gt;=Body!$BB$18,'Zdroj data'!O122&lt;=Body!$BD$18),Body!BB$6,IF(AND('Zdroj data'!O122&gt;=Body!$BE$18,'Zdroj data'!O122&lt;=Body!$BG$18),Body!BE$6,IF(AND('Zdroj data'!O122&gt;=Body!$BH$18,'Zdroj data'!O122&lt;=Body!$BJ$18),Body!BH$6,IF(AND('Zdroj data'!O122&gt;=Body!$BK$18,'Zdroj data'!O122&lt;=Body!$BM$18),Body!$BK$6,IF(AND('Zdroj data'!O122&gt;=Body!$BN$18,'Zdroj data'!O122&lt;=Body!$BP$18),Body!BN$6,IF(AND('Zdroj data'!O122&gt;=Body!$BQ$18,'Zdroj data'!O122&lt;=Body!$BS$18),Body!$BQ$6,IF(AND('Zdroj data'!O122&gt;=Body!$BT$18,'Zdroj data'!O122&lt;=Body!$BV$18),Body!$BT$6,IF(AND('Zdroj data'!O122&gt;=Body!$BW$18,'Zdroj data'!O122&lt;=Body!$BY$18),Body!$BW$6,IF('Zdroj data'!O122&gt;=Body!$CB$18,Body!$BZ$6," ")))))))))),IF(AND('Zdroj data'!BG122="ST",'Zdroj data'!AM122=Body!$AX$19),IF(AND('Zdroj data'!O122&gt;=Body!$AY$19,'Zdroj data'!O122&lt;=Body!$BA$19),Body!$AY$6,IF(AND('Zdroj data'!O122&gt;=Body!$BB$19,'Zdroj data'!O122&lt;=Body!$BD$19),Body!$BB$6,IF(AND('Zdroj data'!O122&gt;=Body!$BE$19,'Zdroj data'!O122&lt;=Body!$BG$19),Body!$BE$6,IF(AND('Zdroj data'!O122&gt;=Body!$BH$19,'Zdroj data'!O122&lt;=Body!$BJ$19),Body!$BH$6,IF(AND('Zdroj data'!O122&gt;=Body!$BK$19,'Zdroj data'!O122&lt;=Body!$BM$19),Body!$BK$6,IF(AND('Zdroj data'!O122&gt;=Body!$BN$19,'Zdroj data'!O122&lt;=Body!$BP$19),Body!$BN$6,IF(AND('Zdroj data'!O122&gt;=Body!$BQ$19,'Zdroj data'!O122&lt;=Body!$BS$19),Body!$BQ$6,IF(AND('Zdroj data'!O122&gt;=Body!$BT$19,'Zdroj data'!O126&lt;=Body!$BV$19),Body!$BT$6,IF(AND('Zdroj data'!O122&gt;=Body!$BW$19,'Zdroj data'!O122&lt;=Body!$BY$19),Body!$BW$6,IF('Zdroj data'!O122&gt;=Body!$CB$19,Body!$BZ$6," ")))))))))),IF(AND('Zdroj data'!BG122="T",'Zdroj data'!AM122=Body!$AX$20),IF(AND('Zdroj data'!O122&gt;=Body!$AY$20,'Zdroj data'!O122&lt;=Body!$BA$20),Body!$AY$6,IF(AND('Zdroj data'!O122&gt;=Body!$BB$20,'Zdroj data'!O122&lt;=Body!$BD$20),Body!$BB$6,IF(AND('Zdroj data'!O122&gt;=Body!$BE$20,'Zdroj data'!O122&lt;=Body!$BG$20),Body!$BE$6,IF(AND('Zdroj data'!O122&gt;=Body!$BH$20,'Zdroj data'!O122&lt;=Body!$BJ$20),Body!$BH$6,IF(AND('Zdroj data'!O122&gt;=Body!$BK$20,'Zdroj data'!O122&lt;=Body!$BM$20),Body!$BK$6,IF(AND('Zdroj data'!O122&gt;=Body!$BN$20,'Zdroj data'!O122&lt;=Body!$BP$20),Body!$BN$6,IF(AND('Zdroj data'!O122&gt;=Body!$BQ$20,'Zdroj data'!O122&lt;=Body!$BS$20),Body!$BQ$6,IF(AND('Zdroj data'!O122&gt;=Body!$BT$20,'Zdroj data'!O122&lt;=Body!BV139),Body!$BT$6,IF(AND('Zdroj data'!O122&gt;=Body!$BW$20,'Zdroj data'!O122&lt;=Body!$BY$20),Body!$BW$6,IF('Zdroj data'!O122&gt;=Body!$CB$20,Body!$BZ$6," "))))))))))," ")))</f>
        <v>1</v>
      </c>
      <c r="AI122" s="264">
        <f>IF(AND('Zdroj data'!$BG122="L",'Zdroj data'!$AM122=Body!$AX$18),IF(AND(Tabulka1[[#This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data'!$BG122="ST",'Zdroj data'!$AM122=Body!$AX$19),IF(AND(Tabulka1[[#This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data'!$BG122="T",'Zdroj data'!$AM122=Body!$AX$20),IF(AND(Tabulka1[[#This Row],[K2O_60]]&gt;=Body!$AY$20,'Zdroj data'!O122&lt;=Body!$BA$20),Body!$AY$6,IF(AND(Tabulka1[[#This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Row],[K2O_60]]&lt;=Body!BV139),Body!$BT$6,IF(AND(Tabulka1[[#This Row],[K2O_60]]&gt;=Body!$BW$20,Tabulka1[[#This Row],[K2O_60]]&lt;=Body!$BY$20),Body!$BW$6,IF(Tabulka1[[#This Row],[K2O_60]]&gt;=Body!$CB$20,Body!$BZ$6," "))))))))))," ")))</f>
        <v>1</v>
      </c>
      <c r="AJ122" s="265">
        <f t="shared" si="13"/>
        <v>6.6666666666666714</v>
      </c>
      <c r="AK122" s="264">
        <f t="shared" si="14"/>
        <v>32.130402772031097</v>
      </c>
      <c r="AL122" s="264">
        <f t="shared" si="15"/>
        <v>27.179473430670434</v>
      </c>
      <c r="AM122" s="264">
        <f t="shared" si="16"/>
        <v>67.338691838639932</v>
      </c>
      <c r="AN122" s="264">
        <f t="shared" si="17"/>
        <v>64.249505424235963</v>
      </c>
      <c r="AO122" s="265">
        <f t="shared" si="21"/>
        <v>99.469094610671021</v>
      </c>
      <c r="AP122" s="265">
        <f t="shared" si="18"/>
        <v>91.428978854906404</v>
      </c>
      <c r="AQ122" s="318"/>
      <c r="AR122" s="338">
        <f t="shared" si="19"/>
        <v>197.56474013224408</v>
      </c>
      <c r="AS122" s="318"/>
      <c r="AT122" s="138"/>
      <c r="AU122" s="138"/>
    </row>
    <row r="123" spans="1:47" ht="15.5" x14ac:dyDescent="0.35">
      <c r="A123" s="270">
        <v>5537</v>
      </c>
      <c r="B123" s="156" t="s">
        <v>296</v>
      </c>
      <c r="C123" s="250" t="str">
        <f>VLOOKUP(B123,'Zdroj hloubka okresy'!$A$2:$D$171,2,FALSE)</f>
        <v>Kutna_Hora</v>
      </c>
      <c r="D123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123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123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23" s="264">
        <f>IF(AND(Tabulka1[[#This Row],[hum_60]]&gt;AY129,Tabulka1[[#This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23" s="264">
        <f>IF(Tabulka1[[#This Row],[kv.ek.]]=Body!$AX$13,IF(AND('Zdroj data'!M123&gt;=Body!$AY$13,'Zdroj data'!M123&lt;=Body!$BA$13),Body!$AY$6,IF(AND('Zdroj data'!M123&gt;=Body!$BB$13,'Zdroj data'!M123&lt;=Body!$BD$13),Body!$BB$6,IF(AND('Zdroj data'!M123&gt;=Body!$BE$13,'Zdroj data'!M123&lt;=Body!$BG$13),Body!$BE$6,IF(AND('Zdroj data'!M123&gt;=Body!$BH$13,'Zdroj data'!M123&lt;=Body!$BJ$13),Body!$BH$6,IF(AND('Zdroj data'!M123&gt;=Body!$BK$13,'Zdroj data'!M123&lt;=Body!$BM$13),Body!$BK$6,IF(AND('Zdroj data'!M123&gt;=Body!$BN$13,'Zdroj data'!M123&lt;=Body!$BP$13),Body!$BN$6,IF(AND('Zdroj data'!M123&gt;=Body!$BQ$13,'Zdroj data'!M123&lt;=Body!$BS$13),Body!$BQ$6,IF(AND('Zdroj data'!M123&gt;=Body!$BT$13,'Zdroj data'!M123&lt;=Body!$BV$13),Body!$BT$6,IF(AND('Zdroj data'!M123&gt;=Body!$BW$13,'Zdroj data'!M123&lt;=Body!$BY$13),Body!$BW$6,IF('Zdroj data'!M123&gt;=Body!$CB$13,Body!$BZ$6," ")))))))))),IF(Tabulka1[[#This Row],[kv.ek.]]=Body!$AX$14,IF(AND('Zdroj data'!N123&gt;=Body!$AY$14,'Zdroj data'!N123&lt;=Body!$BA$14),Body!$AY$6,IF(AND('Zdroj data'!N123&gt;=Body!$BB$14,'Zdroj data'!N123&lt;=Body!$BD$14),Body!$BB$6,IF(AND('Zdroj data'!N123&gt;=Body!$BE$14,'Zdroj data'!N123&lt;=Body!$BG$14),Body!$BE$6,IF(AND('Zdroj data'!N123&gt;=Body!$BH$14,'Zdroj data'!N123&lt;=Body!$BJ$14),Body!$BH$6,IF(AND('Zdroj data'!N123&gt;=Body!$BK$14,'Zdroj data'!N123&lt;=Body!$BM$14),Body!$BK$6,IF(AND('Zdroj data'!N123&gt;=Body!$BN$14,'Zdroj data'!N123&lt;=Body!$BP$14),Body!$BN$6,IF(AND('Zdroj data'!N123&gt;=Body!$BQ$14,'Zdroj data'!N123&lt;=Body!$BS$14),Body!$BQ$6,IF(AND('Zdroj data'!N123&gt;=Body!$BT$14,'Zdroj data'!N123&lt;=Body!$BV$14),Body!$BT$6,IF(AND('Zdroj data'!N123&gt;=Body!$BW$14,'Zdroj data'!N123&lt;=Body!$BY$14),Body!$BW$6,IF('Zdroj data'!N123&gt;=Body!$CB$14,Body!$BZ$6," "))))))))))," "))</f>
        <v>1</v>
      </c>
      <c r="I123" s="264">
        <f>IF(Tabulka1[[#This Row],[kv.ek.]]=Body!$AX$13,IF(AND('Zdroj data'!N123&gt;=Body!$AY$13,'Zdroj data'!N123&lt;=Body!$BA$13),Body!$AY$6,IF(AND('Zdroj data'!N123&gt;=Body!$BB$13,'Zdroj data'!N123&lt;=Body!$BD$13),Body!$BB$6,IF(AND('Zdroj data'!N123&gt;=Body!$BE$13,'Zdroj data'!N123&lt;=Body!$BG$13),Body!$BE$6,IF(AND('Zdroj data'!N123&gt;=Body!$BH$13,'Zdroj data'!N123&lt;=Body!$BJ$13),Body!$BH$6,IF(AND('Zdroj data'!N123&gt;=Body!$BK$13,'Zdroj data'!N123&lt;=Body!$BM$13),Body!$BK$6,IF(AND('Zdroj data'!N123&gt;=Body!$BN$13,'Zdroj data'!N123&lt;=Body!$BP$13),Body!$BN$6,IF(AND('Zdroj data'!N123&gt;=Body!$BQ$13,'Zdroj data'!N123&lt;=Body!$BS$13),Body!$BQ$6,IF(AND('Zdroj data'!N123&gt;=Body!$BT$13,'Zdroj data'!N123&lt;=Body!$BV$13),Body!$BT$6,IF(AND('Zdroj data'!N123&gt;=Body!$BW$13,'Zdroj data'!N123&lt;=Body!$BY$13),Body!$BW$6,IF('Zdroj data'!N123&gt;=Body!$CB$13,Body!$BZ$6," ")))))))))),IF(Tabulka1[[#This Row],[kv.ek.]]=Body!$AX$14,IF(AND('Zdroj data'!O123&gt;=Body!$AY$14,'Zdroj data'!O123&lt;=Body!$BA$14),Body!$AY$6,IF(AND('Zdroj data'!O123&gt;=Body!$BB$14,'Zdroj data'!O123&lt;=Body!$BD$14),Body!$BB$6,IF(AND('Zdroj data'!O123&gt;=Body!$BE$14,'Zdroj data'!O123&lt;=Body!$BG$14),Body!$BE$6,IF(AND('Zdroj data'!O123&gt;=Body!$BH$14,'Zdroj data'!O123&lt;=Body!$BJ$14),Body!$BH$6,IF(AND('Zdroj data'!O123&gt;=Body!$BK$14,'Zdroj data'!O123&lt;=Body!$BM$14),Body!$BK$6,IF(AND('Zdroj data'!O123&gt;=Body!$BN$14,'Zdroj data'!O123&lt;=Body!$BP$14),Body!$BN$6,IF(AND('Zdroj data'!O123&gt;=Body!$BQ$14,'Zdroj data'!O123&lt;=Body!$BS$14),Body!$BQ$6,IF(AND('Zdroj data'!O123&gt;=Body!$BT$14,'Zdroj data'!O123&lt;=Body!$BV$14),Body!$BT$6,IF(AND('Zdroj data'!O123&gt;=Body!$BW$14,'Zdroj data'!O123&lt;=Body!$BY$14),Body!$BW$6,IF('Zdroj data'!O123&gt;=Body!$CB$14,Body!$BZ$6," "))))))))))," "))</f>
        <v>1</v>
      </c>
      <c r="J123" s="264">
        <f t="shared" si="25"/>
        <v>1</v>
      </c>
      <c r="K123" s="264">
        <f t="shared" si="25"/>
        <v>1</v>
      </c>
      <c r="L123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123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123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4</v>
      </c>
      <c r="O123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5</v>
      </c>
      <c r="P123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23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123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123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9</v>
      </c>
      <c r="T123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123" s="264">
        <f>IF('Zdroj data'!BB123=Body!$AY$25,Body!$AY$22,IF('Zdroj data'!BB123=Body!$BB$25,Body!$BB$22,IF('Zdroj data'!BB123=Body!$BE$25,Body!$BE$22,IF('Zdroj data'!BB123=Body!$BH$25,Body!$BH$22,IF('Zdroj data'!BB123=Body!BK$25,Body!$BK$22,IF('Zdroj data'!BB123=Body!$BN$25,Body!$BN$22,IF('Zdroj data'!BB123=Body!$BQ$25,Body!$BQ$22,IF('Zdroj data'!BB123=Body!$BT$25,Body!$BT$22,IF('Zdroj data'!BB123=Body!$BW$25,Body!$BW$22,IF('Zdroj data'!BB123=Body!$BZ$25,Body!$BZ$22," "))))))))))</f>
        <v>5</v>
      </c>
      <c r="V123" s="264">
        <f>IF(AND('Zdroj data'!BO123&gt;Body!$AY$27,'Zdroj data'!BO123&lt;=Body!$BA$27),Body!$AY$22,IF(AND('Zdroj data'!BO123&gt;=Body!$BB$27,'Zdroj data'!BO123&lt;=Body!$BD$27),Body!$BB$22,IF(AND('Zdroj data'!BO123&gt;=Body!$BE$27,'Zdroj data'!BO123&lt;=Body!$BG$27),Body!$BE$22,IF(AND('Zdroj data'!BO123&gt;=Body!$BH$27,'Zdroj data'!BO123&lt;=Body!$BJ$27),Body!$BH$22,IF(AND('Zdroj data'!BO123&gt;=Body!$BK$27,'Zdroj data'!BO123&lt;=Body!$BM$27),Body!$BK$22,IF(AND('Zdroj data'!BO123&gt;=Body!$BN$27,'Zdroj data'!BO123&lt;=Body!$BP$27),Body!$BN$22,IF(AND('Zdroj data'!BO123&gt;=Body!$BQ$27,'Zdroj data'!BO123&lt;=Body!$BS$27),Body!$BQ$22,IF(AND('Zdroj data'!BO123&gt;=Body!$BT$27,'Zdroj data'!BO123&lt;=Body!$BV$27),Body!$BT$22,IF(AND('Zdroj data'!BO123&gt;=Body!$BW$27,'Zdroj data'!BO123&lt;=Body!$BY$27),Body!$BW$22,IF('Zdroj data'!BO123&gt;=Body!$CB$27,$BZ$22," "))))))))))</f>
        <v>6</v>
      </c>
      <c r="W123" s="264">
        <f>IF(AND('Zdroj data'!BP123&gt;Body!$AY$27,'Zdroj data'!BP123&lt;=Body!$BA$27),Body!$AY$22,IF(AND('Zdroj data'!BP123&gt;=Body!$BB$27,'Zdroj data'!BP123&lt;=Body!$BD$27),Body!$BB$22,IF(AND('Zdroj data'!BP123&gt;=Body!$BE$27,'Zdroj data'!BP123&lt;=Body!$BG$27),Body!$BE$22,IF(AND('Zdroj data'!BP123&gt;=Body!$BH$27,'Zdroj data'!BP123&lt;=Body!$BJ$27),Body!$BH$22,IF(AND('Zdroj data'!BP123&gt;=Body!$BK$27,'Zdroj data'!BP123&lt;=Body!$BM$27),Body!$BK$22,IF(AND('Zdroj data'!BP123&gt;=Body!$BN$27,'Zdroj data'!BP123&lt;=Body!$BP$27),Body!$BN$22,IF(AND('Zdroj data'!BP123&gt;=Body!$BQ$27,'Zdroj data'!BP123&lt;=Body!$BS$27),Body!$BQ$22,IF(AND('Zdroj data'!BP123&gt;=Body!$BT$27,'Zdroj data'!BP123&lt;=Body!$BV$27),Body!$BT$22,IF(AND('Zdroj data'!BP123&gt;=Body!$BW$27,'Zdroj data'!BP123&lt;=Body!$BY$27),Body!$BW$22,IF('Zdroj data'!BP123&gt;=Body!$CB$27,$BZ$22," "))))))))))</f>
        <v>6</v>
      </c>
      <c r="X123" s="264">
        <f>IF('Zdroj data'!BA123=Body!$BB$28,$BB$22,IF('Zdroj data'!BA123=Body!$BE$28,$BE$22,IF(OR('Zdroj data'!BA123=Body!$BK$28,'Zdroj data'!BA123=Body!$BL$28,'Zdroj data'!BA123=Body!$BM$28),$BK$22,IF(OR('Zdroj data'!BA123=Body!$BT$28,'Zdroj data'!BA123=Body!$BV$28),$BT$22,IF(OR('Zdroj data'!BA123=Body!$BW$28,'Zdroj data'!BA123=Body!$BY$28),$BW$22,IF('Zdroj data'!BA123=Body!$BZ$28,$BZ$22," "))))))</f>
        <v>8</v>
      </c>
      <c r="Y123" s="264">
        <f>IF('Zdroj data'!AZ123=Body!$BZ$29,Body!$BZ$22,IF(OR('Zdroj data'!AZ123=$BT$29,'Zdroj data'!AZ123=$BU$29,'Zdroj data'!AZ123=$BV$29),$BT$22,IF(OR('Zdroj data'!AZ123=$BK$29,'Zdroj data'!AZ123=$BM$29),$BK$22,IF(OR('Zdroj data'!AZ123=$BE$29,'Zdroj data'!AZ123=$BG$29),$BE$22,IF(OR('Zdroj data'!AZ123=$AY$29,'Zdroj data'!AZ123=$BA$29),$AY$22," ")))))</f>
        <v>10</v>
      </c>
      <c r="Z123" s="264">
        <f>IF(AND('Zdroj data'!BF123="T",(OR('Zdroj data'!AZ123=Body!$AW$45,'Zdroj data'!AZ123=Body!$AW$46,'Zdroj data'!AZ123=Body!$AW$47,'Zdroj data'!AZ123=Body!$AW$48))),Body!$AY$22,IF(AND('Zdroj data'!BF123="T",(OR('Zdroj data'!AZ123=$AW$49,'Zdroj data'!AZ123=$AW$50,'Zdroj data'!AZ123=$AW$51,'Zdroj data'!AZ123=$AW$52))),$BZ$22,IF(AND(OR('Zdroj data'!BF123="VT",'Zdroj data'!BF123="T",'Zdroj data'!BF123="CH"),(OR('Zdroj data'!AZ123=$AW$43,'Zdroj data'!AZ123=$AW$44,))),$BZ$22,IF(AND('Zdroj data'!BF123="CH",(OR('Zdroj data'!AZ123=$AW$49,'Zdroj data'!AZ123=$AW$50,'Zdroj data'!AZ123=$AW$51,'Zdroj data'!AZ123=$AW$52))),$AY$22,IF(AND('Zdroj data'!BF123="CH",(OR('Zdroj data'!AZ123=$AW$45,'Zdroj data'!AZ123=$AW$46,'Zdroj data'!AZ123=$AW$47,'Zdroj data'!AZ123=$AW$48))),$BZ$22," ")))))</f>
        <v>10</v>
      </c>
      <c r="AA123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23" s="264">
        <f>IF(Tabulka1[[#This Row],[kv.ek.]]=Body!$BK$35,Body!$BK$34,IF(Tabulka1[[#This Row],[kv.ek.]]=Body!$BZ$35,Body!$BZ$34," "))</f>
        <v>5</v>
      </c>
      <c r="AC123" s="264" t="str">
        <f>IF(AND('Zdroj data'!BF123="T",(OR('Zdroj data'!AZ123=Body!$AW$45,'Zdroj data'!AZ123=Body!$AW$46,'Zdroj data'!AZ123=Body!$AW$47,'Zdroj data'!AZ123=Body!$AW$48))),Body!$AY$22,IF(AND('Zdroj data'!BF123="T",(OR('Zdroj data'!AZ123=$AW$49,'Zdroj data'!AZ123=$AW$50,'Zdroj data'!AZ123=$AW$51,'Zdroj data'!AZ123=$AW$52))),$BZ$22," "))</f>
        <v xml:space="preserve"> </v>
      </c>
      <c r="AD123" s="264">
        <f>IF(AND(OR('Zdroj data'!BF123="VT",'Zdroj data'!BF123="T",'Zdroj data'!BF123="CH"),(OR('Zdroj data'!AZ123=$AW$43,'Zdroj data'!AZ123=$AW$44,))),$BZ$22," ")</f>
        <v>10</v>
      </c>
      <c r="AE123" s="264" t="str">
        <f>IF(AND('Zdroj data'!BF123="CH",(OR('Zdroj data'!AZ123=$AW$49,'Zdroj data'!AZ123=$AW$50,'Zdroj data'!AZ123=$AW$51,'Zdroj data'!AZ123=$AW$52))),$AY$22,IF(AND('Zdroj data'!BF123="CH",(OR('Zdroj data'!AZ123=$AW$45,'Zdroj data'!AZ123=$AW$46,'Zdroj data'!AZ123=$AW$47,'Zdroj data'!AZ123=$AW$48))),$BZ$22," "))</f>
        <v xml:space="preserve"> </v>
      </c>
      <c r="AF123" s="264">
        <f>IF(AND('Zdroj data'!BG123="L",'Zdroj data'!AM123=Body!$AX$15),IF(AND('Zdroj data'!O123&gt;=Body!$AY$15,'Zdroj data'!O123&lt;=Body!$BA$15),Body!AY$6,IF(AND('Zdroj data'!O123&gt;=Body!$BB$15,'Zdroj data'!O123&lt;=Body!$BD$15),Body!BB$6,IF(AND('Zdroj data'!O123&gt;=Body!$BE$15,'Zdroj data'!O123&lt;=Body!$BG$15),Body!BE$6,IF(AND('Zdroj data'!O123&gt;=Body!$BH$15,'Zdroj data'!O123&lt;=Body!$BJ$15),Body!BH$6,IF(AND('Zdroj data'!O123&gt;=Body!$BK$15,'Zdroj data'!O123&lt;=Body!$BM$15),Body!BK$6,IF(AND('Zdroj data'!O123&gt;=Body!$BN$15,'Zdroj data'!O123&lt;=Body!$BP$15),Body!$BN$6,IF(AND('Zdroj data'!O123&gt;=Body!$BQ$15,'Zdroj data'!O123&lt;=Body!$BS$15),Body!$BQ$6,IF(AND('Zdroj data'!O123&gt;=Body!$BT$15,'Zdroj data'!O123&lt;=Body!$BV$15),Body!BT$6,IF(AND('Zdroj data'!O123&gt;=Body!$BW$15,'Zdroj data'!O123&lt;=Body!$BY$15),Body!$BW$6,IF('Zdroj data'!O123&gt;=Body!$CB$15,Body!$BZ$6," ")))))))))),IF(AND('Zdroj data'!BG123="ST",'Zdroj data'!AM123=Body!$AX$16),IF(AND('Zdroj data'!O123&gt;=Body!$AY$16,'Zdroj data'!O123&lt;=Body!$BA$16),Body!$AY$6,IF(AND('Zdroj data'!O123&gt;=Body!$BB$16,'Zdroj data'!O123&lt;=Body!$BD$16),Body!$BB$6,IF(AND('Zdroj data'!O123&gt;=Body!$BE$16,'Zdroj data'!O123&lt;=Body!$BG$16),Body!$BE$6,IF(AND('Zdroj data'!O123&gt;=Body!$BH$16,'Zdroj data'!O123&lt;=Body!$BJ$16),Body!$BH$6,IF(AND('Zdroj data'!O123&gt;=Body!$BK$16,'Zdroj data'!O123&lt;=Body!$BM$16),Body!$BK$6,IF(AND('Zdroj data'!O123&gt;=Body!$BN$16,'Zdroj data'!O123&lt;=Body!$BP$16),Body!$BN$6,IF(AND('Zdroj data'!O123&gt;=Body!$BQ$16,'Zdroj data'!O123&lt;=Body!$BS$16),Body!$BQ$6,IF(AND('Zdroj data'!O123&gt;=Body!$BT$16,'Zdroj data'!O123&lt;=Body!$BV$16),Body!$BT$6,IF(AND('Zdroj data'!O123&gt;=Body!$BW$16,'Zdroj data'!O123&lt;=Body!$BY$16),Body!$BW$6,IF('Zdroj data'!O123&gt;=Body!$CB$16,Body!$BZ$6," ")))))))))),IF(AND('Zdroj data'!BG123="T",'Zdroj data'!AM123=Body!$AX$17),IF(AND('Zdroj data'!O123&gt;=Body!$AY$17,'Zdroj data'!O123&lt;=Body!$BA$17),Body!$AY$6,IF(AND('Zdroj data'!O123&gt;=Body!$BB$17,'Zdroj data'!O123&lt;=Body!$BD$17),Body!$BB$6,IF(AND('Zdroj data'!O123&gt;=Body!$BE$17,'Zdroj data'!O123&lt;=Body!$BG$17),Body!$BE$6,IF(AND('Zdroj data'!O123&gt;=Body!$BH$17,'Zdroj data'!O123&lt;=Body!BJ137),Body!$BH$6,IF(AND('Zdroj data'!O123&gt;=Body!$BK$17,'Zdroj data'!O123&lt;=Body!$BM$17),Body!$BK$6,IF(AND('Zdroj data'!O123&gt;=Body!$BN$17,'Zdroj data'!O123&lt;=Body!$BP$17),Body!$BN$6,IF(AND('Zdroj data'!O123&gt;=Body!$BQ$17,'Zdroj data'!O123&lt;=Body!$BS$17),Body!$BQ$6,IF(AND('Zdroj data'!O123&gt;=Body!$BT$17,'Zdroj data'!O123&lt;=Body!$BV$17),Body!$BT$6,IF(AND('Zdroj data'!O123&gt;=Body!$BW$17,'Zdroj data'!O123&lt;=Body!$BY$17),Body!$BW$6,IF('Zdroj data'!O123&gt;=Body!$CB$17,Body!$BZ$6," "))))))))))," ")))</f>
        <v>1</v>
      </c>
      <c r="AG123" s="264">
        <f>IF(AND('Zdroj data'!$BG123="L",'Zdroj data'!$AM123=Body!$AX$15),IF(AND(Tabulka1[[#This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data'!$BG123="ST",'Zdroj data'!$AM123=Body!$AX$16),IF(AND(Tabulka1[[#This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data'!$BG123="T",'Zdroj data'!$AM123=Body!$AX$17),IF(AND(Tabulka1[[#This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Row],[K2O_60]]&lt;=Body!BJ137),Body!$BH$6,IF(AND(Tabulka1[[#This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23" s="264" t="str">
        <f>IF(AND('Zdroj data'!BG123="L",'Zdroj data'!AM123=Body!$AX$18),IF(AND('Zdroj data'!O123&gt;=Body!$AY$18,'Zdroj data'!O123&lt;=Body!$BA$18),Body!AY$6,IF(AND('Zdroj data'!O123&gt;=Body!$BB$18,'Zdroj data'!O123&lt;=Body!$BD$18),Body!BB$6,IF(AND('Zdroj data'!O123&gt;=Body!$BE$18,'Zdroj data'!O123&lt;=Body!$BG$18),Body!BE$6,IF(AND('Zdroj data'!O123&gt;=Body!$BH$18,'Zdroj data'!O123&lt;=Body!$BJ$18),Body!BH$6,IF(AND('Zdroj data'!O123&gt;=Body!$BK$18,'Zdroj data'!O123&lt;=Body!$BM$18),Body!$BK$6,IF(AND('Zdroj data'!O123&gt;=Body!$BN$18,'Zdroj data'!O123&lt;=Body!$BP$18),Body!BN$6,IF(AND('Zdroj data'!O123&gt;=Body!$BQ$18,'Zdroj data'!O123&lt;=Body!$BS$18),Body!$BQ$6,IF(AND('Zdroj data'!O123&gt;=Body!$BT$18,'Zdroj data'!O123&lt;=Body!$BV$18),Body!$BT$6,IF(AND('Zdroj data'!O123&gt;=Body!$BW$18,'Zdroj data'!O123&lt;=Body!$BY$18),Body!$BW$6,IF('Zdroj data'!O123&gt;=Body!$CB$18,Body!$BZ$6," ")))))))))),IF(AND('Zdroj data'!BG123="ST",'Zdroj data'!AM123=Body!$AX$19),IF(AND('Zdroj data'!O123&gt;=Body!$AY$19,'Zdroj data'!O123&lt;=Body!$BA$19),Body!$AY$6,IF(AND('Zdroj data'!O123&gt;=Body!$BB$19,'Zdroj data'!O123&lt;=Body!$BD$19),Body!$BB$6,IF(AND('Zdroj data'!O123&gt;=Body!$BE$19,'Zdroj data'!O123&lt;=Body!$BG$19),Body!$BE$6,IF(AND('Zdroj data'!O123&gt;=Body!$BH$19,'Zdroj data'!O123&lt;=Body!$BJ$19),Body!$BH$6,IF(AND('Zdroj data'!O123&gt;=Body!$BK$19,'Zdroj data'!O123&lt;=Body!$BM$19),Body!$BK$6,IF(AND('Zdroj data'!O123&gt;=Body!$BN$19,'Zdroj data'!O123&lt;=Body!$BP$19),Body!$BN$6,IF(AND('Zdroj data'!O123&gt;=Body!$BQ$19,'Zdroj data'!O123&lt;=Body!$BS$19),Body!$BQ$6,IF(AND('Zdroj data'!O123&gt;=Body!$BT$19,'Zdroj data'!O127&lt;=Body!$BV$19),Body!$BT$6,IF(AND('Zdroj data'!O123&gt;=Body!$BW$19,'Zdroj data'!O123&lt;=Body!$BY$19),Body!$BW$6,IF('Zdroj data'!O123&gt;=Body!$CB$19,Body!$BZ$6," ")))))))))),IF(AND('Zdroj data'!BG123="T",'Zdroj data'!AM123=Body!$AX$20),IF(AND('Zdroj data'!O123&gt;=Body!$AY$20,'Zdroj data'!O123&lt;=Body!$BA$20),Body!$AY$6,IF(AND('Zdroj data'!O123&gt;=Body!$BB$20,'Zdroj data'!O123&lt;=Body!$BD$20),Body!$BB$6,IF(AND('Zdroj data'!O123&gt;=Body!$BE$20,'Zdroj data'!O123&lt;=Body!$BG$20),Body!$BE$6,IF(AND('Zdroj data'!O123&gt;=Body!$BH$20,'Zdroj data'!O123&lt;=Body!$BJ$20),Body!$BH$6,IF(AND('Zdroj data'!O123&gt;=Body!$BK$20,'Zdroj data'!O123&lt;=Body!$BM$20),Body!$BK$6,IF(AND('Zdroj data'!O123&gt;=Body!$BN$20,'Zdroj data'!O123&lt;=Body!$BP$20),Body!$BN$6,IF(AND('Zdroj data'!O123&gt;=Body!$BQ$20,'Zdroj data'!O123&lt;=Body!$BS$20),Body!$BQ$6,IF(AND('Zdroj data'!O123&gt;=Body!$BT$20,'Zdroj data'!O123&lt;=Body!#REF!),Body!$BT$6,IF(AND('Zdroj data'!O123&gt;=Body!$BW$20,'Zdroj data'!O123&lt;=Body!$BY$20),Body!$BW$6,IF('Zdroj data'!O123&gt;=Body!$CB$20,Body!$BZ$6," "))))))))))," ")))</f>
        <v xml:space="preserve"> </v>
      </c>
      <c r="AI123" s="264" t="str">
        <f>IF(AND('Zdroj data'!$BG123="L",'Zdroj data'!$AM123=Body!$AX$18),IF(AND(Tabulka1[[#This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data'!$BG123="ST",'Zdroj data'!$AM123=Body!$AX$19),IF(AND(Tabulka1[[#This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data'!$BG123="T",'Zdroj data'!$AM123=Body!$AX$20),IF(AND(Tabulka1[[#This Row],[K2O_60]]&gt;=Body!$AY$20,'Zdroj data'!O123&lt;=Body!$BA$20),Body!$AY$6,IF(AND(Tabulka1[[#This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23" s="265">
        <f t="shared" si="13"/>
        <v>5.3333333333333375</v>
      </c>
      <c r="AK123" s="264">
        <f t="shared" si="14"/>
        <v>20.074742271181226</v>
      </c>
      <c r="AL123" s="264">
        <f t="shared" si="15"/>
        <v>21.413154322530289</v>
      </c>
      <c r="AM123" s="264">
        <f t="shared" si="16"/>
        <v>69.219284395676638</v>
      </c>
      <c r="AN123" s="264">
        <f t="shared" si="17"/>
        <v>69.219284395676638</v>
      </c>
      <c r="AO123" s="265">
        <f t="shared" si="21"/>
        <v>89.29402666685786</v>
      </c>
      <c r="AP123" s="265">
        <f t="shared" si="18"/>
        <v>90.632438718206927</v>
      </c>
      <c r="AQ123" s="318"/>
      <c r="AR123" s="338">
        <f t="shared" si="19"/>
        <v>185.25979871839812</v>
      </c>
      <c r="AS123" s="318"/>
      <c r="AT123" s="138"/>
      <c r="AU123" s="138"/>
    </row>
    <row r="124" spans="1:47" ht="15.5" x14ac:dyDescent="0.35">
      <c r="A124" s="270">
        <v>5540</v>
      </c>
      <c r="B124" s="156" t="s">
        <v>302</v>
      </c>
      <c r="C124" s="250" t="str">
        <f>VLOOKUP(B124,'Zdroj hloubka okresy'!$A$2:$D$171,2,FALSE)</f>
        <v>Kutna_Hora</v>
      </c>
      <c r="D124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9</v>
      </c>
      <c r="E124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7</v>
      </c>
      <c r="F124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24" s="264">
        <f>IF(AND(Tabulka1[[#This Row],[hum_60]]&gt;AY130,Tabulka1[[#This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24" s="264">
        <f>IF(Tabulka1[[#This Row],[kv.ek.]]=Body!$AX$13,IF(AND('Zdroj data'!M124&gt;=Body!$AY$13,'Zdroj data'!M124&lt;=Body!$BA$13),Body!$AY$6,IF(AND('Zdroj data'!M124&gt;=Body!$BB$13,'Zdroj data'!M124&lt;=Body!$BD$13),Body!$BB$6,IF(AND('Zdroj data'!M124&gt;=Body!$BE$13,'Zdroj data'!M124&lt;=Body!$BG$13),Body!$BE$6,IF(AND('Zdroj data'!M124&gt;=Body!$BH$13,'Zdroj data'!M124&lt;=Body!$BJ$13),Body!$BH$6,IF(AND('Zdroj data'!M124&gt;=Body!$BK$13,'Zdroj data'!M124&lt;=Body!$BM$13),Body!$BK$6,IF(AND('Zdroj data'!M124&gt;=Body!$BN$13,'Zdroj data'!M124&lt;=Body!$BP$13),Body!$BN$6,IF(AND('Zdroj data'!M124&gt;=Body!$BQ$13,'Zdroj data'!M124&lt;=Body!$BS$13),Body!$BQ$6,IF(AND('Zdroj data'!M124&gt;=Body!$BT$13,'Zdroj data'!M124&lt;=Body!$BV$13),Body!$BT$6,IF(AND('Zdroj data'!M124&gt;=Body!$BW$13,'Zdroj data'!M124&lt;=Body!$BY$13),Body!$BW$6,IF('Zdroj data'!M124&gt;=Body!$CB$13,Body!$BZ$6," ")))))))))),IF(Tabulka1[[#This Row],[kv.ek.]]=Body!$AX$14,IF(AND('Zdroj data'!N124&gt;=Body!$AY$14,'Zdroj data'!N124&lt;=Body!$BA$14),Body!$AY$6,IF(AND('Zdroj data'!N124&gt;=Body!$BB$14,'Zdroj data'!N124&lt;=Body!$BD$14),Body!$BB$6,IF(AND('Zdroj data'!N124&gt;=Body!$BE$14,'Zdroj data'!N124&lt;=Body!$BG$14),Body!$BE$6,IF(AND('Zdroj data'!N124&gt;=Body!$BH$14,'Zdroj data'!N124&lt;=Body!$BJ$14),Body!$BH$6,IF(AND('Zdroj data'!N124&gt;=Body!$BK$14,'Zdroj data'!N124&lt;=Body!$BM$14),Body!$BK$6,IF(AND('Zdroj data'!N124&gt;=Body!$BN$14,'Zdroj data'!N124&lt;=Body!$BP$14),Body!$BN$6,IF(AND('Zdroj data'!N124&gt;=Body!$BQ$14,'Zdroj data'!N124&lt;=Body!$BS$14),Body!$BQ$6,IF(AND('Zdroj data'!N124&gt;=Body!$BT$14,'Zdroj data'!N124&lt;=Body!$BV$14),Body!$BT$6,IF(AND('Zdroj data'!N124&gt;=Body!$BW$14,'Zdroj data'!N124&lt;=Body!$BY$14),Body!$BW$6,IF('Zdroj data'!N124&gt;=Body!$CB$14,Body!$BZ$6," "))))))))))," "))</f>
        <v>1</v>
      </c>
      <c r="I124" s="264">
        <f>IF(Tabulka1[[#This Row],[kv.ek.]]=Body!$AX$13,IF(AND('Zdroj data'!N124&gt;=Body!$AY$13,'Zdroj data'!N124&lt;=Body!$BA$13),Body!$AY$6,IF(AND('Zdroj data'!N124&gt;=Body!$BB$13,'Zdroj data'!N124&lt;=Body!$BD$13),Body!$BB$6,IF(AND('Zdroj data'!N124&gt;=Body!$BE$13,'Zdroj data'!N124&lt;=Body!$BG$13),Body!$BE$6,IF(AND('Zdroj data'!N124&gt;=Body!$BH$13,'Zdroj data'!N124&lt;=Body!$BJ$13),Body!$BH$6,IF(AND('Zdroj data'!N124&gt;=Body!$BK$13,'Zdroj data'!N124&lt;=Body!$BM$13),Body!$BK$6,IF(AND('Zdroj data'!N124&gt;=Body!$BN$13,'Zdroj data'!N124&lt;=Body!$BP$13),Body!$BN$6,IF(AND('Zdroj data'!N124&gt;=Body!$BQ$13,'Zdroj data'!N124&lt;=Body!$BS$13),Body!$BQ$6,IF(AND('Zdroj data'!N124&gt;=Body!$BT$13,'Zdroj data'!N124&lt;=Body!$BV$13),Body!$BT$6,IF(AND('Zdroj data'!N124&gt;=Body!$BW$13,'Zdroj data'!N124&lt;=Body!$BY$13),Body!$BW$6,IF('Zdroj data'!N124&gt;=Body!$CB$13,Body!$BZ$6," ")))))))))),IF(Tabulka1[[#This Row],[kv.ek.]]=Body!$AX$14,IF(AND('Zdroj data'!O124&gt;=Body!$AY$14,'Zdroj data'!O124&lt;=Body!$BA$14),Body!$AY$6,IF(AND('Zdroj data'!O124&gt;=Body!$BB$14,'Zdroj data'!O124&lt;=Body!$BD$14),Body!$BB$6,IF(AND('Zdroj data'!O124&gt;=Body!$BE$14,'Zdroj data'!O124&lt;=Body!$BG$14),Body!$BE$6,IF(AND('Zdroj data'!O124&gt;=Body!$BH$14,'Zdroj data'!O124&lt;=Body!$BJ$14),Body!$BH$6,IF(AND('Zdroj data'!O124&gt;=Body!$BK$14,'Zdroj data'!O124&lt;=Body!$BM$14),Body!$BK$6,IF(AND('Zdroj data'!O124&gt;=Body!$BN$14,'Zdroj data'!O124&lt;=Body!$BP$14),Body!$BN$6,IF(AND('Zdroj data'!O124&gt;=Body!$BQ$14,'Zdroj data'!O124&lt;=Body!$BS$14),Body!$BQ$6,IF(AND('Zdroj data'!O124&gt;=Body!$BT$14,'Zdroj data'!O124&lt;=Body!$BV$14),Body!$BT$6,IF(AND('Zdroj data'!O124&gt;=Body!$BW$14,'Zdroj data'!O124&lt;=Body!$BY$14),Body!$BW$6,IF('Zdroj data'!O124&gt;=Body!$CB$14,Body!$BZ$6," "))))))))))," "))</f>
        <v>1</v>
      </c>
      <c r="J124" s="264">
        <f t="shared" si="25"/>
        <v>1</v>
      </c>
      <c r="K124" s="264">
        <f t="shared" si="25"/>
        <v>1</v>
      </c>
      <c r="L124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124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124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124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124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24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124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124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124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124" s="264">
        <f>IF('Zdroj data'!BB124=Body!$AY$25,Body!$AY$22,IF('Zdroj data'!BB124=Body!$BB$25,Body!$BB$22,IF('Zdroj data'!BB124=Body!$BE$25,Body!$BE$22,IF('Zdroj data'!BB124=Body!$BH$25,Body!$BH$22,IF('Zdroj data'!BB124=Body!BK$25,Body!$BK$22,IF('Zdroj data'!BB124=Body!$BN$25,Body!$BN$22,IF('Zdroj data'!BB124=Body!$BQ$25,Body!$BQ$22,IF('Zdroj data'!BB124=Body!$BT$25,Body!$BT$22,IF('Zdroj data'!BB124=Body!$BW$25,Body!$BW$22,IF('Zdroj data'!BB124=Body!$BZ$25,Body!$BZ$22," "))))))))))</f>
        <v>5</v>
      </c>
      <c r="V124" s="264">
        <f>IF(AND('Zdroj data'!BO124&gt;Body!$AY$27,'Zdroj data'!BO124&lt;=Body!$BA$27),Body!$AY$22,IF(AND('Zdroj data'!BO124&gt;=Body!$BB$27,'Zdroj data'!BO124&lt;=Body!$BD$27),Body!$BB$22,IF(AND('Zdroj data'!BO124&gt;=Body!$BE$27,'Zdroj data'!BO124&lt;=Body!$BG$27),Body!$BE$22,IF(AND('Zdroj data'!BO124&gt;=Body!$BH$27,'Zdroj data'!BO124&lt;=Body!$BJ$27),Body!$BH$22,IF(AND('Zdroj data'!BO124&gt;=Body!$BK$27,'Zdroj data'!BO124&lt;=Body!$BM$27),Body!$BK$22,IF(AND('Zdroj data'!BO124&gt;=Body!$BN$27,'Zdroj data'!BO124&lt;=Body!$BP$27),Body!$BN$22,IF(AND('Zdroj data'!BO124&gt;=Body!$BQ$27,'Zdroj data'!BO124&lt;=Body!$BS$27),Body!$BQ$22,IF(AND('Zdroj data'!BO124&gt;=Body!$BT$27,'Zdroj data'!BO124&lt;=Body!$BV$27),Body!$BT$22,IF(AND('Zdroj data'!BO124&gt;=Body!$BW$27,'Zdroj data'!BO124&lt;=Body!$BY$27),Body!$BW$22,IF('Zdroj data'!BO124&gt;=Body!$CB$27,$BZ$22," "))))))))))</f>
        <v>6</v>
      </c>
      <c r="W124" s="264">
        <f>IF(AND('Zdroj data'!BP124&gt;Body!$AY$27,'Zdroj data'!BP124&lt;=Body!$BA$27),Body!$AY$22,IF(AND('Zdroj data'!BP124&gt;=Body!$BB$27,'Zdroj data'!BP124&lt;=Body!$BD$27),Body!$BB$22,IF(AND('Zdroj data'!BP124&gt;=Body!$BE$27,'Zdroj data'!BP124&lt;=Body!$BG$27),Body!$BE$22,IF(AND('Zdroj data'!BP124&gt;=Body!$BH$27,'Zdroj data'!BP124&lt;=Body!$BJ$27),Body!$BH$22,IF(AND('Zdroj data'!BP124&gt;=Body!$BK$27,'Zdroj data'!BP124&lt;=Body!$BM$27),Body!$BK$22,IF(AND('Zdroj data'!BP124&gt;=Body!$BN$27,'Zdroj data'!BP124&lt;=Body!$BP$27),Body!$BN$22,IF(AND('Zdroj data'!BP124&gt;=Body!$BQ$27,'Zdroj data'!BP124&lt;=Body!$BS$27),Body!$BQ$22,IF(AND('Zdroj data'!BP124&gt;=Body!$BT$27,'Zdroj data'!BP124&lt;=Body!$BV$27),Body!$BT$22,IF(AND('Zdroj data'!BP124&gt;=Body!$BW$27,'Zdroj data'!BP124&lt;=Body!$BY$27),Body!$BW$22,IF('Zdroj data'!BP124&gt;=Body!$CB$27,$BZ$22," "))))))))))</f>
        <v>5</v>
      </c>
      <c r="X124" s="264">
        <f>IF('Zdroj data'!BA124=Body!$BB$28,$BB$22,IF('Zdroj data'!BA124=Body!$BE$28,$BE$22,IF(OR('Zdroj data'!BA124=Body!$BK$28,'Zdroj data'!BA124=Body!$BL$28,'Zdroj data'!BA124=Body!$BM$28),$BK$22,IF(OR('Zdroj data'!BA124=Body!$BT$28,'Zdroj data'!BA124=Body!$BV$28),$BT$22,IF(OR('Zdroj data'!BA124=Body!$BW$28,'Zdroj data'!BA124=Body!$BY$28),$BW$22,IF('Zdroj data'!BA124=Body!$BZ$28,$BZ$22," "))))))</f>
        <v>10</v>
      </c>
      <c r="Y124" s="264">
        <f>IF('Zdroj data'!AZ124=Body!$BZ$29,Body!$BZ$22,IF(OR('Zdroj data'!AZ124=$BT$29,'Zdroj data'!AZ124=$BU$29,'Zdroj data'!AZ124=$BV$29),$BT$22,IF(OR('Zdroj data'!AZ124=$BK$29,'Zdroj data'!AZ124=$BM$29),$BK$22,IF(OR('Zdroj data'!AZ124=$BE$29,'Zdroj data'!AZ124=$BG$29),$BE$22,IF(OR('Zdroj data'!AZ124=$AY$29,'Zdroj data'!AZ124=$BA$29),$AY$22," ")))))</f>
        <v>10</v>
      </c>
      <c r="Z124" s="264">
        <f>IF(AND('Zdroj data'!BF124="T",(OR('Zdroj data'!AZ124=Body!$AW$45,'Zdroj data'!AZ124=Body!$AW$46,'Zdroj data'!AZ124=Body!$AW$47,'Zdroj data'!AZ124=Body!$AW$48))),Body!$AY$22,IF(AND('Zdroj data'!BF124="T",(OR('Zdroj data'!AZ124=$AW$49,'Zdroj data'!AZ124=$AW$50,'Zdroj data'!AZ124=$AW$51,'Zdroj data'!AZ124=$AW$52))),$BZ$22,IF(AND(OR('Zdroj data'!BF124="VT",'Zdroj data'!BF124="T",'Zdroj data'!BF124="CH"),(OR('Zdroj data'!AZ124=$AW$43,'Zdroj data'!AZ124=$AW$44,))),$BZ$22,IF(AND('Zdroj data'!BF124="CH",(OR('Zdroj data'!AZ124=$AW$49,'Zdroj data'!AZ124=$AW$50,'Zdroj data'!AZ124=$AW$51,'Zdroj data'!AZ124=$AW$52))),$AY$22,IF(AND('Zdroj data'!BF124="CH",(OR('Zdroj data'!AZ124=$AW$45,'Zdroj data'!AZ124=$AW$46,'Zdroj data'!AZ124=$AW$47,'Zdroj data'!AZ124=$AW$48))),$BZ$22," ")))))</f>
        <v>10</v>
      </c>
      <c r="AA124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24" s="264">
        <f>IF(Tabulka1[[#This Row],[kv.ek.]]=Body!$BK$35,Body!$BK$34,IF(Tabulka1[[#This Row],[kv.ek.]]=Body!$BZ$35,Body!$BZ$34," "))</f>
        <v>5</v>
      </c>
      <c r="AC124" s="264" t="str">
        <f>IF(AND('Zdroj data'!BF124="T",(OR('Zdroj data'!AZ124=Body!$AW$45,'Zdroj data'!AZ124=Body!$AW$46,'Zdroj data'!AZ124=Body!$AW$47,'Zdroj data'!AZ124=Body!$AW$48))),Body!$AY$22,IF(AND('Zdroj data'!BF124="T",(OR('Zdroj data'!AZ124=$AW$49,'Zdroj data'!AZ124=$AW$50,'Zdroj data'!AZ124=$AW$51,'Zdroj data'!AZ124=$AW$52))),$BZ$22," "))</f>
        <v xml:space="preserve"> </v>
      </c>
      <c r="AD124" s="264">
        <f>IF(AND(OR('Zdroj data'!BF124="VT",'Zdroj data'!BF124="T",'Zdroj data'!BF124="CH"),(OR('Zdroj data'!AZ124=$AW$43,'Zdroj data'!AZ124=$AW$44,))),$BZ$22," ")</f>
        <v>10</v>
      </c>
      <c r="AE124" s="264" t="str">
        <f>IF(AND('Zdroj data'!BF124="CH",(OR('Zdroj data'!AZ124=$AW$49,'Zdroj data'!AZ124=$AW$50,'Zdroj data'!AZ124=$AW$51,'Zdroj data'!AZ124=$AW$52))),$AY$22,IF(AND('Zdroj data'!BF124="CH",(OR('Zdroj data'!AZ124=$AW$45,'Zdroj data'!AZ124=$AW$46,'Zdroj data'!AZ124=$AW$47,'Zdroj data'!AZ124=$AW$48))),$BZ$22," "))</f>
        <v xml:space="preserve"> </v>
      </c>
      <c r="AF124" s="264">
        <f>IF(AND('Zdroj data'!BG124="L",'Zdroj data'!AM124=Body!$AX$15),IF(AND('Zdroj data'!O124&gt;=Body!$AY$15,'Zdroj data'!O124&lt;=Body!$BA$15),Body!AY$6,IF(AND('Zdroj data'!O124&gt;=Body!$BB$15,'Zdroj data'!O124&lt;=Body!$BD$15),Body!BB$6,IF(AND('Zdroj data'!O124&gt;=Body!$BE$15,'Zdroj data'!O124&lt;=Body!$BG$15),Body!BE$6,IF(AND('Zdroj data'!O124&gt;=Body!$BH$15,'Zdroj data'!O124&lt;=Body!$BJ$15),Body!BH$6,IF(AND('Zdroj data'!O124&gt;=Body!$BK$15,'Zdroj data'!O124&lt;=Body!$BM$15),Body!BK$6,IF(AND('Zdroj data'!O124&gt;=Body!$BN$15,'Zdroj data'!O124&lt;=Body!$BP$15),Body!$BN$6,IF(AND('Zdroj data'!O124&gt;=Body!$BQ$15,'Zdroj data'!O124&lt;=Body!$BS$15),Body!$BQ$6,IF(AND('Zdroj data'!O124&gt;=Body!$BT$15,'Zdroj data'!O124&lt;=Body!$BV$15),Body!BT$6,IF(AND('Zdroj data'!O124&gt;=Body!$BW$15,'Zdroj data'!O124&lt;=Body!$BY$15),Body!$BW$6,IF('Zdroj data'!O124&gt;=Body!$CB$15,Body!$BZ$6," ")))))))))),IF(AND('Zdroj data'!BG124="ST",'Zdroj data'!AM124=Body!$AX$16),IF(AND('Zdroj data'!O124&gt;=Body!$AY$16,'Zdroj data'!O124&lt;=Body!$BA$16),Body!$AY$6,IF(AND('Zdroj data'!O124&gt;=Body!$BB$16,'Zdroj data'!O124&lt;=Body!$BD$16),Body!$BB$6,IF(AND('Zdroj data'!O124&gt;=Body!$BE$16,'Zdroj data'!O124&lt;=Body!$BG$16),Body!$BE$6,IF(AND('Zdroj data'!O124&gt;=Body!$BH$16,'Zdroj data'!O124&lt;=Body!$BJ$16),Body!$BH$6,IF(AND('Zdroj data'!O124&gt;=Body!$BK$16,'Zdroj data'!O124&lt;=Body!$BM$16),Body!$BK$6,IF(AND('Zdroj data'!O124&gt;=Body!$BN$16,'Zdroj data'!O124&lt;=Body!$BP$16),Body!$BN$6,IF(AND('Zdroj data'!O124&gt;=Body!$BQ$16,'Zdroj data'!O124&lt;=Body!$BS$16),Body!$BQ$6,IF(AND('Zdroj data'!O124&gt;=Body!$BT$16,'Zdroj data'!O124&lt;=Body!$BV$16),Body!$BT$6,IF(AND('Zdroj data'!O124&gt;=Body!$BW$16,'Zdroj data'!O124&lt;=Body!$BY$16),Body!$BW$6,IF('Zdroj data'!O124&gt;=Body!$CB$16,Body!$BZ$6," ")))))))))),IF(AND('Zdroj data'!BG124="T",'Zdroj data'!AM124=Body!$AX$17),IF(AND('Zdroj data'!O124&gt;=Body!$AY$17,'Zdroj data'!O124&lt;=Body!$BA$17),Body!$AY$6,IF(AND('Zdroj data'!O124&gt;=Body!$BB$17,'Zdroj data'!O124&lt;=Body!$BD$17),Body!$BB$6,IF(AND('Zdroj data'!O124&gt;=Body!$BE$17,'Zdroj data'!O124&lt;=Body!$BG$17),Body!$BE$6,IF(AND('Zdroj data'!O124&gt;=Body!$BH$17,'Zdroj data'!O124&lt;=Body!BJ138),Body!$BH$6,IF(AND('Zdroj data'!O124&gt;=Body!$BK$17,'Zdroj data'!O124&lt;=Body!$BM$17),Body!$BK$6,IF(AND('Zdroj data'!O124&gt;=Body!$BN$17,'Zdroj data'!O124&lt;=Body!$BP$17),Body!$BN$6,IF(AND('Zdroj data'!O124&gt;=Body!$BQ$17,'Zdroj data'!O124&lt;=Body!$BS$17),Body!$BQ$6,IF(AND('Zdroj data'!O124&gt;=Body!$BT$17,'Zdroj data'!O124&lt;=Body!$BV$17),Body!$BT$6,IF(AND('Zdroj data'!O124&gt;=Body!$BW$17,'Zdroj data'!O124&lt;=Body!$BY$17),Body!$BW$6,IF('Zdroj data'!O124&gt;=Body!$CB$17,Body!$BZ$6," "))))))))))," ")))</f>
        <v>1</v>
      </c>
      <c r="AG124" s="264">
        <f>IF(AND('Zdroj data'!$BG124="L",'Zdroj data'!$AM124=Body!$AX$15),IF(AND(Tabulka1[[#This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data'!$BG124="ST",'Zdroj data'!$AM124=Body!$AX$16),IF(AND(Tabulka1[[#This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data'!$BG124="T",'Zdroj data'!$AM124=Body!$AX$17),IF(AND(Tabulka1[[#This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Row],[K2O_60]]&lt;=Body!BJ138),Body!$BH$6,IF(AND(Tabulka1[[#This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24" s="264" t="str">
        <f>IF(AND('Zdroj data'!BG124="L",'Zdroj data'!AM124=Body!$AX$18),IF(AND('Zdroj data'!O124&gt;=Body!$AY$18,'Zdroj data'!O124&lt;=Body!$BA$18),Body!AY$6,IF(AND('Zdroj data'!O124&gt;=Body!$BB$18,'Zdroj data'!O124&lt;=Body!$BD$18),Body!BB$6,IF(AND('Zdroj data'!O124&gt;=Body!$BE$18,'Zdroj data'!O124&lt;=Body!$BG$18),Body!BE$6,IF(AND('Zdroj data'!O124&gt;=Body!$BH$18,'Zdroj data'!O124&lt;=Body!$BJ$18),Body!BH$6,IF(AND('Zdroj data'!O124&gt;=Body!$BK$18,'Zdroj data'!O124&lt;=Body!$BM$18),Body!$BK$6,IF(AND('Zdroj data'!O124&gt;=Body!$BN$18,'Zdroj data'!O124&lt;=Body!$BP$18),Body!BN$6,IF(AND('Zdroj data'!O124&gt;=Body!$BQ$18,'Zdroj data'!O124&lt;=Body!$BS$18),Body!$BQ$6,IF(AND('Zdroj data'!O124&gt;=Body!$BT$18,'Zdroj data'!O124&lt;=Body!$BV$18),Body!$BT$6,IF(AND('Zdroj data'!O124&gt;=Body!$BW$18,'Zdroj data'!O124&lt;=Body!$BY$18),Body!$BW$6,IF('Zdroj data'!O124&gt;=Body!$CB$18,Body!$BZ$6," ")))))))))),IF(AND('Zdroj data'!BG124="ST",'Zdroj data'!AM124=Body!$AX$19),IF(AND('Zdroj data'!O124&gt;=Body!$AY$19,'Zdroj data'!O124&lt;=Body!$BA$19),Body!$AY$6,IF(AND('Zdroj data'!O124&gt;=Body!$BB$19,'Zdroj data'!O124&lt;=Body!$BD$19),Body!$BB$6,IF(AND('Zdroj data'!O124&gt;=Body!$BE$19,'Zdroj data'!O124&lt;=Body!$BG$19),Body!$BE$6,IF(AND('Zdroj data'!O124&gt;=Body!$BH$19,'Zdroj data'!O124&lt;=Body!$BJ$19),Body!$BH$6,IF(AND('Zdroj data'!O124&gt;=Body!$BK$19,'Zdroj data'!O124&lt;=Body!$BM$19),Body!$BK$6,IF(AND('Zdroj data'!O124&gt;=Body!$BN$19,'Zdroj data'!O124&lt;=Body!$BP$19),Body!$BN$6,IF(AND('Zdroj data'!O124&gt;=Body!$BQ$19,'Zdroj data'!O124&lt;=Body!$BS$19),Body!$BQ$6,IF(AND('Zdroj data'!O124&gt;=Body!$BT$19,'Zdroj data'!O128&lt;=Body!$BV$19),Body!$BT$6,IF(AND('Zdroj data'!O124&gt;=Body!$BW$19,'Zdroj data'!O124&lt;=Body!$BY$19),Body!$BW$6,IF('Zdroj data'!O124&gt;=Body!$CB$19,Body!$BZ$6," ")))))))))),IF(AND('Zdroj data'!BG124="T",'Zdroj data'!AM124=Body!$AX$20),IF(AND('Zdroj data'!O124&gt;=Body!$AY$20,'Zdroj data'!O124&lt;=Body!$BA$20),Body!$AY$6,IF(AND('Zdroj data'!O124&gt;=Body!$BB$20,'Zdroj data'!O124&lt;=Body!$BD$20),Body!$BB$6,IF(AND('Zdroj data'!O124&gt;=Body!$BE$20,'Zdroj data'!O124&lt;=Body!$BG$20),Body!$BE$6,IF(AND('Zdroj data'!O124&gt;=Body!$BH$20,'Zdroj data'!O124&lt;=Body!$BJ$20),Body!$BH$6,IF(AND('Zdroj data'!O124&gt;=Body!$BK$20,'Zdroj data'!O124&lt;=Body!$BM$20),Body!$BK$6,IF(AND('Zdroj data'!O124&gt;=Body!$BN$20,'Zdroj data'!O124&lt;=Body!$BP$20),Body!$BN$6,IF(AND('Zdroj data'!O124&gt;=Body!$BQ$20,'Zdroj data'!O124&lt;=Body!$BS$20),Body!$BQ$6,IF(AND('Zdroj data'!O124&gt;=Body!$BT$20,'Zdroj data'!O124&lt;=Body!#REF!),Body!$BT$6,IF(AND('Zdroj data'!O124&gt;=Body!$BW$20,'Zdroj data'!O124&lt;=Body!$BY$20),Body!$BW$6,IF('Zdroj data'!O124&gt;=Body!$CB$20,Body!$BZ$6," "))))))))))," ")))</f>
        <v xml:space="preserve"> </v>
      </c>
      <c r="AI124" s="264" t="str">
        <f>IF(AND('Zdroj data'!$BG124="L",'Zdroj data'!$AM124=Body!$AX$18),IF(AND(Tabulka1[[#This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data'!$BG124="ST",'Zdroj data'!$AM124=Body!$AX$19),IF(AND(Tabulka1[[#This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data'!$BG124="T",'Zdroj data'!$AM124=Body!$AX$20),IF(AND(Tabulka1[[#This Row],[K2O_60]]&gt;=Body!$AY$20,'Zdroj data'!O124&lt;=Body!$BA$20),Body!$AY$6,IF(AND(Tabulka1[[#This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24" s="265">
        <f t="shared" si="13"/>
        <v>5.3333333333333375</v>
      </c>
      <c r="AK124" s="264">
        <f t="shared" si="14"/>
        <v>29.547504549134146</v>
      </c>
      <c r="AL124" s="264">
        <f t="shared" si="15"/>
        <v>28.855075534625463</v>
      </c>
      <c r="AM124" s="264">
        <f t="shared" si="16"/>
        <v>74.611021422904926</v>
      </c>
      <c r="AN124" s="264">
        <f t="shared" si="17"/>
        <v>69.152804258626944</v>
      </c>
      <c r="AO124" s="265">
        <f t="shared" si="21"/>
        <v>104.15852597203907</v>
      </c>
      <c r="AP124" s="265">
        <f t="shared" si="18"/>
        <v>98.007879793252414</v>
      </c>
      <c r="AQ124" s="318"/>
      <c r="AR124" s="338">
        <f t="shared" si="19"/>
        <v>207.49973909862481</v>
      </c>
      <c r="AS124" s="318"/>
      <c r="AT124" s="138"/>
      <c r="AU124" s="138"/>
    </row>
    <row r="125" spans="1:47" ht="15.5" x14ac:dyDescent="0.35">
      <c r="A125" s="270">
        <v>5543</v>
      </c>
      <c r="B125" s="156" t="s">
        <v>102</v>
      </c>
      <c r="C125" s="250" t="str">
        <f>VLOOKUP(B125,'Zdroj hloubka okresy'!$A$2:$D$171,2,FALSE)</f>
        <v>Kutna_Hora</v>
      </c>
      <c r="D125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9</v>
      </c>
      <c r="E125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9</v>
      </c>
      <c r="F125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25" s="264">
        <f>IF(AND(Tabulka1[[#This Row],[hum_60]]&gt;AY131,Tabulka1[[#This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25" s="264">
        <f>IF(Tabulka1[[#This Row],[kv.ek.]]=Body!$AX$13,IF(AND('Zdroj data'!M125&gt;=Body!$AY$13,'Zdroj data'!M125&lt;=Body!$BA$13),Body!$AY$6,IF(AND('Zdroj data'!M125&gt;=Body!$BB$13,'Zdroj data'!M125&lt;=Body!$BD$13),Body!$BB$6,IF(AND('Zdroj data'!M125&gt;=Body!$BE$13,'Zdroj data'!M125&lt;=Body!$BG$13),Body!$BE$6,IF(AND('Zdroj data'!M125&gt;=Body!$BH$13,'Zdroj data'!M125&lt;=Body!$BJ$13),Body!$BH$6,IF(AND('Zdroj data'!M125&gt;=Body!$BK$13,'Zdroj data'!M125&lt;=Body!$BM$13),Body!$BK$6,IF(AND('Zdroj data'!M125&gt;=Body!$BN$13,'Zdroj data'!M125&lt;=Body!$BP$13),Body!$BN$6,IF(AND('Zdroj data'!M125&gt;=Body!$BQ$13,'Zdroj data'!M125&lt;=Body!$BS$13),Body!$BQ$6,IF(AND('Zdroj data'!M125&gt;=Body!$BT$13,'Zdroj data'!M125&lt;=Body!$BV$13),Body!$BT$6,IF(AND('Zdroj data'!M125&gt;=Body!$BW$13,'Zdroj data'!M125&lt;=Body!$BY$13),Body!$BW$6,IF('Zdroj data'!M125&gt;=Body!$CB$13,Body!$BZ$6," ")))))))))),IF(Tabulka1[[#This Row],[kv.ek.]]=Body!$AX$14,IF(AND('Zdroj data'!N125&gt;=Body!$AY$14,'Zdroj data'!N125&lt;=Body!$BA$14),Body!$AY$6,IF(AND('Zdroj data'!N125&gt;=Body!$BB$14,'Zdroj data'!N125&lt;=Body!$BD$14),Body!$BB$6,IF(AND('Zdroj data'!N125&gt;=Body!$BE$14,'Zdroj data'!N125&lt;=Body!$BG$14),Body!$BE$6,IF(AND('Zdroj data'!N125&gt;=Body!$BH$14,'Zdroj data'!N125&lt;=Body!$BJ$14),Body!$BH$6,IF(AND('Zdroj data'!N125&gt;=Body!$BK$14,'Zdroj data'!N125&lt;=Body!$BM$14),Body!$BK$6,IF(AND('Zdroj data'!N125&gt;=Body!$BN$14,'Zdroj data'!N125&lt;=Body!$BP$14),Body!$BN$6,IF(AND('Zdroj data'!N125&gt;=Body!$BQ$14,'Zdroj data'!N125&lt;=Body!$BS$14),Body!$BQ$6,IF(AND('Zdroj data'!N125&gt;=Body!$BT$14,'Zdroj data'!N125&lt;=Body!$BV$14),Body!$BT$6,IF(AND('Zdroj data'!N125&gt;=Body!$BW$14,'Zdroj data'!N125&lt;=Body!$BY$14),Body!$BW$6,IF('Zdroj data'!N125&gt;=Body!$CB$14,Body!$BZ$6," "))))))))))," "))</f>
        <v>1</v>
      </c>
      <c r="I125" s="264">
        <f>IF(Tabulka1[[#This Row],[kv.ek.]]=Body!$AX$13,IF(AND('Zdroj data'!N125&gt;=Body!$AY$13,'Zdroj data'!N125&lt;=Body!$BA$13),Body!$AY$6,IF(AND('Zdroj data'!N125&gt;=Body!$BB$13,'Zdroj data'!N125&lt;=Body!$BD$13),Body!$BB$6,IF(AND('Zdroj data'!N125&gt;=Body!$BE$13,'Zdroj data'!N125&lt;=Body!$BG$13),Body!$BE$6,IF(AND('Zdroj data'!N125&gt;=Body!$BH$13,'Zdroj data'!N125&lt;=Body!$BJ$13),Body!$BH$6,IF(AND('Zdroj data'!N125&gt;=Body!$BK$13,'Zdroj data'!N125&lt;=Body!$BM$13),Body!$BK$6,IF(AND('Zdroj data'!N125&gt;=Body!$BN$13,'Zdroj data'!N125&lt;=Body!$BP$13),Body!$BN$6,IF(AND('Zdroj data'!N125&gt;=Body!$BQ$13,'Zdroj data'!N125&lt;=Body!$BS$13),Body!$BQ$6,IF(AND('Zdroj data'!N125&gt;=Body!$BT$13,'Zdroj data'!N125&lt;=Body!$BV$13),Body!$BT$6,IF(AND('Zdroj data'!N125&gt;=Body!$BW$13,'Zdroj data'!N125&lt;=Body!$BY$13),Body!$BW$6,IF('Zdroj data'!N125&gt;=Body!$CB$13,Body!$BZ$6," ")))))))))),IF(Tabulka1[[#This Row],[kv.ek.]]=Body!$AX$14,IF(AND('Zdroj data'!O125&gt;=Body!$AY$14,'Zdroj data'!O125&lt;=Body!$BA$14),Body!$AY$6,IF(AND('Zdroj data'!O125&gt;=Body!$BB$14,'Zdroj data'!O125&lt;=Body!$BD$14),Body!$BB$6,IF(AND('Zdroj data'!O125&gt;=Body!$BE$14,'Zdroj data'!O125&lt;=Body!$BG$14),Body!$BE$6,IF(AND('Zdroj data'!O125&gt;=Body!$BH$14,'Zdroj data'!O125&lt;=Body!$BJ$14),Body!$BH$6,IF(AND('Zdroj data'!O125&gt;=Body!$BK$14,'Zdroj data'!O125&lt;=Body!$BM$14),Body!$BK$6,IF(AND('Zdroj data'!O125&gt;=Body!$BN$14,'Zdroj data'!O125&lt;=Body!$BP$14),Body!$BN$6,IF(AND('Zdroj data'!O125&gt;=Body!$BQ$14,'Zdroj data'!O125&lt;=Body!$BS$14),Body!$BQ$6,IF(AND('Zdroj data'!O125&gt;=Body!$BT$14,'Zdroj data'!O125&lt;=Body!$BV$14),Body!$BT$6,IF(AND('Zdroj data'!O125&gt;=Body!$BW$14,'Zdroj data'!O125&lt;=Body!$BY$14),Body!$BW$6,IF('Zdroj data'!O125&gt;=Body!$CB$14,Body!$BZ$6," "))))))))))," "))</f>
        <v>1</v>
      </c>
      <c r="J125" s="264">
        <f t="shared" si="25"/>
        <v>1</v>
      </c>
      <c r="K125" s="264">
        <f>IF(AG125=" ",AI125,AG125)</f>
        <v>1</v>
      </c>
      <c r="L125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125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125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125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125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25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125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125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6</v>
      </c>
      <c r="T125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4</v>
      </c>
      <c r="U125" s="264">
        <f>IF('Zdroj data'!BB125=Body!$AY$25,Body!$AY$22,IF('Zdroj data'!BB125=Body!$BB$25,Body!$BB$22,IF('Zdroj data'!BB125=Body!$BE$25,Body!$BE$22,IF('Zdroj data'!BB125=Body!$BH$25,Body!$BH$22,IF('Zdroj data'!BB125=Body!BK$25,Body!$BK$22,IF('Zdroj data'!BB125=Body!$BN$25,Body!$BN$22,IF('Zdroj data'!BB125=Body!$BQ$25,Body!$BQ$22,IF('Zdroj data'!BB125=Body!$BT$25,Body!$BT$22,IF('Zdroj data'!BB125=Body!$BW$25,Body!$BW$22,IF('Zdroj data'!BB125=Body!$BZ$25,Body!$BZ$22," "))))))))))</f>
        <v>3</v>
      </c>
      <c r="V125" s="264">
        <f>IF(AND('Zdroj data'!BO125&gt;Body!$AY$27,'Zdroj data'!BO125&lt;=Body!$BA$27),Body!$AY$22,IF(AND('Zdroj data'!BO125&gt;=Body!$BB$27,'Zdroj data'!BO125&lt;=Body!$BD$27),Body!$BB$22,IF(AND('Zdroj data'!BO125&gt;=Body!$BE$27,'Zdroj data'!BO125&lt;=Body!$BG$27),Body!$BE$22,IF(AND('Zdroj data'!BO125&gt;=Body!$BH$27,'Zdroj data'!BO125&lt;=Body!$BJ$27),Body!$BH$22,IF(AND('Zdroj data'!BO125&gt;=Body!$BK$27,'Zdroj data'!BO125&lt;=Body!$BM$27),Body!$BK$22,IF(AND('Zdroj data'!BO125&gt;=Body!$BN$27,'Zdroj data'!BO125&lt;=Body!$BP$27),Body!$BN$22,IF(AND('Zdroj data'!BO125&gt;=Body!$BQ$27,'Zdroj data'!BO125&lt;=Body!$BS$27),Body!$BQ$22,IF(AND('Zdroj data'!BO125&gt;=Body!$BT$27,'Zdroj data'!BO125&lt;=Body!$BV$27),Body!$BT$22,IF(AND('Zdroj data'!BO125&gt;=Body!$BW$27,'Zdroj data'!BO125&lt;=Body!$BY$27),Body!$BW$22,IF('Zdroj data'!BO125&gt;=Body!$CB$27,$BZ$22," "))))))))))</f>
        <v>5</v>
      </c>
      <c r="W125" s="264">
        <f>IF(AND('Zdroj data'!BP125&gt;Body!$AY$27,'Zdroj data'!BP125&lt;=Body!$BA$27),Body!$AY$22,IF(AND('Zdroj data'!BP125&gt;=Body!$BB$27,'Zdroj data'!BP125&lt;=Body!$BD$27),Body!$BB$22,IF(AND('Zdroj data'!BP125&gt;=Body!$BE$27,'Zdroj data'!BP125&lt;=Body!$BG$27),Body!$BE$22,IF(AND('Zdroj data'!BP125&gt;=Body!$BH$27,'Zdroj data'!BP125&lt;=Body!$BJ$27),Body!$BH$22,IF(AND('Zdroj data'!BP125&gt;=Body!$BK$27,'Zdroj data'!BP125&lt;=Body!$BM$27),Body!$BK$22,IF(AND('Zdroj data'!BP125&gt;=Body!$BN$27,'Zdroj data'!BP125&lt;=Body!$BP$27),Body!$BN$22,IF(AND('Zdroj data'!BP125&gt;=Body!$BQ$27,'Zdroj data'!BP125&lt;=Body!$BS$27),Body!$BQ$22,IF(AND('Zdroj data'!BP125&gt;=Body!$BT$27,'Zdroj data'!BP125&lt;=Body!$BV$27),Body!$BT$22,IF(AND('Zdroj data'!BP125&gt;=Body!$BW$27,'Zdroj data'!BP125&lt;=Body!$BY$27),Body!$BW$22,IF('Zdroj data'!BP125&gt;=Body!$CB$27,$BZ$22," "))))))))))</f>
        <v>9</v>
      </c>
      <c r="X125" s="264">
        <f>IF('Zdroj data'!BA125=Body!$BB$28,$BB$22,IF('Zdroj data'!BA125=Body!$BE$28,$BE$22,IF(OR('Zdroj data'!BA125=Body!$BK$28,'Zdroj data'!BA125=Body!$BL$28,'Zdroj data'!BA125=Body!$BM$28),$BK$22,IF(OR('Zdroj data'!BA125=Body!$BT$28,'Zdroj data'!BA125=Body!$BV$28),$BT$22,IF(OR('Zdroj data'!BA125=Body!$BW$28,'Zdroj data'!BA125=Body!$BY$28),$BW$22,IF('Zdroj data'!BA125=Body!$BZ$28,$BZ$22," "))))))</f>
        <v>9</v>
      </c>
      <c r="Y125" s="264">
        <f>IF('Zdroj data'!AZ125=Body!$BZ$29,Body!$BZ$22,IF(OR('Zdroj data'!AZ125=$BT$29,'Zdroj data'!AZ125=$BU$29,'Zdroj data'!AZ125=$BV$29),$BT$22,IF(OR('Zdroj data'!AZ125=$BK$29,'Zdroj data'!AZ125=$BM$29),$BK$22,IF(OR('Zdroj data'!AZ125=$BE$29,'Zdroj data'!AZ125=$BG$29),$BE$22,IF(OR('Zdroj data'!AZ125=$AY$29,'Zdroj data'!AZ125=$BA$29),$AY$22," ")))))</f>
        <v>8</v>
      </c>
      <c r="Z125" s="264">
        <f>IF(AND('Zdroj data'!BF125="T",(OR('Zdroj data'!AZ125=Body!$AW$45,'Zdroj data'!AZ125=Body!$AW$46,'Zdroj data'!AZ125=Body!$AW$47,'Zdroj data'!AZ125=Body!$AW$48))),Body!$AY$22,IF(AND('Zdroj data'!BF125="T",(OR('Zdroj data'!AZ125=$AW$49,'Zdroj data'!AZ125=$AW$50,'Zdroj data'!AZ125=$AW$51,'Zdroj data'!AZ125=$AW$52))),$BZ$22,IF(AND(OR('Zdroj data'!BF125="VT",'Zdroj data'!BF125="T",'Zdroj data'!BF125="CH"),(OR('Zdroj data'!AZ125=$AW$43,'Zdroj data'!AZ125=$AW$44,))),$BZ$22,IF(AND('Zdroj data'!BF125="CH",(OR('Zdroj data'!AZ125=$AW$49,'Zdroj data'!AZ125=$AW$50,'Zdroj data'!AZ125=$AW$51,'Zdroj data'!AZ125=$AW$52))),$AY$22,IF(AND('Zdroj data'!BF125="CH",(OR('Zdroj data'!AZ125=$AW$45,'Zdroj data'!AZ125=$AW$46,'Zdroj data'!AZ125=$AW$47,'Zdroj data'!AZ125=$AW$48))),$BZ$22," ")))))</f>
        <v>10</v>
      </c>
      <c r="AA125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25" s="264">
        <f>IF(Tabulka1[[#This Row],[kv.ek.]]=Body!$BK$35,Body!$BK$34,IF(Tabulka1[[#This Row],[kv.ek.]]=Body!$BZ$35,Body!$BZ$34," "))</f>
        <v>5</v>
      </c>
      <c r="AC125" s="264" t="str">
        <f>IF(AND('Zdroj data'!BF125="T",(OR('Zdroj data'!AZ125=Body!$AW$45,'Zdroj data'!AZ125=Body!$AW$46,'Zdroj data'!AZ125=Body!$AW$47,'Zdroj data'!AZ125=Body!$AW$48))),Body!$AY$22,IF(AND('Zdroj data'!BF125="T",(OR('Zdroj data'!AZ125=$AW$49,'Zdroj data'!AZ125=$AW$50,'Zdroj data'!AZ125=$AW$51,'Zdroj data'!AZ125=$AW$52))),$BZ$22," "))</f>
        <v xml:space="preserve"> </v>
      </c>
      <c r="AD125" s="264">
        <f>IF(AND(OR('Zdroj data'!BF125="VT",'Zdroj data'!BF125="T",'Zdroj data'!BF125="CH"),(OR('Zdroj data'!AZ125=$AW$43,'Zdroj data'!AZ125=$AW$44,))),$BZ$22," ")</f>
        <v>10</v>
      </c>
      <c r="AE125" s="264" t="str">
        <f>IF(AND('Zdroj data'!BF125="CH",(OR('Zdroj data'!AZ125=$AW$49,'Zdroj data'!AZ125=$AW$50,'Zdroj data'!AZ125=$AW$51,'Zdroj data'!AZ125=$AW$52))),$AY$22,IF(AND('Zdroj data'!BF125="CH",(OR('Zdroj data'!AZ125=$AW$45,'Zdroj data'!AZ125=$AW$46,'Zdroj data'!AZ125=$AW$47,'Zdroj data'!AZ125=$AW$48))),$BZ$22," "))</f>
        <v xml:space="preserve"> </v>
      </c>
      <c r="AF125" s="264">
        <f>IF(AND('Zdroj data'!BG125="L",'Zdroj data'!AM125=Body!$AX$15),IF(AND('Zdroj data'!O125&gt;=Body!$AY$15,'Zdroj data'!O125&lt;=Body!$BA$15),Body!AY$6,IF(AND('Zdroj data'!O125&gt;=Body!$BB$15,'Zdroj data'!O125&lt;=Body!$BD$15),Body!BB$6,IF(AND('Zdroj data'!O125&gt;=Body!$BE$15,'Zdroj data'!O125&lt;=Body!$BG$15),Body!BE$6,IF(AND('Zdroj data'!O125&gt;=Body!$BH$15,'Zdroj data'!O125&lt;=Body!$BJ$15),Body!BH$6,IF(AND('Zdroj data'!O125&gt;=Body!$BK$15,'Zdroj data'!O125&lt;=Body!$BM$15),Body!BK$6,IF(AND('Zdroj data'!O125&gt;=Body!$BN$15,'Zdroj data'!O125&lt;=Body!$BP$15),Body!$BN$6,IF(AND('Zdroj data'!O125&gt;=Body!$BQ$15,'Zdroj data'!O125&lt;=Body!$BS$15),Body!$BQ$6,IF(AND('Zdroj data'!O125&gt;=Body!$BT$15,'Zdroj data'!O125&lt;=Body!$BV$15),Body!BT$6,IF(AND('Zdroj data'!O125&gt;=Body!$BW$15,'Zdroj data'!O125&lt;=Body!$BY$15),Body!$BW$6,IF('Zdroj data'!O125&gt;=Body!$CB$15,Body!$BZ$6," ")))))))))),IF(AND('Zdroj data'!BG125="ST",'Zdroj data'!AM125=Body!$AX$16),IF(AND('Zdroj data'!O125&gt;=Body!$AY$16,'Zdroj data'!O125&lt;=Body!$BA$16),Body!$AY$6,IF(AND('Zdroj data'!O125&gt;=Body!$BB$16,'Zdroj data'!O125&lt;=Body!$BD$16),Body!$BB$6,IF(AND('Zdroj data'!O125&gt;=Body!$BE$16,'Zdroj data'!O125&lt;=Body!$BG$16),Body!$BE$6,IF(AND('Zdroj data'!O125&gt;=Body!$BH$16,'Zdroj data'!O125&lt;=Body!$BJ$16),Body!$BH$6,IF(AND('Zdroj data'!O125&gt;=Body!$BK$16,'Zdroj data'!O125&lt;=Body!$BM$16),Body!$BK$6,IF(AND('Zdroj data'!O125&gt;=Body!$BN$16,'Zdroj data'!O125&lt;=Body!$BP$16),Body!$BN$6,IF(AND('Zdroj data'!O125&gt;=Body!$BQ$16,'Zdroj data'!O125&lt;=Body!$BS$16),Body!$BQ$6,IF(AND('Zdroj data'!O125&gt;=Body!$BT$16,'Zdroj data'!O125&lt;=Body!$BV$16),Body!$BT$6,IF(AND('Zdroj data'!O125&gt;=Body!$BW$16,'Zdroj data'!O125&lt;=Body!$BY$16),Body!$BW$6,IF('Zdroj data'!O125&gt;=Body!$CB$16,Body!$BZ$6," ")))))))))),IF(AND('Zdroj data'!BG125="T",'Zdroj data'!AM125=Body!$AX$17),IF(AND('Zdroj data'!O125&gt;=Body!$AY$17,'Zdroj data'!O125&lt;=Body!$BA$17),Body!$AY$6,IF(AND('Zdroj data'!O125&gt;=Body!$BB$17,'Zdroj data'!O125&lt;=Body!$BD$17),Body!$BB$6,IF(AND('Zdroj data'!O125&gt;=Body!$BE$17,'Zdroj data'!O125&lt;=Body!$BG$17),Body!$BE$6,IF(AND('Zdroj data'!O125&gt;=Body!$BH$17,'Zdroj data'!O125&lt;=Body!BJ139),Body!$BH$6,IF(AND('Zdroj data'!O125&gt;=Body!$BK$17,'Zdroj data'!O125&lt;=Body!$BM$17),Body!$BK$6,IF(AND('Zdroj data'!O125&gt;=Body!$BN$17,'Zdroj data'!O125&lt;=Body!$BP$17),Body!$BN$6,IF(AND('Zdroj data'!O125&gt;=Body!$BQ$17,'Zdroj data'!O125&lt;=Body!$BS$17),Body!$BQ$6,IF(AND('Zdroj data'!O125&gt;=Body!$BT$17,'Zdroj data'!O125&lt;=Body!$BV$17),Body!$BT$6,IF(AND('Zdroj data'!O125&gt;=Body!$BW$17,'Zdroj data'!O125&lt;=Body!$BY$17),Body!$BW$6,IF('Zdroj data'!O125&gt;=Body!$CB$17,Body!$BZ$6," "))))))))))," ")))</f>
        <v>1</v>
      </c>
      <c r="AG125" s="264">
        <f>IF(AND('Zdroj data'!$BG125="L",'Zdroj data'!$AM125=Body!$AX$15),IF(AND(Tabulka1[[#This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data'!$BG125="ST",'Zdroj data'!$AM125=Body!$AX$16),IF(AND(Tabulka1[[#This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data'!$BG125="T",'Zdroj data'!$AM125=Body!$AX$17),IF(AND(Tabulka1[[#This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Row],[K2O_60]]&lt;=Body!BJ139),Body!$BH$6,IF(AND(Tabulka1[[#This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25" s="264" t="str">
        <f>IF(AND('Zdroj data'!BG125="L",'Zdroj data'!AM125=Body!$AX$18),IF(AND('Zdroj data'!O125&gt;=Body!$AY$18,'Zdroj data'!O125&lt;=Body!$BA$18),Body!AY$6,IF(AND('Zdroj data'!O125&gt;=Body!$BB$18,'Zdroj data'!O125&lt;=Body!$BD$18),Body!BB$6,IF(AND('Zdroj data'!O125&gt;=Body!$BE$18,'Zdroj data'!O125&lt;=Body!$BG$18),Body!BE$6,IF(AND('Zdroj data'!O125&gt;=Body!$BH$18,'Zdroj data'!O125&lt;=Body!$BJ$18),Body!BH$6,IF(AND('Zdroj data'!O125&gt;=Body!$BK$18,'Zdroj data'!O125&lt;=Body!$BM$18),Body!$BK$6,IF(AND('Zdroj data'!O125&gt;=Body!$BN$18,'Zdroj data'!O125&lt;=Body!$BP$18),Body!BN$6,IF(AND('Zdroj data'!O125&gt;=Body!$BQ$18,'Zdroj data'!O125&lt;=Body!$BS$18),Body!$BQ$6,IF(AND('Zdroj data'!O125&gt;=Body!$BT$18,'Zdroj data'!O125&lt;=Body!$BV$18),Body!$BT$6,IF(AND('Zdroj data'!O125&gt;=Body!$BW$18,'Zdroj data'!O125&lt;=Body!$BY$18),Body!$BW$6,IF('Zdroj data'!O125&gt;=Body!$CB$18,Body!$BZ$6," ")))))))))),IF(AND('Zdroj data'!BG125="ST",'Zdroj data'!AM125=Body!$AX$19),IF(AND('Zdroj data'!O125&gt;=Body!$AY$19,'Zdroj data'!O125&lt;=Body!$BA$19),Body!$AY$6,IF(AND('Zdroj data'!O125&gt;=Body!$BB$19,'Zdroj data'!O125&lt;=Body!$BD$19),Body!$BB$6,IF(AND('Zdroj data'!O125&gt;=Body!$BE$19,'Zdroj data'!O125&lt;=Body!$BG$19),Body!$BE$6,IF(AND('Zdroj data'!O125&gt;=Body!$BH$19,'Zdroj data'!O125&lt;=Body!$BJ$19),Body!$BH$6,IF(AND('Zdroj data'!O125&gt;=Body!$BK$19,'Zdroj data'!O125&lt;=Body!$BM$19),Body!$BK$6,IF(AND('Zdroj data'!O125&gt;=Body!$BN$19,'Zdroj data'!O125&lt;=Body!$BP$19),Body!$BN$6,IF(AND('Zdroj data'!O125&gt;=Body!$BQ$19,'Zdroj data'!O125&lt;=Body!$BS$19),Body!$BQ$6,IF(AND('Zdroj data'!O125&gt;=Body!$BT$19,'Zdroj data'!O129&lt;=Body!$BV$19),Body!$BT$6,IF(AND('Zdroj data'!O125&gt;=Body!$BW$19,'Zdroj data'!O125&lt;=Body!$BY$19),Body!$BW$6,IF('Zdroj data'!O125&gt;=Body!$CB$19,Body!$BZ$6," ")))))))))),IF(AND('Zdroj data'!BG125="T",'Zdroj data'!AM125=Body!$AX$20),IF(AND('Zdroj data'!O125&gt;=Body!$AY$20,'Zdroj data'!O125&lt;=Body!$BA$20),Body!$AY$6,IF(AND('Zdroj data'!O125&gt;=Body!$BB$20,'Zdroj data'!O125&lt;=Body!$BD$20),Body!$BB$6,IF(AND('Zdroj data'!O125&gt;=Body!$BE$20,'Zdroj data'!O125&lt;=Body!$BG$20),Body!$BE$6,IF(AND('Zdroj data'!O125&gt;=Body!$BH$20,'Zdroj data'!O125&lt;=Body!$BJ$20),Body!$BH$6,IF(AND('Zdroj data'!O125&gt;=Body!$BK$20,'Zdroj data'!O125&lt;=Body!$BM$20),Body!$BK$6,IF(AND('Zdroj data'!O125&gt;=Body!$BN$20,'Zdroj data'!O125&lt;=Body!$BP$20),Body!$BN$6,IF(AND('Zdroj data'!O125&gt;=Body!$BQ$20,'Zdroj data'!O125&lt;=Body!$BS$20),Body!$BQ$6,IF(AND('Zdroj data'!O125&gt;=Body!$BT$20,'Zdroj data'!O125&lt;=Body!#REF!),Body!$BT$6,IF(AND('Zdroj data'!O125&gt;=Body!$BW$20,'Zdroj data'!O125&lt;=Body!$BY$20),Body!$BW$6,IF('Zdroj data'!O125&gt;=Body!$CB$20,Body!$BZ$6," "))))))))))," ")))</f>
        <v xml:space="preserve"> </v>
      </c>
      <c r="AI125" s="264" t="str">
        <f>IF(AND('Zdroj data'!$BG125="L",'Zdroj data'!$AM125=Body!$AX$18),IF(AND(Tabulka1[[#This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data'!$BG125="ST",'Zdroj data'!$AM125=Body!$AX$19),IF(AND(Tabulka1[[#This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data'!$BG125="T",'Zdroj data'!$AM125=Body!$AX$20),IF(AND(Tabulka1[[#This Row],[K2O_60]]&gt;=Body!$AY$20,'Zdroj data'!O125&lt;=Body!$BA$20),Body!$AY$6,IF(AND(Tabulka1[[#This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25" s="265">
        <f t="shared" si="13"/>
        <v>8.0000000000000071</v>
      </c>
      <c r="AK125" s="264">
        <f t="shared" si="14"/>
        <v>24.861688571065979</v>
      </c>
      <c r="AL125" s="264">
        <f t="shared" si="15"/>
        <v>22.991154512327654</v>
      </c>
      <c r="AM125" s="264">
        <f t="shared" si="16"/>
        <v>51.591284432071795</v>
      </c>
      <c r="AN125" s="264">
        <f t="shared" si="17"/>
        <v>49.94240934672775</v>
      </c>
      <c r="AO125" s="265">
        <f t="shared" si="21"/>
        <v>76.452973003137771</v>
      </c>
      <c r="AP125" s="265">
        <f t="shared" si="18"/>
        <v>72.933563859055397</v>
      </c>
      <c r="AQ125" s="318"/>
      <c r="AR125" s="338">
        <f t="shared" si="19"/>
        <v>157.38653686219317</v>
      </c>
      <c r="AS125" s="318"/>
      <c r="AT125" s="138"/>
      <c r="AU125" s="138"/>
    </row>
    <row r="126" spans="1:47" ht="15.5" x14ac:dyDescent="0.35">
      <c r="A126" s="270">
        <v>5546</v>
      </c>
      <c r="B126" s="156" t="s">
        <v>291</v>
      </c>
      <c r="C126" s="250" t="str">
        <f>VLOOKUP(B126,'Zdroj hloubka okresy'!$A$2:$D$171,2,FALSE)</f>
        <v>Kutna_Hora</v>
      </c>
      <c r="D126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126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126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126" s="264">
        <f>IF(AND(Tabulka1[[#This Row],[hum_60]]&gt;AY132,Tabulka1[[#This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4</v>
      </c>
      <c r="H126" s="264">
        <f>IF(Tabulka1[[#This Row],[kv.ek.]]=Body!$AX$13,IF(AND('Zdroj data'!M126&gt;=Body!$AY$13,'Zdroj data'!M126&lt;=Body!$BA$13),Body!$AY$6,IF(AND('Zdroj data'!M126&gt;=Body!$BB$13,'Zdroj data'!M126&lt;=Body!$BD$13),Body!$BB$6,IF(AND('Zdroj data'!M126&gt;=Body!$BE$13,'Zdroj data'!M126&lt;=Body!$BG$13),Body!$BE$6,IF(AND('Zdroj data'!M126&gt;=Body!$BH$13,'Zdroj data'!M126&lt;=Body!$BJ$13),Body!$BH$6,IF(AND('Zdroj data'!M126&gt;=Body!$BK$13,'Zdroj data'!M126&lt;=Body!$BM$13),Body!$BK$6,IF(AND('Zdroj data'!M126&gt;=Body!$BN$13,'Zdroj data'!M126&lt;=Body!$BP$13),Body!$BN$6,IF(AND('Zdroj data'!M126&gt;=Body!$BQ$13,'Zdroj data'!M126&lt;=Body!$BS$13),Body!$BQ$6,IF(AND('Zdroj data'!M126&gt;=Body!$BT$13,'Zdroj data'!M126&lt;=Body!$BV$13),Body!$BT$6,IF(AND('Zdroj data'!M126&gt;=Body!$BW$13,'Zdroj data'!M126&lt;=Body!$BY$13),Body!$BW$6,IF('Zdroj data'!M126&gt;=Body!$CB$13,Body!$BZ$6," ")))))))))),IF(Tabulka1[[#This Row],[kv.ek.]]=Body!$AX$14,IF(AND('Zdroj data'!N126&gt;=Body!$AY$14,'Zdroj data'!N126&lt;=Body!$BA$14),Body!$AY$6,IF(AND('Zdroj data'!N126&gt;=Body!$BB$14,'Zdroj data'!N126&lt;=Body!$BD$14),Body!$BB$6,IF(AND('Zdroj data'!N126&gt;=Body!$BE$14,'Zdroj data'!N126&lt;=Body!$BG$14),Body!$BE$6,IF(AND('Zdroj data'!N126&gt;=Body!$BH$14,'Zdroj data'!N126&lt;=Body!$BJ$14),Body!$BH$6,IF(AND('Zdroj data'!N126&gt;=Body!$BK$14,'Zdroj data'!N126&lt;=Body!$BM$14),Body!$BK$6,IF(AND('Zdroj data'!N126&gt;=Body!$BN$14,'Zdroj data'!N126&lt;=Body!$BP$14),Body!$BN$6,IF(AND('Zdroj data'!N126&gt;=Body!$BQ$14,'Zdroj data'!N126&lt;=Body!$BS$14),Body!$BQ$6,IF(AND('Zdroj data'!N126&gt;=Body!$BT$14,'Zdroj data'!N126&lt;=Body!$BV$14),Body!$BT$6,IF(AND('Zdroj data'!N126&gt;=Body!$BW$14,'Zdroj data'!N126&lt;=Body!$BY$14),Body!$BW$6,IF('Zdroj data'!N126&gt;=Body!$CB$14,Body!$BZ$6," "))))))))))," "))</f>
        <v>4</v>
      </c>
      <c r="I126" s="264">
        <f>IF(Tabulka1[[#This Row],[kv.ek.]]=Body!$AX$13,IF(AND('Zdroj data'!N126&gt;=Body!$AY$13,'Zdroj data'!N126&lt;=Body!$BA$13),Body!$AY$6,IF(AND('Zdroj data'!N126&gt;=Body!$BB$13,'Zdroj data'!N126&lt;=Body!$BD$13),Body!$BB$6,IF(AND('Zdroj data'!N126&gt;=Body!$BE$13,'Zdroj data'!N126&lt;=Body!$BG$13),Body!$BE$6,IF(AND('Zdroj data'!N126&gt;=Body!$BH$13,'Zdroj data'!N126&lt;=Body!$BJ$13),Body!$BH$6,IF(AND('Zdroj data'!N126&gt;=Body!$BK$13,'Zdroj data'!N126&lt;=Body!$BM$13),Body!$BK$6,IF(AND('Zdroj data'!N126&gt;=Body!$BN$13,'Zdroj data'!N126&lt;=Body!$BP$13),Body!$BN$6,IF(AND('Zdroj data'!N126&gt;=Body!$BQ$13,'Zdroj data'!N126&lt;=Body!$BS$13),Body!$BQ$6,IF(AND('Zdroj data'!N126&gt;=Body!$BT$13,'Zdroj data'!N126&lt;=Body!$BV$13),Body!$BT$6,IF(AND('Zdroj data'!N126&gt;=Body!$BW$13,'Zdroj data'!N126&lt;=Body!$BY$13),Body!$BW$6,IF('Zdroj data'!N126&gt;=Body!$CB$13,Body!$BZ$6," ")))))))))),IF(Tabulka1[[#This Row],[kv.ek.]]=Body!$AX$14,IF(AND('Zdroj data'!O126&gt;=Body!$AY$14,'Zdroj data'!O126&lt;=Body!$BA$14),Body!$AY$6,IF(AND('Zdroj data'!O126&gt;=Body!$BB$14,'Zdroj data'!O126&lt;=Body!$BD$14),Body!$BB$6,IF(AND('Zdroj data'!O126&gt;=Body!$BE$14,'Zdroj data'!O126&lt;=Body!$BG$14),Body!$BE$6,IF(AND('Zdroj data'!O126&gt;=Body!$BH$14,'Zdroj data'!O126&lt;=Body!$BJ$14),Body!$BH$6,IF(AND('Zdroj data'!O126&gt;=Body!$BK$14,'Zdroj data'!O126&lt;=Body!$BM$14),Body!$BK$6,IF(AND('Zdroj data'!O126&gt;=Body!$BN$14,'Zdroj data'!O126&lt;=Body!$BP$14),Body!$BN$6,IF(AND('Zdroj data'!O126&gt;=Body!$BQ$14,'Zdroj data'!O126&lt;=Body!$BS$14),Body!$BQ$6,IF(AND('Zdroj data'!O126&gt;=Body!$BT$14,'Zdroj data'!O126&lt;=Body!$BV$14),Body!$BT$6,IF(AND('Zdroj data'!O126&gt;=Body!$BW$14,'Zdroj data'!O126&lt;=Body!$BY$14),Body!$BW$6,IF('Zdroj data'!O126&gt;=Body!$CB$14,Body!$BZ$6," "))))))))))," "))</f>
        <v>1</v>
      </c>
      <c r="J126" s="264">
        <f t="shared" si="25"/>
        <v>2</v>
      </c>
      <c r="K126" s="264">
        <f t="shared" si="25"/>
        <v>2</v>
      </c>
      <c r="L126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126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126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9</v>
      </c>
      <c r="O126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126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26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126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126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126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126" s="264">
        <f>IF('Zdroj data'!BB126=Body!$AY$25,Body!$AY$22,IF('Zdroj data'!BB126=Body!$BB$25,Body!$BB$22,IF('Zdroj data'!BB126=Body!$BE$25,Body!$BE$22,IF('Zdroj data'!BB126=Body!$BH$25,Body!$BH$22,IF('Zdroj data'!BB126=Body!BK$25,Body!$BK$22,IF('Zdroj data'!BB126=Body!$BN$25,Body!$BN$22,IF('Zdroj data'!BB126=Body!$BQ$25,Body!$BQ$22,IF('Zdroj data'!BB126=Body!$BT$25,Body!$BT$22,IF('Zdroj data'!BB126=Body!$BW$25,Body!$BW$22,IF('Zdroj data'!BB126=Body!$BZ$25,Body!$BZ$22," "))))))))))</f>
        <v>5</v>
      </c>
      <c r="V126" s="264">
        <f>IF(AND('Zdroj data'!BO126&gt;Body!$AY$27,'Zdroj data'!BO126&lt;=Body!$BA$27),Body!$AY$22,IF(AND('Zdroj data'!BO126&gt;=Body!$BB$27,'Zdroj data'!BO126&lt;=Body!$BD$27),Body!$BB$22,IF(AND('Zdroj data'!BO126&gt;=Body!$BE$27,'Zdroj data'!BO126&lt;=Body!$BG$27),Body!$BE$22,IF(AND('Zdroj data'!BO126&gt;=Body!$BH$27,'Zdroj data'!BO126&lt;=Body!$BJ$27),Body!$BH$22,IF(AND('Zdroj data'!BO126&gt;=Body!$BK$27,'Zdroj data'!BO126&lt;=Body!$BM$27),Body!$BK$22,IF(AND('Zdroj data'!BO126&gt;=Body!$BN$27,'Zdroj data'!BO126&lt;=Body!$BP$27),Body!$BN$22,IF(AND('Zdroj data'!BO126&gt;=Body!$BQ$27,'Zdroj data'!BO126&lt;=Body!$BS$27),Body!$BQ$22,IF(AND('Zdroj data'!BO126&gt;=Body!$BT$27,'Zdroj data'!BO126&lt;=Body!$BV$27),Body!$BT$22,IF(AND('Zdroj data'!BO126&gt;=Body!$BW$27,'Zdroj data'!BO126&lt;=Body!$BY$27),Body!$BW$22,IF('Zdroj data'!BO126&gt;=Body!$CB$27,$BZ$22," "))))))))))</f>
        <v>7</v>
      </c>
      <c r="W126" s="264">
        <f>IF(AND('Zdroj data'!BP126&gt;Body!$AY$27,'Zdroj data'!BP126&lt;=Body!$BA$27),Body!$AY$22,IF(AND('Zdroj data'!BP126&gt;=Body!$BB$27,'Zdroj data'!BP126&lt;=Body!$BD$27),Body!$BB$22,IF(AND('Zdroj data'!BP126&gt;=Body!$BE$27,'Zdroj data'!BP126&lt;=Body!$BG$27),Body!$BE$22,IF(AND('Zdroj data'!BP126&gt;=Body!$BH$27,'Zdroj data'!BP126&lt;=Body!$BJ$27),Body!$BH$22,IF(AND('Zdroj data'!BP126&gt;=Body!$BK$27,'Zdroj data'!BP126&lt;=Body!$BM$27),Body!$BK$22,IF(AND('Zdroj data'!BP126&gt;=Body!$BN$27,'Zdroj data'!BP126&lt;=Body!$BP$27),Body!$BN$22,IF(AND('Zdroj data'!BP126&gt;=Body!$BQ$27,'Zdroj data'!BP126&lt;=Body!$BS$27),Body!$BQ$22,IF(AND('Zdroj data'!BP126&gt;=Body!$BT$27,'Zdroj data'!BP126&lt;=Body!$BV$27),Body!$BT$22,IF(AND('Zdroj data'!BP126&gt;=Body!$BW$27,'Zdroj data'!BP126&lt;=Body!$BY$27),Body!$BW$22,IF('Zdroj data'!BP126&gt;=Body!$CB$27,$BZ$22," "))))))))))</f>
        <v>6</v>
      </c>
      <c r="X126" s="264">
        <f>IF('Zdroj data'!BA126=Body!$BB$28,$BB$22,IF('Zdroj data'!BA126=Body!$BE$28,$BE$22,IF(OR('Zdroj data'!BA126=Body!$BK$28,'Zdroj data'!BA126=Body!$BL$28,'Zdroj data'!BA126=Body!$BM$28),$BK$22,IF(OR('Zdroj data'!BA126=Body!$BT$28,'Zdroj data'!BA126=Body!$BV$28),$BT$22,IF(OR('Zdroj data'!BA126=Body!$BW$28,'Zdroj data'!BA126=Body!$BY$28),$BW$22,IF('Zdroj data'!BA126=Body!$BZ$28,$BZ$22," "))))))</f>
        <v>5</v>
      </c>
      <c r="Y126" s="264">
        <f>IF('Zdroj data'!AZ126=Body!$BZ$29,Body!$BZ$22,IF(OR('Zdroj data'!AZ126=$BT$29,'Zdroj data'!AZ126=$BU$29,'Zdroj data'!AZ126=$BV$29),$BT$22,IF(OR('Zdroj data'!AZ126=$BK$29,'Zdroj data'!AZ126=$BM$29),$BK$22,IF(OR('Zdroj data'!AZ126=$BE$29,'Zdroj data'!AZ126=$BG$29),$BE$22,IF(OR('Zdroj data'!AZ126=$AY$29,'Zdroj data'!AZ126=$BA$29),$AY$22," ")))))</f>
        <v>10</v>
      </c>
      <c r="Z126" s="264">
        <f>IF(AND('Zdroj data'!BF126="T",(OR('Zdroj data'!AZ126=Body!$AW$45,'Zdroj data'!AZ126=Body!$AW$46,'Zdroj data'!AZ126=Body!$AW$47,'Zdroj data'!AZ126=Body!$AW$48))),Body!$AY$22,IF(AND('Zdroj data'!BF126="T",(OR('Zdroj data'!AZ126=$AW$49,'Zdroj data'!AZ126=$AW$50,'Zdroj data'!AZ126=$AW$51,'Zdroj data'!AZ126=$AW$52))),$BZ$22,IF(AND(OR('Zdroj data'!BF126="VT",'Zdroj data'!BF126="T",'Zdroj data'!BF126="CH"),(OR('Zdroj data'!AZ126=$AW$43,'Zdroj data'!AZ126=$AW$44,))),$BZ$22,IF(AND('Zdroj data'!BF126="CH",(OR('Zdroj data'!AZ126=$AW$49,'Zdroj data'!AZ126=$AW$50,'Zdroj data'!AZ126=$AW$51,'Zdroj data'!AZ126=$AW$52))),$AY$22,IF(AND('Zdroj data'!BF126="CH",(OR('Zdroj data'!AZ126=$AW$45,'Zdroj data'!AZ126=$AW$46,'Zdroj data'!AZ126=$AW$47,'Zdroj data'!AZ126=$AW$48))),$BZ$22," ")))))</f>
        <v>10</v>
      </c>
      <c r="AA126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26" s="264">
        <f>IF(Tabulka1[[#This Row],[kv.ek.]]=Body!$BK$35,Body!$BK$34,IF(Tabulka1[[#This Row],[kv.ek.]]=Body!$BZ$35,Body!$BZ$34," "))</f>
        <v>5</v>
      </c>
      <c r="AC126" s="264" t="str">
        <f>IF(AND('Zdroj data'!BF126="T",(OR('Zdroj data'!AZ126=Body!$AW$45,'Zdroj data'!AZ126=Body!$AW$46,'Zdroj data'!AZ126=Body!$AW$47,'Zdroj data'!AZ126=Body!$AW$48))),Body!$AY$22,IF(AND('Zdroj data'!BF126="T",(OR('Zdroj data'!AZ126=$AW$49,'Zdroj data'!AZ126=$AW$50,'Zdroj data'!AZ126=$AW$51,'Zdroj data'!AZ126=$AW$52))),$BZ$22," "))</f>
        <v xml:space="preserve"> </v>
      </c>
      <c r="AD126" s="264">
        <f>IF(AND(OR('Zdroj data'!BF126="VT",'Zdroj data'!BF126="T",'Zdroj data'!BF126="CH"),(OR('Zdroj data'!AZ126=$AW$43,'Zdroj data'!AZ126=$AW$44,))),$BZ$22," ")</f>
        <v>10</v>
      </c>
      <c r="AE126" s="264" t="str">
        <f>IF(AND('Zdroj data'!BF126="CH",(OR('Zdroj data'!AZ126=$AW$49,'Zdroj data'!AZ126=$AW$50,'Zdroj data'!AZ126=$AW$51,'Zdroj data'!AZ126=$AW$52))),$AY$22,IF(AND('Zdroj data'!BF126="CH",(OR('Zdroj data'!AZ126=$AW$45,'Zdroj data'!AZ126=$AW$46,'Zdroj data'!AZ126=$AW$47,'Zdroj data'!AZ126=$AW$48))),$BZ$22," "))</f>
        <v xml:space="preserve"> </v>
      </c>
      <c r="AF126" s="264">
        <f>IF(AND('Zdroj data'!BG126="L",'Zdroj data'!AM126=Body!$AX$15),IF(AND('Zdroj data'!O126&gt;=Body!$AY$15,'Zdroj data'!O126&lt;=Body!$BA$15),Body!AY$6,IF(AND('Zdroj data'!O126&gt;=Body!$BB$15,'Zdroj data'!O126&lt;=Body!$BD$15),Body!BB$6,IF(AND('Zdroj data'!O126&gt;=Body!$BE$15,'Zdroj data'!O126&lt;=Body!$BG$15),Body!BE$6,IF(AND('Zdroj data'!O126&gt;=Body!$BH$15,'Zdroj data'!O126&lt;=Body!$BJ$15),Body!BH$6,IF(AND('Zdroj data'!O126&gt;=Body!$BK$15,'Zdroj data'!O126&lt;=Body!$BM$15),Body!BK$6,IF(AND('Zdroj data'!O126&gt;=Body!$BN$15,'Zdroj data'!O126&lt;=Body!$BP$15),Body!$BN$6,IF(AND('Zdroj data'!O126&gt;=Body!$BQ$15,'Zdroj data'!O126&lt;=Body!$BS$15),Body!$BQ$6,IF(AND('Zdroj data'!O126&gt;=Body!$BT$15,'Zdroj data'!O126&lt;=Body!$BV$15),Body!BT$6,IF(AND('Zdroj data'!O126&gt;=Body!$BW$15,'Zdroj data'!O126&lt;=Body!$BY$15),Body!$BW$6,IF('Zdroj data'!O126&gt;=Body!$CB$15,Body!$BZ$6," ")))))))))),IF(AND('Zdroj data'!BG126="ST",'Zdroj data'!AM126=Body!$AX$16),IF(AND('Zdroj data'!O126&gt;=Body!$AY$16,'Zdroj data'!O126&lt;=Body!$BA$16),Body!$AY$6,IF(AND('Zdroj data'!O126&gt;=Body!$BB$16,'Zdroj data'!O126&lt;=Body!$BD$16),Body!$BB$6,IF(AND('Zdroj data'!O126&gt;=Body!$BE$16,'Zdroj data'!O126&lt;=Body!$BG$16),Body!$BE$6,IF(AND('Zdroj data'!O126&gt;=Body!$BH$16,'Zdroj data'!O126&lt;=Body!$BJ$16),Body!$BH$6,IF(AND('Zdroj data'!O126&gt;=Body!$BK$16,'Zdroj data'!O126&lt;=Body!$BM$16),Body!$BK$6,IF(AND('Zdroj data'!O126&gt;=Body!$BN$16,'Zdroj data'!O126&lt;=Body!$BP$16),Body!$BN$6,IF(AND('Zdroj data'!O126&gt;=Body!$BQ$16,'Zdroj data'!O126&lt;=Body!$BS$16),Body!$BQ$6,IF(AND('Zdroj data'!O126&gt;=Body!$BT$16,'Zdroj data'!O126&lt;=Body!$BV$16),Body!$BT$6,IF(AND('Zdroj data'!O126&gt;=Body!$BW$16,'Zdroj data'!O126&lt;=Body!$BY$16),Body!$BW$6,IF('Zdroj data'!O126&gt;=Body!$CB$16,Body!$BZ$6," ")))))))))),IF(AND('Zdroj data'!BG126="T",'Zdroj data'!AM126=Body!$AX$17),IF(AND('Zdroj data'!O126&gt;=Body!$AY$17,'Zdroj data'!O126&lt;=Body!$BA$17),Body!$AY$6,IF(AND('Zdroj data'!O126&gt;=Body!$BB$17,'Zdroj data'!O126&lt;=Body!$BD$17),Body!$BB$6,IF(AND('Zdroj data'!O126&gt;=Body!$BE$17,'Zdroj data'!O126&lt;=Body!$BG$17),Body!$BE$6,IF(AND('Zdroj data'!O126&gt;=Body!$BH$17,'Zdroj data'!O126&lt;=Body!#REF!),Body!$BH$6,IF(AND('Zdroj data'!O126&gt;=Body!$BK$17,'Zdroj data'!O126&lt;=Body!$BM$17),Body!$BK$6,IF(AND('Zdroj data'!O126&gt;=Body!$BN$17,'Zdroj data'!O126&lt;=Body!$BP$17),Body!$BN$6,IF(AND('Zdroj data'!O126&gt;=Body!$BQ$17,'Zdroj data'!O126&lt;=Body!$BS$17),Body!$BQ$6,IF(AND('Zdroj data'!O126&gt;=Body!$BT$17,'Zdroj data'!O126&lt;=Body!$BV$17),Body!$BT$6,IF(AND('Zdroj data'!O126&gt;=Body!$BW$17,'Zdroj data'!O126&lt;=Body!$BY$17),Body!$BW$6,IF('Zdroj data'!O126&gt;=Body!$CB$17,Body!$BZ$6," "))))))))))," ")))</f>
        <v>2</v>
      </c>
      <c r="AG126" s="264">
        <f>IF(AND('Zdroj data'!$BG126="L",'Zdroj data'!$AM126=Body!$AX$15),IF(AND(Tabulka1[[#This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data'!$BG126="ST",'Zdroj data'!$AM126=Body!$AX$16),IF(AND(Tabulka1[[#This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data'!$BG126="T",'Zdroj data'!$AM126=Body!$AX$17),IF(AND(Tabulka1[[#This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2</v>
      </c>
      <c r="AH126" s="264" t="str">
        <f>IF(AND('Zdroj data'!BG126="L",'Zdroj data'!AM126=Body!$AX$18),IF(AND('Zdroj data'!O126&gt;=Body!$AY$18,'Zdroj data'!O126&lt;=Body!$BA$18),Body!AY$6,IF(AND('Zdroj data'!O126&gt;=Body!$BB$18,'Zdroj data'!O126&lt;=Body!$BD$18),Body!BB$6,IF(AND('Zdroj data'!O126&gt;=Body!$BE$18,'Zdroj data'!O126&lt;=Body!$BG$18),Body!BE$6,IF(AND('Zdroj data'!O126&gt;=Body!$BH$18,'Zdroj data'!O126&lt;=Body!$BJ$18),Body!BH$6,IF(AND('Zdroj data'!O126&gt;=Body!$BK$18,'Zdroj data'!O126&lt;=Body!$BM$18),Body!$BK$6,IF(AND('Zdroj data'!O126&gt;=Body!$BN$18,'Zdroj data'!O126&lt;=Body!$BP$18),Body!BN$6,IF(AND('Zdroj data'!O126&gt;=Body!$BQ$18,'Zdroj data'!O126&lt;=Body!$BS$18),Body!$BQ$6,IF(AND('Zdroj data'!O126&gt;=Body!$BT$18,'Zdroj data'!O126&lt;=Body!$BV$18),Body!$BT$6,IF(AND('Zdroj data'!O126&gt;=Body!$BW$18,'Zdroj data'!O126&lt;=Body!$BY$18),Body!$BW$6,IF('Zdroj data'!O126&gt;=Body!$CB$18,Body!$BZ$6," ")))))))))),IF(AND('Zdroj data'!BG126="ST",'Zdroj data'!AM126=Body!$AX$19),IF(AND('Zdroj data'!O126&gt;=Body!$AY$19,'Zdroj data'!O126&lt;=Body!$BA$19),Body!$AY$6,IF(AND('Zdroj data'!O126&gt;=Body!$BB$19,'Zdroj data'!O126&lt;=Body!$BD$19),Body!$BB$6,IF(AND('Zdroj data'!O126&gt;=Body!$BE$19,'Zdroj data'!O126&lt;=Body!$BG$19),Body!$BE$6,IF(AND('Zdroj data'!O126&gt;=Body!$BH$19,'Zdroj data'!O126&lt;=Body!$BJ$19),Body!$BH$6,IF(AND('Zdroj data'!O126&gt;=Body!$BK$19,'Zdroj data'!O126&lt;=Body!$BM$19),Body!$BK$6,IF(AND('Zdroj data'!O126&gt;=Body!$BN$19,'Zdroj data'!O126&lt;=Body!$BP$19),Body!$BN$6,IF(AND('Zdroj data'!O126&gt;=Body!$BQ$19,'Zdroj data'!O126&lt;=Body!$BS$19),Body!$BQ$6,IF(AND('Zdroj data'!O126&gt;=Body!$BT$19,'Zdroj data'!O130&lt;=Body!$BV$19),Body!$BT$6,IF(AND('Zdroj data'!O126&gt;=Body!$BW$19,'Zdroj data'!O126&lt;=Body!$BY$19),Body!$BW$6,IF('Zdroj data'!O126&gt;=Body!$CB$19,Body!$BZ$6," ")))))))))),IF(AND('Zdroj data'!BG126="T",'Zdroj data'!AM126=Body!$AX$20),IF(AND('Zdroj data'!O126&gt;=Body!$AY$20,'Zdroj data'!O126&lt;=Body!$BA$20),Body!$AY$6,IF(AND('Zdroj data'!O126&gt;=Body!$BB$20,'Zdroj data'!O126&lt;=Body!$BD$20),Body!$BB$6,IF(AND('Zdroj data'!O126&gt;=Body!$BE$20,'Zdroj data'!O126&lt;=Body!$BG$20),Body!$BE$6,IF(AND('Zdroj data'!O126&gt;=Body!$BH$20,'Zdroj data'!O126&lt;=Body!$BJ$20),Body!$BH$6,IF(AND('Zdroj data'!O126&gt;=Body!$BK$20,'Zdroj data'!O126&lt;=Body!$BM$20),Body!$BK$6,IF(AND('Zdroj data'!O126&gt;=Body!$BN$20,'Zdroj data'!O126&lt;=Body!$BP$20),Body!$BN$6,IF(AND('Zdroj data'!O126&gt;=Body!$BQ$20,'Zdroj data'!O126&lt;=Body!$BS$20),Body!$BQ$6,IF(AND('Zdroj data'!O126&gt;=Body!$BT$20,'Zdroj data'!O126&lt;=Body!#REF!),Body!$BT$6,IF(AND('Zdroj data'!O126&gt;=Body!$BW$20,'Zdroj data'!O126&lt;=Body!$BY$20),Body!$BW$6,IF('Zdroj data'!O126&gt;=Body!$CB$20,Body!$BZ$6," "))))))))))," ")))</f>
        <v xml:space="preserve"> </v>
      </c>
      <c r="AI126" s="264" t="str">
        <f>IF(AND('Zdroj data'!$BG126="L",'Zdroj data'!$AM126=Body!$AX$18),IF(AND(Tabulka1[[#This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data'!$BG126="ST",'Zdroj data'!$AM126=Body!$AX$19),IF(AND(Tabulka1[[#This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data'!$BG126="T",'Zdroj data'!$AM126=Body!$AX$20),IF(AND(Tabulka1[[#This Row],[K2O_60]]&gt;=Body!$AY$20,'Zdroj data'!O126&lt;=Body!$BA$20),Body!$AY$6,IF(AND(Tabulka1[[#This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26" s="265">
        <f t="shared" si="13"/>
        <v>8.0000000000000071</v>
      </c>
      <c r="AK126" s="264">
        <f t="shared" si="14"/>
        <v>30.067272158086329</v>
      </c>
      <c r="AL126" s="264">
        <f t="shared" si="15"/>
        <v>26.067018948244698</v>
      </c>
      <c r="AM126" s="264">
        <f t="shared" si="16"/>
        <v>64.633084040574204</v>
      </c>
      <c r="AN126" s="264">
        <f t="shared" si="17"/>
        <v>59.174866876296221</v>
      </c>
      <c r="AO126" s="265">
        <f t="shared" si="21"/>
        <v>94.700356198660529</v>
      </c>
      <c r="AP126" s="265">
        <f t="shared" si="18"/>
        <v>85.241885824540915</v>
      </c>
      <c r="AQ126" s="318"/>
      <c r="AR126" s="338">
        <f t="shared" si="19"/>
        <v>187.94224202320146</v>
      </c>
      <c r="AS126" s="318"/>
      <c r="AT126" s="138"/>
      <c r="AU126" s="138"/>
    </row>
    <row r="127" spans="1:47" ht="15.5" x14ac:dyDescent="0.35">
      <c r="A127" s="270">
        <v>5549</v>
      </c>
      <c r="B127" s="156" t="s">
        <v>23</v>
      </c>
      <c r="C127" s="250" t="str">
        <f>VLOOKUP(B127,'Zdroj hloubka okresy'!$A$2:$D$171,2,FALSE)</f>
        <v>Kutna_Hora</v>
      </c>
      <c r="D127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9</v>
      </c>
      <c r="E127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7</v>
      </c>
      <c r="F127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127" s="264">
        <f>IF(AND(Tabulka1[[#This Row],[hum_60]]&gt;AY133,Tabulka1[[#This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27" s="264">
        <f>IF(Tabulka1[[#This Row],[kv.ek.]]=Body!$AX$13,IF(AND('Zdroj data'!M127&gt;=Body!$AY$13,'Zdroj data'!M127&lt;=Body!$BA$13),Body!$AY$6,IF(AND('Zdroj data'!M127&gt;=Body!$BB$13,'Zdroj data'!M127&lt;=Body!$BD$13),Body!$BB$6,IF(AND('Zdroj data'!M127&gt;=Body!$BE$13,'Zdroj data'!M127&lt;=Body!$BG$13),Body!$BE$6,IF(AND('Zdroj data'!M127&gt;=Body!$BH$13,'Zdroj data'!M127&lt;=Body!$BJ$13),Body!$BH$6,IF(AND('Zdroj data'!M127&gt;=Body!$BK$13,'Zdroj data'!M127&lt;=Body!$BM$13),Body!$BK$6,IF(AND('Zdroj data'!M127&gt;=Body!$BN$13,'Zdroj data'!M127&lt;=Body!$BP$13),Body!$BN$6,IF(AND('Zdroj data'!M127&gt;=Body!$BQ$13,'Zdroj data'!M127&lt;=Body!$BS$13),Body!$BQ$6,IF(AND('Zdroj data'!M127&gt;=Body!$BT$13,'Zdroj data'!M127&lt;=Body!$BV$13),Body!$BT$6,IF(AND('Zdroj data'!M127&gt;=Body!$BW$13,'Zdroj data'!M127&lt;=Body!$BY$13),Body!$BW$6,IF('Zdroj data'!M127&gt;=Body!$CB$13,Body!$BZ$6," ")))))))))),IF(Tabulka1[[#This Row],[kv.ek.]]=Body!$AX$14,IF(AND('Zdroj data'!N127&gt;=Body!$AY$14,'Zdroj data'!N127&lt;=Body!$BA$14),Body!$AY$6,IF(AND('Zdroj data'!N127&gt;=Body!$BB$14,'Zdroj data'!N127&lt;=Body!$BD$14),Body!$BB$6,IF(AND('Zdroj data'!N127&gt;=Body!$BE$14,'Zdroj data'!N127&lt;=Body!$BG$14),Body!$BE$6,IF(AND('Zdroj data'!N127&gt;=Body!$BH$14,'Zdroj data'!N127&lt;=Body!$BJ$14),Body!$BH$6,IF(AND('Zdroj data'!N127&gt;=Body!$BK$14,'Zdroj data'!N127&lt;=Body!$BM$14),Body!$BK$6,IF(AND('Zdroj data'!N127&gt;=Body!$BN$14,'Zdroj data'!N127&lt;=Body!$BP$14),Body!$BN$6,IF(AND('Zdroj data'!N127&gt;=Body!$BQ$14,'Zdroj data'!N127&lt;=Body!$BS$14),Body!$BQ$6,IF(AND('Zdroj data'!N127&gt;=Body!$BT$14,'Zdroj data'!N127&lt;=Body!$BV$14),Body!$BT$6,IF(AND('Zdroj data'!N127&gt;=Body!$BW$14,'Zdroj data'!N127&lt;=Body!$BY$14),Body!$BW$6,IF('Zdroj data'!N127&gt;=Body!$CB$14,Body!$BZ$6," "))))))))))," "))</f>
        <v>1</v>
      </c>
      <c r="I127" s="264">
        <f>IF(Tabulka1[[#This Row],[kv.ek.]]=Body!$AX$13,IF(AND('Zdroj data'!N127&gt;=Body!$AY$13,'Zdroj data'!N127&lt;=Body!$BA$13),Body!$AY$6,IF(AND('Zdroj data'!N127&gt;=Body!$BB$13,'Zdroj data'!N127&lt;=Body!$BD$13),Body!$BB$6,IF(AND('Zdroj data'!N127&gt;=Body!$BE$13,'Zdroj data'!N127&lt;=Body!$BG$13),Body!$BE$6,IF(AND('Zdroj data'!N127&gt;=Body!$BH$13,'Zdroj data'!N127&lt;=Body!$BJ$13),Body!$BH$6,IF(AND('Zdroj data'!N127&gt;=Body!$BK$13,'Zdroj data'!N127&lt;=Body!$BM$13),Body!$BK$6,IF(AND('Zdroj data'!N127&gt;=Body!$BN$13,'Zdroj data'!N127&lt;=Body!$BP$13),Body!$BN$6,IF(AND('Zdroj data'!N127&gt;=Body!$BQ$13,'Zdroj data'!N127&lt;=Body!$BS$13),Body!$BQ$6,IF(AND('Zdroj data'!N127&gt;=Body!$BT$13,'Zdroj data'!N127&lt;=Body!$BV$13),Body!$BT$6,IF(AND('Zdroj data'!N127&gt;=Body!$BW$13,'Zdroj data'!N127&lt;=Body!$BY$13),Body!$BW$6,IF('Zdroj data'!N127&gt;=Body!$CB$13,Body!$BZ$6," ")))))))))),IF(Tabulka1[[#This Row],[kv.ek.]]=Body!$AX$14,IF(AND('Zdroj data'!O127&gt;=Body!$AY$14,'Zdroj data'!O127&lt;=Body!$BA$14),Body!$AY$6,IF(AND('Zdroj data'!O127&gt;=Body!$BB$14,'Zdroj data'!O127&lt;=Body!$BD$14),Body!$BB$6,IF(AND('Zdroj data'!O127&gt;=Body!$BE$14,'Zdroj data'!O127&lt;=Body!$BG$14),Body!$BE$6,IF(AND('Zdroj data'!O127&gt;=Body!$BH$14,'Zdroj data'!O127&lt;=Body!$BJ$14),Body!$BH$6,IF(AND('Zdroj data'!O127&gt;=Body!$BK$14,'Zdroj data'!O127&lt;=Body!$BM$14),Body!$BK$6,IF(AND('Zdroj data'!O127&gt;=Body!$BN$14,'Zdroj data'!O127&lt;=Body!$BP$14),Body!$BN$6,IF(AND('Zdroj data'!O127&gt;=Body!$BQ$14,'Zdroj data'!O127&lt;=Body!$BS$14),Body!$BQ$6,IF(AND('Zdroj data'!O127&gt;=Body!$BT$14,'Zdroj data'!O127&lt;=Body!$BV$14),Body!$BT$6,IF(AND('Zdroj data'!O127&gt;=Body!$BW$14,'Zdroj data'!O127&lt;=Body!$BY$14),Body!$BW$6,IF('Zdroj data'!O127&gt;=Body!$CB$14,Body!$BZ$6," "))))))))))," "))</f>
        <v>1</v>
      </c>
      <c r="J127" s="264">
        <f t="shared" si="25"/>
        <v>5</v>
      </c>
      <c r="K127" s="264">
        <f t="shared" si="25"/>
        <v>5</v>
      </c>
      <c r="L127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127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127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127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6</v>
      </c>
      <c r="P127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27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127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2</v>
      </c>
      <c r="S127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127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6</v>
      </c>
      <c r="U127" s="264">
        <f>IF('Zdroj data'!BB127=Body!$AY$25,Body!$AY$22,IF('Zdroj data'!BB127=Body!$BB$25,Body!$BB$22,IF('Zdroj data'!BB127=Body!$BE$25,Body!$BE$22,IF('Zdroj data'!BB127=Body!$BH$25,Body!$BH$22,IF('Zdroj data'!BB127=Body!BK$25,Body!$BK$22,IF('Zdroj data'!BB127=Body!$BN$25,Body!$BN$22,IF('Zdroj data'!BB127=Body!$BQ$25,Body!$BQ$22,IF('Zdroj data'!BB127=Body!$BT$25,Body!$BT$22,IF('Zdroj data'!BB127=Body!$BW$25,Body!$BW$22,IF('Zdroj data'!BB127=Body!$BZ$25,Body!$BZ$22," "))))))))))</f>
        <v>5</v>
      </c>
      <c r="V127" s="264">
        <f>IF(AND('Zdroj data'!BO127&gt;Body!$AY$27,'Zdroj data'!BO127&lt;=Body!$BA$27),Body!$AY$22,IF(AND('Zdroj data'!BO127&gt;=Body!$BB$27,'Zdroj data'!BO127&lt;=Body!$BD$27),Body!$BB$22,IF(AND('Zdroj data'!BO127&gt;=Body!$BE$27,'Zdroj data'!BO127&lt;=Body!$BG$27),Body!$BE$22,IF(AND('Zdroj data'!BO127&gt;=Body!$BH$27,'Zdroj data'!BO127&lt;=Body!$BJ$27),Body!$BH$22,IF(AND('Zdroj data'!BO127&gt;=Body!$BK$27,'Zdroj data'!BO127&lt;=Body!$BM$27),Body!$BK$22,IF(AND('Zdroj data'!BO127&gt;=Body!$BN$27,'Zdroj data'!BO127&lt;=Body!$BP$27),Body!$BN$22,IF(AND('Zdroj data'!BO127&gt;=Body!$BQ$27,'Zdroj data'!BO127&lt;=Body!$BS$27),Body!$BQ$22,IF(AND('Zdroj data'!BO127&gt;=Body!$BT$27,'Zdroj data'!BO127&lt;=Body!$BV$27),Body!$BT$22,IF(AND('Zdroj data'!BO127&gt;=Body!$BW$27,'Zdroj data'!BO127&lt;=Body!$BY$27),Body!$BW$22,IF('Zdroj data'!BO127&gt;=Body!$CB$27,$BZ$22," "))))))))))</f>
        <v>6</v>
      </c>
      <c r="W127" s="264">
        <f>IF(AND('Zdroj data'!BP127&gt;Body!$AY$27,'Zdroj data'!BP127&lt;=Body!$BA$27),Body!$AY$22,IF(AND('Zdroj data'!BP127&gt;=Body!$BB$27,'Zdroj data'!BP127&lt;=Body!$BD$27),Body!$BB$22,IF(AND('Zdroj data'!BP127&gt;=Body!$BE$27,'Zdroj data'!BP127&lt;=Body!$BG$27),Body!$BE$22,IF(AND('Zdroj data'!BP127&gt;=Body!$BH$27,'Zdroj data'!BP127&lt;=Body!$BJ$27),Body!$BH$22,IF(AND('Zdroj data'!BP127&gt;=Body!$BK$27,'Zdroj data'!BP127&lt;=Body!$BM$27),Body!$BK$22,IF(AND('Zdroj data'!BP127&gt;=Body!$BN$27,'Zdroj data'!BP127&lt;=Body!$BP$27),Body!$BN$22,IF(AND('Zdroj data'!BP127&gt;=Body!$BQ$27,'Zdroj data'!BP127&lt;=Body!$BS$27),Body!$BQ$22,IF(AND('Zdroj data'!BP127&gt;=Body!$BT$27,'Zdroj data'!BP127&lt;=Body!$BV$27),Body!$BT$22,IF(AND('Zdroj data'!BP127&gt;=Body!$BW$27,'Zdroj data'!BP127&lt;=Body!$BY$27),Body!$BW$22,IF('Zdroj data'!BP127&gt;=Body!$CB$27,$BZ$22," "))))))))))</f>
        <v>7</v>
      </c>
      <c r="X127" s="264">
        <f>IF('Zdroj data'!BA127=Body!$BB$28,$BB$22,IF('Zdroj data'!BA127=Body!$BE$28,$BE$22,IF(OR('Zdroj data'!BA127=Body!$BK$28,'Zdroj data'!BA127=Body!$BL$28,'Zdroj data'!BA127=Body!$BM$28),$BK$22,IF(OR('Zdroj data'!BA127=Body!$BT$28,'Zdroj data'!BA127=Body!$BV$28),$BT$22,IF(OR('Zdroj data'!BA127=Body!$BW$28,'Zdroj data'!BA127=Body!$BY$28),$BW$22,IF('Zdroj data'!BA127=Body!$BZ$28,$BZ$22," "))))))</f>
        <v>9</v>
      </c>
      <c r="Y127" s="264">
        <f>IF('Zdroj data'!AZ127=Body!$BZ$29,Body!$BZ$22,IF(OR('Zdroj data'!AZ127=$BT$29,'Zdroj data'!AZ127=$BU$29,'Zdroj data'!AZ127=$BV$29),$BT$22,IF(OR('Zdroj data'!AZ127=$BK$29,'Zdroj data'!AZ127=$BM$29),$BK$22,IF(OR('Zdroj data'!AZ127=$BE$29,'Zdroj data'!AZ127=$BG$29),$BE$22,IF(OR('Zdroj data'!AZ127=$AY$29,'Zdroj data'!AZ127=$BA$29),$AY$22," ")))))</f>
        <v>10</v>
      </c>
      <c r="Z127" s="264">
        <f>IF(AND('Zdroj data'!BF127="T",(OR('Zdroj data'!AZ127=Body!$AW$45,'Zdroj data'!AZ127=Body!$AW$46,'Zdroj data'!AZ127=Body!$AW$47,'Zdroj data'!AZ127=Body!$AW$48))),Body!$AY$22,IF(AND('Zdroj data'!BF127="T",(OR('Zdroj data'!AZ127=$AW$49,'Zdroj data'!AZ127=$AW$50,'Zdroj data'!AZ127=$AW$51,'Zdroj data'!AZ127=$AW$52))),$BZ$22,IF(AND(OR('Zdroj data'!BF127="VT",'Zdroj data'!BF127="T",'Zdroj data'!BF127="CH"),(OR('Zdroj data'!AZ127=$AW$43,'Zdroj data'!AZ127=$AW$44,))),$BZ$22,IF(AND('Zdroj data'!BF127="CH",(OR('Zdroj data'!AZ127=$AW$49,'Zdroj data'!AZ127=$AW$50,'Zdroj data'!AZ127=$AW$51,'Zdroj data'!AZ127=$AW$52))),$AY$22,IF(AND('Zdroj data'!BF127="CH",(OR('Zdroj data'!AZ127=$AW$45,'Zdroj data'!AZ127=$AW$46,'Zdroj data'!AZ127=$AW$47,'Zdroj data'!AZ127=$AW$48))),$BZ$22," ")))))</f>
        <v>10</v>
      </c>
      <c r="AA127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27" s="264">
        <f>IF(Tabulka1[[#This Row],[kv.ek.]]=Body!$BK$35,Body!$BK$34,IF(Tabulka1[[#This Row],[kv.ek.]]=Body!$BZ$35,Body!$BZ$34," "))</f>
        <v>5</v>
      </c>
      <c r="AC127" s="264" t="str">
        <f>IF(AND('Zdroj data'!BF127="T",(OR('Zdroj data'!AZ127=Body!$AW$45,'Zdroj data'!AZ127=Body!$AW$46,'Zdroj data'!AZ127=Body!$AW$47,'Zdroj data'!AZ127=Body!$AW$48))),Body!$AY$22,IF(AND('Zdroj data'!BF127="T",(OR('Zdroj data'!AZ127=$AW$49,'Zdroj data'!AZ127=$AW$50,'Zdroj data'!AZ127=$AW$51,'Zdroj data'!AZ127=$AW$52))),$BZ$22," "))</f>
        <v xml:space="preserve"> </v>
      </c>
      <c r="AD127" s="264">
        <f>IF(AND(OR('Zdroj data'!BF127="VT",'Zdroj data'!BF127="T",'Zdroj data'!BF127="CH"),(OR('Zdroj data'!AZ127=$AW$43,'Zdroj data'!AZ127=$AW$44,))),$BZ$22," ")</f>
        <v>10</v>
      </c>
      <c r="AE127" s="264" t="str">
        <f>IF(AND('Zdroj data'!BF127="CH",(OR('Zdroj data'!AZ127=$AW$49,'Zdroj data'!AZ127=$AW$50,'Zdroj data'!AZ127=$AW$51,'Zdroj data'!AZ127=$AW$52))),$AY$22,IF(AND('Zdroj data'!BF127="CH",(OR('Zdroj data'!AZ127=$AW$45,'Zdroj data'!AZ127=$AW$46,'Zdroj data'!AZ127=$AW$47,'Zdroj data'!AZ127=$AW$48))),$BZ$22," "))</f>
        <v xml:space="preserve"> </v>
      </c>
      <c r="AF127" s="264">
        <f>IF(AND('Zdroj data'!BG127="L",'Zdroj data'!AM127=Body!$AX$15),IF(AND('Zdroj data'!O127&gt;=Body!$AY$15,'Zdroj data'!O127&lt;=Body!$BA$15),Body!AY$6,IF(AND('Zdroj data'!O127&gt;=Body!$BB$15,'Zdroj data'!O127&lt;=Body!$BD$15),Body!BB$6,IF(AND('Zdroj data'!O127&gt;=Body!$BE$15,'Zdroj data'!O127&lt;=Body!$BG$15),Body!BE$6,IF(AND('Zdroj data'!O127&gt;=Body!$BH$15,'Zdroj data'!O127&lt;=Body!$BJ$15),Body!BH$6,IF(AND('Zdroj data'!O127&gt;=Body!$BK$15,'Zdroj data'!O127&lt;=Body!$BM$15),Body!BK$6,IF(AND('Zdroj data'!O127&gt;=Body!$BN$15,'Zdroj data'!O127&lt;=Body!$BP$15),Body!$BN$6,IF(AND('Zdroj data'!O127&gt;=Body!$BQ$15,'Zdroj data'!O127&lt;=Body!$BS$15),Body!$BQ$6,IF(AND('Zdroj data'!O127&gt;=Body!$BT$15,'Zdroj data'!O127&lt;=Body!$BV$15),Body!BT$6,IF(AND('Zdroj data'!O127&gt;=Body!$BW$15,'Zdroj data'!O127&lt;=Body!$BY$15),Body!$BW$6,IF('Zdroj data'!O127&gt;=Body!$CB$15,Body!$BZ$6," ")))))))))),IF(AND('Zdroj data'!BG127="ST",'Zdroj data'!AM127=Body!$AX$16),IF(AND('Zdroj data'!O127&gt;=Body!$AY$16,'Zdroj data'!O127&lt;=Body!$BA$16),Body!$AY$6,IF(AND('Zdroj data'!O127&gt;=Body!$BB$16,'Zdroj data'!O127&lt;=Body!$BD$16),Body!$BB$6,IF(AND('Zdroj data'!O127&gt;=Body!$BE$16,'Zdroj data'!O127&lt;=Body!$BG$16),Body!$BE$6,IF(AND('Zdroj data'!O127&gt;=Body!$BH$16,'Zdroj data'!O127&lt;=Body!$BJ$16),Body!$BH$6,IF(AND('Zdroj data'!O127&gt;=Body!$BK$16,'Zdroj data'!O127&lt;=Body!$BM$16),Body!$BK$6,IF(AND('Zdroj data'!O127&gt;=Body!$BN$16,'Zdroj data'!O127&lt;=Body!$BP$16),Body!$BN$6,IF(AND('Zdroj data'!O127&gt;=Body!$BQ$16,'Zdroj data'!O127&lt;=Body!$BS$16),Body!$BQ$6,IF(AND('Zdroj data'!O127&gt;=Body!$BT$16,'Zdroj data'!O127&lt;=Body!$BV$16),Body!$BT$6,IF(AND('Zdroj data'!O127&gt;=Body!$BW$16,'Zdroj data'!O127&lt;=Body!$BY$16),Body!$BW$6,IF('Zdroj data'!O127&gt;=Body!$CB$16,Body!$BZ$6," ")))))))))),IF(AND('Zdroj data'!BG127="T",'Zdroj data'!AM127=Body!$AX$17),IF(AND('Zdroj data'!O127&gt;=Body!$AY$17,'Zdroj data'!O127&lt;=Body!$BA$17),Body!$AY$6,IF(AND('Zdroj data'!O127&gt;=Body!$BB$17,'Zdroj data'!O127&lt;=Body!$BD$17),Body!$BB$6,IF(AND('Zdroj data'!O127&gt;=Body!$BE$17,'Zdroj data'!O127&lt;=Body!$BG$17),Body!$BE$6,IF(AND('Zdroj data'!O127&gt;=Body!$BH$17,'Zdroj data'!O127&lt;=Body!#REF!),Body!$BH$6,IF(AND('Zdroj data'!O127&gt;=Body!$BK$17,'Zdroj data'!O127&lt;=Body!$BM$17),Body!$BK$6,IF(AND('Zdroj data'!O127&gt;=Body!$BN$17,'Zdroj data'!O127&lt;=Body!$BP$17),Body!$BN$6,IF(AND('Zdroj data'!O127&gt;=Body!$BQ$17,'Zdroj data'!O127&lt;=Body!$BS$17),Body!$BQ$6,IF(AND('Zdroj data'!O127&gt;=Body!$BT$17,'Zdroj data'!O127&lt;=Body!$BV$17),Body!$BT$6,IF(AND('Zdroj data'!O127&gt;=Body!$BW$17,'Zdroj data'!O127&lt;=Body!$BY$17),Body!$BW$6,IF('Zdroj data'!O127&gt;=Body!$CB$17,Body!$BZ$6," "))))))))))," ")))</f>
        <v>5</v>
      </c>
      <c r="AG127" s="264">
        <f>IF(AND('Zdroj data'!$BG127="L",'Zdroj data'!$AM127=Body!$AX$15),IF(AND(Tabulka1[[#This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data'!$BG127="ST",'Zdroj data'!$AM127=Body!$AX$16),IF(AND(Tabulka1[[#This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data'!$BG127="T",'Zdroj data'!$AM127=Body!$AX$17),IF(AND(Tabulka1[[#This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5</v>
      </c>
      <c r="AH127" s="264" t="str">
        <f>IF(AND('Zdroj data'!BG127="L",'Zdroj data'!AM127=Body!$AX$18),IF(AND('Zdroj data'!O127&gt;=Body!$AY$18,'Zdroj data'!O127&lt;=Body!$BA$18),Body!AY$6,IF(AND('Zdroj data'!O127&gt;=Body!$BB$18,'Zdroj data'!O127&lt;=Body!$BD$18),Body!BB$6,IF(AND('Zdroj data'!O127&gt;=Body!$BE$18,'Zdroj data'!O127&lt;=Body!$BG$18),Body!BE$6,IF(AND('Zdroj data'!O127&gt;=Body!$BH$18,'Zdroj data'!O127&lt;=Body!$BJ$18),Body!BH$6,IF(AND('Zdroj data'!O127&gt;=Body!$BK$18,'Zdroj data'!O127&lt;=Body!$BM$18),Body!$BK$6,IF(AND('Zdroj data'!O127&gt;=Body!$BN$18,'Zdroj data'!O127&lt;=Body!$BP$18),Body!BN$6,IF(AND('Zdroj data'!O127&gt;=Body!$BQ$18,'Zdroj data'!O127&lt;=Body!$BS$18),Body!$BQ$6,IF(AND('Zdroj data'!O127&gt;=Body!$BT$18,'Zdroj data'!O127&lt;=Body!$BV$18),Body!$BT$6,IF(AND('Zdroj data'!O127&gt;=Body!$BW$18,'Zdroj data'!O127&lt;=Body!$BY$18),Body!$BW$6,IF('Zdroj data'!O127&gt;=Body!$CB$18,Body!$BZ$6," ")))))))))),IF(AND('Zdroj data'!BG127="ST",'Zdroj data'!AM127=Body!$AX$19),IF(AND('Zdroj data'!O127&gt;=Body!$AY$19,'Zdroj data'!O127&lt;=Body!$BA$19),Body!$AY$6,IF(AND('Zdroj data'!O127&gt;=Body!$BB$19,'Zdroj data'!O127&lt;=Body!$BD$19),Body!$BB$6,IF(AND('Zdroj data'!O127&gt;=Body!$BE$19,'Zdroj data'!O127&lt;=Body!$BG$19),Body!$BE$6,IF(AND('Zdroj data'!O127&gt;=Body!$BH$19,'Zdroj data'!O127&lt;=Body!$BJ$19),Body!$BH$6,IF(AND('Zdroj data'!O127&gt;=Body!$BK$19,'Zdroj data'!O127&lt;=Body!$BM$19),Body!$BK$6,IF(AND('Zdroj data'!O127&gt;=Body!$BN$19,'Zdroj data'!O127&lt;=Body!$BP$19),Body!$BN$6,IF(AND('Zdroj data'!O127&gt;=Body!$BQ$19,'Zdroj data'!O127&lt;=Body!$BS$19),Body!$BQ$6,IF(AND('Zdroj data'!O127&gt;=Body!$BT$19,'Zdroj data'!O131&lt;=Body!$BV$19),Body!$BT$6,IF(AND('Zdroj data'!O127&gt;=Body!$BW$19,'Zdroj data'!O127&lt;=Body!$BY$19),Body!$BW$6,IF('Zdroj data'!O127&gt;=Body!$CB$19,Body!$BZ$6," ")))))))))),IF(AND('Zdroj data'!BG127="T",'Zdroj data'!AM127=Body!$AX$20),IF(AND('Zdroj data'!O127&gt;=Body!$AY$20,'Zdroj data'!O127&lt;=Body!$BA$20),Body!$AY$6,IF(AND('Zdroj data'!O127&gt;=Body!$BB$20,'Zdroj data'!O127&lt;=Body!$BD$20),Body!$BB$6,IF(AND('Zdroj data'!O127&gt;=Body!$BE$20,'Zdroj data'!O127&lt;=Body!$BG$20),Body!$BE$6,IF(AND('Zdroj data'!O127&gt;=Body!$BH$20,'Zdroj data'!O127&lt;=Body!$BJ$20),Body!$BH$6,IF(AND('Zdroj data'!O127&gt;=Body!$BK$20,'Zdroj data'!O127&lt;=Body!$BM$20),Body!$BK$6,IF(AND('Zdroj data'!O127&gt;=Body!$BN$20,'Zdroj data'!O127&lt;=Body!$BP$20),Body!$BN$6,IF(AND('Zdroj data'!O127&gt;=Body!$BQ$20,'Zdroj data'!O127&lt;=Body!$BS$20),Body!$BQ$6,IF(AND('Zdroj data'!O127&gt;=Body!$BT$20,'Zdroj data'!O127&lt;=Body!#REF!),Body!$BT$6,IF(AND('Zdroj data'!O127&gt;=Body!$BW$20,'Zdroj data'!O127&lt;=Body!$BY$20),Body!$BW$6,IF('Zdroj data'!O127&gt;=Body!$CB$20,Body!$BZ$6," "))))))))))," ")))</f>
        <v xml:space="preserve"> </v>
      </c>
      <c r="AI127" s="264" t="str">
        <f>IF(AND('Zdroj data'!$BG127="L",'Zdroj data'!$AM127=Body!$AX$18),IF(AND(Tabulka1[[#This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data'!$BG127="ST",'Zdroj data'!$AM127=Body!$AX$19),IF(AND(Tabulka1[[#This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data'!$BG127="T",'Zdroj data'!$AM127=Body!$AX$20),IF(AND(Tabulka1[[#This Row],[K2O_60]]&gt;=Body!$AY$20,'Zdroj data'!O127&lt;=Body!$BA$20),Body!$AY$6,IF(AND(Tabulka1[[#This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27" s="265">
        <f t="shared" si="13"/>
        <v>8.0000000000000071</v>
      </c>
      <c r="AK127" s="264">
        <f t="shared" si="14"/>
        <v>29.378820041805383</v>
      </c>
      <c r="AL127" s="264">
        <f t="shared" si="15"/>
        <v>22.312219997898911</v>
      </c>
      <c r="AM127" s="264">
        <f t="shared" si="16"/>
        <v>62.131093016600801</v>
      </c>
      <c r="AN127" s="264">
        <f t="shared" si="17"/>
        <v>59.762062266726801</v>
      </c>
      <c r="AO127" s="265">
        <f t="shared" si="21"/>
        <v>91.509913058406184</v>
      </c>
      <c r="AP127" s="265">
        <f t="shared" si="18"/>
        <v>82.074282264625708</v>
      </c>
      <c r="AQ127" s="318"/>
      <c r="AR127" s="338">
        <f t="shared" si="19"/>
        <v>181.58419532303191</v>
      </c>
      <c r="AS127" s="318"/>
      <c r="AT127" s="138"/>
      <c r="AU127" s="138"/>
    </row>
    <row r="128" spans="1:47" ht="15.5" x14ac:dyDescent="0.35">
      <c r="A128" s="270">
        <v>5552</v>
      </c>
      <c r="B128" s="156" t="s">
        <v>311</v>
      </c>
      <c r="C128" s="250" t="str">
        <f>VLOOKUP(B128,'Zdroj hloubka okresy'!$A$2:$D$171,2,FALSE)</f>
        <v>Kutna_Hora</v>
      </c>
      <c r="D128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128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128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28" s="264">
        <f>IF(AND(Tabulka1[[#This Row],[hum_60]]&gt;AY134,Tabulka1[[#This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28" s="264">
        <f>IF(Tabulka1[[#This Row],[kv.ek.]]=Body!$AX$13,IF(AND('Zdroj data'!M128&gt;=Body!$AY$13,'Zdroj data'!M128&lt;=Body!$BA$13),Body!$AY$6,IF(AND('Zdroj data'!M128&gt;=Body!$BB$13,'Zdroj data'!M128&lt;=Body!$BD$13),Body!$BB$6,IF(AND('Zdroj data'!M128&gt;=Body!$BE$13,'Zdroj data'!M128&lt;=Body!$BG$13),Body!$BE$6,IF(AND('Zdroj data'!M128&gt;=Body!$BH$13,'Zdroj data'!M128&lt;=Body!$BJ$13),Body!$BH$6,IF(AND('Zdroj data'!M128&gt;=Body!$BK$13,'Zdroj data'!M128&lt;=Body!$BM$13),Body!$BK$6,IF(AND('Zdroj data'!M128&gt;=Body!$BN$13,'Zdroj data'!M128&lt;=Body!$BP$13),Body!$BN$6,IF(AND('Zdroj data'!M128&gt;=Body!$BQ$13,'Zdroj data'!M128&lt;=Body!$BS$13),Body!$BQ$6,IF(AND('Zdroj data'!M128&gt;=Body!$BT$13,'Zdroj data'!M128&lt;=Body!$BV$13),Body!$BT$6,IF(AND('Zdroj data'!M128&gt;=Body!$BW$13,'Zdroj data'!M128&lt;=Body!$BY$13),Body!$BW$6,IF('Zdroj data'!M128&gt;=Body!$CB$13,Body!$BZ$6," ")))))))))),IF(Tabulka1[[#This Row],[kv.ek.]]=Body!$AX$14,IF(AND('Zdroj data'!N128&gt;=Body!$AY$14,'Zdroj data'!N128&lt;=Body!$BA$14),Body!$AY$6,IF(AND('Zdroj data'!N128&gt;=Body!$BB$14,'Zdroj data'!N128&lt;=Body!$BD$14),Body!$BB$6,IF(AND('Zdroj data'!N128&gt;=Body!$BE$14,'Zdroj data'!N128&lt;=Body!$BG$14),Body!$BE$6,IF(AND('Zdroj data'!N128&gt;=Body!$BH$14,'Zdroj data'!N128&lt;=Body!$BJ$14),Body!$BH$6,IF(AND('Zdroj data'!N128&gt;=Body!$BK$14,'Zdroj data'!N128&lt;=Body!$BM$14),Body!$BK$6,IF(AND('Zdroj data'!N128&gt;=Body!$BN$14,'Zdroj data'!N128&lt;=Body!$BP$14),Body!$BN$6,IF(AND('Zdroj data'!N128&gt;=Body!$BQ$14,'Zdroj data'!N128&lt;=Body!$BS$14),Body!$BQ$6,IF(AND('Zdroj data'!N128&gt;=Body!$BT$14,'Zdroj data'!N128&lt;=Body!$BV$14),Body!$BT$6,IF(AND('Zdroj data'!N128&gt;=Body!$BW$14,'Zdroj data'!N128&lt;=Body!$BY$14),Body!$BW$6,IF('Zdroj data'!N128&gt;=Body!$CB$14,Body!$BZ$6," "))))))))))," "))</f>
        <v>1</v>
      </c>
      <c r="I128" s="264">
        <f>IF(Tabulka1[[#This Row],[kv.ek.]]=Body!$AX$13,IF(AND('Zdroj data'!N128&gt;=Body!$AY$13,'Zdroj data'!N128&lt;=Body!$BA$13),Body!$AY$6,IF(AND('Zdroj data'!N128&gt;=Body!$BB$13,'Zdroj data'!N128&lt;=Body!$BD$13),Body!$BB$6,IF(AND('Zdroj data'!N128&gt;=Body!$BE$13,'Zdroj data'!N128&lt;=Body!$BG$13),Body!$BE$6,IF(AND('Zdroj data'!N128&gt;=Body!$BH$13,'Zdroj data'!N128&lt;=Body!$BJ$13),Body!$BH$6,IF(AND('Zdroj data'!N128&gt;=Body!$BK$13,'Zdroj data'!N128&lt;=Body!$BM$13),Body!$BK$6,IF(AND('Zdroj data'!N128&gt;=Body!$BN$13,'Zdroj data'!N128&lt;=Body!$BP$13),Body!$BN$6,IF(AND('Zdroj data'!N128&gt;=Body!$BQ$13,'Zdroj data'!N128&lt;=Body!$BS$13),Body!$BQ$6,IF(AND('Zdroj data'!N128&gt;=Body!$BT$13,'Zdroj data'!N128&lt;=Body!$BV$13),Body!$BT$6,IF(AND('Zdroj data'!N128&gt;=Body!$BW$13,'Zdroj data'!N128&lt;=Body!$BY$13),Body!$BW$6,IF('Zdroj data'!N128&gt;=Body!$CB$13,Body!$BZ$6," ")))))))))),IF(Tabulka1[[#This Row],[kv.ek.]]=Body!$AX$14,IF(AND('Zdroj data'!O128&gt;=Body!$AY$14,'Zdroj data'!O128&lt;=Body!$BA$14),Body!$AY$6,IF(AND('Zdroj data'!O128&gt;=Body!$BB$14,'Zdroj data'!O128&lt;=Body!$BD$14),Body!$BB$6,IF(AND('Zdroj data'!O128&gt;=Body!$BE$14,'Zdroj data'!O128&lt;=Body!$BG$14),Body!$BE$6,IF(AND('Zdroj data'!O128&gt;=Body!$BH$14,'Zdroj data'!O128&lt;=Body!$BJ$14),Body!$BH$6,IF(AND('Zdroj data'!O128&gt;=Body!$BK$14,'Zdroj data'!O128&lt;=Body!$BM$14),Body!$BK$6,IF(AND('Zdroj data'!O128&gt;=Body!$BN$14,'Zdroj data'!O128&lt;=Body!$BP$14),Body!$BN$6,IF(AND('Zdroj data'!O128&gt;=Body!$BQ$14,'Zdroj data'!O128&lt;=Body!$BS$14),Body!$BQ$6,IF(AND('Zdroj data'!O128&gt;=Body!$BT$14,'Zdroj data'!O128&lt;=Body!$BV$14),Body!$BT$6,IF(AND('Zdroj data'!O128&gt;=Body!$BW$14,'Zdroj data'!O128&lt;=Body!$BY$14),Body!$BW$6,IF('Zdroj data'!O128&gt;=Body!$CB$14,Body!$BZ$6," "))))))))))," "))</f>
        <v>1</v>
      </c>
      <c r="J128" s="264">
        <f t="shared" si="25"/>
        <v>3</v>
      </c>
      <c r="K128" s="264">
        <f t="shared" si="25"/>
        <v>1</v>
      </c>
      <c r="L128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128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128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128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128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28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128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128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128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6</v>
      </c>
      <c r="U128" s="264">
        <f>IF('Zdroj data'!BB128=Body!$AY$25,Body!$AY$22,IF('Zdroj data'!BB128=Body!$BB$25,Body!$BB$22,IF('Zdroj data'!BB128=Body!$BE$25,Body!$BE$22,IF('Zdroj data'!BB128=Body!$BH$25,Body!$BH$22,IF('Zdroj data'!BB128=Body!BK$25,Body!$BK$22,IF('Zdroj data'!BB128=Body!$BN$25,Body!$BN$22,IF('Zdroj data'!BB128=Body!$BQ$25,Body!$BQ$22,IF('Zdroj data'!BB128=Body!$BT$25,Body!$BT$22,IF('Zdroj data'!BB128=Body!$BW$25,Body!$BW$22,IF('Zdroj data'!BB128=Body!$BZ$25,Body!$BZ$22," "))))))))))</f>
        <v>7</v>
      </c>
      <c r="V128" s="264">
        <f>IF(AND('Zdroj data'!BO128&gt;Body!$AY$27,'Zdroj data'!BO128&lt;=Body!$BA$27),Body!$AY$22,IF(AND('Zdroj data'!BO128&gt;=Body!$BB$27,'Zdroj data'!BO128&lt;=Body!$BD$27),Body!$BB$22,IF(AND('Zdroj data'!BO128&gt;=Body!$BE$27,'Zdroj data'!BO128&lt;=Body!$BG$27),Body!$BE$22,IF(AND('Zdroj data'!BO128&gt;=Body!$BH$27,'Zdroj data'!BO128&lt;=Body!$BJ$27),Body!$BH$22,IF(AND('Zdroj data'!BO128&gt;=Body!$BK$27,'Zdroj data'!BO128&lt;=Body!$BM$27),Body!$BK$22,IF(AND('Zdroj data'!BO128&gt;=Body!$BN$27,'Zdroj data'!BO128&lt;=Body!$BP$27),Body!$BN$22,IF(AND('Zdroj data'!BO128&gt;=Body!$BQ$27,'Zdroj data'!BO128&lt;=Body!$BS$27),Body!$BQ$22,IF(AND('Zdroj data'!BO128&gt;=Body!$BT$27,'Zdroj data'!BO128&lt;=Body!$BV$27),Body!$BT$22,IF(AND('Zdroj data'!BO128&gt;=Body!$BW$27,'Zdroj data'!BO128&lt;=Body!$BY$27),Body!$BW$22,IF('Zdroj data'!BO128&gt;=Body!$CB$27,$BZ$22," "))))))))))</f>
        <v>6</v>
      </c>
      <c r="W128" s="264">
        <f>IF(AND('Zdroj data'!BP128&gt;Body!$AY$27,'Zdroj data'!BP128&lt;=Body!$BA$27),Body!$AY$22,IF(AND('Zdroj data'!BP128&gt;=Body!$BB$27,'Zdroj data'!BP128&lt;=Body!$BD$27),Body!$BB$22,IF(AND('Zdroj data'!BP128&gt;=Body!$BE$27,'Zdroj data'!BP128&lt;=Body!$BG$27),Body!$BE$22,IF(AND('Zdroj data'!BP128&gt;=Body!$BH$27,'Zdroj data'!BP128&lt;=Body!$BJ$27),Body!$BH$22,IF(AND('Zdroj data'!BP128&gt;=Body!$BK$27,'Zdroj data'!BP128&lt;=Body!$BM$27),Body!$BK$22,IF(AND('Zdroj data'!BP128&gt;=Body!$BN$27,'Zdroj data'!BP128&lt;=Body!$BP$27),Body!$BN$22,IF(AND('Zdroj data'!BP128&gt;=Body!$BQ$27,'Zdroj data'!BP128&lt;=Body!$BS$27),Body!$BQ$22,IF(AND('Zdroj data'!BP128&gt;=Body!$BT$27,'Zdroj data'!BP128&lt;=Body!$BV$27),Body!$BT$22,IF(AND('Zdroj data'!BP128&gt;=Body!$BW$27,'Zdroj data'!BP128&lt;=Body!$BY$27),Body!$BW$22,IF('Zdroj data'!BP128&gt;=Body!$CB$27,$BZ$22," "))))))))))</f>
        <v>3</v>
      </c>
      <c r="X128" s="264">
        <f>IF('Zdroj data'!BA128=Body!$BB$28,$BB$22,IF('Zdroj data'!BA128=Body!$BE$28,$BE$22,IF(OR('Zdroj data'!BA128=Body!$BK$28,'Zdroj data'!BA128=Body!$BL$28,'Zdroj data'!BA128=Body!$BM$28),$BK$22,IF(OR('Zdroj data'!BA128=Body!$BT$28,'Zdroj data'!BA128=Body!$BV$28),$BT$22,IF(OR('Zdroj data'!BA128=Body!$BW$28,'Zdroj data'!BA128=Body!$BY$28),$BW$22,IF('Zdroj data'!BA128=Body!$BZ$28,$BZ$22," "))))))</f>
        <v>5</v>
      </c>
      <c r="Y128" s="264">
        <f>IF('Zdroj data'!AZ128=Body!$BZ$29,Body!$BZ$22,IF(OR('Zdroj data'!AZ128=$BT$29,'Zdroj data'!AZ128=$BU$29,'Zdroj data'!AZ128=$BV$29),$BT$22,IF(OR('Zdroj data'!AZ128=$BK$29,'Zdroj data'!AZ128=$BM$29),$BK$22,IF(OR('Zdroj data'!AZ128=$BE$29,'Zdroj data'!AZ128=$BG$29),$BE$22,IF(OR('Zdroj data'!AZ128=$AY$29,'Zdroj data'!AZ128=$BA$29),$AY$22," ")))))</f>
        <v>8</v>
      </c>
      <c r="Z128" s="264">
        <f>IF(AND('Zdroj data'!BF128="T",(OR('Zdroj data'!AZ128=Body!$AW$45,'Zdroj data'!AZ128=Body!$AW$46,'Zdroj data'!AZ128=Body!$AW$47,'Zdroj data'!AZ128=Body!$AW$48))),Body!$AY$22,IF(AND('Zdroj data'!BF128="T",(OR('Zdroj data'!AZ128=$AW$49,'Zdroj data'!AZ128=$AW$50,'Zdroj data'!AZ128=$AW$51,'Zdroj data'!AZ128=$AW$52))),$BZ$22,IF(AND(OR('Zdroj data'!BF128="VT",'Zdroj data'!BF128="T",'Zdroj data'!BF128="CH"),(OR('Zdroj data'!AZ128=$AW$43,'Zdroj data'!AZ128=$AW$44,))),$BZ$22,IF(AND('Zdroj data'!BF128="CH",(OR('Zdroj data'!AZ128=$AW$49,'Zdroj data'!AZ128=$AW$50,'Zdroj data'!AZ128=$AW$51,'Zdroj data'!AZ128=$AW$52))),$AY$22,IF(AND('Zdroj data'!BF128="CH",(OR('Zdroj data'!AZ128=$AW$45,'Zdroj data'!AZ128=$AW$46,'Zdroj data'!AZ128=$AW$47,'Zdroj data'!AZ128=$AW$48))),$BZ$22," ")))))</f>
        <v>10</v>
      </c>
      <c r="AA128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28" s="264">
        <f>IF(Tabulka1[[#This Row],[kv.ek.]]=Body!$BK$35,Body!$BK$34,IF(Tabulka1[[#This Row],[kv.ek.]]=Body!$BZ$35,Body!$BZ$34," "))</f>
        <v>5</v>
      </c>
      <c r="AC128" s="264" t="str">
        <f>IF(AND('Zdroj data'!BF128="T",(OR('Zdroj data'!AZ128=Body!$AW$45,'Zdroj data'!AZ128=Body!$AW$46,'Zdroj data'!AZ128=Body!$AW$47,'Zdroj data'!AZ128=Body!$AW$48))),Body!$AY$22,IF(AND('Zdroj data'!BF128="T",(OR('Zdroj data'!AZ128=$AW$49,'Zdroj data'!AZ128=$AW$50,'Zdroj data'!AZ128=$AW$51,'Zdroj data'!AZ128=$AW$52))),$BZ$22," "))</f>
        <v xml:space="preserve"> </v>
      </c>
      <c r="AD128" s="264">
        <f>IF(AND(OR('Zdroj data'!BF128="VT",'Zdroj data'!BF128="T",'Zdroj data'!BF128="CH"),(OR('Zdroj data'!AZ128=$AW$43,'Zdroj data'!AZ128=$AW$44,))),$BZ$22," ")</f>
        <v>10</v>
      </c>
      <c r="AE128" s="264" t="str">
        <f>IF(AND('Zdroj data'!BF128="CH",(OR('Zdroj data'!AZ128=$AW$49,'Zdroj data'!AZ128=$AW$50,'Zdroj data'!AZ128=$AW$51,'Zdroj data'!AZ128=$AW$52))),$AY$22,IF(AND('Zdroj data'!BF128="CH",(OR('Zdroj data'!AZ128=$AW$45,'Zdroj data'!AZ128=$AW$46,'Zdroj data'!AZ128=$AW$47,'Zdroj data'!AZ128=$AW$48))),$BZ$22," "))</f>
        <v xml:space="preserve"> </v>
      </c>
      <c r="AF128" s="264">
        <f>IF(AND('Zdroj data'!BG128="L",'Zdroj data'!AM128=Body!$AX$15),IF(AND('Zdroj data'!O128&gt;=Body!$AY$15,'Zdroj data'!O128&lt;=Body!$BA$15),Body!AY$6,IF(AND('Zdroj data'!O128&gt;=Body!$BB$15,'Zdroj data'!O128&lt;=Body!$BD$15),Body!BB$6,IF(AND('Zdroj data'!O128&gt;=Body!$BE$15,'Zdroj data'!O128&lt;=Body!$BG$15),Body!BE$6,IF(AND('Zdroj data'!O128&gt;=Body!$BH$15,'Zdroj data'!O128&lt;=Body!$BJ$15),Body!BH$6,IF(AND('Zdroj data'!O128&gt;=Body!$BK$15,'Zdroj data'!O128&lt;=Body!$BM$15),Body!BK$6,IF(AND('Zdroj data'!O128&gt;=Body!$BN$15,'Zdroj data'!O128&lt;=Body!$BP$15),Body!$BN$6,IF(AND('Zdroj data'!O128&gt;=Body!$BQ$15,'Zdroj data'!O128&lt;=Body!$BS$15),Body!$BQ$6,IF(AND('Zdroj data'!O128&gt;=Body!$BT$15,'Zdroj data'!O128&lt;=Body!$BV$15),Body!BT$6,IF(AND('Zdroj data'!O128&gt;=Body!$BW$15,'Zdroj data'!O128&lt;=Body!$BY$15),Body!$BW$6,IF('Zdroj data'!O128&gt;=Body!$CB$15,Body!$BZ$6," ")))))))))),IF(AND('Zdroj data'!BG128="ST",'Zdroj data'!AM128=Body!$AX$16),IF(AND('Zdroj data'!O128&gt;=Body!$AY$16,'Zdroj data'!O128&lt;=Body!$BA$16),Body!$AY$6,IF(AND('Zdroj data'!O128&gt;=Body!$BB$16,'Zdroj data'!O128&lt;=Body!$BD$16),Body!$BB$6,IF(AND('Zdroj data'!O128&gt;=Body!$BE$16,'Zdroj data'!O128&lt;=Body!$BG$16),Body!$BE$6,IF(AND('Zdroj data'!O128&gt;=Body!$BH$16,'Zdroj data'!O128&lt;=Body!$BJ$16),Body!$BH$6,IF(AND('Zdroj data'!O128&gt;=Body!$BK$16,'Zdroj data'!O128&lt;=Body!$BM$16),Body!$BK$6,IF(AND('Zdroj data'!O128&gt;=Body!$BN$16,'Zdroj data'!O128&lt;=Body!$BP$16),Body!$BN$6,IF(AND('Zdroj data'!O128&gt;=Body!$BQ$16,'Zdroj data'!O128&lt;=Body!$BS$16),Body!$BQ$6,IF(AND('Zdroj data'!O128&gt;=Body!$BT$16,'Zdroj data'!O128&lt;=Body!$BV$16),Body!$BT$6,IF(AND('Zdroj data'!O128&gt;=Body!$BW$16,'Zdroj data'!O128&lt;=Body!$BY$16),Body!$BW$6,IF('Zdroj data'!O128&gt;=Body!$CB$16,Body!$BZ$6," ")))))))))),IF(AND('Zdroj data'!BG128="T",'Zdroj data'!AM128=Body!$AX$17),IF(AND('Zdroj data'!O128&gt;=Body!$AY$17,'Zdroj data'!O128&lt;=Body!$BA$17),Body!$AY$6,IF(AND('Zdroj data'!O128&gt;=Body!$BB$17,'Zdroj data'!O128&lt;=Body!$BD$17),Body!$BB$6,IF(AND('Zdroj data'!O128&gt;=Body!$BE$17,'Zdroj data'!O128&lt;=Body!$BG$17),Body!$BE$6,IF(AND('Zdroj data'!O128&gt;=Body!$BH$17,'Zdroj data'!O128&lt;=Body!#REF!),Body!$BH$6,IF(AND('Zdroj data'!O128&gt;=Body!$BK$17,'Zdroj data'!O128&lt;=Body!$BM$17),Body!$BK$6,IF(AND('Zdroj data'!O128&gt;=Body!$BN$17,'Zdroj data'!O128&lt;=Body!$BP$17),Body!$BN$6,IF(AND('Zdroj data'!O128&gt;=Body!$BQ$17,'Zdroj data'!O128&lt;=Body!$BS$17),Body!$BQ$6,IF(AND('Zdroj data'!O128&gt;=Body!$BT$17,'Zdroj data'!O128&lt;=Body!$BV$17),Body!$BT$6,IF(AND('Zdroj data'!O128&gt;=Body!$BW$17,'Zdroj data'!O128&lt;=Body!$BY$17),Body!$BW$6,IF('Zdroj data'!O128&gt;=Body!$CB$17,Body!$BZ$6," "))))))))))," ")))</f>
        <v>3</v>
      </c>
      <c r="AG128" s="264">
        <f>IF(AND('Zdroj data'!$BG128="L",'Zdroj data'!$AM128=Body!$AX$15),IF(AND(Tabulka1[[#This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data'!$BG128="ST",'Zdroj data'!$AM128=Body!$AX$16),IF(AND(Tabulka1[[#This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data'!$BG128="T",'Zdroj data'!$AM128=Body!$AX$17),IF(AND(Tabulka1[[#This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28" s="264" t="str">
        <f>IF(AND('Zdroj data'!BG128="L",'Zdroj data'!AM128=Body!$AX$18),IF(AND('Zdroj data'!O128&gt;=Body!$AY$18,'Zdroj data'!O128&lt;=Body!$BA$18),Body!AY$6,IF(AND('Zdroj data'!O128&gt;=Body!$BB$18,'Zdroj data'!O128&lt;=Body!$BD$18),Body!BB$6,IF(AND('Zdroj data'!O128&gt;=Body!$BE$18,'Zdroj data'!O128&lt;=Body!$BG$18),Body!BE$6,IF(AND('Zdroj data'!O128&gt;=Body!$BH$18,'Zdroj data'!O128&lt;=Body!$BJ$18),Body!BH$6,IF(AND('Zdroj data'!O128&gt;=Body!$BK$18,'Zdroj data'!O128&lt;=Body!$BM$18),Body!$BK$6,IF(AND('Zdroj data'!O128&gt;=Body!$BN$18,'Zdroj data'!O128&lt;=Body!$BP$18),Body!BN$6,IF(AND('Zdroj data'!O128&gt;=Body!$BQ$18,'Zdroj data'!O128&lt;=Body!$BS$18),Body!$BQ$6,IF(AND('Zdroj data'!O128&gt;=Body!$BT$18,'Zdroj data'!O128&lt;=Body!$BV$18),Body!$BT$6,IF(AND('Zdroj data'!O128&gt;=Body!$BW$18,'Zdroj data'!O128&lt;=Body!$BY$18),Body!$BW$6,IF('Zdroj data'!O128&gt;=Body!$CB$18,Body!$BZ$6," ")))))))))),IF(AND('Zdroj data'!BG128="ST",'Zdroj data'!AM128=Body!$AX$19),IF(AND('Zdroj data'!O128&gt;=Body!$AY$19,'Zdroj data'!O128&lt;=Body!$BA$19),Body!$AY$6,IF(AND('Zdroj data'!O128&gt;=Body!$BB$19,'Zdroj data'!O128&lt;=Body!$BD$19),Body!$BB$6,IF(AND('Zdroj data'!O128&gt;=Body!$BE$19,'Zdroj data'!O128&lt;=Body!$BG$19),Body!$BE$6,IF(AND('Zdroj data'!O128&gt;=Body!$BH$19,'Zdroj data'!O128&lt;=Body!$BJ$19),Body!$BH$6,IF(AND('Zdroj data'!O128&gt;=Body!$BK$19,'Zdroj data'!O128&lt;=Body!$BM$19),Body!$BK$6,IF(AND('Zdroj data'!O128&gt;=Body!$BN$19,'Zdroj data'!O128&lt;=Body!$BP$19),Body!$BN$6,IF(AND('Zdroj data'!O128&gt;=Body!$BQ$19,'Zdroj data'!O128&lt;=Body!$BS$19),Body!$BQ$6,IF(AND('Zdroj data'!O128&gt;=Body!$BT$19,'Zdroj data'!O132&lt;=Body!$BV$19),Body!$BT$6,IF(AND('Zdroj data'!O128&gt;=Body!$BW$19,'Zdroj data'!O128&lt;=Body!$BY$19),Body!$BW$6,IF('Zdroj data'!O128&gt;=Body!$CB$19,Body!$BZ$6," ")))))))))),IF(AND('Zdroj data'!BG128="T",'Zdroj data'!AM128=Body!$AX$20),IF(AND('Zdroj data'!O128&gt;=Body!$AY$20,'Zdroj data'!O128&lt;=Body!$BA$20),Body!$AY$6,IF(AND('Zdroj data'!O128&gt;=Body!$BB$20,'Zdroj data'!O128&lt;=Body!$BD$20),Body!$BB$6,IF(AND('Zdroj data'!O128&gt;=Body!$BE$20,'Zdroj data'!O128&lt;=Body!$BG$20),Body!$BE$6,IF(AND('Zdroj data'!O128&gt;=Body!$BH$20,'Zdroj data'!O128&lt;=Body!$BJ$20),Body!$BH$6,IF(AND('Zdroj data'!O128&gt;=Body!$BK$20,'Zdroj data'!O128&lt;=Body!$BM$20),Body!$BK$6,IF(AND('Zdroj data'!O128&gt;=Body!$BN$20,'Zdroj data'!O128&lt;=Body!$BP$20),Body!$BN$6,IF(AND('Zdroj data'!O128&gt;=Body!$BQ$20,'Zdroj data'!O128&lt;=Body!$BS$20),Body!$BQ$6,IF(AND('Zdroj data'!O128&gt;=Body!$BT$20,'Zdroj data'!O128&lt;=Body!#REF!),Body!$BT$6,IF(AND('Zdroj data'!O128&gt;=Body!$BW$20,'Zdroj data'!O128&lt;=Body!$BY$20),Body!$BW$6,IF('Zdroj data'!O128&gt;=Body!$CB$20,Body!$BZ$6," "))))))))))," ")))</f>
        <v xml:space="preserve"> </v>
      </c>
      <c r="AI128" s="264" t="str">
        <f>IF(AND('Zdroj data'!$BG128="L",'Zdroj data'!$AM128=Body!$AX$18),IF(AND(Tabulka1[[#This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data'!$BG128="ST",'Zdroj data'!$AM128=Body!$AX$19),IF(AND(Tabulka1[[#This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data'!$BG128="T",'Zdroj data'!$AM128=Body!$AX$20),IF(AND(Tabulka1[[#This Row],[K2O_60]]&gt;=Body!$AY$20,'Zdroj data'!O128&lt;=Body!$BA$20),Body!$AY$6,IF(AND(Tabulka1[[#This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28" s="265">
        <f t="shared" si="13"/>
        <v>8.0000000000000071</v>
      </c>
      <c r="AK128" s="264">
        <f t="shared" si="14"/>
        <v>26.419427752842033</v>
      </c>
      <c r="AL128" s="264">
        <f t="shared" si="15"/>
        <v>23.850559583156219</v>
      </c>
      <c r="AM128" s="264">
        <f t="shared" si="16"/>
        <v>66.335384011750875</v>
      </c>
      <c r="AN128" s="264">
        <f t="shared" si="17"/>
        <v>53.874356475992947</v>
      </c>
      <c r="AO128" s="265">
        <f t="shared" si="21"/>
        <v>92.754811764592915</v>
      </c>
      <c r="AP128" s="265">
        <f t="shared" si="18"/>
        <v>77.724916059149166</v>
      </c>
      <c r="AQ128" s="318"/>
      <c r="AR128" s="338">
        <f t="shared" si="19"/>
        <v>178.47972782374208</v>
      </c>
      <c r="AS128" s="318"/>
      <c r="AT128" s="138"/>
      <c r="AU128" s="138"/>
    </row>
    <row r="129" spans="1:47" ht="15.5" x14ac:dyDescent="0.35">
      <c r="A129" s="270">
        <v>5555</v>
      </c>
      <c r="B129" s="156" t="s">
        <v>24</v>
      </c>
      <c r="C129" s="250" t="str">
        <f>VLOOKUP(B129,'Zdroj hloubka okresy'!$A$2:$D$171,2,FALSE)</f>
        <v>Kutna_Hora</v>
      </c>
      <c r="D129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129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129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129" s="264">
        <f>IF(AND(Tabulka1[[#This Row],[hum_60]]&gt;AY135,Tabulka1[[#This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29" s="264">
        <f>IF(Tabulka1[[#This Row],[kv.ek.]]=Body!$AX$13,IF(AND('Zdroj data'!M129&gt;=Body!$AY$13,'Zdroj data'!M129&lt;=Body!$BA$13),Body!$AY$6,IF(AND('Zdroj data'!M129&gt;=Body!$BB$13,'Zdroj data'!M129&lt;=Body!$BD$13),Body!$BB$6,IF(AND('Zdroj data'!M129&gt;=Body!$BE$13,'Zdroj data'!M129&lt;=Body!$BG$13),Body!$BE$6,IF(AND('Zdroj data'!M129&gt;=Body!$BH$13,'Zdroj data'!M129&lt;=Body!$BJ$13),Body!$BH$6,IF(AND('Zdroj data'!M129&gt;=Body!$BK$13,'Zdroj data'!M129&lt;=Body!$BM$13),Body!$BK$6,IF(AND('Zdroj data'!M129&gt;=Body!$BN$13,'Zdroj data'!M129&lt;=Body!$BP$13),Body!$BN$6,IF(AND('Zdroj data'!M129&gt;=Body!$BQ$13,'Zdroj data'!M129&lt;=Body!$BS$13),Body!$BQ$6,IF(AND('Zdroj data'!M129&gt;=Body!$BT$13,'Zdroj data'!M129&lt;=Body!$BV$13),Body!$BT$6,IF(AND('Zdroj data'!M129&gt;=Body!$BW$13,'Zdroj data'!M129&lt;=Body!$BY$13),Body!$BW$6,IF('Zdroj data'!M129&gt;=Body!$CB$13,Body!$BZ$6," ")))))))))),IF(Tabulka1[[#This Row],[kv.ek.]]=Body!$AX$14,IF(AND('Zdroj data'!N129&gt;=Body!$AY$14,'Zdroj data'!N129&lt;=Body!$BA$14),Body!$AY$6,IF(AND('Zdroj data'!N129&gt;=Body!$BB$14,'Zdroj data'!N129&lt;=Body!$BD$14),Body!$BB$6,IF(AND('Zdroj data'!N129&gt;=Body!$BE$14,'Zdroj data'!N129&lt;=Body!$BG$14),Body!$BE$6,IF(AND('Zdroj data'!N129&gt;=Body!$BH$14,'Zdroj data'!N129&lt;=Body!$BJ$14),Body!$BH$6,IF(AND('Zdroj data'!N129&gt;=Body!$BK$14,'Zdroj data'!N129&lt;=Body!$BM$14),Body!$BK$6,IF(AND('Zdroj data'!N129&gt;=Body!$BN$14,'Zdroj data'!N129&lt;=Body!$BP$14),Body!$BN$6,IF(AND('Zdroj data'!N129&gt;=Body!$BQ$14,'Zdroj data'!N129&lt;=Body!$BS$14),Body!$BQ$6,IF(AND('Zdroj data'!N129&gt;=Body!$BT$14,'Zdroj data'!N129&lt;=Body!$BV$14),Body!$BT$6,IF(AND('Zdroj data'!N129&gt;=Body!$BW$14,'Zdroj data'!N129&lt;=Body!$BY$14),Body!$BW$6,IF('Zdroj data'!N129&gt;=Body!$CB$14,Body!$BZ$6," "))))))))))," "))</f>
        <v>1</v>
      </c>
      <c r="I129" s="264">
        <f>IF(Tabulka1[[#This Row],[kv.ek.]]=Body!$AX$13,IF(AND('Zdroj data'!N129&gt;=Body!$AY$13,'Zdroj data'!N129&lt;=Body!$BA$13),Body!$AY$6,IF(AND('Zdroj data'!N129&gt;=Body!$BB$13,'Zdroj data'!N129&lt;=Body!$BD$13),Body!$BB$6,IF(AND('Zdroj data'!N129&gt;=Body!$BE$13,'Zdroj data'!N129&lt;=Body!$BG$13),Body!$BE$6,IF(AND('Zdroj data'!N129&gt;=Body!$BH$13,'Zdroj data'!N129&lt;=Body!$BJ$13),Body!$BH$6,IF(AND('Zdroj data'!N129&gt;=Body!$BK$13,'Zdroj data'!N129&lt;=Body!$BM$13),Body!$BK$6,IF(AND('Zdroj data'!N129&gt;=Body!$BN$13,'Zdroj data'!N129&lt;=Body!$BP$13),Body!$BN$6,IF(AND('Zdroj data'!N129&gt;=Body!$BQ$13,'Zdroj data'!N129&lt;=Body!$BS$13),Body!$BQ$6,IF(AND('Zdroj data'!N129&gt;=Body!$BT$13,'Zdroj data'!N129&lt;=Body!$BV$13),Body!$BT$6,IF(AND('Zdroj data'!N129&gt;=Body!$BW$13,'Zdroj data'!N129&lt;=Body!$BY$13),Body!$BW$6,IF('Zdroj data'!N129&gt;=Body!$CB$13,Body!$BZ$6," ")))))))))),IF(Tabulka1[[#This Row],[kv.ek.]]=Body!$AX$14,IF(AND('Zdroj data'!O129&gt;=Body!$AY$14,'Zdroj data'!O129&lt;=Body!$BA$14),Body!$AY$6,IF(AND('Zdroj data'!O129&gt;=Body!$BB$14,'Zdroj data'!O129&lt;=Body!$BD$14),Body!$BB$6,IF(AND('Zdroj data'!O129&gt;=Body!$BE$14,'Zdroj data'!O129&lt;=Body!$BG$14),Body!$BE$6,IF(AND('Zdroj data'!O129&gt;=Body!$BH$14,'Zdroj data'!O129&lt;=Body!$BJ$14),Body!$BH$6,IF(AND('Zdroj data'!O129&gt;=Body!$BK$14,'Zdroj data'!O129&lt;=Body!$BM$14),Body!$BK$6,IF(AND('Zdroj data'!O129&gt;=Body!$BN$14,'Zdroj data'!O129&lt;=Body!$BP$14),Body!$BN$6,IF(AND('Zdroj data'!O129&gt;=Body!$BQ$14,'Zdroj data'!O129&lt;=Body!$BS$14),Body!$BQ$6,IF(AND('Zdroj data'!O129&gt;=Body!$BT$14,'Zdroj data'!O129&lt;=Body!$BV$14),Body!$BT$6,IF(AND('Zdroj data'!O129&gt;=Body!$BW$14,'Zdroj data'!O129&lt;=Body!$BY$14),Body!$BW$6,IF('Zdroj data'!O129&gt;=Body!$CB$14,Body!$BZ$6," "))))))))))," "))</f>
        <v>1</v>
      </c>
      <c r="J129" s="264">
        <f t="shared" si="25"/>
        <v>1</v>
      </c>
      <c r="K129" s="264">
        <f t="shared" si="25"/>
        <v>1</v>
      </c>
      <c r="L129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129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129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5</v>
      </c>
      <c r="O129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6</v>
      </c>
      <c r="P129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29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129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129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129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129" s="264">
        <f>IF('Zdroj data'!BB129=Body!$AY$25,Body!$AY$22,IF('Zdroj data'!BB129=Body!$BB$25,Body!$BB$22,IF('Zdroj data'!BB129=Body!$BE$25,Body!$BE$22,IF('Zdroj data'!BB129=Body!$BH$25,Body!$BH$22,IF('Zdroj data'!BB129=Body!BK$25,Body!$BK$22,IF('Zdroj data'!BB129=Body!$BN$25,Body!$BN$22,IF('Zdroj data'!BB129=Body!$BQ$25,Body!$BQ$22,IF('Zdroj data'!BB129=Body!$BT$25,Body!$BT$22,IF('Zdroj data'!BB129=Body!$BW$25,Body!$BW$22,IF('Zdroj data'!BB129=Body!$BZ$25,Body!$BZ$22," "))))))))))</f>
        <v>5</v>
      </c>
      <c r="V129" s="264">
        <f>IF(AND('Zdroj data'!BO129&gt;Body!$AY$27,'Zdroj data'!BO129&lt;=Body!$BA$27),Body!$AY$22,IF(AND('Zdroj data'!BO129&gt;=Body!$BB$27,'Zdroj data'!BO129&lt;=Body!$BD$27),Body!$BB$22,IF(AND('Zdroj data'!BO129&gt;=Body!$BE$27,'Zdroj data'!BO129&lt;=Body!$BG$27),Body!$BE$22,IF(AND('Zdroj data'!BO129&gt;=Body!$BH$27,'Zdroj data'!BO129&lt;=Body!$BJ$27),Body!$BH$22,IF(AND('Zdroj data'!BO129&gt;=Body!$BK$27,'Zdroj data'!BO129&lt;=Body!$BM$27),Body!$BK$22,IF(AND('Zdroj data'!BO129&gt;=Body!$BN$27,'Zdroj data'!BO129&lt;=Body!$BP$27),Body!$BN$22,IF(AND('Zdroj data'!BO129&gt;=Body!$BQ$27,'Zdroj data'!BO129&lt;=Body!$BS$27),Body!$BQ$22,IF(AND('Zdroj data'!BO129&gt;=Body!$BT$27,'Zdroj data'!BO129&lt;=Body!$BV$27),Body!$BT$22,IF(AND('Zdroj data'!BO129&gt;=Body!$BW$27,'Zdroj data'!BO129&lt;=Body!$BY$27),Body!$BW$22,IF('Zdroj data'!BO129&gt;=Body!$CB$27,$BZ$22," "))))))))))</f>
        <v>6</v>
      </c>
      <c r="W129" s="264">
        <f>IF(AND('Zdroj data'!BP129&gt;Body!$AY$27,'Zdroj data'!BP129&lt;=Body!$BA$27),Body!$AY$22,IF(AND('Zdroj data'!BP129&gt;=Body!$BB$27,'Zdroj data'!BP129&lt;=Body!$BD$27),Body!$BB$22,IF(AND('Zdroj data'!BP129&gt;=Body!$BE$27,'Zdroj data'!BP129&lt;=Body!$BG$27),Body!$BE$22,IF(AND('Zdroj data'!BP129&gt;=Body!$BH$27,'Zdroj data'!BP129&lt;=Body!$BJ$27),Body!$BH$22,IF(AND('Zdroj data'!BP129&gt;=Body!$BK$27,'Zdroj data'!BP129&lt;=Body!$BM$27),Body!$BK$22,IF(AND('Zdroj data'!BP129&gt;=Body!$BN$27,'Zdroj data'!BP129&lt;=Body!$BP$27),Body!$BN$22,IF(AND('Zdroj data'!BP129&gt;=Body!$BQ$27,'Zdroj data'!BP129&lt;=Body!$BS$27),Body!$BQ$22,IF(AND('Zdroj data'!BP129&gt;=Body!$BT$27,'Zdroj data'!BP129&lt;=Body!$BV$27),Body!$BT$22,IF(AND('Zdroj data'!BP129&gt;=Body!$BW$27,'Zdroj data'!BP129&lt;=Body!$BY$27),Body!$BW$22,IF('Zdroj data'!BP129&gt;=Body!$CB$27,$BZ$22," "))))))))))</f>
        <v>6</v>
      </c>
      <c r="X129" s="264">
        <f>IF('Zdroj data'!BA129=Body!$BB$28,$BB$22,IF('Zdroj data'!BA129=Body!$BE$28,$BE$22,IF(OR('Zdroj data'!BA129=Body!$BK$28,'Zdroj data'!BA129=Body!$BL$28,'Zdroj data'!BA129=Body!$BM$28),$BK$22,IF(OR('Zdroj data'!BA129=Body!$BT$28,'Zdroj data'!BA129=Body!$BV$28),$BT$22,IF(OR('Zdroj data'!BA129=Body!$BW$28,'Zdroj data'!BA129=Body!$BY$28),$BW$22,IF('Zdroj data'!BA129=Body!$BZ$28,$BZ$22," "))))))</f>
        <v>5</v>
      </c>
      <c r="Y129" s="264">
        <f>IF('Zdroj data'!AZ129=Body!$BZ$29,Body!$BZ$22,IF(OR('Zdroj data'!AZ129=$BT$29,'Zdroj data'!AZ129=$BU$29,'Zdroj data'!AZ129=$BV$29),$BT$22,IF(OR('Zdroj data'!AZ129=$BK$29,'Zdroj data'!AZ129=$BM$29),$BK$22,IF(OR('Zdroj data'!AZ129=$BE$29,'Zdroj data'!AZ129=$BG$29),$BE$22,IF(OR('Zdroj data'!AZ129=$AY$29,'Zdroj data'!AZ129=$BA$29),$AY$22," ")))))</f>
        <v>8</v>
      </c>
      <c r="Z129" s="264">
        <f>IF(AND('Zdroj data'!BF129="T",(OR('Zdroj data'!AZ129=Body!$AW$45,'Zdroj data'!AZ129=Body!$AW$46,'Zdroj data'!AZ129=Body!$AW$47,'Zdroj data'!AZ129=Body!$AW$48))),Body!$AY$22,IF(AND('Zdroj data'!BF129="T",(OR('Zdroj data'!AZ129=$AW$49,'Zdroj data'!AZ129=$AW$50,'Zdroj data'!AZ129=$AW$51,'Zdroj data'!AZ129=$AW$52))),$BZ$22,IF(AND(OR('Zdroj data'!BF129="VT",'Zdroj data'!BF129="T",'Zdroj data'!BF129="CH"),(OR('Zdroj data'!AZ129=$AW$43,'Zdroj data'!AZ129=$AW$44,))),$BZ$22,IF(AND('Zdroj data'!BF129="CH",(OR('Zdroj data'!AZ129=$AW$49,'Zdroj data'!AZ129=$AW$50,'Zdroj data'!AZ129=$AW$51,'Zdroj data'!AZ129=$AW$52))),$AY$22,IF(AND('Zdroj data'!BF129="CH",(OR('Zdroj data'!AZ129=$AW$45,'Zdroj data'!AZ129=$AW$46,'Zdroj data'!AZ129=$AW$47,'Zdroj data'!AZ129=$AW$48))),$BZ$22," ")))))</f>
        <v>10</v>
      </c>
      <c r="AA129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29" s="264">
        <f>IF(Tabulka1[[#This Row],[kv.ek.]]=Body!$BK$35,Body!$BK$34,IF(Tabulka1[[#This Row],[kv.ek.]]=Body!$BZ$35,Body!$BZ$34," "))</f>
        <v>5</v>
      </c>
      <c r="AC129" s="264" t="str">
        <f>IF(AND('Zdroj data'!BF129="T",(OR('Zdroj data'!AZ129=Body!$AW$45,'Zdroj data'!AZ129=Body!$AW$46,'Zdroj data'!AZ129=Body!$AW$47,'Zdroj data'!AZ129=Body!$AW$48))),Body!$AY$22,IF(AND('Zdroj data'!BF129="T",(OR('Zdroj data'!AZ129=$AW$49,'Zdroj data'!AZ129=$AW$50,'Zdroj data'!AZ129=$AW$51,'Zdroj data'!AZ129=$AW$52))),$BZ$22," "))</f>
        <v xml:space="preserve"> </v>
      </c>
      <c r="AD129" s="264">
        <f>IF(AND(OR('Zdroj data'!BF129="VT",'Zdroj data'!BF129="T",'Zdroj data'!BF129="CH"),(OR('Zdroj data'!AZ129=$AW$43,'Zdroj data'!AZ129=$AW$44,))),$BZ$22," ")</f>
        <v>10</v>
      </c>
      <c r="AE129" s="264" t="str">
        <f>IF(AND('Zdroj data'!BF129="CH",(OR('Zdroj data'!AZ129=$AW$49,'Zdroj data'!AZ129=$AW$50,'Zdroj data'!AZ129=$AW$51,'Zdroj data'!AZ129=$AW$52))),$AY$22,IF(AND('Zdroj data'!BF129="CH",(OR('Zdroj data'!AZ129=$AW$45,'Zdroj data'!AZ129=$AW$46,'Zdroj data'!AZ129=$AW$47,'Zdroj data'!AZ129=$AW$48))),$BZ$22," "))</f>
        <v xml:space="preserve"> </v>
      </c>
      <c r="AF129" s="264">
        <f>IF(AND('Zdroj data'!BG129="L",'Zdroj data'!AM129=Body!$AX$15),IF(AND('Zdroj data'!O129&gt;=Body!$AY$15,'Zdroj data'!O129&lt;=Body!$BA$15),Body!AY$6,IF(AND('Zdroj data'!O129&gt;=Body!$BB$15,'Zdroj data'!O129&lt;=Body!$BD$15),Body!BB$6,IF(AND('Zdroj data'!O129&gt;=Body!$BE$15,'Zdroj data'!O129&lt;=Body!$BG$15),Body!BE$6,IF(AND('Zdroj data'!O129&gt;=Body!$BH$15,'Zdroj data'!O129&lt;=Body!$BJ$15),Body!BH$6,IF(AND('Zdroj data'!O129&gt;=Body!$BK$15,'Zdroj data'!O129&lt;=Body!$BM$15),Body!BK$6,IF(AND('Zdroj data'!O129&gt;=Body!$BN$15,'Zdroj data'!O129&lt;=Body!$BP$15),Body!$BN$6,IF(AND('Zdroj data'!O129&gt;=Body!$BQ$15,'Zdroj data'!O129&lt;=Body!$BS$15),Body!$BQ$6,IF(AND('Zdroj data'!O129&gt;=Body!$BT$15,'Zdroj data'!O129&lt;=Body!$BV$15),Body!BT$6,IF(AND('Zdroj data'!O129&gt;=Body!$BW$15,'Zdroj data'!O129&lt;=Body!$BY$15),Body!$BW$6,IF('Zdroj data'!O129&gt;=Body!$CB$15,Body!$BZ$6," ")))))))))),IF(AND('Zdroj data'!BG129="ST",'Zdroj data'!AM129=Body!$AX$16),IF(AND('Zdroj data'!O129&gt;=Body!$AY$16,'Zdroj data'!O129&lt;=Body!$BA$16),Body!$AY$6,IF(AND('Zdroj data'!O129&gt;=Body!$BB$16,'Zdroj data'!O129&lt;=Body!$BD$16),Body!$BB$6,IF(AND('Zdroj data'!O129&gt;=Body!$BE$16,'Zdroj data'!O129&lt;=Body!$BG$16),Body!$BE$6,IF(AND('Zdroj data'!O129&gt;=Body!$BH$16,'Zdroj data'!O129&lt;=Body!$BJ$16),Body!$BH$6,IF(AND('Zdroj data'!O129&gt;=Body!$BK$16,'Zdroj data'!O129&lt;=Body!$BM$16),Body!$BK$6,IF(AND('Zdroj data'!O129&gt;=Body!$BN$16,'Zdroj data'!O129&lt;=Body!$BP$16),Body!$BN$6,IF(AND('Zdroj data'!O129&gt;=Body!$BQ$16,'Zdroj data'!O129&lt;=Body!$BS$16),Body!$BQ$6,IF(AND('Zdroj data'!O129&gt;=Body!$BT$16,'Zdroj data'!O129&lt;=Body!$BV$16),Body!$BT$6,IF(AND('Zdroj data'!O129&gt;=Body!$BW$16,'Zdroj data'!O129&lt;=Body!$BY$16),Body!$BW$6,IF('Zdroj data'!O129&gt;=Body!$CB$16,Body!$BZ$6," ")))))))))),IF(AND('Zdroj data'!BG129="T",'Zdroj data'!AM129=Body!$AX$17),IF(AND('Zdroj data'!O129&gt;=Body!$AY$17,'Zdroj data'!O129&lt;=Body!$BA$17),Body!$AY$6,IF(AND('Zdroj data'!O129&gt;=Body!$BB$17,'Zdroj data'!O129&lt;=Body!$BD$17),Body!$BB$6,IF(AND('Zdroj data'!O129&gt;=Body!$BE$17,'Zdroj data'!O129&lt;=Body!$BG$17),Body!$BE$6,IF(AND('Zdroj data'!O129&gt;=Body!$BH$17,'Zdroj data'!O129&lt;=Body!#REF!),Body!$BH$6,IF(AND('Zdroj data'!O129&gt;=Body!$BK$17,'Zdroj data'!O129&lt;=Body!$BM$17),Body!$BK$6,IF(AND('Zdroj data'!O129&gt;=Body!$BN$17,'Zdroj data'!O129&lt;=Body!$BP$17),Body!$BN$6,IF(AND('Zdroj data'!O129&gt;=Body!$BQ$17,'Zdroj data'!O129&lt;=Body!$BS$17),Body!$BQ$6,IF(AND('Zdroj data'!O129&gt;=Body!$BT$17,'Zdroj data'!O129&lt;=Body!$BV$17),Body!$BT$6,IF(AND('Zdroj data'!O129&gt;=Body!$BW$17,'Zdroj data'!O129&lt;=Body!$BY$17),Body!$BW$6,IF('Zdroj data'!O129&gt;=Body!$CB$17,Body!$BZ$6," "))))))))))," ")))</f>
        <v>1</v>
      </c>
      <c r="AG129" s="264">
        <f>IF(AND('Zdroj data'!$BG129="L",'Zdroj data'!$AM129=Body!$AX$15),IF(AND(Tabulka1[[#This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data'!$BG129="ST",'Zdroj data'!$AM129=Body!$AX$16),IF(AND(Tabulka1[[#This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data'!$BG129="T",'Zdroj data'!$AM129=Body!$AX$17),IF(AND(Tabulka1[[#This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29" s="264" t="str">
        <f>IF(AND('Zdroj data'!BG129="L",'Zdroj data'!AM129=Body!$AX$18),IF(AND('Zdroj data'!O129&gt;=Body!$AY$18,'Zdroj data'!O129&lt;=Body!$BA$18),Body!AY$6,IF(AND('Zdroj data'!O129&gt;=Body!$BB$18,'Zdroj data'!O129&lt;=Body!$BD$18),Body!BB$6,IF(AND('Zdroj data'!O129&gt;=Body!$BE$18,'Zdroj data'!O129&lt;=Body!$BG$18),Body!BE$6,IF(AND('Zdroj data'!O129&gt;=Body!$BH$18,'Zdroj data'!O129&lt;=Body!$BJ$18),Body!BH$6,IF(AND('Zdroj data'!O129&gt;=Body!$BK$18,'Zdroj data'!O129&lt;=Body!$BM$18),Body!$BK$6,IF(AND('Zdroj data'!O129&gt;=Body!$BN$18,'Zdroj data'!O129&lt;=Body!$BP$18),Body!BN$6,IF(AND('Zdroj data'!O129&gt;=Body!$BQ$18,'Zdroj data'!O129&lt;=Body!$BS$18),Body!$BQ$6,IF(AND('Zdroj data'!O129&gt;=Body!$BT$18,'Zdroj data'!O129&lt;=Body!$BV$18),Body!$BT$6,IF(AND('Zdroj data'!O129&gt;=Body!$BW$18,'Zdroj data'!O129&lt;=Body!$BY$18),Body!$BW$6,IF('Zdroj data'!O129&gt;=Body!$CB$18,Body!$BZ$6," ")))))))))),IF(AND('Zdroj data'!BG129="ST",'Zdroj data'!AM129=Body!$AX$19),IF(AND('Zdroj data'!O129&gt;=Body!$AY$19,'Zdroj data'!O129&lt;=Body!$BA$19),Body!$AY$6,IF(AND('Zdroj data'!O129&gt;=Body!$BB$19,'Zdroj data'!O129&lt;=Body!$BD$19),Body!$BB$6,IF(AND('Zdroj data'!O129&gt;=Body!$BE$19,'Zdroj data'!O129&lt;=Body!$BG$19),Body!$BE$6,IF(AND('Zdroj data'!O129&gt;=Body!$BH$19,'Zdroj data'!O129&lt;=Body!$BJ$19),Body!$BH$6,IF(AND('Zdroj data'!O129&gt;=Body!$BK$19,'Zdroj data'!O129&lt;=Body!$BM$19),Body!$BK$6,IF(AND('Zdroj data'!O129&gt;=Body!$BN$19,'Zdroj data'!O129&lt;=Body!$BP$19),Body!$BN$6,IF(AND('Zdroj data'!O129&gt;=Body!$BQ$19,'Zdroj data'!O129&lt;=Body!$BS$19),Body!$BQ$6,IF(AND('Zdroj data'!O129&gt;=Body!$BT$19,'Zdroj data'!O133&lt;=Body!$BV$19),Body!$BT$6,IF(AND('Zdroj data'!O129&gt;=Body!$BW$19,'Zdroj data'!O129&lt;=Body!$BY$19),Body!$BW$6,IF('Zdroj data'!O129&gt;=Body!$CB$19,Body!$BZ$6," ")))))))))),IF(AND('Zdroj data'!BG129="T",'Zdroj data'!AM129=Body!$AX$20),IF(AND('Zdroj data'!O129&gt;=Body!$AY$20,'Zdroj data'!O129&lt;=Body!$BA$20),Body!$AY$6,IF(AND('Zdroj data'!O129&gt;=Body!$BB$20,'Zdroj data'!O129&lt;=Body!$BD$20),Body!$BB$6,IF(AND('Zdroj data'!O129&gt;=Body!$BE$20,'Zdroj data'!O129&lt;=Body!$BG$20),Body!$BE$6,IF(AND('Zdroj data'!O129&gt;=Body!$BH$20,'Zdroj data'!O129&lt;=Body!$BJ$20),Body!$BH$6,IF(AND('Zdroj data'!O129&gt;=Body!$BK$20,'Zdroj data'!O129&lt;=Body!$BM$20),Body!$BK$6,IF(AND('Zdroj data'!O129&gt;=Body!$BN$20,'Zdroj data'!O129&lt;=Body!$BP$20),Body!$BN$6,IF(AND('Zdroj data'!O129&gt;=Body!$BQ$20,'Zdroj data'!O129&lt;=Body!$BS$20),Body!$BQ$6,IF(AND('Zdroj data'!O129&gt;=Body!$BT$20,'Zdroj data'!O129&lt;=Body!#REF!),Body!$BT$6,IF(AND('Zdroj data'!O129&gt;=Body!$BW$20,'Zdroj data'!O129&lt;=Body!$BY$20),Body!$BW$6,IF('Zdroj data'!O129&gt;=Body!$CB$20,Body!$BZ$6," "))))))))))," ")))</f>
        <v xml:space="preserve"> </v>
      </c>
      <c r="AI129" s="264" t="str">
        <f>IF(AND('Zdroj data'!$BG129="L",'Zdroj data'!$AM129=Body!$AX$18),IF(AND(Tabulka1[[#This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data'!$BG129="ST",'Zdroj data'!$AM129=Body!$AX$19),IF(AND(Tabulka1[[#This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data'!$BG129="T",'Zdroj data'!$AM129=Body!$AX$20),IF(AND(Tabulka1[[#This Row],[K2O_60]]&gt;=Body!$AY$20,'Zdroj data'!O129&lt;=Body!$BA$20),Body!$AY$6,IF(AND(Tabulka1[[#This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29" s="265">
        <f t="shared" si="13"/>
        <v>8.0000000000000071</v>
      </c>
      <c r="AK129" s="264">
        <f t="shared" si="14"/>
        <v>25.65607490802196</v>
      </c>
      <c r="AL129" s="264">
        <f t="shared" si="15"/>
        <v>22.714261688865804</v>
      </c>
      <c r="AM129" s="264">
        <f t="shared" si="16"/>
        <v>62.171141712436025</v>
      </c>
      <c r="AN129" s="264">
        <f t="shared" si="17"/>
        <v>58.257517755360041</v>
      </c>
      <c r="AO129" s="265">
        <f t="shared" si="21"/>
        <v>87.827216620457989</v>
      </c>
      <c r="AP129" s="265">
        <f t="shared" si="18"/>
        <v>80.971779444225845</v>
      </c>
      <c r="AQ129" s="318"/>
      <c r="AR129" s="338">
        <f t="shared" si="19"/>
        <v>176.79899606468382</v>
      </c>
      <c r="AS129" s="318"/>
      <c r="AT129" s="138"/>
      <c r="AU129" s="138"/>
    </row>
    <row r="130" spans="1:47" ht="15.5" x14ac:dyDescent="0.35">
      <c r="A130" s="270">
        <v>5558</v>
      </c>
      <c r="B130" s="156" t="s">
        <v>63</v>
      </c>
      <c r="C130" s="250" t="str">
        <f>VLOOKUP(B130,'Zdroj hloubka okresy'!$A$2:$D$171,2,FALSE)</f>
        <v>Kutna_Hora</v>
      </c>
      <c r="D130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7</v>
      </c>
      <c r="E130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130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130" s="264">
        <f>IF(AND(Tabulka1[[#This Row],[hum_60]]&gt;AY136,Tabulka1[[#This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30" s="264">
        <f>IF(Tabulka1[[#This Row],[kv.ek.]]=Body!$AX$13,IF(AND('Zdroj data'!M130&gt;=Body!$AY$13,'Zdroj data'!M130&lt;=Body!$BA$13),Body!$AY$6,IF(AND('Zdroj data'!M130&gt;=Body!$BB$13,'Zdroj data'!M130&lt;=Body!$BD$13),Body!$BB$6,IF(AND('Zdroj data'!M130&gt;=Body!$BE$13,'Zdroj data'!M130&lt;=Body!$BG$13),Body!$BE$6,IF(AND('Zdroj data'!M130&gt;=Body!$BH$13,'Zdroj data'!M130&lt;=Body!$BJ$13),Body!$BH$6,IF(AND('Zdroj data'!M130&gt;=Body!$BK$13,'Zdroj data'!M130&lt;=Body!$BM$13),Body!$BK$6,IF(AND('Zdroj data'!M130&gt;=Body!$BN$13,'Zdroj data'!M130&lt;=Body!$BP$13),Body!$BN$6,IF(AND('Zdroj data'!M130&gt;=Body!$BQ$13,'Zdroj data'!M130&lt;=Body!$BS$13),Body!$BQ$6,IF(AND('Zdroj data'!M130&gt;=Body!$BT$13,'Zdroj data'!M130&lt;=Body!$BV$13),Body!$BT$6,IF(AND('Zdroj data'!M130&gt;=Body!$BW$13,'Zdroj data'!M130&lt;=Body!$BY$13),Body!$BW$6,IF('Zdroj data'!M130&gt;=Body!$CB$13,Body!$BZ$6," ")))))))))),IF(Tabulka1[[#This Row],[kv.ek.]]=Body!$AX$14,IF(AND('Zdroj data'!N130&gt;=Body!$AY$14,'Zdroj data'!N130&lt;=Body!$BA$14),Body!$AY$6,IF(AND('Zdroj data'!N130&gt;=Body!$BB$14,'Zdroj data'!N130&lt;=Body!$BD$14),Body!$BB$6,IF(AND('Zdroj data'!N130&gt;=Body!$BE$14,'Zdroj data'!N130&lt;=Body!$BG$14),Body!$BE$6,IF(AND('Zdroj data'!N130&gt;=Body!$BH$14,'Zdroj data'!N130&lt;=Body!$BJ$14),Body!$BH$6,IF(AND('Zdroj data'!N130&gt;=Body!$BK$14,'Zdroj data'!N130&lt;=Body!$BM$14),Body!$BK$6,IF(AND('Zdroj data'!N130&gt;=Body!$BN$14,'Zdroj data'!N130&lt;=Body!$BP$14),Body!$BN$6,IF(AND('Zdroj data'!N130&gt;=Body!$BQ$14,'Zdroj data'!N130&lt;=Body!$BS$14),Body!$BQ$6,IF(AND('Zdroj data'!N130&gt;=Body!$BT$14,'Zdroj data'!N130&lt;=Body!$BV$14),Body!$BT$6,IF(AND('Zdroj data'!N130&gt;=Body!$BW$14,'Zdroj data'!N130&lt;=Body!$BY$14),Body!$BW$6,IF('Zdroj data'!N130&gt;=Body!$CB$14,Body!$BZ$6," "))))))))))," "))</f>
        <v>1</v>
      </c>
      <c r="I130" s="264">
        <f>IF(Tabulka1[[#This Row],[kv.ek.]]=Body!$AX$13,IF(AND('Zdroj data'!N130&gt;=Body!$AY$13,'Zdroj data'!N130&lt;=Body!$BA$13),Body!$AY$6,IF(AND('Zdroj data'!N130&gt;=Body!$BB$13,'Zdroj data'!N130&lt;=Body!$BD$13),Body!$BB$6,IF(AND('Zdroj data'!N130&gt;=Body!$BE$13,'Zdroj data'!N130&lt;=Body!$BG$13),Body!$BE$6,IF(AND('Zdroj data'!N130&gt;=Body!$BH$13,'Zdroj data'!N130&lt;=Body!$BJ$13),Body!$BH$6,IF(AND('Zdroj data'!N130&gt;=Body!$BK$13,'Zdroj data'!N130&lt;=Body!$BM$13),Body!$BK$6,IF(AND('Zdroj data'!N130&gt;=Body!$BN$13,'Zdroj data'!N130&lt;=Body!$BP$13),Body!$BN$6,IF(AND('Zdroj data'!N130&gt;=Body!$BQ$13,'Zdroj data'!N130&lt;=Body!$BS$13),Body!$BQ$6,IF(AND('Zdroj data'!N130&gt;=Body!$BT$13,'Zdroj data'!N130&lt;=Body!$BV$13),Body!$BT$6,IF(AND('Zdroj data'!N130&gt;=Body!$BW$13,'Zdroj data'!N130&lt;=Body!$BY$13),Body!$BW$6,IF('Zdroj data'!N130&gt;=Body!$CB$13,Body!$BZ$6," ")))))))))),IF(Tabulka1[[#This Row],[kv.ek.]]=Body!$AX$14,IF(AND('Zdroj data'!O130&gt;=Body!$AY$14,'Zdroj data'!O130&lt;=Body!$BA$14),Body!$AY$6,IF(AND('Zdroj data'!O130&gt;=Body!$BB$14,'Zdroj data'!O130&lt;=Body!$BD$14),Body!$BB$6,IF(AND('Zdroj data'!O130&gt;=Body!$BE$14,'Zdroj data'!O130&lt;=Body!$BG$14),Body!$BE$6,IF(AND('Zdroj data'!O130&gt;=Body!$BH$14,'Zdroj data'!O130&lt;=Body!$BJ$14),Body!$BH$6,IF(AND('Zdroj data'!O130&gt;=Body!$BK$14,'Zdroj data'!O130&lt;=Body!$BM$14),Body!$BK$6,IF(AND('Zdroj data'!O130&gt;=Body!$BN$14,'Zdroj data'!O130&lt;=Body!$BP$14),Body!$BN$6,IF(AND('Zdroj data'!O130&gt;=Body!$BQ$14,'Zdroj data'!O130&lt;=Body!$BS$14),Body!$BQ$6,IF(AND('Zdroj data'!O130&gt;=Body!$BT$14,'Zdroj data'!O130&lt;=Body!$BV$14),Body!$BT$6,IF(AND('Zdroj data'!O130&gt;=Body!$BW$14,'Zdroj data'!O130&lt;=Body!$BY$14),Body!$BW$6,IF('Zdroj data'!O130&gt;=Body!$CB$14,Body!$BZ$6," "))))))))))," "))</f>
        <v>1</v>
      </c>
      <c r="J130" s="264">
        <f t="shared" si="25"/>
        <v>3</v>
      </c>
      <c r="K130" s="264">
        <f t="shared" si="25"/>
        <v>1</v>
      </c>
      <c r="L130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130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130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130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6</v>
      </c>
      <c r="P130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30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130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130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130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130" s="264">
        <f>IF('Zdroj data'!BB130=Body!$AY$25,Body!$AY$22,IF('Zdroj data'!BB130=Body!$BB$25,Body!$BB$22,IF('Zdroj data'!BB130=Body!$BE$25,Body!$BE$22,IF('Zdroj data'!BB130=Body!$BH$25,Body!$BH$22,IF('Zdroj data'!BB130=Body!BK$25,Body!$BK$22,IF('Zdroj data'!BB130=Body!$BN$25,Body!$BN$22,IF('Zdroj data'!BB130=Body!$BQ$25,Body!$BQ$22,IF('Zdroj data'!BB130=Body!$BT$25,Body!$BT$22,IF('Zdroj data'!BB130=Body!$BW$25,Body!$BW$22,IF('Zdroj data'!BB130=Body!$BZ$25,Body!$BZ$22," "))))))))))</f>
        <v>3</v>
      </c>
      <c r="V130" s="264">
        <f>IF(AND('Zdroj data'!BO130&gt;Body!$AY$27,'Zdroj data'!BO130&lt;=Body!$BA$27),Body!$AY$22,IF(AND('Zdroj data'!BO130&gt;=Body!$BB$27,'Zdroj data'!BO130&lt;=Body!$BD$27),Body!$BB$22,IF(AND('Zdroj data'!BO130&gt;=Body!$BE$27,'Zdroj data'!BO130&lt;=Body!$BG$27),Body!$BE$22,IF(AND('Zdroj data'!BO130&gt;=Body!$BH$27,'Zdroj data'!BO130&lt;=Body!$BJ$27),Body!$BH$22,IF(AND('Zdroj data'!BO130&gt;=Body!$BK$27,'Zdroj data'!BO130&lt;=Body!$BM$27),Body!$BK$22,IF(AND('Zdroj data'!BO130&gt;=Body!$BN$27,'Zdroj data'!BO130&lt;=Body!$BP$27),Body!$BN$22,IF(AND('Zdroj data'!BO130&gt;=Body!$BQ$27,'Zdroj data'!BO130&lt;=Body!$BS$27),Body!$BQ$22,IF(AND('Zdroj data'!BO130&gt;=Body!$BT$27,'Zdroj data'!BO130&lt;=Body!$BV$27),Body!$BT$22,IF(AND('Zdroj data'!BO130&gt;=Body!$BW$27,'Zdroj data'!BO130&lt;=Body!$BY$27),Body!$BW$22,IF('Zdroj data'!BO130&gt;=Body!$CB$27,$BZ$22," "))))))))))</f>
        <v>6</v>
      </c>
      <c r="W130" s="264">
        <f>IF(AND('Zdroj data'!BP130&gt;Body!$AY$27,'Zdroj data'!BP130&lt;=Body!$BA$27),Body!$AY$22,IF(AND('Zdroj data'!BP130&gt;=Body!$BB$27,'Zdroj data'!BP130&lt;=Body!$BD$27),Body!$BB$22,IF(AND('Zdroj data'!BP130&gt;=Body!$BE$27,'Zdroj data'!BP130&lt;=Body!$BG$27),Body!$BE$22,IF(AND('Zdroj data'!BP130&gt;=Body!$BH$27,'Zdroj data'!BP130&lt;=Body!$BJ$27),Body!$BH$22,IF(AND('Zdroj data'!BP130&gt;=Body!$BK$27,'Zdroj data'!BP130&lt;=Body!$BM$27),Body!$BK$22,IF(AND('Zdroj data'!BP130&gt;=Body!$BN$27,'Zdroj data'!BP130&lt;=Body!$BP$27),Body!$BN$22,IF(AND('Zdroj data'!BP130&gt;=Body!$BQ$27,'Zdroj data'!BP130&lt;=Body!$BS$27),Body!$BQ$22,IF(AND('Zdroj data'!BP130&gt;=Body!$BT$27,'Zdroj data'!BP130&lt;=Body!$BV$27),Body!$BT$22,IF(AND('Zdroj data'!BP130&gt;=Body!$BW$27,'Zdroj data'!BP130&lt;=Body!$BY$27),Body!$BW$22,IF('Zdroj data'!BP130&gt;=Body!$CB$27,$BZ$22," "))))))))))</f>
        <v>7</v>
      </c>
      <c r="X130" s="264">
        <f>IF('Zdroj data'!BA130=Body!$BB$28,$BB$22,IF('Zdroj data'!BA130=Body!$BE$28,$BE$22,IF(OR('Zdroj data'!BA130=Body!$BK$28,'Zdroj data'!BA130=Body!$BL$28,'Zdroj data'!BA130=Body!$BM$28),$BK$22,IF(OR('Zdroj data'!BA130=Body!$BT$28,'Zdroj data'!BA130=Body!$BV$28),$BT$22,IF(OR('Zdroj data'!BA130=Body!$BW$28,'Zdroj data'!BA130=Body!$BY$28),$BW$22,IF('Zdroj data'!BA130=Body!$BZ$28,$BZ$22," "))))))</f>
        <v>9</v>
      </c>
      <c r="Y130" s="264">
        <f>IF('Zdroj data'!AZ130=Body!$BZ$29,Body!$BZ$22,IF(OR('Zdroj data'!AZ130=$BT$29,'Zdroj data'!AZ130=$BU$29,'Zdroj data'!AZ130=$BV$29),$BT$22,IF(OR('Zdroj data'!AZ130=$BK$29,'Zdroj data'!AZ130=$BM$29),$BK$22,IF(OR('Zdroj data'!AZ130=$BE$29,'Zdroj data'!AZ130=$BG$29),$BE$22,IF(OR('Zdroj data'!AZ130=$AY$29,'Zdroj data'!AZ130=$BA$29),$AY$22," ")))))</f>
        <v>8</v>
      </c>
      <c r="Z130" s="264">
        <f>IF(AND('Zdroj data'!BF130="T",(OR('Zdroj data'!AZ130=Body!$AW$45,'Zdroj data'!AZ130=Body!$AW$46,'Zdroj data'!AZ130=Body!$AW$47,'Zdroj data'!AZ130=Body!$AW$48))),Body!$AY$22,IF(AND('Zdroj data'!BF130="T",(OR('Zdroj data'!AZ130=$AW$49,'Zdroj data'!AZ130=$AW$50,'Zdroj data'!AZ130=$AW$51,'Zdroj data'!AZ130=$AW$52))),$BZ$22,IF(AND(OR('Zdroj data'!BF130="VT",'Zdroj data'!BF130="T",'Zdroj data'!BF130="CH"),(OR('Zdroj data'!AZ130=$AW$43,'Zdroj data'!AZ130=$AW$44,))),$BZ$22,IF(AND('Zdroj data'!BF130="CH",(OR('Zdroj data'!AZ130=$AW$49,'Zdroj data'!AZ130=$AW$50,'Zdroj data'!AZ130=$AW$51,'Zdroj data'!AZ130=$AW$52))),$AY$22,IF(AND('Zdroj data'!BF130="CH",(OR('Zdroj data'!AZ130=$AW$45,'Zdroj data'!AZ130=$AW$46,'Zdroj data'!AZ130=$AW$47,'Zdroj data'!AZ130=$AW$48))),$BZ$22," ")))))</f>
        <v>10</v>
      </c>
      <c r="AA130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30" s="264">
        <f>IF(Tabulka1[[#This Row],[kv.ek.]]=Body!$BK$35,Body!$BK$34,IF(Tabulka1[[#This Row],[kv.ek.]]=Body!$BZ$35,Body!$BZ$34," "))</f>
        <v>5</v>
      </c>
      <c r="AC130" s="264" t="str">
        <f>IF(AND('Zdroj data'!BF130="T",(OR('Zdroj data'!AZ130=Body!$AW$45,'Zdroj data'!AZ130=Body!$AW$46,'Zdroj data'!AZ130=Body!$AW$47,'Zdroj data'!AZ130=Body!$AW$48))),Body!$AY$22,IF(AND('Zdroj data'!BF130="T",(OR('Zdroj data'!AZ130=$AW$49,'Zdroj data'!AZ130=$AW$50,'Zdroj data'!AZ130=$AW$51,'Zdroj data'!AZ130=$AW$52))),$BZ$22," "))</f>
        <v xml:space="preserve"> </v>
      </c>
      <c r="AD130" s="264">
        <f>IF(AND(OR('Zdroj data'!BF130="VT",'Zdroj data'!BF130="T",'Zdroj data'!BF130="CH"),(OR('Zdroj data'!AZ130=$AW$43,'Zdroj data'!AZ130=$AW$44,))),$BZ$22," ")</f>
        <v>10</v>
      </c>
      <c r="AE130" s="264" t="str">
        <f>IF(AND('Zdroj data'!BF130="CH",(OR('Zdroj data'!AZ130=$AW$49,'Zdroj data'!AZ130=$AW$50,'Zdroj data'!AZ130=$AW$51,'Zdroj data'!AZ130=$AW$52))),$AY$22,IF(AND('Zdroj data'!BF130="CH",(OR('Zdroj data'!AZ130=$AW$45,'Zdroj data'!AZ130=$AW$46,'Zdroj data'!AZ130=$AW$47,'Zdroj data'!AZ130=$AW$48))),$BZ$22," "))</f>
        <v xml:space="preserve"> </v>
      </c>
      <c r="AF130" s="264">
        <f>IF(AND('Zdroj data'!BG130="L",'Zdroj data'!AM130=Body!$AX$15),IF(AND('Zdroj data'!O130&gt;=Body!$AY$15,'Zdroj data'!O130&lt;=Body!$BA$15),Body!AY$6,IF(AND('Zdroj data'!O130&gt;=Body!$BB$15,'Zdroj data'!O130&lt;=Body!$BD$15),Body!BB$6,IF(AND('Zdroj data'!O130&gt;=Body!$BE$15,'Zdroj data'!O130&lt;=Body!$BG$15),Body!BE$6,IF(AND('Zdroj data'!O130&gt;=Body!$BH$15,'Zdroj data'!O130&lt;=Body!$BJ$15),Body!BH$6,IF(AND('Zdroj data'!O130&gt;=Body!$BK$15,'Zdroj data'!O130&lt;=Body!$BM$15),Body!BK$6,IF(AND('Zdroj data'!O130&gt;=Body!$BN$15,'Zdroj data'!O130&lt;=Body!$BP$15),Body!$BN$6,IF(AND('Zdroj data'!O130&gt;=Body!$BQ$15,'Zdroj data'!O130&lt;=Body!$BS$15),Body!$BQ$6,IF(AND('Zdroj data'!O130&gt;=Body!$BT$15,'Zdroj data'!O130&lt;=Body!$BV$15),Body!BT$6,IF(AND('Zdroj data'!O130&gt;=Body!$BW$15,'Zdroj data'!O130&lt;=Body!$BY$15),Body!$BW$6,IF('Zdroj data'!O130&gt;=Body!$CB$15,Body!$BZ$6," ")))))))))),IF(AND('Zdroj data'!BG130="ST",'Zdroj data'!AM130=Body!$AX$16),IF(AND('Zdroj data'!O130&gt;=Body!$AY$16,'Zdroj data'!O130&lt;=Body!$BA$16),Body!$AY$6,IF(AND('Zdroj data'!O130&gt;=Body!$BB$16,'Zdroj data'!O130&lt;=Body!$BD$16),Body!$BB$6,IF(AND('Zdroj data'!O130&gt;=Body!$BE$16,'Zdroj data'!O130&lt;=Body!$BG$16),Body!$BE$6,IF(AND('Zdroj data'!O130&gt;=Body!$BH$16,'Zdroj data'!O130&lt;=Body!$BJ$16),Body!$BH$6,IF(AND('Zdroj data'!O130&gt;=Body!$BK$16,'Zdroj data'!O130&lt;=Body!$BM$16),Body!$BK$6,IF(AND('Zdroj data'!O130&gt;=Body!$BN$16,'Zdroj data'!O130&lt;=Body!$BP$16),Body!$BN$6,IF(AND('Zdroj data'!O130&gt;=Body!$BQ$16,'Zdroj data'!O130&lt;=Body!$BS$16),Body!$BQ$6,IF(AND('Zdroj data'!O130&gt;=Body!$BT$16,'Zdroj data'!O130&lt;=Body!$BV$16),Body!$BT$6,IF(AND('Zdroj data'!O130&gt;=Body!$BW$16,'Zdroj data'!O130&lt;=Body!$BY$16),Body!$BW$6,IF('Zdroj data'!O130&gt;=Body!$CB$16,Body!$BZ$6," ")))))))))),IF(AND('Zdroj data'!BG130="T",'Zdroj data'!AM130=Body!$AX$17),IF(AND('Zdroj data'!O130&gt;=Body!$AY$17,'Zdroj data'!O130&lt;=Body!$BA$17),Body!$AY$6,IF(AND('Zdroj data'!O130&gt;=Body!$BB$17,'Zdroj data'!O130&lt;=Body!$BD$17),Body!$BB$6,IF(AND('Zdroj data'!O130&gt;=Body!$BE$17,'Zdroj data'!O130&lt;=Body!$BG$17),Body!$BE$6,IF(AND('Zdroj data'!O130&gt;=Body!$BH$17,'Zdroj data'!O130&lt;=Body!#REF!),Body!$BH$6,IF(AND('Zdroj data'!O130&gt;=Body!$BK$17,'Zdroj data'!O130&lt;=Body!$BM$17),Body!$BK$6,IF(AND('Zdroj data'!O130&gt;=Body!$BN$17,'Zdroj data'!O130&lt;=Body!$BP$17),Body!$BN$6,IF(AND('Zdroj data'!O130&gt;=Body!$BQ$17,'Zdroj data'!O130&lt;=Body!$BS$17),Body!$BQ$6,IF(AND('Zdroj data'!O130&gt;=Body!$BT$17,'Zdroj data'!O130&lt;=Body!$BV$17),Body!$BT$6,IF(AND('Zdroj data'!O130&gt;=Body!$BW$17,'Zdroj data'!O130&lt;=Body!$BY$17),Body!$BW$6,IF('Zdroj data'!O130&gt;=Body!$CB$17,Body!$BZ$6," "))))))))))," ")))</f>
        <v>3</v>
      </c>
      <c r="AG130" s="264">
        <f>IF(AND('Zdroj data'!$BG130="L",'Zdroj data'!$AM130=Body!$AX$15),IF(AND(Tabulka1[[#This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data'!$BG130="ST",'Zdroj data'!$AM130=Body!$AX$16),IF(AND(Tabulka1[[#This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data'!$BG130="T",'Zdroj data'!$AM130=Body!$AX$17),IF(AND(Tabulka1[[#This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30" s="264" t="str">
        <f>IF(AND('Zdroj data'!BG130="L",'Zdroj data'!AM130=Body!$AX$18),IF(AND('Zdroj data'!O130&gt;=Body!$AY$18,'Zdroj data'!O130&lt;=Body!$BA$18),Body!AY$6,IF(AND('Zdroj data'!O130&gt;=Body!$BB$18,'Zdroj data'!O130&lt;=Body!$BD$18),Body!BB$6,IF(AND('Zdroj data'!O130&gt;=Body!$BE$18,'Zdroj data'!O130&lt;=Body!$BG$18),Body!BE$6,IF(AND('Zdroj data'!O130&gt;=Body!$BH$18,'Zdroj data'!O130&lt;=Body!$BJ$18),Body!BH$6,IF(AND('Zdroj data'!O130&gt;=Body!$BK$18,'Zdroj data'!O130&lt;=Body!$BM$18),Body!$BK$6,IF(AND('Zdroj data'!O130&gt;=Body!$BN$18,'Zdroj data'!O130&lt;=Body!$BP$18),Body!BN$6,IF(AND('Zdroj data'!O130&gt;=Body!$BQ$18,'Zdroj data'!O130&lt;=Body!$BS$18),Body!$BQ$6,IF(AND('Zdroj data'!O130&gt;=Body!$BT$18,'Zdroj data'!O130&lt;=Body!$BV$18),Body!$BT$6,IF(AND('Zdroj data'!O130&gt;=Body!$BW$18,'Zdroj data'!O130&lt;=Body!$BY$18),Body!$BW$6,IF('Zdroj data'!O130&gt;=Body!$CB$18,Body!$BZ$6," ")))))))))),IF(AND('Zdroj data'!BG130="ST",'Zdroj data'!AM130=Body!$AX$19),IF(AND('Zdroj data'!O130&gt;=Body!$AY$19,'Zdroj data'!O130&lt;=Body!$BA$19),Body!$AY$6,IF(AND('Zdroj data'!O130&gt;=Body!$BB$19,'Zdroj data'!O130&lt;=Body!$BD$19),Body!$BB$6,IF(AND('Zdroj data'!O130&gt;=Body!$BE$19,'Zdroj data'!O130&lt;=Body!$BG$19),Body!$BE$6,IF(AND('Zdroj data'!O130&gt;=Body!$BH$19,'Zdroj data'!O130&lt;=Body!$BJ$19),Body!$BH$6,IF(AND('Zdroj data'!O130&gt;=Body!$BK$19,'Zdroj data'!O130&lt;=Body!$BM$19),Body!$BK$6,IF(AND('Zdroj data'!O130&gt;=Body!$BN$19,'Zdroj data'!O130&lt;=Body!$BP$19),Body!$BN$6,IF(AND('Zdroj data'!O130&gt;=Body!$BQ$19,'Zdroj data'!O130&lt;=Body!$BS$19),Body!$BQ$6,IF(AND('Zdroj data'!O130&gt;=Body!$BT$19,'Zdroj data'!O134&lt;=Body!$BV$19),Body!$BT$6,IF(AND('Zdroj data'!O130&gt;=Body!$BW$19,'Zdroj data'!O130&lt;=Body!$BY$19),Body!$BW$6,IF('Zdroj data'!O130&gt;=Body!$CB$19,Body!$BZ$6," ")))))))))),IF(AND('Zdroj data'!BG130="T",'Zdroj data'!AM130=Body!$AX$20),IF(AND('Zdroj data'!O130&gt;=Body!$AY$20,'Zdroj data'!O130&lt;=Body!$BA$20),Body!$AY$6,IF(AND('Zdroj data'!O130&gt;=Body!$BB$20,'Zdroj data'!O130&lt;=Body!$BD$20),Body!$BB$6,IF(AND('Zdroj data'!O130&gt;=Body!$BE$20,'Zdroj data'!O130&lt;=Body!$BG$20),Body!$BE$6,IF(AND('Zdroj data'!O130&gt;=Body!$BH$20,'Zdroj data'!O130&lt;=Body!$BJ$20),Body!$BH$6,IF(AND('Zdroj data'!O130&gt;=Body!$BK$20,'Zdroj data'!O130&lt;=Body!$BM$20),Body!$BK$6,IF(AND('Zdroj data'!O130&gt;=Body!$BN$20,'Zdroj data'!O130&lt;=Body!$BP$20),Body!$BN$6,IF(AND('Zdroj data'!O130&gt;=Body!$BQ$20,'Zdroj data'!O130&lt;=Body!$BS$20),Body!$BQ$6,IF(AND('Zdroj data'!O130&gt;=Body!$BT$20,'Zdroj data'!O130&lt;=Body!#REF!),Body!$BT$6,IF(AND('Zdroj data'!O130&gt;=Body!$BW$20,'Zdroj data'!O130&lt;=Body!$BY$20),Body!$BW$6,IF('Zdroj data'!O130&gt;=Body!$CB$20,Body!$BZ$6," "))))))))))," ")))</f>
        <v xml:space="preserve"> </v>
      </c>
      <c r="AI130" s="264" t="str">
        <f>IF(AND('Zdroj data'!$BG130="L",'Zdroj data'!$AM130=Body!$AX$18),IF(AND(Tabulka1[[#This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data'!$BG130="ST",'Zdroj data'!$AM130=Body!$AX$19),IF(AND(Tabulka1[[#This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data'!$BG130="T",'Zdroj data'!$AM130=Body!$AX$20),IF(AND(Tabulka1[[#This Row],[K2O_60]]&gt;=Body!$AY$20,'Zdroj data'!O130&lt;=Body!$BA$20),Body!$AY$6,IF(AND(Tabulka1[[#This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30" s="265">
        <f t="shared" si="13"/>
        <v>5.3333333333333375</v>
      </c>
      <c r="AK130" s="264">
        <f t="shared" si="14"/>
        <v>27.517447474913673</v>
      </c>
      <c r="AL130" s="264">
        <f t="shared" si="15"/>
        <v>24.25615029071917</v>
      </c>
      <c r="AM130" s="264">
        <f t="shared" si="16"/>
        <v>60.963125553425769</v>
      </c>
      <c r="AN130" s="264">
        <f t="shared" si="17"/>
        <v>62.507718760627753</v>
      </c>
      <c r="AO130" s="265">
        <f t="shared" si="21"/>
        <v>88.48057302833945</v>
      </c>
      <c r="AP130" s="265">
        <f t="shared" si="18"/>
        <v>86.763869051346916</v>
      </c>
      <c r="AQ130" s="318"/>
      <c r="AR130" s="338">
        <f t="shared" si="19"/>
        <v>180.57777541301971</v>
      </c>
      <c r="AS130" s="318"/>
      <c r="AT130" s="138"/>
      <c r="AU130" s="138"/>
    </row>
    <row r="131" spans="1:47" ht="15.5" x14ac:dyDescent="0.35">
      <c r="A131" s="270">
        <v>5561</v>
      </c>
      <c r="B131" s="156" t="s">
        <v>25</v>
      </c>
      <c r="C131" s="250" t="str">
        <f>VLOOKUP(B131,'Zdroj hloubka okresy'!$A$2:$D$171,2,FALSE)</f>
        <v>Kutna_Hora</v>
      </c>
      <c r="D131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131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131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31" s="264">
        <f>IF(AND(Tabulka1[[#This Row],[hum_60]]&gt;AY137,Tabulka1[[#This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31" s="264">
        <f>IF(Tabulka1[[#This Row],[kv.ek.]]=Body!$AX$13,IF(AND('Zdroj data'!M131&gt;=Body!$AY$13,'Zdroj data'!M131&lt;=Body!$BA$13),Body!$AY$6,IF(AND('Zdroj data'!M131&gt;=Body!$BB$13,'Zdroj data'!M131&lt;=Body!$BD$13),Body!$BB$6,IF(AND('Zdroj data'!M131&gt;=Body!$BE$13,'Zdroj data'!M131&lt;=Body!$BG$13),Body!$BE$6,IF(AND('Zdroj data'!M131&gt;=Body!$BH$13,'Zdroj data'!M131&lt;=Body!$BJ$13),Body!$BH$6,IF(AND('Zdroj data'!M131&gt;=Body!$BK$13,'Zdroj data'!M131&lt;=Body!$BM$13),Body!$BK$6,IF(AND('Zdroj data'!M131&gt;=Body!$BN$13,'Zdroj data'!M131&lt;=Body!$BP$13),Body!$BN$6,IF(AND('Zdroj data'!M131&gt;=Body!$BQ$13,'Zdroj data'!M131&lt;=Body!$BS$13),Body!$BQ$6,IF(AND('Zdroj data'!M131&gt;=Body!$BT$13,'Zdroj data'!M131&lt;=Body!$BV$13),Body!$BT$6,IF(AND('Zdroj data'!M131&gt;=Body!$BW$13,'Zdroj data'!M131&lt;=Body!$BY$13),Body!$BW$6,IF('Zdroj data'!M131&gt;=Body!$CB$13,Body!$BZ$6," ")))))))))),IF(Tabulka1[[#This Row],[kv.ek.]]=Body!$AX$14,IF(AND('Zdroj data'!N131&gt;=Body!$AY$14,'Zdroj data'!N131&lt;=Body!$BA$14),Body!$AY$6,IF(AND('Zdroj data'!N131&gt;=Body!$BB$14,'Zdroj data'!N131&lt;=Body!$BD$14),Body!$BB$6,IF(AND('Zdroj data'!N131&gt;=Body!$BE$14,'Zdroj data'!N131&lt;=Body!$BG$14),Body!$BE$6,IF(AND('Zdroj data'!N131&gt;=Body!$BH$14,'Zdroj data'!N131&lt;=Body!$BJ$14),Body!$BH$6,IF(AND('Zdroj data'!N131&gt;=Body!$BK$14,'Zdroj data'!N131&lt;=Body!$BM$14),Body!$BK$6,IF(AND('Zdroj data'!N131&gt;=Body!$BN$14,'Zdroj data'!N131&lt;=Body!$BP$14),Body!$BN$6,IF(AND('Zdroj data'!N131&gt;=Body!$BQ$14,'Zdroj data'!N131&lt;=Body!$BS$14),Body!$BQ$6,IF(AND('Zdroj data'!N131&gt;=Body!$BT$14,'Zdroj data'!N131&lt;=Body!$BV$14),Body!$BT$6,IF(AND('Zdroj data'!N131&gt;=Body!$BW$14,'Zdroj data'!N131&lt;=Body!$BY$14),Body!$BW$6,IF('Zdroj data'!N131&gt;=Body!$CB$14,Body!$BZ$6," "))))))))))," "))</f>
        <v>1</v>
      </c>
      <c r="I131" s="264">
        <f>IF(Tabulka1[[#This Row],[kv.ek.]]=Body!$AX$13,IF(AND('Zdroj data'!N131&gt;=Body!$AY$13,'Zdroj data'!N131&lt;=Body!$BA$13),Body!$AY$6,IF(AND('Zdroj data'!N131&gt;=Body!$BB$13,'Zdroj data'!N131&lt;=Body!$BD$13),Body!$BB$6,IF(AND('Zdroj data'!N131&gt;=Body!$BE$13,'Zdroj data'!N131&lt;=Body!$BG$13),Body!$BE$6,IF(AND('Zdroj data'!N131&gt;=Body!$BH$13,'Zdroj data'!N131&lt;=Body!$BJ$13),Body!$BH$6,IF(AND('Zdroj data'!N131&gt;=Body!$BK$13,'Zdroj data'!N131&lt;=Body!$BM$13),Body!$BK$6,IF(AND('Zdroj data'!N131&gt;=Body!$BN$13,'Zdroj data'!N131&lt;=Body!$BP$13),Body!$BN$6,IF(AND('Zdroj data'!N131&gt;=Body!$BQ$13,'Zdroj data'!N131&lt;=Body!$BS$13),Body!$BQ$6,IF(AND('Zdroj data'!N131&gt;=Body!$BT$13,'Zdroj data'!N131&lt;=Body!$BV$13),Body!$BT$6,IF(AND('Zdroj data'!N131&gt;=Body!$BW$13,'Zdroj data'!N131&lt;=Body!$BY$13),Body!$BW$6,IF('Zdroj data'!N131&gt;=Body!$CB$13,Body!$BZ$6," ")))))))))),IF(Tabulka1[[#This Row],[kv.ek.]]=Body!$AX$14,IF(AND('Zdroj data'!O131&gt;=Body!$AY$14,'Zdroj data'!O131&lt;=Body!$BA$14),Body!$AY$6,IF(AND('Zdroj data'!O131&gt;=Body!$BB$14,'Zdroj data'!O131&lt;=Body!$BD$14),Body!$BB$6,IF(AND('Zdroj data'!O131&gt;=Body!$BE$14,'Zdroj data'!O131&lt;=Body!$BG$14),Body!$BE$6,IF(AND('Zdroj data'!O131&gt;=Body!$BH$14,'Zdroj data'!O131&lt;=Body!$BJ$14),Body!$BH$6,IF(AND('Zdroj data'!O131&gt;=Body!$BK$14,'Zdroj data'!O131&lt;=Body!$BM$14),Body!$BK$6,IF(AND('Zdroj data'!O131&gt;=Body!$BN$14,'Zdroj data'!O131&lt;=Body!$BP$14),Body!$BN$6,IF(AND('Zdroj data'!O131&gt;=Body!$BQ$14,'Zdroj data'!O131&lt;=Body!$BS$14),Body!$BQ$6,IF(AND('Zdroj data'!O131&gt;=Body!$BT$14,'Zdroj data'!O131&lt;=Body!$BV$14),Body!$BT$6,IF(AND('Zdroj data'!O131&gt;=Body!$BW$14,'Zdroj data'!O131&lt;=Body!$BY$14),Body!$BW$6,IF('Zdroj data'!O131&gt;=Body!$CB$14,Body!$BZ$6," "))))))))))," "))</f>
        <v>1</v>
      </c>
      <c r="J131" s="264">
        <f>IF(AF131=" ",AH131,AF131)</f>
        <v>1</v>
      </c>
      <c r="K131" s="264">
        <f t="shared" si="25"/>
        <v>1</v>
      </c>
      <c r="L131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6</v>
      </c>
      <c r="M131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6</v>
      </c>
      <c r="N131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5</v>
      </c>
      <c r="O131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5</v>
      </c>
      <c r="P131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31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131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131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131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131" s="264">
        <f>IF('Zdroj data'!BB131=Body!$AY$25,Body!$AY$22,IF('Zdroj data'!BB131=Body!$BB$25,Body!$BB$22,IF('Zdroj data'!BB131=Body!$BE$25,Body!$BE$22,IF('Zdroj data'!BB131=Body!$BH$25,Body!$BH$22,IF('Zdroj data'!BB131=Body!BK$25,Body!$BK$22,IF('Zdroj data'!BB131=Body!$BN$25,Body!$BN$22,IF('Zdroj data'!BB131=Body!$BQ$25,Body!$BQ$22,IF('Zdroj data'!BB131=Body!$BT$25,Body!$BT$22,IF('Zdroj data'!BB131=Body!$BW$25,Body!$BW$22,IF('Zdroj data'!BB131=Body!$BZ$25,Body!$BZ$22," "))))))))))</f>
        <v>3</v>
      </c>
      <c r="V131" s="264">
        <f>IF(AND('Zdroj data'!BO131&gt;Body!$AY$27,'Zdroj data'!BO131&lt;=Body!$BA$27),Body!$AY$22,IF(AND('Zdroj data'!BO131&gt;=Body!$BB$27,'Zdroj data'!BO131&lt;=Body!$BD$27),Body!$BB$22,IF(AND('Zdroj data'!BO131&gt;=Body!$BE$27,'Zdroj data'!BO131&lt;=Body!$BG$27),Body!$BE$22,IF(AND('Zdroj data'!BO131&gt;=Body!$BH$27,'Zdroj data'!BO131&lt;=Body!$BJ$27),Body!$BH$22,IF(AND('Zdroj data'!BO131&gt;=Body!$BK$27,'Zdroj data'!BO131&lt;=Body!$BM$27),Body!$BK$22,IF(AND('Zdroj data'!BO131&gt;=Body!$BN$27,'Zdroj data'!BO131&lt;=Body!$BP$27),Body!$BN$22,IF(AND('Zdroj data'!BO131&gt;=Body!$BQ$27,'Zdroj data'!BO131&lt;=Body!$BS$27),Body!$BQ$22,IF(AND('Zdroj data'!BO131&gt;=Body!$BT$27,'Zdroj data'!BO131&lt;=Body!$BV$27),Body!$BT$22,IF(AND('Zdroj data'!BO131&gt;=Body!$BW$27,'Zdroj data'!BO131&lt;=Body!$BY$27),Body!$BW$22,IF('Zdroj data'!BO131&gt;=Body!$CB$27,$BZ$22," "))))))))))</f>
        <v>6</v>
      </c>
      <c r="W131" s="264">
        <f>IF(AND('Zdroj data'!BP131&gt;Body!$AY$27,'Zdroj data'!BP131&lt;=Body!$BA$27),Body!$AY$22,IF(AND('Zdroj data'!BP131&gt;=Body!$BB$27,'Zdroj data'!BP131&lt;=Body!$BD$27),Body!$BB$22,IF(AND('Zdroj data'!BP131&gt;=Body!$BE$27,'Zdroj data'!BP131&lt;=Body!$BG$27),Body!$BE$22,IF(AND('Zdroj data'!BP131&gt;=Body!$BH$27,'Zdroj data'!BP131&lt;=Body!$BJ$27),Body!$BH$22,IF(AND('Zdroj data'!BP131&gt;=Body!$BK$27,'Zdroj data'!BP131&lt;=Body!$BM$27),Body!$BK$22,IF(AND('Zdroj data'!BP131&gt;=Body!$BN$27,'Zdroj data'!BP131&lt;=Body!$BP$27),Body!$BN$22,IF(AND('Zdroj data'!BP131&gt;=Body!$BQ$27,'Zdroj data'!BP131&lt;=Body!$BS$27),Body!$BQ$22,IF(AND('Zdroj data'!BP131&gt;=Body!$BT$27,'Zdroj data'!BP131&lt;=Body!$BV$27),Body!$BT$22,IF(AND('Zdroj data'!BP131&gt;=Body!$BW$27,'Zdroj data'!BP131&lt;=Body!$BY$27),Body!$BW$22,IF('Zdroj data'!BP131&gt;=Body!$CB$27,$BZ$22," "))))))))))</f>
        <v>8</v>
      </c>
      <c r="X131" s="264">
        <f>IF('Zdroj data'!BA131=Body!$BB$28,$BB$22,IF('Zdroj data'!BA131=Body!$BE$28,$BE$22,IF(OR('Zdroj data'!BA131=Body!$BK$28,'Zdroj data'!BA131=Body!$BL$28,'Zdroj data'!BA131=Body!$BM$28),$BK$22,IF(OR('Zdroj data'!BA131=Body!$BT$28,'Zdroj data'!BA131=Body!$BV$28),$BT$22,IF(OR('Zdroj data'!BA131=Body!$BW$28,'Zdroj data'!BA131=Body!$BY$28),$BW$22,IF('Zdroj data'!BA131=Body!$BZ$28,$BZ$22," "))))))</f>
        <v>9</v>
      </c>
      <c r="Y131" s="264">
        <f>IF('Zdroj data'!AZ131=Body!$BZ$29,Body!$BZ$22,IF(OR('Zdroj data'!AZ131=$BT$29,'Zdroj data'!AZ131=$BU$29,'Zdroj data'!AZ131=$BV$29),$BT$22,IF(OR('Zdroj data'!AZ131=$BK$29,'Zdroj data'!AZ131=$BM$29),$BK$22,IF(OR('Zdroj data'!AZ131=$BE$29,'Zdroj data'!AZ131=$BG$29),$BE$22,IF(OR('Zdroj data'!AZ131=$AY$29,'Zdroj data'!AZ131=$BA$29),$AY$22," ")))))</f>
        <v>5</v>
      </c>
      <c r="Z131" s="264">
        <f>IF(AND('Zdroj data'!BF131="T",(OR('Zdroj data'!AZ131=Body!$AW$45,'Zdroj data'!AZ131=Body!$AW$46,'Zdroj data'!AZ131=Body!$AW$47,'Zdroj data'!AZ131=Body!$AW$48))),Body!$AY$22,IF(AND('Zdroj data'!BF131="T",(OR('Zdroj data'!AZ131=$AW$49,'Zdroj data'!AZ131=$AW$50,'Zdroj data'!AZ131=$AW$51,'Zdroj data'!AZ131=$AW$52))),$BZ$22,IF(AND(OR('Zdroj data'!BF131="VT",'Zdroj data'!BF131="T",'Zdroj data'!BF131="CH"),(OR('Zdroj data'!AZ131=$AW$43,'Zdroj data'!AZ131=$AW$44,))),$BZ$22,IF(AND('Zdroj data'!BF131="CH",(OR('Zdroj data'!AZ131=$AW$49,'Zdroj data'!AZ131=$AW$50,'Zdroj data'!AZ131=$AW$51,'Zdroj data'!AZ131=$AW$52))),$AY$22,IF(AND('Zdroj data'!BF131="CH",(OR('Zdroj data'!AZ131=$AW$45,'Zdroj data'!AZ131=$AW$46,'Zdroj data'!AZ131=$AW$47,'Zdroj data'!AZ131=$AW$48))),$BZ$22," ")))))</f>
        <v>10</v>
      </c>
      <c r="AA131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31" s="264">
        <f>IF(Tabulka1[[#This Row],[kv.ek.]]=Body!$BK$35,Body!$BK$34,IF(Tabulka1[[#This Row],[kv.ek.]]=Body!$BZ$35,Body!$BZ$34," "))</f>
        <v>5</v>
      </c>
      <c r="AC131" s="264" t="str">
        <f>IF(AND('Zdroj data'!BF131="T",(OR('Zdroj data'!AZ131=Body!$AW$45,'Zdroj data'!AZ131=Body!$AW$46,'Zdroj data'!AZ131=Body!$AW$47,'Zdroj data'!AZ131=Body!$AW$48))),Body!$AY$22,IF(AND('Zdroj data'!BF131="T",(OR('Zdroj data'!AZ131=$AW$49,'Zdroj data'!AZ131=$AW$50,'Zdroj data'!AZ131=$AW$51,'Zdroj data'!AZ131=$AW$52))),$BZ$22," "))</f>
        <v xml:space="preserve"> </v>
      </c>
      <c r="AD131" s="264" t="str">
        <f>IF(AND(OR('Zdroj data'!BF131="VT",'Zdroj data'!BF131="T",'Zdroj data'!BF131="CH"),(OR('Zdroj data'!AZ131=$AW$43,'Zdroj data'!AZ131=$AW$44,))),$BZ$22," ")</f>
        <v xml:space="preserve"> </v>
      </c>
      <c r="AE131" s="264">
        <f>IF(AND('Zdroj data'!BF131="CH",(OR('Zdroj data'!AZ131=$AW$49,'Zdroj data'!AZ131=$AW$50,'Zdroj data'!AZ131=$AW$51,'Zdroj data'!AZ131=$AW$52))),$AY$22,IF(AND('Zdroj data'!BF131="CH",(OR('Zdroj data'!AZ131=$AW$45,'Zdroj data'!AZ131=$AW$46,'Zdroj data'!AZ131=$AW$47,'Zdroj data'!AZ131=$AW$48))),$BZ$22," "))</f>
        <v>10</v>
      </c>
      <c r="AF131" s="264">
        <f>IF(AND('Zdroj data'!BG131="L",'Zdroj data'!AM131=Body!$AX$15),IF(AND('Zdroj data'!O131&gt;=Body!$AY$15,'Zdroj data'!O131&lt;=Body!$BA$15),Body!AY$6,IF(AND('Zdroj data'!O131&gt;=Body!$BB$15,'Zdroj data'!O131&lt;=Body!$BD$15),Body!BB$6,IF(AND('Zdroj data'!O131&gt;=Body!$BE$15,'Zdroj data'!O131&lt;=Body!$BG$15),Body!BE$6,IF(AND('Zdroj data'!O131&gt;=Body!$BH$15,'Zdroj data'!O131&lt;=Body!$BJ$15),Body!BH$6,IF(AND('Zdroj data'!O131&gt;=Body!$BK$15,'Zdroj data'!O131&lt;=Body!$BM$15),Body!BK$6,IF(AND('Zdroj data'!O131&gt;=Body!$BN$15,'Zdroj data'!O131&lt;=Body!$BP$15),Body!$BN$6,IF(AND('Zdroj data'!O131&gt;=Body!$BQ$15,'Zdroj data'!O131&lt;=Body!$BS$15),Body!$BQ$6,IF(AND('Zdroj data'!O131&gt;=Body!$BT$15,'Zdroj data'!O131&lt;=Body!$BV$15),Body!BT$6,IF(AND('Zdroj data'!O131&gt;=Body!$BW$15,'Zdroj data'!O131&lt;=Body!$BY$15),Body!$BW$6,IF('Zdroj data'!O131&gt;=Body!$CB$15,Body!$BZ$6," ")))))))))),IF(AND('Zdroj data'!BG131="ST",'Zdroj data'!AM131=Body!$AX$16),IF(AND('Zdroj data'!O131&gt;=Body!$AY$16,'Zdroj data'!O131&lt;=Body!$BA$16),Body!$AY$6,IF(AND('Zdroj data'!O131&gt;=Body!$BB$16,'Zdroj data'!O131&lt;=Body!$BD$16),Body!$BB$6,IF(AND('Zdroj data'!O131&gt;=Body!$BE$16,'Zdroj data'!O131&lt;=Body!$BG$16),Body!$BE$6,IF(AND('Zdroj data'!O131&gt;=Body!$BH$16,'Zdroj data'!O131&lt;=Body!$BJ$16),Body!$BH$6,IF(AND('Zdroj data'!O131&gt;=Body!$BK$16,'Zdroj data'!O131&lt;=Body!$BM$16),Body!$BK$6,IF(AND('Zdroj data'!O131&gt;=Body!$BN$16,'Zdroj data'!O131&lt;=Body!$BP$16),Body!$BN$6,IF(AND('Zdroj data'!O131&gt;=Body!$BQ$16,'Zdroj data'!O131&lt;=Body!$BS$16),Body!$BQ$6,IF(AND('Zdroj data'!O131&gt;=Body!$BT$16,'Zdroj data'!O131&lt;=Body!$BV$16),Body!$BT$6,IF(AND('Zdroj data'!O131&gt;=Body!$BW$16,'Zdroj data'!O131&lt;=Body!$BY$16),Body!$BW$6,IF('Zdroj data'!O131&gt;=Body!$CB$16,Body!$BZ$6," ")))))))))),IF(AND('Zdroj data'!BG131="T",'Zdroj data'!AM131=Body!$AX$17),IF(AND('Zdroj data'!O131&gt;=Body!$AY$17,'Zdroj data'!O131&lt;=Body!$BA$17),Body!$AY$6,IF(AND('Zdroj data'!O131&gt;=Body!$BB$17,'Zdroj data'!O131&lt;=Body!$BD$17),Body!$BB$6,IF(AND('Zdroj data'!O131&gt;=Body!$BE$17,'Zdroj data'!O131&lt;=Body!$BG$17),Body!$BE$6,IF(AND('Zdroj data'!O131&gt;=Body!$BH$17,'Zdroj data'!O131&lt;=Body!#REF!),Body!$BH$6,IF(AND('Zdroj data'!O131&gt;=Body!$BK$17,'Zdroj data'!O131&lt;=Body!$BM$17),Body!$BK$6,IF(AND('Zdroj data'!O131&gt;=Body!$BN$17,'Zdroj data'!O131&lt;=Body!$BP$17),Body!$BN$6,IF(AND('Zdroj data'!O131&gt;=Body!$BQ$17,'Zdroj data'!O131&lt;=Body!$BS$17),Body!$BQ$6,IF(AND('Zdroj data'!O131&gt;=Body!$BT$17,'Zdroj data'!O131&lt;=Body!$BV$17),Body!$BT$6,IF(AND('Zdroj data'!O131&gt;=Body!$BW$17,'Zdroj data'!O131&lt;=Body!$BY$17),Body!$BW$6,IF('Zdroj data'!O131&gt;=Body!$CB$17,Body!$BZ$6," "))))))))))," ")))</f>
        <v>1</v>
      </c>
      <c r="AG131" s="264">
        <f>IF(AND('Zdroj data'!$BG131="L",'Zdroj data'!$AM131=Body!$AX$15),IF(AND(Tabulka1[[#This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data'!$BG131="ST",'Zdroj data'!$AM131=Body!$AX$16),IF(AND(Tabulka1[[#This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data'!$BG131="T",'Zdroj data'!$AM131=Body!$AX$17),IF(AND(Tabulka1[[#This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31" s="264" t="str">
        <f>IF(AND('Zdroj data'!BG131="L",'Zdroj data'!AM131=Body!$AX$18),IF(AND('Zdroj data'!O131&gt;=Body!$AY$18,'Zdroj data'!O131&lt;=Body!$BA$18),Body!AY$6,IF(AND('Zdroj data'!O131&gt;=Body!$BB$18,'Zdroj data'!O131&lt;=Body!$BD$18),Body!BB$6,IF(AND('Zdroj data'!O131&gt;=Body!$BE$18,'Zdroj data'!O131&lt;=Body!$BG$18),Body!BE$6,IF(AND('Zdroj data'!O131&gt;=Body!$BH$18,'Zdroj data'!O131&lt;=Body!$BJ$18),Body!BH$6,IF(AND('Zdroj data'!O131&gt;=Body!$BK$18,'Zdroj data'!O131&lt;=Body!$BM$18),Body!$BK$6,IF(AND('Zdroj data'!O131&gt;=Body!$BN$18,'Zdroj data'!O131&lt;=Body!$BP$18),Body!BN$6,IF(AND('Zdroj data'!O131&gt;=Body!$BQ$18,'Zdroj data'!O131&lt;=Body!$BS$18),Body!$BQ$6,IF(AND('Zdroj data'!O131&gt;=Body!$BT$18,'Zdroj data'!O131&lt;=Body!$BV$18),Body!$BT$6,IF(AND('Zdroj data'!O131&gt;=Body!$BW$18,'Zdroj data'!O131&lt;=Body!$BY$18),Body!$BW$6,IF('Zdroj data'!O131&gt;=Body!$CB$18,Body!$BZ$6," ")))))))))),IF(AND('Zdroj data'!BG131="ST",'Zdroj data'!AM131=Body!$AX$19),IF(AND('Zdroj data'!O131&gt;=Body!$AY$19,'Zdroj data'!O131&lt;=Body!$BA$19),Body!$AY$6,IF(AND('Zdroj data'!O131&gt;=Body!$BB$19,'Zdroj data'!O131&lt;=Body!$BD$19),Body!$BB$6,IF(AND('Zdroj data'!O131&gt;=Body!$BE$19,'Zdroj data'!O131&lt;=Body!$BG$19),Body!$BE$6,IF(AND('Zdroj data'!O131&gt;=Body!$BH$19,'Zdroj data'!O131&lt;=Body!$BJ$19),Body!$BH$6,IF(AND('Zdroj data'!O131&gt;=Body!$BK$19,'Zdroj data'!O131&lt;=Body!$BM$19),Body!$BK$6,IF(AND('Zdroj data'!O131&gt;=Body!$BN$19,'Zdroj data'!O131&lt;=Body!$BP$19),Body!$BN$6,IF(AND('Zdroj data'!O131&gt;=Body!$BQ$19,'Zdroj data'!O131&lt;=Body!$BS$19),Body!$BQ$6,IF(AND('Zdroj data'!O131&gt;=Body!$BT$19,'Zdroj data'!O135&lt;=Body!$BV$19),Body!$BT$6,IF(AND('Zdroj data'!O131&gt;=Body!$BW$19,'Zdroj data'!O131&lt;=Body!$BY$19),Body!$BW$6,IF('Zdroj data'!O131&gt;=Body!$CB$19,Body!$BZ$6," ")))))))))),IF(AND('Zdroj data'!BG131="T",'Zdroj data'!AM131=Body!$AX$20),IF(AND('Zdroj data'!O131&gt;=Body!$AY$20,'Zdroj data'!O131&lt;=Body!$BA$20),Body!$AY$6,IF(AND('Zdroj data'!O131&gt;=Body!$BB$20,'Zdroj data'!O131&lt;=Body!$BD$20),Body!$BB$6,IF(AND('Zdroj data'!O131&gt;=Body!$BE$20,'Zdroj data'!O131&lt;=Body!$BG$20),Body!$BE$6,IF(AND('Zdroj data'!O131&gt;=Body!$BH$20,'Zdroj data'!O131&lt;=Body!$BJ$20),Body!$BH$6,IF(AND('Zdroj data'!O131&gt;=Body!$BK$20,'Zdroj data'!O131&lt;=Body!$BM$20),Body!$BK$6,IF(AND('Zdroj data'!O131&gt;=Body!$BN$20,'Zdroj data'!O131&lt;=Body!$BP$20),Body!$BN$6,IF(AND('Zdroj data'!O131&gt;=Body!$BQ$20,'Zdroj data'!O131&lt;=Body!$BS$20),Body!$BQ$6,IF(AND('Zdroj data'!O131&gt;=Body!$BT$20,'Zdroj data'!O131&lt;=Body!#REF!),Body!$BT$6,IF(AND('Zdroj data'!O131&gt;=Body!$BW$20,'Zdroj data'!O131&lt;=Body!$BY$20),Body!$BW$6,IF('Zdroj data'!O131&gt;=Body!$CB$20,Body!$BZ$6," "))))))))))," ")))</f>
        <v xml:space="preserve"> </v>
      </c>
      <c r="AI131" s="264" t="str">
        <f>IF(AND('Zdroj data'!$BG131="L",'Zdroj data'!$AM131=Body!$AX$18),IF(AND(Tabulka1[[#This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data'!$BG131="ST",'Zdroj data'!$AM131=Body!$AX$19),IF(AND(Tabulka1[[#This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data'!$BG131="T",'Zdroj data'!$AM131=Body!$AX$20),IF(AND(Tabulka1[[#This Row],[K2O_60]]&gt;=Body!$AY$20,'Zdroj data'!O131&lt;=Body!$BA$20),Body!$AY$6,IF(AND(Tabulka1[[#This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31" s="265">
        <f t="shared" si="13"/>
        <v>8.0000000000000071</v>
      </c>
      <c r="AK131" s="264">
        <f t="shared" si="14"/>
        <v>25.417274705825619</v>
      </c>
      <c r="AL131" s="264">
        <f t="shared" si="15"/>
        <v>23.54674064708729</v>
      </c>
      <c r="AM131" s="264">
        <f t="shared" si="16"/>
        <v>67.41434978617346</v>
      </c>
      <c r="AN131" s="264">
        <f t="shared" si="17"/>
        <v>62.676288286425461</v>
      </c>
      <c r="AO131" s="265">
        <f t="shared" si="21"/>
        <v>92.831624491999079</v>
      </c>
      <c r="AP131" s="265">
        <f t="shared" si="18"/>
        <v>86.223028933512751</v>
      </c>
      <c r="AQ131" s="318"/>
      <c r="AR131" s="338">
        <f t="shared" si="19"/>
        <v>187.05465342551184</v>
      </c>
      <c r="AS131" s="318"/>
      <c r="AT131" s="138"/>
      <c r="AU131" s="138"/>
    </row>
    <row r="132" spans="1:47" ht="15.5" x14ac:dyDescent="0.35">
      <c r="A132" s="270">
        <v>5564</v>
      </c>
      <c r="B132" s="156" t="s">
        <v>100</v>
      </c>
      <c r="C132" s="250" t="str">
        <f>VLOOKUP(B132,'Zdroj hloubka okresy'!$A$2:$D$171,2,FALSE)</f>
        <v>Kutna_Hora</v>
      </c>
      <c r="D132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7</v>
      </c>
      <c r="E132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7</v>
      </c>
      <c r="F132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32" s="264">
        <f>IF(AND(Tabulka1[[#This Row],[hum_60]]&gt;AY138,Tabulka1[[#This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32" s="264">
        <f>IF(Tabulka1[[#This Row],[kv.ek.]]=Body!$AX$13,IF(AND('Zdroj data'!M132&gt;=Body!$AY$13,'Zdroj data'!M132&lt;=Body!$BA$13),Body!$AY$6,IF(AND('Zdroj data'!M132&gt;=Body!$BB$13,'Zdroj data'!M132&lt;=Body!$BD$13),Body!$BB$6,IF(AND('Zdroj data'!M132&gt;=Body!$BE$13,'Zdroj data'!M132&lt;=Body!$BG$13),Body!$BE$6,IF(AND('Zdroj data'!M132&gt;=Body!$BH$13,'Zdroj data'!M132&lt;=Body!$BJ$13),Body!$BH$6,IF(AND('Zdroj data'!M132&gt;=Body!$BK$13,'Zdroj data'!M132&lt;=Body!$BM$13),Body!$BK$6,IF(AND('Zdroj data'!M132&gt;=Body!$BN$13,'Zdroj data'!M132&lt;=Body!$BP$13),Body!$BN$6,IF(AND('Zdroj data'!M132&gt;=Body!$BQ$13,'Zdroj data'!M132&lt;=Body!$BS$13),Body!$BQ$6,IF(AND('Zdroj data'!M132&gt;=Body!$BT$13,'Zdroj data'!M132&lt;=Body!$BV$13),Body!$BT$6,IF(AND('Zdroj data'!M132&gt;=Body!$BW$13,'Zdroj data'!M132&lt;=Body!$BY$13),Body!$BW$6,IF('Zdroj data'!M132&gt;=Body!$CB$13,Body!$BZ$6," ")))))))))),IF(Tabulka1[[#This Row],[kv.ek.]]=Body!$AX$14,IF(AND('Zdroj data'!N132&gt;=Body!$AY$14,'Zdroj data'!N132&lt;=Body!$BA$14),Body!$AY$6,IF(AND('Zdroj data'!N132&gt;=Body!$BB$14,'Zdroj data'!N132&lt;=Body!$BD$14),Body!$BB$6,IF(AND('Zdroj data'!N132&gt;=Body!$BE$14,'Zdroj data'!N132&lt;=Body!$BG$14),Body!$BE$6,IF(AND('Zdroj data'!N132&gt;=Body!$BH$14,'Zdroj data'!N132&lt;=Body!$BJ$14),Body!$BH$6,IF(AND('Zdroj data'!N132&gt;=Body!$BK$14,'Zdroj data'!N132&lt;=Body!$BM$14),Body!$BK$6,IF(AND('Zdroj data'!N132&gt;=Body!$BN$14,'Zdroj data'!N132&lt;=Body!$BP$14),Body!$BN$6,IF(AND('Zdroj data'!N132&gt;=Body!$BQ$14,'Zdroj data'!N132&lt;=Body!$BS$14),Body!$BQ$6,IF(AND('Zdroj data'!N132&gt;=Body!$BT$14,'Zdroj data'!N132&lt;=Body!$BV$14),Body!$BT$6,IF(AND('Zdroj data'!N132&gt;=Body!$BW$14,'Zdroj data'!N132&lt;=Body!$BY$14),Body!$BW$6,IF('Zdroj data'!N132&gt;=Body!$CB$14,Body!$BZ$6," "))))))))))," "))</f>
        <v>1</v>
      </c>
      <c r="I132" s="264">
        <f>IF(Tabulka1[[#This Row],[kv.ek.]]=Body!$AX$13,IF(AND('Zdroj data'!N132&gt;=Body!$AY$13,'Zdroj data'!N132&lt;=Body!$BA$13),Body!$AY$6,IF(AND('Zdroj data'!N132&gt;=Body!$BB$13,'Zdroj data'!N132&lt;=Body!$BD$13),Body!$BB$6,IF(AND('Zdroj data'!N132&gt;=Body!$BE$13,'Zdroj data'!N132&lt;=Body!$BG$13),Body!$BE$6,IF(AND('Zdroj data'!N132&gt;=Body!$BH$13,'Zdroj data'!N132&lt;=Body!$BJ$13),Body!$BH$6,IF(AND('Zdroj data'!N132&gt;=Body!$BK$13,'Zdroj data'!N132&lt;=Body!$BM$13),Body!$BK$6,IF(AND('Zdroj data'!N132&gt;=Body!$BN$13,'Zdroj data'!N132&lt;=Body!$BP$13),Body!$BN$6,IF(AND('Zdroj data'!N132&gt;=Body!$BQ$13,'Zdroj data'!N132&lt;=Body!$BS$13),Body!$BQ$6,IF(AND('Zdroj data'!N132&gt;=Body!$BT$13,'Zdroj data'!N132&lt;=Body!$BV$13),Body!$BT$6,IF(AND('Zdroj data'!N132&gt;=Body!$BW$13,'Zdroj data'!N132&lt;=Body!$BY$13),Body!$BW$6,IF('Zdroj data'!N132&gt;=Body!$CB$13,Body!$BZ$6," ")))))))))),IF(Tabulka1[[#This Row],[kv.ek.]]=Body!$AX$14,IF(AND('Zdroj data'!O132&gt;=Body!$AY$14,'Zdroj data'!O132&lt;=Body!$BA$14),Body!$AY$6,IF(AND('Zdroj data'!O132&gt;=Body!$BB$14,'Zdroj data'!O132&lt;=Body!$BD$14),Body!$BB$6,IF(AND('Zdroj data'!O132&gt;=Body!$BE$14,'Zdroj data'!O132&lt;=Body!$BG$14),Body!$BE$6,IF(AND('Zdroj data'!O132&gt;=Body!$BH$14,'Zdroj data'!O132&lt;=Body!$BJ$14),Body!$BH$6,IF(AND('Zdroj data'!O132&gt;=Body!$BK$14,'Zdroj data'!O132&lt;=Body!$BM$14),Body!$BK$6,IF(AND('Zdroj data'!O132&gt;=Body!$BN$14,'Zdroj data'!O132&lt;=Body!$BP$14),Body!$BN$6,IF(AND('Zdroj data'!O132&gt;=Body!$BQ$14,'Zdroj data'!O132&lt;=Body!$BS$14),Body!$BQ$6,IF(AND('Zdroj data'!O132&gt;=Body!$BT$14,'Zdroj data'!O132&lt;=Body!$BV$14),Body!$BT$6,IF(AND('Zdroj data'!O132&gt;=Body!$BW$14,'Zdroj data'!O132&lt;=Body!$BY$14),Body!$BW$6,IF('Zdroj data'!O132&gt;=Body!$CB$14,Body!$BZ$6," "))))))))))," "))</f>
        <v>1</v>
      </c>
      <c r="J132" s="264">
        <f t="shared" si="25"/>
        <v>1</v>
      </c>
      <c r="K132" s="264">
        <f t="shared" si="25"/>
        <v>1</v>
      </c>
      <c r="L132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132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132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132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132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32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132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132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132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132" s="264">
        <f>IF('Zdroj data'!BB132=Body!$AY$25,Body!$AY$22,IF('Zdroj data'!BB132=Body!$BB$25,Body!$BB$22,IF('Zdroj data'!BB132=Body!$BE$25,Body!$BE$22,IF('Zdroj data'!BB132=Body!$BH$25,Body!$BH$22,IF('Zdroj data'!BB132=Body!BK$25,Body!$BK$22,IF('Zdroj data'!BB132=Body!$BN$25,Body!$BN$22,IF('Zdroj data'!BB132=Body!$BQ$25,Body!$BQ$22,IF('Zdroj data'!BB132=Body!$BT$25,Body!$BT$22,IF('Zdroj data'!BB132=Body!$BW$25,Body!$BW$22,IF('Zdroj data'!BB132=Body!$BZ$25,Body!$BZ$22," "))))))))))</f>
        <v>3</v>
      </c>
      <c r="V132" s="264">
        <f>IF(AND('Zdroj data'!BO132&gt;Body!$AY$27,'Zdroj data'!BO132&lt;=Body!$BA$27),Body!$AY$22,IF(AND('Zdroj data'!BO132&gt;=Body!$BB$27,'Zdroj data'!BO132&lt;=Body!$BD$27),Body!$BB$22,IF(AND('Zdroj data'!BO132&gt;=Body!$BE$27,'Zdroj data'!BO132&lt;=Body!$BG$27),Body!$BE$22,IF(AND('Zdroj data'!BO132&gt;=Body!$BH$27,'Zdroj data'!BO132&lt;=Body!$BJ$27),Body!$BH$22,IF(AND('Zdroj data'!BO132&gt;=Body!$BK$27,'Zdroj data'!BO132&lt;=Body!$BM$27),Body!$BK$22,IF(AND('Zdroj data'!BO132&gt;=Body!$BN$27,'Zdroj data'!BO132&lt;=Body!$BP$27),Body!$BN$22,IF(AND('Zdroj data'!BO132&gt;=Body!$BQ$27,'Zdroj data'!BO132&lt;=Body!$BS$27),Body!$BQ$22,IF(AND('Zdroj data'!BO132&gt;=Body!$BT$27,'Zdroj data'!BO132&lt;=Body!$BV$27),Body!$BT$22,IF(AND('Zdroj data'!BO132&gt;=Body!$BW$27,'Zdroj data'!BO132&lt;=Body!$BY$27),Body!$BW$22,IF('Zdroj data'!BO132&gt;=Body!$CB$27,$BZ$22," "))))))))))</f>
        <v>6</v>
      </c>
      <c r="W132" s="264">
        <f>IF(AND('Zdroj data'!BP132&gt;Body!$AY$27,'Zdroj data'!BP132&lt;=Body!$BA$27),Body!$AY$22,IF(AND('Zdroj data'!BP132&gt;=Body!$BB$27,'Zdroj data'!BP132&lt;=Body!$BD$27),Body!$BB$22,IF(AND('Zdroj data'!BP132&gt;=Body!$BE$27,'Zdroj data'!BP132&lt;=Body!$BG$27),Body!$BE$22,IF(AND('Zdroj data'!BP132&gt;=Body!$BH$27,'Zdroj data'!BP132&lt;=Body!$BJ$27),Body!$BH$22,IF(AND('Zdroj data'!BP132&gt;=Body!$BK$27,'Zdroj data'!BP132&lt;=Body!$BM$27),Body!$BK$22,IF(AND('Zdroj data'!BP132&gt;=Body!$BN$27,'Zdroj data'!BP132&lt;=Body!$BP$27),Body!$BN$22,IF(AND('Zdroj data'!BP132&gt;=Body!$BQ$27,'Zdroj data'!BP132&lt;=Body!$BS$27),Body!$BQ$22,IF(AND('Zdroj data'!BP132&gt;=Body!$BT$27,'Zdroj data'!BP132&lt;=Body!$BV$27),Body!$BT$22,IF(AND('Zdroj data'!BP132&gt;=Body!$BW$27,'Zdroj data'!BP132&lt;=Body!$BY$27),Body!$BW$22,IF('Zdroj data'!BP132&gt;=Body!$CB$27,$BZ$22," "))))))))))</f>
        <v>5</v>
      </c>
      <c r="X132" s="264">
        <f>IF('Zdroj data'!BA132=Body!$BB$28,$BB$22,IF('Zdroj data'!BA132=Body!$BE$28,$BE$22,IF(OR('Zdroj data'!BA132=Body!$BK$28,'Zdroj data'!BA132=Body!$BL$28,'Zdroj data'!BA132=Body!$BM$28),$BK$22,IF(OR('Zdroj data'!BA132=Body!$BT$28,'Zdroj data'!BA132=Body!$BV$28),$BT$22,IF(OR('Zdroj data'!BA132=Body!$BW$28,'Zdroj data'!BA132=Body!$BY$28),$BW$22,IF('Zdroj data'!BA132=Body!$BZ$28,$BZ$22," "))))))</f>
        <v>9</v>
      </c>
      <c r="Y132" s="264">
        <f>IF('Zdroj data'!AZ132=Body!$BZ$29,Body!$BZ$22,IF(OR('Zdroj data'!AZ132=$BT$29,'Zdroj data'!AZ132=$BU$29,'Zdroj data'!AZ132=$BV$29),$BT$22,IF(OR('Zdroj data'!AZ132=$BK$29,'Zdroj data'!AZ132=$BM$29),$BK$22,IF(OR('Zdroj data'!AZ132=$BE$29,'Zdroj data'!AZ132=$BG$29),$BE$22,IF(OR('Zdroj data'!AZ132=$AY$29,'Zdroj data'!AZ132=$BA$29),$AY$22," ")))))</f>
        <v>10</v>
      </c>
      <c r="Z132" s="264">
        <f>IF(AND('Zdroj data'!BF132="T",(OR('Zdroj data'!AZ132=Body!$AW$45,'Zdroj data'!AZ132=Body!$AW$46,'Zdroj data'!AZ132=Body!$AW$47,'Zdroj data'!AZ132=Body!$AW$48))),Body!$AY$22,IF(AND('Zdroj data'!BF132="T",(OR('Zdroj data'!AZ132=$AW$49,'Zdroj data'!AZ132=$AW$50,'Zdroj data'!AZ132=$AW$51,'Zdroj data'!AZ132=$AW$52))),$BZ$22,IF(AND(OR('Zdroj data'!BF132="VT",'Zdroj data'!BF132="T",'Zdroj data'!BF132="CH"),(OR('Zdroj data'!AZ132=$AW$43,'Zdroj data'!AZ132=$AW$44,))),$BZ$22,IF(AND('Zdroj data'!BF132="CH",(OR('Zdroj data'!AZ132=$AW$49,'Zdroj data'!AZ132=$AW$50,'Zdroj data'!AZ132=$AW$51,'Zdroj data'!AZ132=$AW$52))),$AY$22,IF(AND('Zdroj data'!BF132="CH",(OR('Zdroj data'!AZ132=$AW$45,'Zdroj data'!AZ132=$AW$46,'Zdroj data'!AZ132=$AW$47,'Zdroj data'!AZ132=$AW$48))),$BZ$22," ")))))</f>
        <v>10</v>
      </c>
      <c r="AA132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32" s="264">
        <f>IF(Tabulka1[[#This Row],[kv.ek.]]=Body!$BK$35,Body!$BK$34,IF(Tabulka1[[#This Row],[kv.ek.]]=Body!$BZ$35,Body!$BZ$34," "))</f>
        <v>5</v>
      </c>
      <c r="AC132" s="264" t="str">
        <f>IF(AND('Zdroj data'!BF132="T",(OR('Zdroj data'!AZ132=Body!$AW$45,'Zdroj data'!AZ132=Body!$AW$46,'Zdroj data'!AZ132=Body!$AW$47,'Zdroj data'!AZ132=Body!$AW$48))),Body!$AY$22,IF(AND('Zdroj data'!BF132="T",(OR('Zdroj data'!AZ132=$AW$49,'Zdroj data'!AZ132=$AW$50,'Zdroj data'!AZ132=$AW$51,'Zdroj data'!AZ132=$AW$52))),$BZ$22," "))</f>
        <v xml:space="preserve"> </v>
      </c>
      <c r="AD132" s="264">
        <f>IF(AND(OR('Zdroj data'!BF132="VT",'Zdroj data'!BF132="T",'Zdroj data'!BF132="CH"),(OR('Zdroj data'!AZ132=$AW$43,'Zdroj data'!AZ132=$AW$44,))),$BZ$22," ")</f>
        <v>10</v>
      </c>
      <c r="AE132" s="264" t="str">
        <f>IF(AND('Zdroj data'!BF132="CH",(OR('Zdroj data'!AZ132=$AW$49,'Zdroj data'!AZ132=$AW$50,'Zdroj data'!AZ132=$AW$51,'Zdroj data'!AZ132=$AW$52))),$AY$22,IF(AND('Zdroj data'!BF132="CH",(OR('Zdroj data'!AZ132=$AW$45,'Zdroj data'!AZ132=$AW$46,'Zdroj data'!AZ132=$AW$47,'Zdroj data'!AZ132=$AW$48))),$BZ$22," "))</f>
        <v xml:space="preserve"> </v>
      </c>
      <c r="AF132" s="264">
        <f>IF(AND('Zdroj data'!BG132="L",'Zdroj data'!AM132=Body!$AX$15),IF(AND('Zdroj data'!O132&gt;=Body!$AY$15,'Zdroj data'!O132&lt;=Body!$BA$15),Body!AY$6,IF(AND('Zdroj data'!O132&gt;=Body!$BB$15,'Zdroj data'!O132&lt;=Body!$BD$15),Body!BB$6,IF(AND('Zdroj data'!O132&gt;=Body!$BE$15,'Zdroj data'!O132&lt;=Body!$BG$15),Body!BE$6,IF(AND('Zdroj data'!O132&gt;=Body!$BH$15,'Zdroj data'!O132&lt;=Body!$BJ$15),Body!BH$6,IF(AND('Zdroj data'!O132&gt;=Body!$BK$15,'Zdroj data'!O132&lt;=Body!$BM$15),Body!BK$6,IF(AND('Zdroj data'!O132&gt;=Body!$BN$15,'Zdroj data'!O132&lt;=Body!$BP$15),Body!$BN$6,IF(AND('Zdroj data'!O132&gt;=Body!$BQ$15,'Zdroj data'!O132&lt;=Body!$BS$15),Body!$BQ$6,IF(AND('Zdroj data'!O132&gt;=Body!$BT$15,'Zdroj data'!O132&lt;=Body!$BV$15),Body!BT$6,IF(AND('Zdroj data'!O132&gt;=Body!$BW$15,'Zdroj data'!O132&lt;=Body!$BY$15),Body!$BW$6,IF('Zdroj data'!O132&gt;=Body!$CB$15,Body!$BZ$6," ")))))))))),IF(AND('Zdroj data'!BG132="ST",'Zdroj data'!AM132=Body!$AX$16),IF(AND('Zdroj data'!O132&gt;=Body!$AY$16,'Zdroj data'!O132&lt;=Body!$BA$16),Body!$AY$6,IF(AND('Zdroj data'!O132&gt;=Body!$BB$16,'Zdroj data'!O132&lt;=Body!$BD$16),Body!$BB$6,IF(AND('Zdroj data'!O132&gt;=Body!$BE$16,'Zdroj data'!O132&lt;=Body!$BG$16),Body!$BE$6,IF(AND('Zdroj data'!O132&gt;=Body!$BH$16,'Zdroj data'!O132&lt;=Body!$BJ$16),Body!$BH$6,IF(AND('Zdroj data'!O132&gt;=Body!$BK$16,'Zdroj data'!O132&lt;=Body!$BM$16),Body!$BK$6,IF(AND('Zdroj data'!O132&gt;=Body!$BN$16,'Zdroj data'!O132&lt;=Body!$BP$16),Body!$BN$6,IF(AND('Zdroj data'!O132&gt;=Body!$BQ$16,'Zdroj data'!O132&lt;=Body!$BS$16),Body!$BQ$6,IF(AND('Zdroj data'!O132&gt;=Body!$BT$16,'Zdroj data'!O132&lt;=Body!$BV$16),Body!$BT$6,IF(AND('Zdroj data'!O132&gt;=Body!$BW$16,'Zdroj data'!O132&lt;=Body!$BY$16),Body!$BW$6,IF('Zdroj data'!O132&gt;=Body!$CB$16,Body!$BZ$6," ")))))))))),IF(AND('Zdroj data'!BG132="T",'Zdroj data'!AM132=Body!$AX$17),IF(AND('Zdroj data'!O132&gt;=Body!$AY$17,'Zdroj data'!O132&lt;=Body!$BA$17),Body!$AY$6,IF(AND('Zdroj data'!O132&gt;=Body!$BB$17,'Zdroj data'!O132&lt;=Body!$BD$17),Body!$BB$6,IF(AND('Zdroj data'!O132&gt;=Body!$BE$17,'Zdroj data'!O132&lt;=Body!$BG$17),Body!$BE$6,IF(AND('Zdroj data'!O132&gt;=Body!$BH$17,'Zdroj data'!O132&lt;=Body!#REF!),Body!$BH$6,IF(AND('Zdroj data'!O132&gt;=Body!$BK$17,'Zdroj data'!O132&lt;=Body!$BM$17),Body!$BK$6,IF(AND('Zdroj data'!O132&gt;=Body!$BN$17,'Zdroj data'!O132&lt;=Body!$BP$17),Body!$BN$6,IF(AND('Zdroj data'!O132&gt;=Body!$BQ$17,'Zdroj data'!O132&lt;=Body!$BS$17),Body!$BQ$6,IF(AND('Zdroj data'!O132&gt;=Body!$BT$17,'Zdroj data'!O132&lt;=Body!$BV$17),Body!$BT$6,IF(AND('Zdroj data'!O132&gt;=Body!$BW$17,'Zdroj data'!O132&lt;=Body!$BY$17),Body!$BW$6,IF('Zdroj data'!O132&gt;=Body!$CB$17,Body!$BZ$6," "))))))))))," ")))</f>
        <v>1</v>
      </c>
      <c r="AG132" s="264">
        <f>IF(AND('Zdroj data'!$BG132="L",'Zdroj data'!$AM132=Body!$AX$15),IF(AND(Tabulka1[[#This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data'!$BG132="ST",'Zdroj data'!$AM132=Body!$AX$16),IF(AND(Tabulka1[[#This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data'!$BG132="T",'Zdroj data'!$AM132=Body!$AX$17),IF(AND(Tabulka1[[#This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32" s="264" t="str">
        <f>IF(AND('Zdroj data'!BG132="L",'Zdroj data'!AM132=Body!$AX$18),IF(AND('Zdroj data'!O132&gt;=Body!$AY$18,'Zdroj data'!O132&lt;=Body!$BA$18),Body!AY$6,IF(AND('Zdroj data'!O132&gt;=Body!$BB$18,'Zdroj data'!O132&lt;=Body!$BD$18),Body!BB$6,IF(AND('Zdroj data'!O132&gt;=Body!$BE$18,'Zdroj data'!O132&lt;=Body!$BG$18),Body!BE$6,IF(AND('Zdroj data'!O132&gt;=Body!$BH$18,'Zdroj data'!O132&lt;=Body!$BJ$18),Body!BH$6,IF(AND('Zdroj data'!O132&gt;=Body!$BK$18,'Zdroj data'!O132&lt;=Body!$BM$18),Body!$BK$6,IF(AND('Zdroj data'!O132&gt;=Body!$BN$18,'Zdroj data'!O132&lt;=Body!$BP$18),Body!BN$6,IF(AND('Zdroj data'!O132&gt;=Body!$BQ$18,'Zdroj data'!O132&lt;=Body!$BS$18),Body!$BQ$6,IF(AND('Zdroj data'!O132&gt;=Body!$BT$18,'Zdroj data'!O132&lt;=Body!$BV$18),Body!$BT$6,IF(AND('Zdroj data'!O132&gt;=Body!$BW$18,'Zdroj data'!O132&lt;=Body!$BY$18),Body!$BW$6,IF('Zdroj data'!O132&gt;=Body!$CB$18,Body!$BZ$6," ")))))))))),IF(AND('Zdroj data'!BG132="ST",'Zdroj data'!AM132=Body!$AX$19),IF(AND('Zdroj data'!O132&gt;=Body!$AY$19,'Zdroj data'!O132&lt;=Body!$BA$19),Body!$AY$6,IF(AND('Zdroj data'!O132&gt;=Body!$BB$19,'Zdroj data'!O132&lt;=Body!$BD$19),Body!$BB$6,IF(AND('Zdroj data'!O132&gt;=Body!$BE$19,'Zdroj data'!O132&lt;=Body!$BG$19),Body!$BE$6,IF(AND('Zdroj data'!O132&gt;=Body!$BH$19,'Zdroj data'!O132&lt;=Body!$BJ$19),Body!$BH$6,IF(AND('Zdroj data'!O132&gt;=Body!$BK$19,'Zdroj data'!O132&lt;=Body!$BM$19),Body!$BK$6,IF(AND('Zdroj data'!O132&gt;=Body!$BN$19,'Zdroj data'!O132&lt;=Body!$BP$19),Body!$BN$6,IF(AND('Zdroj data'!O132&gt;=Body!$BQ$19,'Zdroj data'!O132&lt;=Body!$BS$19),Body!$BQ$6,IF(AND('Zdroj data'!O132&gt;=Body!$BT$19,'Zdroj data'!O136&lt;=Body!$BV$19),Body!$BT$6,IF(AND('Zdroj data'!O132&gt;=Body!$BW$19,'Zdroj data'!O132&lt;=Body!$BY$19),Body!$BW$6,IF('Zdroj data'!O132&gt;=Body!$CB$19,Body!$BZ$6," ")))))))))),IF(AND('Zdroj data'!BG132="T",'Zdroj data'!AM132=Body!$AX$20),IF(AND('Zdroj data'!O132&gt;=Body!$AY$20,'Zdroj data'!O132&lt;=Body!$BA$20),Body!$AY$6,IF(AND('Zdroj data'!O132&gt;=Body!$BB$20,'Zdroj data'!O132&lt;=Body!$BD$20),Body!$BB$6,IF(AND('Zdroj data'!O132&gt;=Body!$BE$20,'Zdroj data'!O132&lt;=Body!$BG$20),Body!$BE$6,IF(AND('Zdroj data'!O132&gt;=Body!$BH$20,'Zdroj data'!O132&lt;=Body!$BJ$20),Body!$BH$6,IF(AND('Zdroj data'!O132&gt;=Body!$BK$20,'Zdroj data'!O132&lt;=Body!$BM$20),Body!$BK$6,IF(AND('Zdroj data'!O132&gt;=Body!$BN$20,'Zdroj data'!O132&lt;=Body!$BP$20),Body!$BN$6,IF(AND('Zdroj data'!O132&gt;=Body!$BQ$20,'Zdroj data'!O132&lt;=Body!$BS$20),Body!$BQ$6,IF(AND('Zdroj data'!O132&gt;=Body!$BT$20,'Zdroj data'!O132&lt;=Body!#REF!),Body!$BT$6,IF(AND('Zdroj data'!O132&gt;=Body!$BW$20,'Zdroj data'!O132&lt;=Body!$BY$20),Body!$BW$6,IF('Zdroj data'!O132&gt;=Body!$CB$20,Body!$BZ$6," "))))))))))," ")))</f>
        <v xml:space="preserve"> </v>
      </c>
      <c r="AI132" s="264" t="str">
        <f>IF(AND('Zdroj data'!$BG132="L",'Zdroj data'!$AM132=Body!$AX$18),IF(AND(Tabulka1[[#This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data'!$BG132="ST",'Zdroj data'!$AM132=Body!$AX$19),IF(AND(Tabulka1[[#This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data'!$BG132="T",'Zdroj data'!$AM132=Body!$AX$20),IF(AND(Tabulka1[[#This Row],[K2O_60]]&gt;=Body!$AY$20,'Zdroj data'!O132&lt;=Body!$BA$20),Body!$AY$6,IF(AND(Tabulka1[[#This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32" s="265">
        <f t="shared" ref="AJ132:AJ172" si="26">(AA132*$AV$36+AB132*$AV$35)*16*$AT$35*2</f>
        <v>5.3333333333333375</v>
      </c>
      <c r="AK132" s="264">
        <f t="shared" ref="AK132:AK172" si="27">(D132*$AV$7+F132*$AV$9+H132*$AV$13+J132*$AV$15+L132*$AV$12+N132*$AV$11+P132*$AV$10+Q132*$AV$21)*16*$AU$7*$AT$7</f>
        <v>22.741002250519614</v>
      </c>
      <c r="AL132" s="264">
        <f t="shared" ref="AL132:AL172" si="28">(E132*$AV$7+G132*$AV$9+I132*$AV$13+K132*$AV$15+M132*$AV$12+O132*$AV$11+P132*$AV$10+R132*$AV$21)*16*$AU$7*$AT$7</f>
        <v>22.317068520387814</v>
      </c>
      <c r="AM132" s="264">
        <f t="shared" ref="AM132:AM172" si="29">(S132*$AV$23+U132*$AV$25+V132*$AV$26+X132*$AV$28+Y132*$AV$29+Z132*$AV$30)*16*$AU$23*$AT$7</f>
        <v>57.966850717285951</v>
      </c>
      <c r="AN132" s="264">
        <f t="shared" ref="AN132:AN172" si="30">(T132*$AV$23+U132*$AV$25+W132*$AV$26+X132*$AV$28+Y132*$AV$29+Z132*$AV$30)*16*$AU$23*$AT$7</f>
        <v>56.422257510083959</v>
      </c>
      <c r="AO132" s="265">
        <f t="shared" si="21"/>
        <v>80.707852967805565</v>
      </c>
      <c r="AP132" s="265">
        <f t="shared" ref="AP132:AP172" si="31">AL132+AN132</f>
        <v>78.739326030471773</v>
      </c>
      <c r="AQ132" s="318"/>
      <c r="AR132" s="338">
        <f t="shared" ref="AR132:AR172" si="32">AO132+AP132+AJ132</f>
        <v>164.78051233161068</v>
      </c>
      <c r="AS132" s="318"/>
      <c r="AT132" s="138"/>
      <c r="AU132" s="138"/>
    </row>
    <row r="133" spans="1:47" ht="15.5" x14ac:dyDescent="0.35">
      <c r="A133" s="270">
        <v>5567</v>
      </c>
      <c r="B133" s="156" t="s">
        <v>310</v>
      </c>
      <c r="C133" s="250" t="str">
        <f>VLOOKUP(B133,'Zdroj hloubka okresy'!$A$2:$D$171,2,FALSE)</f>
        <v>Kutna_Hora</v>
      </c>
      <c r="D133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9</v>
      </c>
      <c r="E133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9</v>
      </c>
      <c r="F133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6</v>
      </c>
      <c r="G133" s="264">
        <f>IF(AND(Tabulka1[[#This Row],[hum_60]]&gt;AY139,Tabulka1[[#This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4</v>
      </c>
      <c r="H133" s="264">
        <f>IF(Tabulka1[[#This Row],[kv.ek.]]=Body!$AX$13,IF(AND('Zdroj data'!M133&gt;=Body!$AY$13,'Zdroj data'!M133&lt;=Body!$BA$13),Body!$AY$6,IF(AND('Zdroj data'!M133&gt;=Body!$BB$13,'Zdroj data'!M133&lt;=Body!$BD$13),Body!$BB$6,IF(AND('Zdroj data'!M133&gt;=Body!$BE$13,'Zdroj data'!M133&lt;=Body!$BG$13),Body!$BE$6,IF(AND('Zdroj data'!M133&gt;=Body!$BH$13,'Zdroj data'!M133&lt;=Body!$BJ$13),Body!$BH$6,IF(AND('Zdroj data'!M133&gt;=Body!$BK$13,'Zdroj data'!M133&lt;=Body!$BM$13),Body!$BK$6,IF(AND('Zdroj data'!M133&gt;=Body!$BN$13,'Zdroj data'!M133&lt;=Body!$BP$13),Body!$BN$6,IF(AND('Zdroj data'!M133&gt;=Body!$BQ$13,'Zdroj data'!M133&lt;=Body!$BS$13),Body!$BQ$6,IF(AND('Zdroj data'!M133&gt;=Body!$BT$13,'Zdroj data'!M133&lt;=Body!$BV$13),Body!$BT$6,IF(AND('Zdroj data'!M133&gt;=Body!$BW$13,'Zdroj data'!M133&lt;=Body!$BY$13),Body!$BW$6,IF('Zdroj data'!M133&gt;=Body!$CB$13,Body!$BZ$6," ")))))))))),IF(Tabulka1[[#This Row],[kv.ek.]]=Body!$AX$14,IF(AND('Zdroj data'!N133&gt;=Body!$AY$14,'Zdroj data'!N133&lt;=Body!$BA$14),Body!$AY$6,IF(AND('Zdroj data'!N133&gt;=Body!$BB$14,'Zdroj data'!N133&lt;=Body!$BD$14),Body!$BB$6,IF(AND('Zdroj data'!N133&gt;=Body!$BE$14,'Zdroj data'!N133&lt;=Body!$BG$14),Body!$BE$6,IF(AND('Zdroj data'!N133&gt;=Body!$BH$14,'Zdroj data'!N133&lt;=Body!$BJ$14),Body!$BH$6,IF(AND('Zdroj data'!N133&gt;=Body!$BK$14,'Zdroj data'!N133&lt;=Body!$BM$14),Body!$BK$6,IF(AND('Zdroj data'!N133&gt;=Body!$BN$14,'Zdroj data'!N133&lt;=Body!$BP$14),Body!$BN$6,IF(AND('Zdroj data'!N133&gt;=Body!$BQ$14,'Zdroj data'!N133&lt;=Body!$BS$14),Body!$BQ$6,IF(AND('Zdroj data'!N133&gt;=Body!$BT$14,'Zdroj data'!N133&lt;=Body!$BV$14),Body!$BT$6,IF(AND('Zdroj data'!N133&gt;=Body!$BW$14,'Zdroj data'!N133&lt;=Body!$BY$14),Body!$BW$6,IF('Zdroj data'!N133&gt;=Body!$CB$14,Body!$BZ$6," "))))))))))," "))</f>
        <v>10</v>
      </c>
      <c r="I133" s="264">
        <f>IF(Tabulka1[[#This Row],[kv.ek.]]=Body!$AX$13,IF(AND('Zdroj data'!N133&gt;=Body!$AY$13,'Zdroj data'!N133&lt;=Body!$BA$13),Body!$AY$6,IF(AND('Zdroj data'!N133&gt;=Body!$BB$13,'Zdroj data'!N133&lt;=Body!$BD$13),Body!$BB$6,IF(AND('Zdroj data'!N133&gt;=Body!$BE$13,'Zdroj data'!N133&lt;=Body!$BG$13),Body!$BE$6,IF(AND('Zdroj data'!N133&gt;=Body!$BH$13,'Zdroj data'!N133&lt;=Body!$BJ$13),Body!$BH$6,IF(AND('Zdroj data'!N133&gt;=Body!$BK$13,'Zdroj data'!N133&lt;=Body!$BM$13),Body!$BK$6,IF(AND('Zdroj data'!N133&gt;=Body!$BN$13,'Zdroj data'!N133&lt;=Body!$BP$13),Body!$BN$6,IF(AND('Zdroj data'!N133&gt;=Body!$BQ$13,'Zdroj data'!N133&lt;=Body!$BS$13),Body!$BQ$6,IF(AND('Zdroj data'!N133&gt;=Body!$BT$13,'Zdroj data'!N133&lt;=Body!$BV$13),Body!$BT$6,IF(AND('Zdroj data'!N133&gt;=Body!$BW$13,'Zdroj data'!N133&lt;=Body!$BY$13),Body!$BW$6,IF('Zdroj data'!N133&gt;=Body!$CB$13,Body!$BZ$6," ")))))))))),IF(Tabulka1[[#This Row],[kv.ek.]]=Body!$AX$14,IF(AND('Zdroj data'!O133&gt;=Body!$AY$14,'Zdroj data'!O133&lt;=Body!$BA$14),Body!$AY$6,IF(AND('Zdroj data'!O133&gt;=Body!$BB$14,'Zdroj data'!O133&lt;=Body!$BD$14),Body!$BB$6,IF(AND('Zdroj data'!O133&gt;=Body!$BE$14,'Zdroj data'!O133&lt;=Body!$BG$14),Body!$BE$6,IF(AND('Zdroj data'!O133&gt;=Body!$BH$14,'Zdroj data'!O133&lt;=Body!$BJ$14),Body!$BH$6,IF(AND('Zdroj data'!O133&gt;=Body!$BK$14,'Zdroj data'!O133&lt;=Body!$BM$14),Body!$BK$6,IF(AND('Zdroj data'!O133&gt;=Body!$BN$14,'Zdroj data'!O133&lt;=Body!$BP$14),Body!$BN$6,IF(AND('Zdroj data'!O133&gt;=Body!$BQ$14,'Zdroj data'!O133&lt;=Body!$BS$14),Body!$BQ$6,IF(AND('Zdroj data'!O133&gt;=Body!$BT$14,'Zdroj data'!O133&lt;=Body!$BV$14),Body!$BT$6,IF(AND('Zdroj data'!O133&gt;=Body!$BW$14,'Zdroj data'!O133&lt;=Body!$BY$14),Body!$BW$6,IF('Zdroj data'!O133&gt;=Body!$CB$14,Body!$BZ$6," "))))))))))," "))</f>
        <v>10</v>
      </c>
      <c r="J133" s="264">
        <f t="shared" si="25"/>
        <v>5</v>
      </c>
      <c r="K133" s="264">
        <f t="shared" si="25"/>
        <v>5</v>
      </c>
      <c r="L133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133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133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133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133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33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133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133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133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6</v>
      </c>
      <c r="U133" s="264">
        <f>IF('Zdroj data'!BB133=Body!$AY$25,Body!$AY$22,IF('Zdroj data'!BB133=Body!$BB$25,Body!$BB$22,IF('Zdroj data'!BB133=Body!$BE$25,Body!$BE$22,IF('Zdroj data'!BB133=Body!$BH$25,Body!$BH$22,IF('Zdroj data'!BB133=Body!BK$25,Body!$BK$22,IF('Zdroj data'!BB133=Body!$BN$25,Body!$BN$22,IF('Zdroj data'!BB133=Body!$BQ$25,Body!$BQ$22,IF('Zdroj data'!BB133=Body!$BT$25,Body!$BT$22,IF('Zdroj data'!BB133=Body!$BW$25,Body!$BW$22,IF('Zdroj data'!BB133=Body!$BZ$25,Body!$BZ$22," "))))))))))</f>
        <v>7</v>
      </c>
      <c r="V133" s="264">
        <f>IF(AND('Zdroj data'!BO133&gt;Body!$AY$27,'Zdroj data'!BO133&lt;=Body!$BA$27),Body!$AY$22,IF(AND('Zdroj data'!BO133&gt;=Body!$BB$27,'Zdroj data'!BO133&lt;=Body!$BD$27),Body!$BB$22,IF(AND('Zdroj data'!BO133&gt;=Body!$BE$27,'Zdroj data'!BO133&lt;=Body!$BG$27),Body!$BE$22,IF(AND('Zdroj data'!BO133&gt;=Body!$BH$27,'Zdroj data'!BO133&lt;=Body!$BJ$27),Body!$BH$22,IF(AND('Zdroj data'!BO133&gt;=Body!$BK$27,'Zdroj data'!BO133&lt;=Body!$BM$27),Body!$BK$22,IF(AND('Zdroj data'!BO133&gt;=Body!$BN$27,'Zdroj data'!BO133&lt;=Body!$BP$27),Body!$BN$22,IF(AND('Zdroj data'!BO133&gt;=Body!$BQ$27,'Zdroj data'!BO133&lt;=Body!$BS$27),Body!$BQ$22,IF(AND('Zdroj data'!BO133&gt;=Body!$BT$27,'Zdroj data'!BO133&lt;=Body!$BV$27),Body!$BT$22,IF(AND('Zdroj data'!BO133&gt;=Body!$BW$27,'Zdroj data'!BO133&lt;=Body!$BY$27),Body!$BW$22,IF('Zdroj data'!BO133&gt;=Body!$CB$27,$BZ$22," "))))))))))</f>
        <v>5</v>
      </c>
      <c r="W133" s="264">
        <f>IF(AND('Zdroj data'!BP133&gt;Body!$AY$27,'Zdroj data'!BP133&lt;=Body!$BA$27),Body!$AY$22,IF(AND('Zdroj data'!BP133&gt;=Body!$BB$27,'Zdroj data'!BP133&lt;=Body!$BD$27),Body!$BB$22,IF(AND('Zdroj data'!BP133&gt;=Body!$BE$27,'Zdroj data'!BP133&lt;=Body!$BG$27),Body!$BE$22,IF(AND('Zdroj data'!BP133&gt;=Body!$BH$27,'Zdroj data'!BP133&lt;=Body!$BJ$27),Body!$BH$22,IF(AND('Zdroj data'!BP133&gt;=Body!$BK$27,'Zdroj data'!BP133&lt;=Body!$BM$27),Body!$BK$22,IF(AND('Zdroj data'!BP133&gt;=Body!$BN$27,'Zdroj data'!BP133&lt;=Body!$BP$27),Body!$BN$22,IF(AND('Zdroj data'!BP133&gt;=Body!$BQ$27,'Zdroj data'!BP133&lt;=Body!$BS$27),Body!$BQ$22,IF(AND('Zdroj data'!BP133&gt;=Body!$BT$27,'Zdroj data'!BP133&lt;=Body!$BV$27),Body!$BT$22,IF(AND('Zdroj data'!BP133&gt;=Body!$BW$27,'Zdroj data'!BP133&lt;=Body!$BY$27),Body!$BW$22,IF('Zdroj data'!BP133&gt;=Body!$CB$27,$BZ$22," "))))))))))</f>
        <v>5</v>
      </c>
      <c r="X133" s="264">
        <f>IF('Zdroj data'!BA133=Body!$BB$28,$BB$22,IF('Zdroj data'!BA133=Body!$BE$28,$BE$22,IF(OR('Zdroj data'!BA133=Body!$BK$28,'Zdroj data'!BA133=Body!$BL$28,'Zdroj data'!BA133=Body!$BM$28),$BK$22,IF(OR('Zdroj data'!BA133=Body!$BT$28,'Zdroj data'!BA133=Body!$BV$28),$BT$22,IF(OR('Zdroj data'!BA133=Body!$BW$28,'Zdroj data'!BA133=Body!$BY$28),$BW$22,IF('Zdroj data'!BA133=Body!$BZ$28,$BZ$22," "))))))</f>
        <v>9</v>
      </c>
      <c r="Y133" s="264">
        <f>IF('Zdroj data'!AZ133=Body!$BZ$29,Body!$BZ$22,IF(OR('Zdroj data'!AZ133=$BT$29,'Zdroj data'!AZ133=$BU$29,'Zdroj data'!AZ133=$BV$29),$BT$22,IF(OR('Zdroj data'!AZ133=$BK$29,'Zdroj data'!AZ133=$BM$29),$BK$22,IF(OR('Zdroj data'!AZ133=$BE$29,'Zdroj data'!AZ133=$BG$29),$BE$22,IF(OR('Zdroj data'!AZ133=$AY$29,'Zdroj data'!AZ133=$BA$29),$AY$22," ")))))</f>
        <v>8</v>
      </c>
      <c r="Z133" s="264">
        <f>IF(AND('Zdroj data'!BF133="T",(OR('Zdroj data'!AZ133=Body!$AW$45,'Zdroj data'!AZ133=Body!$AW$46,'Zdroj data'!AZ133=Body!$AW$47,'Zdroj data'!AZ133=Body!$AW$48))),Body!$AY$22,IF(AND('Zdroj data'!BF133="T",(OR('Zdroj data'!AZ133=$AW$49,'Zdroj data'!AZ133=$AW$50,'Zdroj data'!AZ133=$AW$51,'Zdroj data'!AZ133=$AW$52))),$BZ$22,IF(AND(OR('Zdroj data'!BF133="VT",'Zdroj data'!BF133="T",'Zdroj data'!BF133="CH"),(OR('Zdroj data'!AZ133=$AW$43,'Zdroj data'!AZ133=$AW$44,))),$BZ$22,IF(AND('Zdroj data'!BF133="CH",(OR('Zdroj data'!AZ133=$AW$49,'Zdroj data'!AZ133=$AW$50,'Zdroj data'!AZ133=$AW$51,'Zdroj data'!AZ133=$AW$52))),$AY$22,IF(AND('Zdroj data'!BF133="CH",(OR('Zdroj data'!AZ133=$AW$45,'Zdroj data'!AZ133=$AW$46,'Zdroj data'!AZ133=$AW$47,'Zdroj data'!AZ133=$AW$48))),$BZ$22," ")))))</f>
        <v>10</v>
      </c>
      <c r="AA133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33" s="264">
        <f>IF(Tabulka1[[#This Row],[kv.ek.]]=Body!$BK$35,Body!$BK$34,IF(Tabulka1[[#This Row],[kv.ek.]]=Body!$BZ$35,Body!$BZ$34," "))</f>
        <v>5</v>
      </c>
      <c r="AC133" s="264" t="str">
        <f>IF(AND('Zdroj data'!BF133="T",(OR('Zdroj data'!AZ133=Body!$AW$45,'Zdroj data'!AZ133=Body!$AW$46,'Zdroj data'!AZ133=Body!$AW$47,'Zdroj data'!AZ133=Body!$AW$48))),Body!$AY$22,IF(AND('Zdroj data'!BF133="T",(OR('Zdroj data'!AZ133=$AW$49,'Zdroj data'!AZ133=$AW$50,'Zdroj data'!AZ133=$AW$51,'Zdroj data'!AZ133=$AW$52))),$BZ$22," "))</f>
        <v xml:space="preserve"> </v>
      </c>
      <c r="AD133" s="264">
        <f>IF(AND(OR('Zdroj data'!BF133="VT",'Zdroj data'!BF133="T",'Zdroj data'!BF133="CH"),(OR('Zdroj data'!AZ133=$AW$43,'Zdroj data'!AZ133=$AW$44,))),$BZ$22," ")</f>
        <v>10</v>
      </c>
      <c r="AE133" s="264" t="str">
        <f>IF(AND('Zdroj data'!BF133="CH",(OR('Zdroj data'!AZ133=$AW$49,'Zdroj data'!AZ133=$AW$50,'Zdroj data'!AZ133=$AW$51,'Zdroj data'!AZ133=$AW$52))),$AY$22,IF(AND('Zdroj data'!BF133="CH",(OR('Zdroj data'!AZ133=$AW$45,'Zdroj data'!AZ133=$AW$46,'Zdroj data'!AZ133=$AW$47,'Zdroj data'!AZ133=$AW$48))),$BZ$22," "))</f>
        <v xml:space="preserve"> </v>
      </c>
      <c r="AF133" s="264">
        <f>IF(AND('Zdroj data'!BG133="L",'Zdroj data'!AM133=Body!$AX$15),IF(AND('Zdroj data'!O133&gt;=Body!$AY$15,'Zdroj data'!O133&lt;=Body!$BA$15),Body!AY$6,IF(AND('Zdroj data'!O133&gt;=Body!$BB$15,'Zdroj data'!O133&lt;=Body!$BD$15),Body!BB$6,IF(AND('Zdroj data'!O133&gt;=Body!$BE$15,'Zdroj data'!O133&lt;=Body!$BG$15),Body!BE$6,IF(AND('Zdroj data'!O133&gt;=Body!$BH$15,'Zdroj data'!O133&lt;=Body!$BJ$15),Body!BH$6,IF(AND('Zdroj data'!O133&gt;=Body!$BK$15,'Zdroj data'!O133&lt;=Body!$BM$15),Body!BK$6,IF(AND('Zdroj data'!O133&gt;=Body!$BN$15,'Zdroj data'!O133&lt;=Body!$BP$15),Body!$BN$6,IF(AND('Zdroj data'!O133&gt;=Body!$BQ$15,'Zdroj data'!O133&lt;=Body!$BS$15),Body!$BQ$6,IF(AND('Zdroj data'!O133&gt;=Body!$BT$15,'Zdroj data'!O133&lt;=Body!$BV$15),Body!BT$6,IF(AND('Zdroj data'!O133&gt;=Body!$BW$15,'Zdroj data'!O133&lt;=Body!$BY$15),Body!$BW$6,IF('Zdroj data'!O133&gt;=Body!$CB$15,Body!$BZ$6," ")))))))))),IF(AND('Zdroj data'!BG133="ST",'Zdroj data'!AM133=Body!$AX$16),IF(AND('Zdroj data'!O133&gt;=Body!$AY$16,'Zdroj data'!O133&lt;=Body!$BA$16),Body!$AY$6,IF(AND('Zdroj data'!O133&gt;=Body!$BB$16,'Zdroj data'!O133&lt;=Body!$BD$16),Body!$BB$6,IF(AND('Zdroj data'!O133&gt;=Body!$BE$16,'Zdroj data'!O133&lt;=Body!$BG$16),Body!$BE$6,IF(AND('Zdroj data'!O133&gt;=Body!$BH$16,'Zdroj data'!O133&lt;=Body!$BJ$16),Body!$BH$6,IF(AND('Zdroj data'!O133&gt;=Body!$BK$16,'Zdroj data'!O133&lt;=Body!$BM$16),Body!$BK$6,IF(AND('Zdroj data'!O133&gt;=Body!$BN$16,'Zdroj data'!O133&lt;=Body!$BP$16),Body!$BN$6,IF(AND('Zdroj data'!O133&gt;=Body!$BQ$16,'Zdroj data'!O133&lt;=Body!$BS$16),Body!$BQ$6,IF(AND('Zdroj data'!O133&gt;=Body!$BT$16,'Zdroj data'!O133&lt;=Body!$BV$16),Body!$BT$6,IF(AND('Zdroj data'!O133&gt;=Body!$BW$16,'Zdroj data'!O133&lt;=Body!$BY$16),Body!$BW$6,IF('Zdroj data'!O133&gt;=Body!$CB$16,Body!$BZ$6," ")))))))))),IF(AND('Zdroj data'!BG133="T",'Zdroj data'!AM133=Body!$AX$17),IF(AND('Zdroj data'!O133&gt;=Body!$AY$17,'Zdroj data'!O133&lt;=Body!$BA$17),Body!$AY$6,IF(AND('Zdroj data'!O133&gt;=Body!$BB$17,'Zdroj data'!O133&lt;=Body!$BD$17),Body!$BB$6,IF(AND('Zdroj data'!O133&gt;=Body!$BE$17,'Zdroj data'!O133&lt;=Body!$BG$17),Body!$BE$6,IF(AND('Zdroj data'!O133&gt;=Body!$BH$17,'Zdroj data'!O133&lt;=Body!#REF!),Body!$BH$6,IF(AND('Zdroj data'!O133&gt;=Body!$BK$17,'Zdroj data'!O133&lt;=Body!$BM$17),Body!$BK$6,IF(AND('Zdroj data'!O133&gt;=Body!$BN$17,'Zdroj data'!O133&lt;=Body!$BP$17),Body!$BN$6,IF(AND('Zdroj data'!O133&gt;=Body!$BQ$17,'Zdroj data'!O133&lt;=Body!$BS$17),Body!$BQ$6,IF(AND('Zdroj data'!O133&gt;=Body!$BT$17,'Zdroj data'!O133&lt;=Body!$BV$17),Body!$BT$6,IF(AND('Zdroj data'!O133&gt;=Body!$BW$17,'Zdroj data'!O133&lt;=Body!$BY$17),Body!$BW$6,IF('Zdroj data'!O133&gt;=Body!$CB$17,Body!$BZ$6," "))))))))))," ")))</f>
        <v>5</v>
      </c>
      <c r="AG133" s="264">
        <f>IF(AND('Zdroj data'!$BG133="L",'Zdroj data'!$AM133=Body!$AX$15),IF(AND(Tabulka1[[#This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data'!$BG133="ST",'Zdroj data'!$AM133=Body!$AX$16),IF(AND(Tabulka1[[#This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data'!$BG133="T",'Zdroj data'!$AM133=Body!$AX$17),IF(AND(Tabulka1[[#This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5</v>
      </c>
      <c r="AH133" s="264" t="str">
        <f>IF(AND('Zdroj data'!BG133="L",'Zdroj data'!AM133=Body!$AX$18),IF(AND('Zdroj data'!O133&gt;=Body!$AY$18,'Zdroj data'!O133&lt;=Body!$BA$18),Body!AY$6,IF(AND('Zdroj data'!O133&gt;=Body!$BB$18,'Zdroj data'!O133&lt;=Body!$BD$18),Body!BB$6,IF(AND('Zdroj data'!O133&gt;=Body!$BE$18,'Zdroj data'!O133&lt;=Body!$BG$18),Body!BE$6,IF(AND('Zdroj data'!O133&gt;=Body!$BH$18,'Zdroj data'!O133&lt;=Body!$BJ$18),Body!BH$6,IF(AND('Zdroj data'!O133&gt;=Body!$BK$18,'Zdroj data'!O133&lt;=Body!$BM$18),Body!$BK$6,IF(AND('Zdroj data'!O133&gt;=Body!$BN$18,'Zdroj data'!O133&lt;=Body!$BP$18),Body!BN$6,IF(AND('Zdroj data'!O133&gt;=Body!$BQ$18,'Zdroj data'!O133&lt;=Body!$BS$18),Body!$BQ$6,IF(AND('Zdroj data'!O133&gt;=Body!$BT$18,'Zdroj data'!O133&lt;=Body!$BV$18),Body!$BT$6,IF(AND('Zdroj data'!O133&gt;=Body!$BW$18,'Zdroj data'!O133&lt;=Body!$BY$18),Body!$BW$6,IF('Zdroj data'!O133&gt;=Body!$CB$18,Body!$BZ$6," ")))))))))),IF(AND('Zdroj data'!BG133="ST",'Zdroj data'!AM133=Body!$AX$19),IF(AND('Zdroj data'!O133&gt;=Body!$AY$19,'Zdroj data'!O133&lt;=Body!$BA$19),Body!$AY$6,IF(AND('Zdroj data'!O133&gt;=Body!$BB$19,'Zdroj data'!O133&lt;=Body!$BD$19),Body!$BB$6,IF(AND('Zdroj data'!O133&gt;=Body!$BE$19,'Zdroj data'!O133&lt;=Body!$BG$19),Body!$BE$6,IF(AND('Zdroj data'!O133&gt;=Body!$BH$19,'Zdroj data'!O133&lt;=Body!$BJ$19),Body!$BH$6,IF(AND('Zdroj data'!O133&gt;=Body!$BK$19,'Zdroj data'!O133&lt;=Body!$BM$19),Body!$BK$6,IF(AND('Zdroj data'!O133&gt;=Body!$BN$19,'Zdroj data'!O133&lt;=Body!$BP$19),Body!$BN$6,IF(AND('Zdroj data'!O133&gt;=Body!$BQ$19,'Zdroj data'!O133&lt;=Body!$BS$19),Body!$BQ$6,IF(AND('Zdroj data'!O133&gt;=Body!$BT$19,'Zdroj data'!O137&lt;=Body!$BV$19),Body!$BT$6,IF(AND('Zdroj data'!O133&gt;=Body!$BW$19,'Zdroj data'!O133&lt;=Body!$BY$19),Body!$BW$6,IF('Zdroj data'!O133&gt;=Body!$CB$19,Body!$BZ$6," ")))))))))),IF(AND('Zdroj data'!BG133="T",'Zdroj data'!AM133=Body!$AX$20),IF(AND('Zdroj data'!O133&gt;=Body!$AY$20,'Zdroj data'!O133&lt;=Body!$BA$20),Body!$AY$6,IF(AND('Zdroj data'!O133&gt;=Body!$BB$20,'Zdroj data'!O133&lt;=Body!$BD$20),Body!$BB$6,IF(AND('Zdroj data'!O133&gt;=Body!$BE$20,'Zdroj data'!O133&lt;=Body!$BG$20),Body!$BE$6,IF(AND('Zdroj data'!O133&gt;=Body!$BH$20,'Zdroj data'!O133&lt;=Body!$BJ$20),Body!$BH$6,IF(AND('Zdroj data'!O133&gt;=Body!$BK$20,'Zdroj data'!O133&lt;=Body!$BM$20),Body!$BK$6,IF(AND('Zdroj data'!O133&gt;=Body!$BN$20,'Zdroj data'!O133&lt;=Body!$BP$20),Body!$BN$6,IF(AND('Zdroj data'!O133&gt;=Body!$BQ$20,'Zdroj data'!O133&lt;=Body!$BS$20),Body!$BQ$6,IF(AND('Zdroj data'!O133&gt;=Body!$BT$20,'Zdroj data'!O133&lt;=Body!#REF!),Body!$BT$6,IF(AND('Zdroj data'!O133&gt;=Body!$BW$20,'Zdroj data'!O133&lt;=Body!$BY$20),Body!$BW$6,IF('Zdroj data'!O133&gt;=Body!$CB$20,Body!$BZ$6," "))))))))))," ")))</f>
        <v xml:space="preserve"> </v>
      </c>
      <c r="AI133" s="264" t="str">
        <f>IF(AND('Zdroj data'!$BG133="L",'Zdroj data'!$AM133=Body!$AX$18),IF(AND(Tabulka1[[#This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data'!$BG133="ST",'Zdroj data'!$AM133=Body!$AX$19),IF(AND(Tabulka1[[#This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data'!$BG133="T",'Zdroj data'!$AM133=Body!$AX$20),IF(AND(Tabulka1[[#This Row],[K2O_60]]&gt;=Body!$AY$20,'Zdroj data'!O133&lt;=Body!$BA$20),Body!$AY$6,IF(AND(Tabulka1[[#This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33" s="265">
        <f t="shared" si="26"/>
        <v>8.0000000000000071</v>
      </c>
      <c r="AK133" s="264">
        <f t="shared" si="27"/>
        <v>34.745310896640568</v>
      </c>
      <c r="AL133" s="264">
        <f t="shared" si="28"/>
        <v>30.356897348877883</v>
      </c>
      <c r="AM133" s="264">
        <f t="shared" si="29"/>
        <v>63.833392987777479</v>
      </c>
      <c r="AN133" s="264">
        <f t="shared" si="30"/>
        <v>59.919769030701502</v>
      </c>
      <c r="AO133" s="265">
        <f t="shared" si="21"/>
        <v>98.578703884418047</v>
      </c>
      <c r="AP133" s="265">
        <f t="shared" si="31"/>
        <v>90.276666379579382</v>
      </c>
      <c r="AQ133" s="318"/>
      <c r="AR133" s="338">
        <f t="shared" si="32"/>
        <v>196.85537026399743</v>
      </c>
      <c r="AS133" s="318"/>
      <c r="AT133" s="138"/>
      <c r="AU133" s="138"/>
    </row>
    <row r="134" spans="1:47" ht="15.5" x14ac:dyDescent="0.35">
      <c r="A134" s="270">
        <v>5572</v>
      </c>
      <c r="B134" s="156" t="s">
        <v>91</v>
      </c>
      <c r="C134" s="250" t="str">
        <f>VLOOKUP(B134,'Zdroj hloubka okresy'!$A$2:$D$171,2,FALSE)</f>
        <v>Kutna_Hora</v>
      </c>
      <c r="D134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134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134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2</v>
      </c>
      <c r="G134" s="264">
        <f>IF(AND(Tabulka1[[#This Row],[hum_60]]&gt;AY140,Tabulka1[[#This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34" s="264">
        <f>IF(Tabulka1[[#This Row],[kv.ek.]]=Body!$AX$13,IF(AND('Zdroj data'!M134&gt;=Body!$AY$13,'Zdroj data'!M134&lt;=Body!$BA$13),Body!$AY$6,IF(AND('Zdroj data'!M134&gt;=Body!$BB$13,'Zdroj data'!M134&lt;=Body!$BD$13),Body!$BB$6,IF(AND('Zdroj data'!M134&gt;=Body!$BE$13,'Zdroj data'!M134&lt;=Body!$BG$13),Body!$BE$6,IF(AND('Zdroj data'!M134&gt;=Body!$BH$13,'Zdroj data'!M134&lt;=Body!$BJ$13),Body!$BH$6,IF(AND('Zdroj data'!M134&gt;=Body!$BK$13,'Zdroj data'!M134&lt;=Body!$BM$13),Body!$BK$6,IF(AND('Zdroj data'!M134&gt;=Body!$BN$13,'Zdroj data'!M134&lt;=Body!$BP$13),Body!$BN$6,IF(AND('Zdroj data'!M134&gt;=Body!$BQ$13,'Zdroj data'!M134&lt;=Body!$BS$13),Body!$BQ$6,IF(AND('Zdroj data'!M134&gt;=Body!$BT$13,'Zdroj data'!M134&lt;=Body!$BV$13),Body!$BT$6,IF(AND('Zdroj data'!M134&gt;=Body!$BW$13,'Zdroj data'!M134&lt;=Body!$BY$13),Body!$BW$6,IF('Zdroj data'!M134&gt;=Body!$CB$13,Body!$BZ$6," ")))))))))),IF(Tabulka1[[#This Row],[kv.ek.]]=Body!$AX$14,IF(AND('Zdroj data'!N134&gt;=Body!$AY$14,'Zdroj data'!N134&lt;=Body!$BA$14),Body!$AY$6,IF(AND('Zdroj data'!N134&gt;=Body!$BB$14,'Zdroj data'!N134&lt;=Body!$BD$14),Body!$BB$6,IF(AND('Zdroj data'!N134&gt;=Body!$BE$14,'Zdroj data'!N134&lt;=Body!$BG$14),Body!$BE$6,IF(AND('Zdroj data'!N134&gt;=Body!$BH$14,'Zdroj data'!N134&lt;=Body!$BJ$14),Body!$BH$6,IF(AND('Zdroj data'!N134&gt;=Body!$BK$14,'Zdroj data'!N134&lt;=Body!$BM$14),Body!$BK$6,IF(AND('Zdroj data'!N134&gt;=Body!$BN$14,'Zdroj data'!N134&lt;=Body!$BP$14),Body!$BN$6,IF(AND('Zdroj data'!N134&gt;=Body!$BQ$14,'Zdroj data'!N134&lt;=Body!$BS$14),Body!$BQ$6,IF(AND('Zdroj data'!N134&gt;=Body!$BT$14,'Zdroj data'!N134&lt;=Body!$BV$14),Body!$BT$6,IF(AND('Zdroj data'!N134&gt;=Body!$BW$14,'Zdroj data'!N134&lt;=Body!$BY$14),Body!$BW$6,IF('Zdroj data'!N134&gt;=Body!$CB$14,Body!$BZ$6," "))))))))))," "))</f>
        <v>1</v>
      </c>
      <c r="I134" s="264">
        <f>IF(Tabulka1[[#This Row],[kv.ek.]]=Body!$AX$13,IF(AND('Zdroj data'!N134&gt;=Body!$AY$13,'Zdroj data'!N134&lt;=Body!$BA$13),Body!$AY$6,IF(AND('Zdroj data'!N134&gt;=Body!$BB$13,'Zdroj data'!N134&lt;=Body!$BD$13),Body!$BB$6,IF(AND('Zdroj data'!N134&gt;=Body!$BE$13,'Zdroj data'!N134&lt;=Body!$BG$13),Body!$BE$6,IF(AND('Zdroj data'!N134&gt;=Body!$BH$13,'Zdroj data'!N134&lt;=Body!$BJ$13),Body!$BH$6,IF(AND('Zdroj data'!N134&gt;=Body!$BK$13,'Zdroj data'!N134&lt;=Body!$BM$13),Body!$BK$6,IF(AND('Zdroj data'!N134&gt;=Body!$BN$13,'Zdroj data'!N134&lt;=Body!$BP$13),Body!$BN$6,IF(AND('Zdroj data'!N134&gt;=Body!$BQ$13,'Zdroj data'!N134&lt;=Body!$BS$13),Body!$BQ$6,IF(AND('Zdroj data'!N134&gt;=Body!$BT$13,'Zdroj data'!N134&lt;=Body!$BV$13),Body!$BT$6,IF(AND('Zdroj data'!N134&gt;=Body!$BW$13,'Zdroj data'!N134&lt;=Body!$BY$13),Body!$BW$6,IF('Zdroj data'!N134&gt;=Body!$CB$13,Body!$BZ$6," ")))))))))),IF(Tabulka1[[#This Row],[kv.ek.]]=Body!$AX$14,IF(AND('Zdroj data'!O134&gt;=Body!$AY$14,'Zdroj data'!O134&lt;=Body!$BA$14),Body!$AY$6,IF(AND('Zdroj data'!O134&gt;=Body!$BB$14,'Zdroj data'!O134&lt;=Body!$BD$14),Body!$BB$6,IF(AND('Zdroj data'!O134&gt;=Body!$BE$14,'Zdroj data'!O134&lt;=Body!$BG$14),Body!$BE$6,IF(AND('Zdroj data'!O134&gt;=Body!$BH$14,'Zdroj data'!O134&lt;=Body!$BJ$14),Body!$BH$6,IF(AND('Zdroj data'!O134&gt;=Body!$BK$14,'Zdroj data'!O134&lt;=Body!$BM$14),Body!$BK$6,IF(AND('Zdroj data'!O134&gt;=Body!$BN$14,'Zdroj data'!O134&lt;=Body!$BP$14),Body!$BN$6,IF(AND('Zdroj data'!O134&gt;=Body!$BQ$14,'Zdroj data'!O134&lt;=Body!$BS$14),Body!$BQ$6,IF(AND('Zdroj data'!O134&gt;=Body!$BT$14,'Zdroj data'!O134&lt;=Body!$BV$14),Body!$BT$6,IF(AND('Zdroj data'!O134&gt;=Body!$BW$14,'Zdroj data'!O134&lt;=Body!$BY$14),Body!$BW$6,IF('Zdroj data'!O134&gt;=Body!$CB$14,Body!$BZ$6," "))))))))))," "))</f>
        <v>1</v>
      </c>
      <c r="J134" s="264">
        <f t="shared" si="25"/>
        <v>1</v>
      </c>
      <c r="K134" s="264">
        <f t="shared" si="25"/>
        <v>1</v>
      </c>
      <c r="L134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1</v>
      </c>
      <c r="M134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1</v>
      </c>
      <c r="N134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2</v>
      </c>
      <c r="O134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3</v>
      </c>
      <c r="P134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34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2</v>
      </c>
      <c r="R134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2</v>
      </c>
      <c r="S134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4</v>
      </c>
      <c r="T134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3</v>
      </c>
      <c r="U134" s="264">
        <f>IF('Zdroj data'!BB134=Body!$AY$25,Body!$AY$22,IF('Zdroj data'!BB134=Body!$BB$25,Body!$BB$22,IF('Zdroj data'!BB134=Body!$BE$25,Body!$BE$22,IF('Zdroj data'!BB134=Body!$BH$25,Body!$BH$22,IF('Zdroj data'!BB134=Body!BK$25,Body!$BK$22,IF('Zdroj data'!BB134=Body!$BN$25,Body!$BN$22,IF('Zdroj data'!BB134=Body!$BQ$25,Body!$BQ$22,IF('Zdroj data'!BB134=Body!$BT$25,Body!$BT$22,IF('Zdroj data'!BB134=Body!$BW$25,Body!$BW$22,IF('Zdroj data'!BB134=Body!$BZ$25,Body!$BZ$22," "))))))))))</f>
        <v>7</v>
      </c>
      <c r="V134" s="264">
        <f>IF(AND('Zdroj data'!BO134&gt;Body!$AY$27,'Zdroj data'!BO134&lt;=Body!$BA$27),Body!$AY$22,IF(AND('Zdroj data'!BO134&gt;=Body!$BB$27,'Zdroj data'!BO134&lt;=Body!$BD$27),Body!$BB$22,IF(AND('Zdroj data'!BO134&gt;=Body!$BE$27,'Zdroj data'!BO134&lt;=Body!$BG$27),Body!$BE$22,IF(AND('Zdroj data'!BO134&gt;=Body!$BH$27,'Zdroj data'!BO134&lt;=Body!$BJ$27),Body!$BH$22,IF(AND('Zdroj data'!BO134&gt;=Body!$BK$27,'Zdroj data'!BO134&lt;=Body!$BM$27),Body!$BK$22,IF(AND('Zdroj data'!BO134&gt;=Body!$BN$27,'Zdroj data'!BO134&lt;=Body!$BP$27),Body!$BN$22,IF(AND('Zdroj data'!BO134&gt;=Body!$BQ$27,'Zdroj data'!BO134&lt;=Body!$BS$27),Body!$BQ$22,IF(AND('Zdroj data'!BO134&gt;=Body!$BT$27,'Zdroj data'!BO134&lt;=Body!$BV$27),Body!$BT$22,IF(AND('Zdroj data'!BO134&gt;=Body!$BW$27,'Zdroj data'!BO134&lt;=Body!$BY$27),Body!$BW$22,IF('Zdroj data'!BO134&gt;=Body!$CB$27,$BZ$22," "))))))))))</f>
        <v>7</v>
      </c>
      <c r="W134" s="264">
        <f>IF(AND('Zdroj data'!BP134&gt;Body!$AY$27,'Zdroj data'!BP134&lt;=Body!$BA$27),Body!$AY$22,IF(AND('Zdroj data'!BP134&gt;=Body!$BB$27,'Zdroj data'!BP134&lt;=Body!$BD$27),Body!$BB$22,IF(AND('Zdroj data'!BP134&gt;=Body!$BE$27,'Zdroj data'!BP134&lt;=Body!$BG$27),Body!$BE$22,IF(AND('Zdroj data'!BP134&gt;=Body!$BH$27,'Zdroj data'!BP134&lt;=Body!$BJ$27),Body!$BH$22,IF(AND('Zdroj data'!BP134&gt;=Body!$BK$27,'Zdroj data'!BP134&lt;=Body!$BM$27),Body!$BK$22,IF(AND('Zdroj data'!BP134&gt;=Body!$BN$27,'Zdroj data'!BP134&lt;=Body!$BP$27),Body!$BN$22,IF(AND('Zdroj data'!BP134&gt;=Body!$BQ$27,'Zdroj data'!BP134&lt;=Body!$BS$27),Body!$BQ$22,IF(AND('Zdroj data'!BP134&gt;=Body!$BT$27,'Zdroj data'!BP134&lt;=Body!$BV$27),Body!$BT$22,IF(AND('Zdroj data'!BP134&gt;=Body!$BW$27,'Zdroj data'!BP134&lt;=Body!$BY$27),Body!$BW$22,IF('Zdroj data'!BP134&gt;=Body!$CB$27,$BZ$22," "))))))))))</f>
        <v>5</v>
      </c>
      <c r="X134" s="264">
        <f>IF('Zdroj data'!BA134=Body!$BB$28,$BB$22,IF('Zdroj data'!BA134=Body!$BE$28,$BE$22,IF(OR('Zdroj data'!BA134=Body!$BK$28,'Zdroj data'!BA134=Body!$BL$28,'Zdroj data'!BA134=Body!$BM$28),$BK$22,IF(OR('Zdroj data'!BA134=Body!$BT$28,'Zdroj data'!BA134=Body!$BV$28),$BT$22,IF(OR('Zdroj data'!BA134=Body!$BW$28,'Zdroj data'!BA134=Body!$BY$28),$BW$22,IF('Zdroj data'!BA134=Body!$BZ$28,$BZ$22," "))))))</f>
        <v>9</v>
      </c>
      <c r="Y134" s="264">
        <f>IF('Zdroj data'!AZ134=Body!$BZ$29,Body!$BZ$22,IF(OR('Zdroj data'!AZ134=$BT$29,'Zdroj data'!AZ134=$BU$29,'Zdroj data'!AZ134=$BV$29),$BT$22,IF(OR('Zdroj data'!AZ134=$BK$29,'Zdroj data'!AZ134=$BM$29),$BK$22,IF(OR('Zdroj data'!AZ134=$BE$29,'Zdroj data'!AZ134=$BG$29),$BE$22,IF(OR('Zdroj data'!AZ134=$AY$29,'Zdroj data'!AZ134=$BA$29),$AY$22," ")))))</f>
        <v>10</v>
      </c>
      <c r="Z134" s="264">
        <f>IF(AND('Zdroj data'!BF134="T",(OR('Zdroj data'!AZ134=Body!$AW$45,'Zdroj data'!AZ134=Body!$AW$46,'Zdroj data'!AZ134=Body!$AW$47,'Zdroj data'!AZ134=Body!$AW$48))),Body!$AY$22,IF(AND('Zdroj data'!BF134="T",(OR('Zdroj data'!AZ134=$AW$49,'Zdroj data'!AZ134=$AW$50,'Zdroj data'!AZ134=$AW$51,'Zdroj data'!AZ134=$AW$52))),$BZ$22,IF(AND(OR('Zdroj data'!BF134="VT",'Zdroj data'!BF134="T",'Zdroj data'!BF134="CH"),(OR('Zdroj data'!AZ134=$AW$43,'Zdroj data'!AZ134=$AW$44,))),$BZ$22,IF(AND('Zdroj data'!BF134="CH",(OR('Zdroj data'!AZ134=$AW$49,'Zdroj data'!AZ134=$AW$50,'Zdroj data'!AZ134=$AW$51,'Zdroj data'!AZ134=$AW$52))),$AY$22,IF(AND('Zdroj data'!BF134="CH",(OR('Zdroj data'!AZ134=$AW$45,'Zdroj data'!AZ134=$AW$46,'Zdroj data'!AZ134=$AW$47,'Zdroj data'!AZ134=$AW$48))),$BZ$22," ")))))</f>
        <v>10</v>
      </c>
      <c r="AA134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134" s="264">
        <f>IF(Tabulka1[[#This Row],[kv.ek.]]=Body!$BK$35,Body!$BK$34,IF(Tabulka1[[#This Row],[kv.ek.]]=Body!$BZ$35,Body!$BZ$34," "))</f>
        <v>5</v>
      </c>
      <c r="AC134" s="264" t="str">
        <f>IF(AND('Zdroj data'!BF134="T",(OR('Zdroj data'!AZ134=Body!$AW$45,'Zdroj data'!AZ134=Body!$AW$46,'Zdroj data'!AZ134=Body!$AW$47,'Zdroj data'!AZ134=Body!$AW$48))),Body!$AY$22,IF(AND('Zdroj data'!BF134="T",(OR('Zdroj data'!AZ134=$AW$49,'Zdroj data'!AZ134=$AW$50,'Zdroj data'!AZ134=$AW$51,'Zdroj data'!AZ134=$AW$52))),$BZ$22," "))</f>
        <v xml:space="preserve"> </v>
      </c>
      <c r="AD134" s="264">
        <f>IF(AND(OR('Zdroj data'!BF134="VT",'Zdroj data'!BF134="T",'Zdroj data'!BF134="CH"),(OR('Zdroj data'!AZ134=$AW$43,'Zdroj data'!AZ134=$AW$44,))),$BZ$22," ")</f>
        <v>10</v>
      </c>
      <c r="AE134" s="264" t="str">
        <f>IF(AND('Zdroj data'!BF134="CH",(OR('Zdroj data'!AZ134=$AW$49,'Zdroj data'!AZ134=$AW$50,'Zdroj data'!AZ134=$AW$51,'Zdroj data'!AZ134=$AW$52))),$AY$22,IF(AND('Zdroj data'!BF134="CH",(OR('Zdroj data'!AZ134=$AW$45,'Zdroj data'!AZ134=$AW$46,'Zdroj data'!AZ134=$AW$47,'Zdroj data'!AZ134=$AW$48))),$BZ$22," "))</f>
        <v xml:space="preserve"> </v>
      </c>
      <c r="AF134" s="264">
        <f>IF(AND('Zdroj data'!BG134="L",'Zdroj data'!AM134=Body!$AX$15),IF(AND('Zdroj data'!O134&gt;=Body!$AY$15,'Zdroj data'!O134&lt;=Body!$BA$15),Body!AY$6,IF(AND('Zdroj data'!O134&gt;=Body!$BB$15,'Zdroj data'!O134&lt;=Body!$BD$15),Body!BB$6,IF(AND('Zdroj data'!O134&gt;=Body!$BE$15,'Zdroj data'!O134&lt;=Body!$BG$15),Body!BE$6,IF(AND('Zdroj data'!O134&gt;=Body!$BH$15,'Zdroj data'!O134&lt;=Body!$BJ$15),Body!BH$6,IF(AND('Zdroj data'!O134&gt;=Body!$BK$15,'Zdroj data'!O134&lt;=Body!$BM$15),Body!BK$6,IF(AND('Zdroj data'!O134&gt;=Body!$BN$15,'Zdroj data'!O134&lt;=Body!$BP$15),Body!$BN$6,IF(AND('Zdroj data'!O134&gt;=Body!$BQ$15,'Zdroj data'!O134&lt;=Body!$BS$15),Body!$BQ$6,IF(AND('Zdroj data'!O134&gt;=Body!$BT$15,'Zdroj data'!O134&lt;=Body!$BV$15),Body!BT$6,IF(AND('Zdroj data'!O134&gt;=Body!$BW$15,'Zdroj data'!O134&lt;=Body!$BY$15),Body!$BW$6,IF('Zdroj data'!O134&gt;=Body!$CB$15,Body!$BZ$6," ")))))))))),IF(AND('Zdroj data'!BG134="ST",'Zdroj data'!AM134=Body!$AX$16),IF(AND('Zdroj data'!O134&gt;=Body!$AY$16,'Zdroj data'!O134&lt;=Body!$BA$16),Body!$AY$6,IF(AND('Zdroj data'!O134&gt;=Body!$BB$16,'Zdroj data'!O134&lt;=Body!$BD$16),Body!$BB$6,IF(AND('Zdroj data'!O134&gt;=Body!$BE$16,'Zdroj data'!O134&lt;=Body!$BG$16),Body!$BE$6,IF(AND('Zdroj data'!O134&gt;=Body!$BH$16,'Zdroj data'!O134&lt;=Body!$BJ$16),Body!$BH$6,IF(AND('Zdroj data'!O134&gt;=Body!$BK$16,'Zdroj data'!O134&lt;=Body!$BM$16),Body!$BK$6,IF(AND('Zdroj data'!O134&gt;=Body!$BN$16,'Zdroj data'!O134&lt;=Body!$BP$16),Body!$BN$6,IF(AND('Zdroj data'!O134&gt;=Body!$BQ$16,'Zdroj data'!O134&lt;=Body!$BS$16),Body!$BQ$6,IF(AND('Zdroj data'!O134&gt;=Body!$BT$16,'Zdroj data'!O134&lt;=Body!$BV$16),Body!$BT$6,IF(AND('Zdroj data'!O134&gt;=Body!$BW$16,'Zdroj data'!O134&lt;=Body!$BY$16),Body!$BW$6,IF('Zdroj data'!O134&gt;=Body!$CB$16,Body!$BZ$6," ")))))))))),IF(AND('Zdroj data'!BG134="T",'Zdroj data'!AM134=Body!$AX$17),IF(AND('Zdroj data'!O134&gt;=Body!$AY$17,'Zdroj data'!O134&lt;=Body!$BA$17),Body!$AY$6,IF(AND('Zdroj data'!O134&gt;=Body!$BB$17,'Zdroj data'!O134&lt;=Body!$BD$17),Body!$BB$6,IF(AND('Zdroj data'!O134&gt;=Body!$BE$17,'Zdroj data'!O134&lt;=Body!$BG$17),Body!$BE$6,IF(AND('Zdroj data'!O134&gt;=Body!$BH$17,'Zdroj data'!O134&lt;=Body!#REF!),Body!$BH$6,IF(AND('Zdroj data'!O134&gt;=Body!$BK$17,'Zdroj data'!O134&lt;=Body!$BM$17),Body!$BK$6,IF(AND('Zdroj data'!O134&gt;=Body!$BN$17,'Zdroj data'!O134&lt;=Body!$BP$17),Body!$BN$6,IF(AND('Zdroj data'!O134&gt;=Body!$BQ$17,'Zdroj data'!O134&lt;=Body!$BS$17),Body!$BQ$6,IF(AND('Zdroj data'!O134&gt;=Body!$BT$17,'Zdroj data'!O134&lt;=Body!$BV$17),Body!$BT$6,IF(AND('Zdroj data'!O134&gt;=Body!$BW$17,'Zdroj data'!O134&lt;=Body!$BY$17),Body!$BW$6,IF('Zdroj data'!O134&gt;=Body!$CB$17,Body!$BZ$6," "))))))))))," ")))</f>
        <v>1</v>
      </c>
      <c r="AG134" s="264">
        <f>IF(AND('Zdroj data'!$BG134="L",'Zdroj data'!$AM134=Body!$AX$15),IF(AND(Tabulka1[[#This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data'!$BG134="ST",'Zdroj data'!$AM134=Body!$AX$16),IF(AND(Tabulka1[[#This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data'!$BG134="T",'Zdroj data'!$AM134=Body!$AX$17),IF(AND(Tabulka1[[#This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34" s="264" t="str">
        <f>IF(AND('Zdroj data'!BG134="L",'Zdroj data'!AM134=Body!$AX$18),IF(AND('Zdroj data'!O134&gt;=Body!$AY$18,'Zdroj data'!O134&lt;=Body!$BA$18),Body!AY$6,IF(AND('Zdroj data'!O134&gt;=Body!$BB$18,'Zdroj data'!O134&lt;=Body!$BD$18),Body!BB$6,IF(AND('Zdroj data'!O134&gt;=Body!$BE$18,'Zdroj data'!O134&lt;=Body!$BG$18),Body!BE$6,IF(AND('Zdroj data'!O134&gt;=Body!$BH$18,'Zdroj data'!O134&lt;=Body!$BJ$18),Body!BH$6,IF(AND('Zdroj data'!O134&gt;=Body!$BK$18,'Zdroj data'!O134&lt;=Body!$BM$18),Body!$BK$6,IF(AND('Zdroj data'!O134&gt;=Body!$BN$18,'Zdroj data'!O134&lt;=Body!$BP$18),Body!BN$6,IF(AND('Zdroj data'!O134&gt;=Body!$BQ$18,'Zdroj data'!O134&lt;=Body!$BS$18),Body!$BQ$6,IF(AND('Zdroj data'!O134&gt;=Body!$BT$18,'Zdroj data'!O134&lt;=Body!$BV$18),Body!$BT$6,IF(AND('Zdroj data'!O134&gt;=Body!$BW$18,'Zdroj data'!O134&lt;=Body!$BY$18),Body!$BW$6,IF('Zdroj data'!O134&gt;=Body!$CB$18,Body!$BZ$6," ")))))))))),IF(AND('Zdroj data'!BG134="ST",'Zdroj data'!AM134=Body!$AX$19),IF(AND('Zdroj data'!O134&gt;=Body!$AY$19,'Zdroj data'!O134&lt;=Body!$BA$19),Body!$AY$6,IF(AND('Zdroj data'!O134&gt;=Body!$BB$19,'Zdroj data'!O134&lt;=Body!$BD$19),Body!$BB$6,IF(AND('Zdroj data'!O134&gt;=Body!$BE$19,'Zdroj data'!O134&lt;=Body!$BG$19),Body!$BE$6,IF(AND('Zdroj data'!O134&gt;=Body!$BH$19,'Zdroj data'!O134&lt;=Body!$BJ$19),Body!$BH$6,IF(AND('Zdroj data'!O134&gt;=Body!$BK$19,'Zdroj data'!O134&lt;=Body!$BM$19),Body!$BK$6,IF(AND('Zdroj data'!O134&gt;=Body!$BN$19,'Zdroj data'!O134&lt;=Body!$BP$19),Body!$BN$6,IF(AND('Zdroj data'!O134&gt;=Body!$BQ$19,'Zdroj data'!O134&lt;=Body!$BS$19),Body!$BQ$6,IF(AND('Zdroj data'!O134&gt;=Body!$BT$19,'Zdroj data'!O138&lt;=Body!$BV$19),Body!$BT$6,IF(AND('Zdroj data'!O134&gt;=Body!$BW$19,'Zdroj data'!O134&lt;=Body!$BY$19),Body!$BW$6,IF('Zdroj data'!O134&gt;=Body!$CB$19,Body!$BZ$6," ")))))))))),IF(AND('Zdroj data'!BG134="T",'Zdroj data'!AM134=Body!$AX$20),IF(AND('Zdroj data'!O134&gt;=Body!$AY$20,'Zdroj data'!O134&lt;=Body!$BA$20),Body!$AY$6,IF(AND('Zdroj data'!O134&gt;=Body!$BB$20,'Zdroj data'!O134&lt;=Body!$BD$20),Body!$BB$6,IF(AND('Zdroj data'!O134&gt;=Body!$BE$20,'Zdroj data'!O134&lt;=Body!$BG$20),Body!$BE$6,IF(AND('Zdroj data'!O134&gt;=Body!$BH$20,'Zdroj data'!O134&lt;=Body!$BJ$20),Body!$BH$6,IF(AND('Zdroj data'!O134&gt;=Body!$BK$20,'Zdroj data'!O134&lt;=Body!$BM$20),Body!$BK$6,IF(AND('Zdroj data'!O134&gt;=Body!$BN$20,'Zdroj data'!O134&lt;=Body!$BP$20),Body!$BN$6,IF(AND('Zdroj data'!O134&gt;=Body!$BQ$20,'Zdroj data'!O134&lt;=Body!$BS$20),Body!$BQ$6,IF(AND('Zdroj data'!O134&gt;=Body!$BT$20,'Zdroj data'!O134&lt;=Body!#REF!),Body!$BT$6,IF(AND('Zdroj data'!O134&gt;=Body!$BW$20,'Zdroj data'!O134&lt;=Body!$BY$20),Body!$BW$6,IF('Zdroj data'!O134&gt;=Body!$CB$20,Body!$BZ$6," "))))))))))," ")))</f>
        <v xml:space="preserve"> </v>
      </c>
      <c r="AI134" s="264" t="str">
        <f>IF(AND('Zdroj data'!$BG134="L",'Zdroj data'!$AM134=Body!$AX$18),IF(AND(Tabulka1[[#This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data'!$BG134="ST",'Zdroj data'!$AM134=Body!$AX$19),IF(AND(Tabulka1[[#This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data'!$BG134="T",'Zdroj data'!$AM134=Body!$AX$20),IF(AND(Tabulka1[[#This Row],[K2O_60]]&gt;=Body!$AY$20,'Zdroj data'!O134&lt;=Body!$BA$20),Body!$AY$6,IF(AND(Tabulka1[[#This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34" s="265">
        <f t="shared" si="26"/>
        <v>14.666666666666682</v>
      </c>
      <c r="AK134" s="264">
        <f t="shared" si="27"/>
        <v>14.49982614010394</v>
      </c>
      <c r="AL134" s="264">
        <f t="shared" si="28"/>
        <v>15.636124034394356</v>
      </c>
      <c r="AM134" s="264">
        <f t="shared" si="29"/>
        <v>56.099056651889669</v>
      </c>
      <c r="AN134" s="264">
        <f t="shared" si="30"/>
        <v>49.096246280409709</v>
      </c>
      <c r="AO134" s="265">
        <f t="shared" ref="AO134:AO172" si="33">AK134+AM134</f>
        <v>70.598882791993603</v>
      </c>
      <c r="AP134" s="265">
        <f t="shared" si="31"/>
        <v>64.732370314804058</v>
      </c>
      <c r="AQ134" s="318"/>
      <c r="AR134" s="338">
        <f t="shared" si="32"/>
        <v>149.99791977346433</v>
      </c>
      <c r="AS134" s="318"/>
      <c r="AT134" s="138"/>
      <c r="AU134" s="138"/>
    </row>
    <row r="135" spans="1:47" ht="15.5" x14ac:dyDescent="0.35">
      <c r="A135" s="270">
        <v>5575</v>
      </c>
      <c r="B135" s="156" t="s">
        <v>315</v>
      </c>
      <c r="C135" s="250" t="str">
        <f>VLOOKUP(B135,'Zdroj hloubka okresy'!$A$2:$D$171,2,FALSE)</f>
        <v>Kutna_Hora</v>
      </c>
      <c r="D135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10</v>
      </c>
      <c r="E135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135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35" s="264">
        <f>IF(AND(Tabulka1[[#This Row],[hum_60]]&gt;AY141,Tabulka1[[#This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35" s="264">
        <f>IF(Tabulka1[[#This Row],[kv.ek.]]=Body!$AX$13,IF(AND('Zdroj data'!M135&gt;=Body!$AY$13,'Zdroj data'!M135&lt;=Body!$BA$13),Body!$AY$6,IF(AND('Zdroj data'!M135&gt;=Body!$BB$13,'Zdroj data'!M135&lt;=Body!$BD$13),Body!$BB$6,IF(AND('Zdroj data'!M135&gt;=Body!$BE$13,'Zdroj data'!M135&lt;=Body!$BG$13),Body!$BE$6,IF(AND('Zdroj data'!M135&gt;=Body!$BH$13,'Zdroj data'!M135&lt;=Body!$BJ$13),Body!$BH$6,IF(AND('Zdroj data'!M135&gt;=Body!$BK$13,'Zdroj data'!M135&lt;=Body!$BM$13),Body!$BK$6,IF(AND('Zdroj data'!M135&gt;=Body!$BN$13,'Zdroj data'!M135&lt;=Body!$BP$13),Body!$BN$6,IF(AND('Zdroj data'!M135&gt;=Body!$BQ$13,'Zdroj data'!M135&lt;=Body!$BS$13),Body!$BQ$6,IF(AND('Zdroj data'!M135&gt;=Body!$BT$13,'Zdroj data'!M135&lt;=Body!$BV$13),Body!$BT$6,IF(AND('Zdroj data'!M135&gt;=Body!$BW$13,'Zdroj data'!M135&lt;=Body!$BY$13),Body!$BW$6,IF('Zdroj data'!M135&gt;=Body!$CB$13,Body!$BZ$6," ")))))))))),IF(Tabulka1[[#This Row],[kv.ek.]]=Body!$AX$14,IF(AND('Zdroj data'!N135&gt;=Body!$AY$14,'Zdroj data'!N135&lt;=Body!$BA$14),Body!$AY$6,IF(AND('Zdroj data'!N135&gt;=Body!$BB$14,'Zdroj data'!N135&lt;=Body!$BD$14),Body!$BB$6,IF(AND('Zdroj data'!N135&gt;=Body!$BE$14,'Zdroj data'!N135&lt;=Body!$BG$14),Body!$BE$6,IF(AND('Zdroj data'!N135&gt;=Body!$BH$14,'Zdroj data'!N135&lt;=Body!$BJ$14),Body!$BH$6,IF(AND('Zdroj data'!N135&gt;=Body!$BK$14,'Zdroj data'!N135&lt;=Body!$BM$14),Body!$BK$6,IF(AND('Zdroj data'!N135&gt;=Body!$BN$14,'Zdroj data'!N135&lt;=Body!$BP$14),Body!$BN$6,IF(AND('Zdroj data'!N135&gt;=Body!$BQ$14,'Zdroj data'!N135&lt;=Body!$BS$14),Body!$BQ$6,IF(AND('Zdroj data'!N135&gt;=Body!$BT$14,'Zdroj data'!N135&lt;=Body!$BV$14),Body!$BT$6,IF(AND('Zdroj data'!N135&gt;=Body!$BW$14,'Zdroj data'!N135&lt;=Body!$BY$14),Body!$BW$6,IF('Zdroj data'!N135&gt;=Body!$CB$14,Body!$BZ$6," "))))))))))," "))</f>
        <v>2</v>
      </c>
      <c r="I135" s="264">
        <f>IF(Tabulka1[[#This Row],[kv.ek.]]=Body!$AX$13,IF(AND('Zdroj data'!N135&gt;=Body!$AY$13,'Zdroj data'!N135&lt;=Body!$BA$13),Body!$AY$6,IF(AND('Zdroj data'!N135&gt;=Body!$BB$13,'Zdroj data'!N135&lt;=Body!$BD$13),Body!$BB$6,IF(AND('Zdroj data'!N135&gt;=Body!$BE$13,'Zdroj data'!N135&lt;=Body!$BG$13),Body!$BE$6,IF(AND('Zdroj data'!N135&gt;=Body!$BH$13,'Zdroj data'!N135&lt;=Body!$BJ$13),Body!$BH$6,IF(AND('Zdroj data'!N135&gt;=Body!$BK$13,'Zdroj data'!N135&lt;=Body!$BM$13),Body!$BK$6,IF(AND('Zdroj data'!N135&gt;=Body!$BN$13,'Zdroj data'!N135&lt;=Body!$BP$13),Body!$BN$6,IF(AND('Zdroj data'!N135&gt;=Body!$BQ$13,'Zdroj data'!N135&lt;=Body!$BS$13),Body!$BQ$6,IF(AND('Zdroj data'!N135&gt;=Body!$BT$13,'Zdroj data'!N135&lt;=Body!$BV$13),Body!$BT$6,IF(AND('Zdroj data'!N135&gt;=Body!$BW$13,'Zdroj data'!N135&lt;=Body!$BY$13),Body!$BW$6,IF('Zdroj data'!N135&gt;=Body!$CB$13,Body!$BZ$6," ")))))))))),IF(Tabulka1[[#This Row],[kv.ek.]]=Body!$AX$14,IF(AND('Zdroj data'!O135&gt;=Body!$AY$14,'Zdroj data'!O135&lt;=Body!$BA$14),Body!$AY$6,IF(AND('Zdroj data'!O135&gt;=Body!$BB$14,'Zdroj data'!O135&lt;=Body!$BD$14),Body!$BB$6,IF(AND('Zdroj data'!O135&gt;=Body!$BE$14,'Zdroj data'!O135&lt;=Body!$BG$14),Body!$BE$6,IF(AND('Zdroj data'!O135&gt;=Body!$BH$14,'Zdroj data'!O135&lt;=Body!$BJ$14),Body!$BH$6,IF(AND('Zdroj data'!O135&gt;=Body!$BK$14,'Zdroj data'!O135&lt;=Body!$BM$14),Body!$BK$6,IF(AND('Zdroj data'!O135&gt;=Body!$BN$14,'Zdroj data'!O135&lt;=Body!$BP$14),Body!$BN$6,IF(AND('Zdroj data'!O135&gt;=Body!$BQ$14,'Zdroj data'!O135&lt;=Body!$BS$14),Body!$BQ$6,IF(AND('Zdroj data'!O135&gt;=Body!$BT$14,'Zdroj data'!O135&lt;=Body!$BV$14),Body!$BT$6,IF(AND('Zdroj data'!O135&gt;=Body!$BW$14,'Zdroj data'!O135&lt;=Body!$BY$14),Body!$BW$6,IF('Zdroj data'!O135&gt;=Body!$CB$14,Body!$BZ$6," "))))))))))," "))</f>
        <v>2</v>
      </c>
      <c r="J135" s="264">
        <f t="shared" si="25"/>
        <v>1</v>
      </c>
      <c r="K135" s="264">
        <f t="shared" si="25"/>
        <v>1</v>
      </c>
      <c r="L135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135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2</v>
      </c>
      <c r="N135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135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9</v>
      </c>
      <c r="P135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35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135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135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6</v>
      </c>
      <c r="T135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4</v>
      </c>
      <c r="U135" s="264">
        <f>IF('Zdroj data'!BB135=Body!$AY$25,Body!$AY$22,IF('Zdroj data'!BB135=Body!$BB$25,Body!$BB$22,IF('Zdroj data'!BB135=Body!$BE$25,Body!$BE$22,IF('Zdroj data'!BB135=Body!$BH$25,Body!$BH$22,IF('Zdroj data'!BB135=Body!BK$25,Body!$BK$22,IF('Zdroj data'!BB135=Body!$BN$25,Body!$BN$22,IF('Zdroj data'!BB135=Body!$BQ$25,Body!$BQ$22,IF('Zdroj data'!BB135=Body!$BT$25,Body!$BT$22,IF('Zdroj data'!BB135=Body!$BW$25,Body!$BW$22,IF('Zdroj data'!BB135=Body!$BZ$25,Body!$BZ$22," "))))))))))</f>
        <v>7</v>
      </c>
      <c r="V135" s="264">
        <f>IF(AND('Zdroj data'!BO135&gt;Body!$AY$27,'Zdroj data'!BO135&lt;=Body!$BA$27),Body!$AY$22,IF(AND('Zdroj data'!BO135&gt;=Body!$BB$27,'Zdroj data'!BO135&lt;=Body!$BD$27),Body!$BB$22,IF(AND('Zdroj data'!BO135&gt;=Body!$BE$27,'Zdroj data'!BO135&lt;=Body!$BG$27),Body!$BE$22,IF(AND('Zdroj data'!BO135&gt;=Body!$BH$27,'Zdroj data'!BO135&lt;=Body!$BJ$27),Body!$BH$22,IF(AND('Zdroj data'!BO135&gt;=Body!$BK$27,'Zdroj data'!BO135&lt;=Body!$BM$27),Body!$BK$22,IF(AND('Zdroj data'!BO135&gt;=Body!$BN$27,'Zdroj data'!BO135&lt;=Body!$BP$27),Body!$BN$22,IF(AND('Zdroj data'!BO135&gt;=Body!$BQ$27,'Zdroj data'!BO135&lt;=Body!$BS$27),Body!$BQ$22,IF(AND('Zdroj data'!BO135&gt;=Body!$BT$27,'Zdroj data'!BO135&lt;=Body!$BV$27),Body!$BT$22,IF(AND('Zdroj data'!BO135&gt;=Body!$BW$27,'Zdroj data'!BO135&lt;=Body!$BY$27),Body!$BW$22,IF('Zdroj data'!BO135&gt;=Body!$CB$27,$BZ$22," "))))))))))</f>
        <v>6</v>
      </c>
      <c r="W135" s="264">
        <f>IF(AND('Zdroj data'!BP135&gt;Body!$AY$27,'Zdroj data'!BP135&lt;=Body!$BA$27),Body!$AY$22,IF(AND('Zdroj data'!BP135&gt;=Body!$BB$27,'Zdroj data'!BP135&lt;=Body!$BD$27),Body!$BB$22,IF(AND('Zdroj data'!BP135&gt;=Body!$BE$27,'Zdroj data'!BP135&lt;=Body!$BG$27),Body!$BE$22,IF(AND('Zdroj data'!BP135&gt;=Body!$BH$27,'Zdroj data'!BP135&lt;=Body!$BJ$27),Body!$BH$22,IF(AND('Zdroj data'!BP135&gt;=Body!$BK$27,'Zdroj data'!BP135&lt;=Body!$BM$27),Body!$BK$22,IF(AND('Zdroj data'!BP135&gt;=Body!$BN$27,'Zdroj data'!BP135&lt;=Body!$BP$27),Body!$BN$22,IF(AND('Zdroj data'!BP135&gt;=Body!$BQ$27,'Zdroj data'!BP135&lt;=Body!$BS$27),Body!$BQ$22,IF(AND('Zdroj data'!BP135&gt;=Body!$BT$27,'Zdroj data'!BP135&lt;=Body!$BV$27),Body!$BT$22,IF(AND('Zdroj data'!BP135&gt;=Body!$BW$27,'Zdroj data'!BP135&lt;=Body!$BY$27),Body!$BW$22,IF('Zdroj data'!BP135&gt;=Body!$CB$27,$BZ$22," "))))))))))</f>
        <v>5</v>
      </c>
      <c r="X135" s="264">
        <f>IF('Zdroj data'!BA135=Body!$BB$28,$BB$22,IF('Zdroj data'!BA135=Body!$BE$28,$BE$22,IF(OR('Zdroj data'!BA135=Body!$BK$28,'Zdroj data'!BA135=Body!$BL$28,'Zdroj data'!BA135=Body!$BM$28),$BK$22,IF(OR('Zdroj data'!BA135=Body!$BT$28,'Zdroj data'!BA135=Body!$BV$28),$BT$22,IF(OR('Zdroj data'!BA135=Body!$BW$28,'Zdroj data'!BA135=Body!$BY$28),$BW$22,IF('Zdroj data'!BA135=Body!$BZ$28,$BZ$22," "))))))</f>
        <v>10</v>
      </c>
      <c r="Y135" s="264">
        <f>IF('Zdroj data'!AZ135=Body!$BZ$29,Body!$BZ$22,IF(OR('Zdroj data'!AZ135=$BT$29,'Zdroj data'!AZ135=$BU$29,'Zdroj data'!AZ135=$BV$29),$BT$22,IF(OR('Zdroj data'!AZ135=$BK$29,'Zdroj data'!AZ135=$BM$29),$BK$22,IF(OR('Zdroj data'!AZ135=$BE$29,'Zdroj data'!AZ135=$BG$29),$BE$22,IF(OR('Zdroj data'!AZ135=$AY$29,'Zdroj data'!AZ135=$BA$29),$AY$22," ")))))</f>
        <v>10</v>
      </c>
      <c r="Z135" s="264">
        <f>IF(AND('Zdroj data'!BF135="T",(OR('Zdroj data'!AZ135=Body!$AW$45,'Zdroj data'!AZ135=Body!$AW$46,'Zdroj data'!AZ135=Body!$AW$47,'Zdroj data'!AZ135=Body!$AW$48))),Body!$AY$22,IF(AND('Zdroj data'!BF135="T",(OR('Zdroj data'!AZ135=$AW$49,'Zdroj data'!AZ135=$AW$50,'Zdroj data'!AZ135=$AW$51,'Zdroj data'!AZ135=$AW$52))),$BZ$22,IF(AND(OR('Zdroj data'!BF135="VT",'Zdroj data'!BF135="T",'Zdroj data'!BF135="CH"),(OR('Zdroj data'!AZ135=$AW$43,'Zdroj data'!AZ135=$AW$44,))),$BZ$22,IF(AND('Zdroj data'!BF135="CH",(OR('Zdroj data'!AZ135=$AW$49,'Zdroj data'!AZ135=$AW$50,'Zdroj data'!AZ135=$AW$51,'Zdroj data'!AZ135=$AW$52))),$AY$22,IF(AND('Zdroj data'!BF135="CH",(OR('Zdroj data'!AZ135=$AW$45,'Zdroj data'!AZ135=$AW$46,'Zdroj data'!AZ135=$AW$47,'Zdroj data'!AZ135=$AW$48))),$BZ$22," ")))))</f>
        <v>10</v>
      </c>
      <c r="AA135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</v>
      </c>
      <c r="AB135" s="264">
        <f>IF(Tabulka1[[#This Row],[kv.ek.]]=Body!$BK$35,Body!$BK$34,IF(Tabulka1[[#This Row],[kv.ek.]]=Body!$BZ$35,Body!$BZ$34," "))</f>
        <v>5</v>
      </c>
      <c r="AC135" s="264" t="str">
        <f>IF(AND('Zdroj data'!BF135="T",(OR('Zdroj data'!AZ135=Body!$AW$45,'Zdroj data'!AZ135=Body!$AW$46,'Zdroj data'!AZ135=Body!$AW$47,'Zdroj data'!AZ135=Body!$AW$48))),Body!$AY$22,IF(AND('Zdroj data'!BF135="T",(OR('Zdroj data'!AZ135=$AW$49,'Zdroj data'!AZ135=$AW$50,'Zdroj data'!AZ135=$AW$51,'Zdroj data'!AZ135=$AW$52))),$BZ$22," "))</f>
        <v xml:space="preserve"> </v>
      </c>
      <c r="AD135" s="264">
        <f>IF(AND(OR('Zdroj data'!BF135="VT",'Zdroj data'!BF135="T",'Zdroj data'!BF135="CH"),(OR('Zdroj data'!AZ135=$AW$43,'Zdroj data'!AZ135=$AW$44,))),$BZ$22," ")</f>
        <v>10</v>
      </c>
      <c r="AE135" s="264" t="str">
        <f>IF(AND('Zdroj data'!BF135="CH",(OR('Zdroj data'!AZ135=$AW$49,'Zdroj data'!AZ135=$AW$50,'Zdroj data'!AZ135=$AW$51,'Zdroj data'!AZ135=$AW$52))),$AY$22,IF(AND('Zdroj data'!BF135="CH",(OR('Zdroj data'!AZ135=$AW$45,'Zdroj data'!AZ135=$AW$46,'Zdroj data'!AZ135=$AW$47,'Zdroj data'!AZ135=$AW$48))),$BZ$22," "))</f>
        <v xml:space="preserve"> </v>
      </c>
      <c r="AF135" s="264">
        <f>IF(AND('Zdroj data'!BG135="L",'Zdroj data'!AM135=Body!$AX$15),IF(AND('Zdroj data'!O135&gt;=Body!$AY$15,'Zdroj data'!O135&lt;=Body!$BA$15),Body!AY$6,IF(AND('Zdroj data'!O135&gt;=Body!$BB$15,'Zdroj data'!O135&lt;=Body!$BD$15),Body!BB$6,IF(AND('Zdroj data'!O135&gt;=Body!$BE$15,'Zdroj data'!O135&lt;=Body!$BG$15),Body!BE$6,IF(AND('Zdroj data'!O135&gt;=Body!$BH$15,'Zdroj data'!O135&lt;=Body!$BJ$15),Body!BH$6,IF(AND('Zdroj data'!O135&gt;=Body!$BK$15,'Zdroj data'!O135&lt;=Body!$BM$15),Body!BK$6,IF(AND('Zdroj data'!O135&gt;=Body!$BN$15,'Zdroj data'!O135&lt;=Body!$BP$15),Body!$BN$6,IF(AND('Zdroj data'!O135&gt;=Body!$BQ$15,'Zdroj data'!O135&lt;=Body!$BS$15),Body!$BQ$6,IF(AND('Zdroj data'!O135&gt;=Body!$BT$15,'Zdroj data'!O135&lt;=Body!$BV$15),Body!BT$6,IF(AND('Zdroj data'!O135&gt;=Body!$BW$15,'Zdroj data'!O135&lt;=Body!$BY$15),Body!$BW$6,IF('Zdroj data'!O135&gt;=Body!$CB$15,Body!$BZ$6," ")))))))))),IF(AND('Zdroj data'!BG135="ST",'Zdroj data'!AM135=Body!$AX$16),IF(AND('Zdroj data'!O135&gt;=Body!$AY$16,'Zdroj data'!O135&lt;=Body!$BA$16),Body!$AY$6,IF(AND('Zdroj data'!O135&gt;=Body!$BB$16,'Zdroj data'!O135&lt;=Body!$BD$16),Body!$BB$6,IF(AND('Zdroj data'!O135&gt;=Body!$BE$16,'Zdroj data'!O135&lt;=Body!$BG$16),Body!$BE$6,IF(AND('Zdroj data'!O135&gt;=Body!$BH$16,'Zdroj data'!O135&lt;=Body!$BJ$16),Body!$BH$6,IF(AND('Zdroj data'!O135&gt;=Body!$BK$16,'Zdroj data'!O135&lt;=Body!$BM$16),Body!$BK$6,IF(AND('Zdroj data'!O135&gt;=Body!$BN$16,'Zdroj data'!O135&lt;=Body!$BP$16),Body!$BN$6,IF(AND('Zdroj data'!O135&gt;=Body!$BQ$16,'Zdroj data'!O135&lt;=Body!$BS$16),Body!$BQ$6,IF(AND('Zdroj data'!O135&gt;=Body!$BT$16,'Zdroj data'!O135&lt;=Body!$BV$16),Body!$BT$6,IF(AND('Zdroj data'!O135&gt;=Body!$BW$16,'Zdroj data'!O135&lt;=Body!$BY$16),Body!$BW$6,IF('Zdroj data'!O135&gt;=Body!$CB$16,Body!$BZ$6," ")))))))))),IF(AND('Zdroj data'!BG135="T",'Zdroj data'!AM135=Body!$AX$17),IF(AND('Zdroj data'!O135&gt;=Body!$AY$17,'Zdroj data'!O135&lt;=Body!$BA$17),Body!$AY$6,IF(AND('Zdroj data'!O135&gt;=Body!$BB$17,'Zdroj data'!O135&lt;=Body!$BD$17),Body!$BB$6,IF(AND('Zdroj data'!O135&gt;=Body!$BE$17,'Zdroj data'!O135&lt;=Body!$BG$17),Body!$BE$6,IF(AND('Zdroj data'!O135&gt;=Body!$BH$17,'Zdroj data'!O135&lt;=Body!#REF!),Body!$BH$6,IF(AND('Zdroj data'!O135&gt;=Body!$BK$17,'Zdroj data'!O135&lt;=Body!$BM$17),Body!$BK$6,IF(AND('Zdroj data'!O135&gt;=Body!$BN$17,'Zdroj data'!O135&lt;=Body!$BP$17),Body!$BN$6,IF(AND('Zdroj data'!O135&gt;=Body!$BQ$17,'Zdroj data'!O135&lt;=Body!$BS$17),Body!$BQ$6,IF(AND('Zdroj data'!O135&gt;=Body!$BT$17,'Zdroj data'!O135&lt;=Body!$BV$17),Body!$BT$6,IF(AND('Zdroj data'!O135&gt;=Body!$BW$17,'Zdroj data'!O135&lt;=Body!$BY$17),Body!$BW$6,IF('Zdroj data'!O135&gt;=Body!$CB$17,Body!$BZ$6," "))))))))))," ")))</f>
        <v>1</v>
      </c>
      <c r="AG135" s="264">
        <f>IF(AND('Zdroj data'!$BG135="L",'Zdroj data'!$AM135=Body!$AX$15),IF(AND(Tabulka1[[#This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data'!$BG135="ST",'Zdroj data'!$AM135=Body!$AX$16),IF(AND(Tabulka1[[#This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data'!$BG135="T",'Zdroj data'!$AM135=Body!$AX$17),IF(AND(Tabulka1[[#This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35" s="264" t="str">
        <f>IF(AND('Zdroj data'!BG135="L",'Zdroj data'!AM135=Body!$AX$18),IF(AND('Zdroj data'!O135&gt;=Body!$AY$18,'Zdroj data'!O135&lt;=Body!$BA$18),Body!AY$6,IF(AND('Zdroj data'!O135&gt;=Body!$BB$18,'Zdroj data'!O135&lt;=Body!$BD$18),Body!BB$6,IF(AND('Zdroj data'!O135&gt;=Body!$BE$18,'Zdroj data'!O135&lt;=Body!$BG$18),Body!BE$6,IF(AND('Zdroj data'!O135&gt;=Body!$BH$18,'Zdroj data'!O135&lt;=Body!$BJ$18),Body!BH$6,IF(AND('Zdroj data'!O135&gt;=Body!$BK$18,'Zdroj data'!O135&lt;=Body!$BM$18),Body!$BK$6,IF(AND('Zdroj data'!O135&gt;=Body!$BN$18,'Zdroj data'!O135&lt;=Body!$BP$18),Body!BN$6,IF(AND('Zdroj data'!O135&gt;=Body!$BQ$18,'Zdroj data'!O135&lt;=Body!$BS$18),Body!$BQ$6,IF(AND('Zdroj data'!O135&gt;=Body!$BT$18,'Zdroj data'!O135&lt;=Body!$BV$18),Body!$BT$6,IF(AND('Zdroj data'!O135&gt;=Body!$BW$18,'Zdroj data'!O135&lt;=Body!$BY$18),Body!$BW$6,IF('Zdroj data'!O135&gt;=Body!$CB$18,Body!$BZ$6," ")))))))))),IF(AND('Zdroj data'!BG135="ST",'Zdroj data'!AM135=Body!$AX$19),IF(AND('Zdroj data'!O135&gt;=Body!$AY$19,'Zdroj data'!O135&lt;=Body!$BA$19),Body!$AY$6,IF(AND('Zdroj data'!O135&gt;=Body!$BB$19,'Zdroj data'!O135&lt;=Body!$BD$19),Body!$BB$6,IF(AND('Zdroj data'!O135&gt;=Body!$BE$19,'Zdroj data'!O135&lt;=Body!$BG$19),Body!$BE$6,IF(AND('Zdroj data'!O135&gt;=Body!$BH$19,'Zdroj data'!O135&lt;=Body!$BJ$19),Body!$BH$6,IF(AND('Zdroj data'!O135&gt;=Body!$BK$19,'Zdroj data'!O135&lt;=Body!$BM$19),Body!$BK$6,IF(AND('Zdroj data'!O135&gt;=Body!$BN$19,'Zdroj data'!O135&lt;=Body!$BP$19),Body!$BN$6,IF(AND('Zdroj data'!O135&gt;=Body!$BQ$19,'Zdroj data'!O135&lt;=Body!$BS$19),Body!$BQ$6,IF(AND('Zdroj data'!O135&gt;=Body!$BT$19,'Zdroj data'!O139&lt;=Body!$BV$19),Body!$BT$6,IF(AND('Zdroj data'!O135&gt;=Body!$BW$19,'Zdroj data'!O135&lt;=Body!$BY$19),Body!$BW$6,IF('Zdroj data'!O135&gt;=Body!$CB$19,Body!$BZ$6," ")))))))))),IF(AND('Zdroj data'!BG135="T",'Zdroj data'!AM135=Body!$AX$20),IF(AND('Zdroj data'!O135&gt;=Body!$AY$20,'Zdroj data'!O135&lt;=Body!$BA$20),Body!$AY$6,IF(AND('Zdroj data'!O135&gt;=Body!$BB$20,'Zdroj data'!O135&lt;=Body!$BD$20),Body!$BB$6,IF(AND('Zdroj data'!O135&gt;=Body!$BE$20,'Zdroj data'!O135&lt;=Body!$BG$20),Body!$BE$6,IF(AND('Zdroj data'!O135&gt;=Body!$BH$20,'Zdroj data'!O135&lt;=Body!$BJ$20),Body!$BH$6,IF(AND('Zdroj data'!O135&gt;=Body!$BK$20,'Zdroj data'!O135&lt;=Body!$BM$20),Body!$BK$6,IF(AND('Zdroj data'!O135&gt;=Body!$BN$20,'Zdroj data'!O135&lt;=Body!$BP$20),Body!$BN$6,IF(AND('Zdroj data'!O135&gt;=Body!$BQ$20,'Zdroj data'!O135&lt;=Body!$BS$20),Body!$BQ$6,IF(AND('Zdroj data'!O135&gt;=Body!$BT$20,'Zdroj data'!O135&lt;=Body!#REF!),Body!$BT$6,IF(AND('Zdroj data'!O135&gt;=Body!$BW$20,'Zdroj data'!O135&lt;=Body!$BY$20),Body!$BW$6,IF('Zdroj data'!O135&gt;=Body!$CB$20,Body!$BZ$6," "))))))))))," ")))</f>
        <v xml:space="preserve"> </v>
      </c>
      <c r="AI135" s="264" t="str">
        <f>IF(AND('Zdroj data'!$BG135="L",'Zdroj data'!$AM135=Body!$AX$18),IF(AND(Tabulka1[[#This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data'!$BG135="ST",'Zdroj data'!$AM135=Body!$AX$19),IF(AND(Tabulka1[[#This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data'!$BG135="T",'Zdroj data'!$AM135=Body!$AX$20),IF(AND(Tabulka1[[#This Row],[K2O_60]]&gt;=Body!$AY$20,'Zdroj data'!O135&lt;=Body!$BA$20),Body!$AY$6,IF(AND(Tabulka1[[#This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35" s="265">
        <f t="shared" si="26"/>
        <v>2.6666666666666687</v>
      </c>
      <c r="AK135" s="264">
        <f t="shared" si="27"/>
        <v>23.979837512594962</v>
      </c>
      <c r="AL135" s="264">
        <f t="shared" si="28"/>
        <v>20.575997942041493</v>
      </c>
      <c r="AM135" s="264">
        <f t="shared" si="29"/>
        <v>63.120767893915811</v>
      </c>
      <c r="AN135" s="264">
        <f t="shared" si="30"/>
        <v>53.748926772561845</v>
      </c>
      <c r="AO135" s="265">
        <f t="shared" si="33"/>
        <v>87.100605406510766</v>
      </c>
      <c r="AP135" s="265">
        <f t="shared" si="31"/>
        <v>74.324924714603341</v>
      </c>
      <c r="AQ135" s="318"/>
      <c r="AR135" s="338">
        <f t="shared" si="32"/>
        <v>164.09219678778075</v>
      </c>
      <c r="AS135" s="318"/>
      <c r="AT135" s="138"/>
      <c r="AU135" s="138"/>
    </row>
    <row r="136" spans="1:47" ht="15.5" x14ac:dyDescent="0.35">
      <c r="A136" s="270">
        <v>5580</v>
      </c>
      <c r="B136" s="156" t="s">
        <v>290</v>
      </c>
      <c r="C136" s="250" t="str">
        <f>VLOOKUP(B136,'Zdroj hloubka okresy'!$A$2:$D$171,2,FALSE)</f>
        <v>Kutna_Hora</v>
      </c>
      <c r="D136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2</v>
      </c>
      <c r="E136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136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136" s="264">
        <f>IF(AND(Tabulka1[[#This Row],[hum_60]]&gt;AY142,Tabulka1[[#This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36" s="264">
        <f>IF(Tabulka1[[#This Row],[kv.ek.]]=Body!$AX$13,IF(AND('Zdroj data'!M136&gt;=Body!$AY$13,'Zdroj data'!M136&lt;=Body!$BA$13),Body!$AY$6,IF(AND('Zdroj data'!M136&gt;=Body!$BB$13,'Zdroj data'!M136&lt;=Body!$BD$13),Body!$BB$6,IF(AND('Zdroj data'!M136&gt;=Body!$BE$13,'Zdroj data'!M136&lt;=Body!$BG$13),Body!$BE$6,IF(AND('Zdroj data'!M136&gt;=Body!$BH$13,'Zdroj data'!M136&lt;=Body!$BJ$13),Body!$BH$6,IF(AND('Zdroj data'!M136&gt;=Body!$BK$13,'Zdroj data'!M136&lt;=Body!$BM$13),Body!$BK$6,IF(AND('Zdroj data'!M136&gt;=Body!$BN$13,'Zdroj data'!M136&lt;=Body!$BP$13),Body!$BN$6,IF(AND('Zdroj data'!M136&gt;=Body!$BQ$13,'Zdroj data'!M136&lt;=Body!$BS$13),Body!$BQ$6,IF(AND('Zdroj data'!M136&gt;=Body!$BT$13,'Zdroj data'!M136&lt;=Body!$BV$13),Body!$BT$6,IF(AND('Zdroj data'!M136&gt;=Body!$BW$13,'Zdroj data'!M136&lt;=Body!$BY$13),Body!$BW$6,IF('Zdroj data'!M136&gt;=Body!$CB$13,Body!$BZ$6," ")))))))))),IF(Tabulka1[[#This Row],[kv.ek.]]=Body!$AX$14,IF(AND('Zdroj data'!N136&gt;=Body!$AY$14,'Zdroj data'!N136&lt;=Body!$BA$14),Body!$AY$6,IF(AND('Zdroj data'!N136&gt;=Body!$BB$14,'Zdroj data'!N136&lt;=Body!$BD$14),Body!$BB$6,IF(AND('Zdroj data'!N136&gt;=Body!$BE$14,'Zdroj data'!N136&lt;=Body!$BG$14),Body!$BE$6,IF(AND('Zdroj data'!N136&gt;=Body!$BH$14,'Zdroj data'!N136&lt;=Body!$BJ$14),Body!$BH$6,IF(AND('Zdroj data'!N136&gt;=Body!$BK$14,'Zdroj data'!N136&lt;=Body!$BM$14),Body!$BK$6,IF(AND('Zdroj data'!N136&gt;=Body!$BN$14,'Zdroj data'!N136&lt;=Body!$BP$14),Body!$BN$6,IF(AND('Zdroj data'!N136&gt;=Body!$BQ$14,'Zdroj data'!N136&lt;=Body!$BS$14),Body!$BQ$6,IF(AND('Zdroj data'!N136&gt;=Body!$BT$14,'Zdroj data'!N136&lt;=Body!$BV$14),Body!$BT$6,IF(AND('Zdroj data'!N136&gt;=Body!$BW$14,'Zdroj data'!N136&lt;=Body!$BY$14),Body!$BW$6,IF('Zdroj data'!N136&gt;=Body!$CB$14,Body!$BZ$6," "))))))))))," "))</f>
        <v>5</v>
      </c>
      <c r="I136" s="264">
        <f>IF(Tabulka1[[#This Row],[kv.ek.]]=Body!$AX$13,IF(AND('Zdroj data'!N136&gt;=Body!$AY$13,'Zdroj data'!N136&lt;=Body!$BA$13),Body!$AY$6,IF(AND('Zdroj data'!N136&gt;=Body!$BB$13,'Zdroj data'!N136&lt;=Body!$BD$13),Body!$BB$6,IF(AND('Zdroj data'!N136&gt;=Body!$BE$13,'Zdroj data'!N136&lt;=Body!$BG$13),Body!$BE$6,IF(AND('Zdroj data'!N136&gt;=Body!$BH$13,'Zdroj data'!N136&lt;=Body!$BJ$13),Body!$BH$6,IF(AND('Zdroj data'!N136&gt;=Body!$BK$13,'Zdroj data'!N136&lt;=Body!$BM$13),Body!$BK$6,IF(AND('Zdroj data'!N136&gt;=Body!$BN$13,'Zdroj data'!N136&lt;=Body!$BP$13),Body!$BN$6,IF(AND('Zdroj data'!N136&gt;=Body!$BQ$13,'Zdroj data'!N136&lt;=Body!$BS$13),Body!$BQ$6,IF(AND('Zdroj data'!N136&gt;=Body!$BT$13,'Zdroj data'!N136&lt;=Body!$BV$13),Body!$BT$6,IF(AND('Zdroj data'!N136&gt;=Body!$BW$13,'Zdroj data'!N136&lt;=Body!$BY$13),Body!$BW$6,IF('Zdroj data'!N136&gt;=Body!$CB$13,Body!$BZ$6," ")))))))))),IF(Tabulka1[[#This Row],[kv.ek.]]=Body!$AX$14,IF(AND('Zdroj data'!O136&gt;=Body!$AY$14,'Zdroj data'!O136&lt;=Body!$BA$14),Body!$AY$6,IF(AND('Zdroj data'!O136&gt;=Body!$BB$14,'Zdroj data'!O136&lt;=Body!$BD$14),Body!$BB$6,IF(AND('Zdroj data'!O136&gt;=Body!$BE$14,'Zdroj data'!O136&lt;=Body!$BG$14),Body!$BE$6,IF(AND('Zdroj data'!O136&gt;=Body!$BH$14,'Zdroj data'!O136&lt;=Body!$BJ$14),Body!$BH$6,IF(AND('Zdroj data'!O136&gt;=Body!$BK$14,'Zdroj data'!O136&lt;=Body!$BM$14),Body!$BK$6,IF(AND('Zdroj data'!O136&gt;=Body!$BN$14,'Zdroj data'!O136&lt;=Body!$BP$14),Body!$BN$6,IF(AND('Zdroj data'!O136&gt;=Body!$BQ$14,'Zdroj data'!O136&lt;=Body!$BS$14),Body!$BQ$6,IF(AND('Zdroj data'!O136&gt;=Body!$BT$14,'Zdroj data'!O136&lt;=Body!$BV$14),Body!$BT$6,IF(AND('Zdroj data'!O136&gt;=Body!$BW$14,'Zdroj data'!O136&lt;=Body!$BY$14),Body!$BW$6,IF('Zdroj data'!O136&gt;=Body!$CB$14,Body!$BZ$6," "))))))))))," "))</f>
        <v>2</v>
      </c>
      <c r="J136" s="264">
        <f t="shared" si="25"/>
        <v>1</v>
      </c>
      <c r="K136" s="264">
        <f t="shared" si="25"/>
        <v>1</v>
      </c>
      <c r="L136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136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2</v>
      </c>
      <c r="N136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136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9</v>
      </c>
      <c r="P136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36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2</v>
      </c>
      <c r="R136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2</v>
      </c>
      <c r="S136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3</v>
      </c>
      <c r="T136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3</v>
      </c>
      <c r="U136" s="264">
        <f>IF('Zdroj data'!BB136=Body!$AY$25,Body!$AY$22,IF('Zdroj data'!BB136=Body!$BB$25,Body!$BB$22,IF('Zdroj data'!BB136=Body!$BE$25,Body!$BE$22,IF('Zdroj data'!BB136=Body!$BH$25,Body!$BH$22,IF('Zdroj data'!BB136=Body!BK$25,Body!$BK$22,IF('Zdroj data'!BB136=Body!$BN$25,Body!$BN$22,IF('Zdroj data'!BB136=Body!$BQ$25,Body!$BQ$22,IF('Zdroj data'!BB136=Body!$BT$25,Body!$BT$22,IF('Zdroj data'!BB136=Body!$BW$25,Body!$BW$22,IF('Zdroj data'!BB136=Body!$BZ$25,Body!$BZ$22," "))))))))))</f>
        <v>7</v>
      </c>
      <c r="V136" s="264">
        <f>IF(AND('Zdroj data'!BO136&gt;Body!$AY$27,'Zdroj data'!BO136&lt;=Body!$BA$27),Body!$AY$22,IF(AND('Zdroj data'!BO136&gt;=Body!$BB$27,'Zdroj data'!BO136&lt;=Body!$BD$27),Body!$BB$22,IF(AND('Zdroj data'!BO136&gt;=Body!$BE$27,'Zdroj data'!BO136&lt;=Body!$BG$27),Body!$BE$22,IF(AND('Zdroj data'!BO136&gt;=Body!$BH$27,'Zdroj data'!BO136&lt;=Body!$BJ$27),Body!$BH$22,IF(AND('Zdroj data'!BO136&gt;=Body!$BK$27,'Zdroj data'!BO136&lt;=Body!$BM$27),Body!$BK$22,IF(AND('Zdroj data'!BO136&gt;=Body!$BN$27,'Zdroj data'!BO136&lt;=Body!$BP$27),Body!$BN$22,IF(AND('Zdroj data'!BO136&gt;=Body!$BQ$27,'Zdroj data'!BO136&lt;=Body!$BS$27),Body!$BQ$22,IF(AND('Zdroj data'!BO136&gt;=Body!$BT$27,'Zdroj data'!BO136&lt;=Body!$BV$27),Body!$BT$22,IF(AND('Zdroj data'!BO136&gt;=Body!$BW$27,'Zdroj data'!BO136&lt;=Body!$BY$27),Body!$BW$22,IF('Zdroj data'!BO136&gt;=Body!$CB$27,$BZ$22," "))))))))))</f>
        <v>6</v>
      </c>
      <c r="W136" s="264">
        <f>IF(AND('Zdroj data'!BP136&gt;Body!$AY$27,'Zdroj data'!BP136&lt;=Body!$BA$27),Body!$AY$22,IF(AND('Zdroj data'!BP136&gt;=Body!$BB$27,'Zdroj data'!BP136&lt;=Body!$BD$27),Body!$BB$22,IF(AND('Zdroj data'!BP136&gt;=Body!$BE$27,'Zdroj data'!BP136&lt;=Body!$BG$27),Body!$BE$22,IF(AND('Zdroj data'!BP136&gt;=Body!$BH$27,'Zdroj data'!BP136&lt;=Body!$BJ$27),Body!$BH$22,IF(AND('Zdroj data'!BP136&gt;=Body!$BK$27,'Zdroj data'!BP136&lt;=Body!$BM$27),Body!$BK$22,IF(AND('Zdroj data'!BP136&gt;=Body!$BN$27,'Zdroj data'!BP136&lt;=Body!$BP$27),Body!$BN$22,IF(AND('Zdroj data'!BP136&gt;=Body!$BQ$27,'Zdroj data'!BP136&lt;=Body!$BS$27),Body!$BQ$22,IF(AND('Zdroj data'!BP136&gt;=Body!$BT$27,'Zdroj data'!BP136&lt;=Body!$BV$27),Body!$BT$22,IF(AND('Zdroj data'!BP136&gt;=Body!$BW$27,'Zdroj data'!BP136&lt;=Body!$BY$27),Body!$BW$22,IF('Zdroj data'!BP136&gt;=Body!$CB$27,$BZ$22," "))))))))))</f>
        <v>5</v>
      </c>
      <c r="X136" s="264">
        <f>IF('Zdroj data'!BA136=Body!$BB$28,$BB$22,IF('Zdroj data'!BA136=Body!$BE$28,$BE$22,IF(OR('Zdroj data'!BA136=Body!$BK$28,'Zdroj data'!BA136=Body!$BL$28,'Zdroj data'!BA136=Body!$BM$28),$BK$22,IF(OR('Zdroj data'!BA136=Body!$BT$28,'Zdroj data'!BA136=Body!$BV$28),$BT$22,IF(OR('Zdroj data'!BA136=Body!$BW$28,'Zdroj data'!BA136=Body!$BY$28),$BW$22,IF('Zdroj data'!BA136=Body!$BZ$28,$BZ$22," "))))))</f>
        <v>10</v>
      </c>
      <c r="Y136" s="264">
        <f>IF('Zdroj data'!AZ136=Body!$BZ$29,Body!$BZ$22,IF(OR('Zdroj data'!AZ136=$BT$29,'Zdroj data'!AZ136=$BU$29,'Zdroj data'!AZ136=$BV$29),$BT$22,IF(OR('Zdroj data'!AZ136=$BK$29,'Zdroj data'!AZ136=$BM$29),$BK$22,IF(OR('Zdroj data'!AZ136=$BE$29,'Zdroj data'!AZ136=$BG$29),$BE$22,IF(OR('Zdroj data'!AZ136=$AY$29,'Zdroj data'!AZ136=$BA$29),$AY$22," ")))))</f>
        <v>10</v>
      </c>
      <c r="Z136" s="264">
        <f>IF(AND('Zdroj data'!BF136="T",(OR('Zdroj data'!AZ136=Body!$AW$45,'Zdroj data'!AZ136=Body!$AW$46,'Zdroj data'!AZ136=Body!$AW$47,'Zdroj data'!AZ136=Body!$AW$48))),Body!$AY$22,IF(AND('Zdroj data'!BF136="T",(OR('Zdroj data'!AZ136=$AW$49,'Zdroj data'!AZ136=$AW$50,'Zdroj data'!AZ136=$AW$51,'Zdroj data'!AZ136=$AW$52))),$BZ$22,IF(AND(OR('Zdroj data'!BF136="VT",'Zdroj data'!BF136="T",'Zdroj data'!BF136="CH"),(OR('Zdroj data'!AZ136=$AW$43,'Zdroj data'!AZ136=$AW$44,))),$BZ$22,IF(AND('Zdroj data'!BF136="CH",(OR('Zdroj data'!AZ136=$AW$49,'Zdroj data'!AZ136=$AW$50,'Zdroj data'!AZ136=$AW$51,'Zdroj data'!AZ136=$AW$52))),$AY$22,IF(AND('Zdroj data'!BF136="CH",(OR('Zdroj data'!AZ136=$AW$45,'Zdroj data'!AZ136=$AW$46,'Zdroj data'!AZ136=$AW$47,'Zdroj data'!AZ136=$AW$48))),$BZ$22," ")))))</f>
        <v>10</v>
      </c>
      <c r="AA136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136" s="264">
        <f>IF(Tabulka1[[#This Row],[kv.ek.]]=Body!$BK$35,Body!$BK$34,IF(Tabulka1[[#This Row],[kv.ek.]]=Body!$BZ$35,Body!$BZ$34," "))</f>
        <v>5</v>
      </c>
      <c r="AC136" s="264" t="str">
        <f>IF(AND('Zdroj data'!BF136="T",(OR('Zdroj data'!AZ136=Body!$AW$45,'Zdroj data'!AZ136=Body!$AW$46,'Zdroj data'!AZ136=Body!$AW$47,'Zdroj data'!AZ136=Body!$AW$48))),Body!$AY$22,IF(AND('Zdroj data'!BF136="T",(OR('Zdroj data'!AZ136=$AW$49,'Zdroj data'!AZ136=$AW$50,'Zdroj data'!AZ136=$AW$51,'Zdroj data'!AZ136=$AW$52))),$BZ$22," "))</f>
        <v xml:space="preserve"> </v>
      </c>
      <c r="AD136" s="264">
        <f>IF(AND(OR('Zdroj data'!BF136="VT",'Zdroj data'!BF136="T",'Zdroj data'!BF136="CH"),(OR('Zdroj data'!AZ136=$AW$43,'Zdroj data'!AZ136=$AW$44,))),$BZ$22," ")</f>
        <v>10</v>
      </c>
      <c r="AE136" s="264" t="str">
        <f>IF(AND('Zdroj data'!BF136="CH",(OR('Zdroj data'!AZ136=$AW$49,'Zdroj data'!AZ136=$AW$50,'Zdroj data'!AZ136=$AW$51,'Zdroj data'!AZ136=$AW$52))),$AY$22,IF(AND('Zdroj data'!BF136="CH",(OR('Zdroj data'!AZ136=$AW$45,'Zdroj data'!AZ136=$AW$46,'Zdroj data'!AZ136=$AW$47,'Zdroj data'!AZ136=$AW$48))),$BZ$22," "))</f>
        <v xml:space="preserve"> </v>
      </c>
      <c r="AF136" s="264">
        <f>IF(AND('Zdroj data'!BG136="L",'Zdroj data'!AM136=Body!$AX$15),IF(AND('Zdroj data'!O136&gt;=Body!$AY$15,'Zdroj data'!O136&lt;=Body!$BA$15),Body!AY$6,IF(AND('Zdroj data'!O136&gt;=Body!$BB$15,'Zdroj data'!O136&lt;=Body!$BD$15),Body!BB$6,IF(AND('Zdroj data'!O136&gt;=Body!$BE$15,'Zdroj data'!O136&lt;=Body!$BG$15),Body!BE$6,IF(AND('Zdroj data'!O136&gt;=Body!$BH$15,'Zdroj data'!O136&lt;=Body!$BJ$15),Body!BH$6,IF(AND('Zdroj data'!O136&gt;=Body!$BK$15,'Zdroj data'!O136&lt;=Body!$BM$15),Body!BK$6,IF(AND('Zdroj data'!O136&gt;=Body!$BN$15,'Zdroj data'!O136&lt;=Body!$BP$15),Body!$BN$6,IF(AND('Zdroj data'!O136&gt;=Body!$BQ$15,'Zdroj data'!O136&lt;=Body!$BS$15),Body!$BQ$6,IF(AND('Zdroj data'!O136&gt;=Body!$BT$15,'Zdroj data'!O136&lt;=Body!$BV$15),Body!BT$6,IF(AND('Zdroj data'!O136&gt;=Body!$BW$15,'Zdroj data'!O136&lt;=Body!$BY$15),Body!$BW$6,IF('Zdroj data'!O136&gt;=Body!$CB$15,Body!$BZ$6," ")))))))))),IF(AND('Zdroj data'!BG136="ST",'Zdroj data'!AM136=Body!$AX$16),IF(AND('Zdroj data'!O136&gt;=Body!$AY$16,'Zdroj data'!O136&lt;=Body!$BA$16),Body!$AY$6,IF(AND('Zdroj data'!O136&gt;=Body!$BB$16,'Zdroj data'!O136&lt;=Body!$BD$16),Body!$BB$6,IF(AND('Zdroj data'!O136&gt;=Body!$BE$16,'Zdroj data'!O136&lt;=Body!$BG$16),Body!$BE$6,IF(AND('Zdroj data'!O136&gt;=Body!$BH$16,'Zdroj data'!O136&lt;=Body!$BJ$16),Body!$BH$6,IF(AND('Zdroj data'!O136&gt;=Body!$BK$16,'Zdroj data'!O136&lt;=Body!$BM$16),Body!$BK$6,IF(AND('Zdroj data'!O136&gt;=Body!$BN$16,'Zdroj data'!O136&lt;=Body!$BP$16),Body!$BN$6,IF(AND('Zdroj data'!O136&gt;=Body!$BQ$16,'Zdroj data'!O136&lt;=Body!$BS$16),Body!$BQ$6,IF(AND('Zdroj data'!O136&gt;=Body!$BT$16,'Zdroj data'!O136&lt;=Body!$BV$16),Body!$BT$6,IF(AND('Zdroj data'!O136&gt;=Body!$BW$16,'Zdroj data'!O136&lt;=Body!$BY$16),Body!$BW$6,IF('Zdroj data'!O136&gt;=Body!$CB$16,Body!$BZ$6," ")))))))))),IF(AND('Zdroj data'!BG136="T",'Zdroj data'!AM136=Body!$AX$17),IF(AND('Zdroj data'!O136&gt;=Body!$AY$17,'Zdroj data'!O136&lt;=Body!$BA$17),Body!$AY$6,IF(AND('Zdroj data'!O136&gt;=Body!$BB$17,'Zdroj data'!O136&lt;=Body!$BD$17),Body!$BB$6,IF(AND('Zdroj data'!O136&gt;=Body!$BE$17,'Zdroj data'!O136&lt;=Body!$BG$17),Body!$BE$6,IF(AND('Zdroj data'!O136&gt;=Body!$BH$17,'Zdroj data'!O136&lt;=Body!#REF!),Body!$BH$6,IF(AND('Zdroj data'!O136&gt;=Body!$BK$17,'Zdroj data'!O136&lt;=Body!$BM$17),Body!$BK$6,IF(AND('Zdroj data'!O136&gt;=Body!$BN$17,'Zdroj data'!O136&lt;=Body!$BP$17),Body!$BN$6,IF(AND('Zdroj data'!O136&gt;=Body!$BQ$17,'Zdroj data'!O136&lt;=Body!$BS$17),Body!$BQ$6,IF(AND('Zdroj data'!O136&gt;=Body!$BT$17,'Zdroj data'!O136&lt;=Body!$BV$17),Body!$BT$6,IF(AND('Zdroj data'!O136&gt;=Body!$BW$17,'Zdroj data'!O136&lt;=Body!$BY$17),Body!$BW$6,IF('Zdroj data'!O136&gt;=Body!$CB$17,Body!$BZ$6," "))))))))))," ")))</f>
        <v>1</v>
      </c>
      <c r="AG136" s="264">
        <f>IF(AND('Zdroj data'!$BG136="L",'Zdroj data'!$AM136=Body!$AX$15),IF(AND(Tabulka1[[#This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data'!$BG136="ST",'Zdroj data'!$AM136=Body!$AX$16),IF(AND(Tabulka1[[#This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data'!$BG136="T",'Zdroj data'!$AM136=Body!$AX$17),IF(AND(Tabulka1[[#This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36" s="264" t="str">
        <f>IF(AND('Zdroj data'!BG136="L",'Zdroj data'!AM136=Body!$AX$18),IF(AND('Zdroj data'!O136&gt;=Body!$AY$18,'Zdroj data'!O136&lt;=Body!$BA$18),Body!AY$6,IF(AND('Zdroj data'!O136&gt;=Body!$BB$18,'Zdroj data'!O136&lt;=Body!$BD$18),Body!BB$6,IF(AND('Zdroj data'!O136&gt;=Body!$BE$18,'Zdroj data'!O136&lt;=Body!$BG$18),Body!BE$6,IF(AND('Zdroj data'!O136&gt;=Body!$BH$18,'Zdroj data'!O136&lt;=Body!$BJ$18),Body!BH$6,IF(AND('Zdroj data'!O136&gt;=Body!$BK$18,'Zdroj data'!O136&lt;=Body!$BM$18),Body!$BK$6,IF(AND('Zdroj data'!O136&gt;=Body!$BN$18,'Zdroj data'!O136&lt;=Body!$BP$18),Body!BN$6,IF(AND('Zdroj data'!O136&gt;=Body!$BQ$18,'Zdroj data'!O136&lt;=Body!$BS$18),Body!$BQ$6,IF(AND('Zdroj data'!O136&gt;=Body!$BT$18,'Zdroj data'!O136&lt;=Body!$BV$18),Body!$BT$6,IF(AND('Zdroj data'!O136&gt;=Body!$BW$18,'Zdroj data'!O136&lt;=Body!$BY$18),Body!$BW$6,IF('Zdroj data'!O136&gt;=Body!$CB$18,Body!$BZ$6," ")))))))))),IF(AND('Zdroj data'!BG136="ST",'Zdroj data'!AM136=Body!$AX$19),IF(AND('Zdroj data'!O136&gt;=Body!$AY$19,'Zdroj data'!O136&lt;=Body!$BA$19),Body!$AY$6,IF(AND('Zdroj data'!O136&gt;=Body!$BB$19,'Zdroj data'!O136&lt;=Body!$BD$19),Body!$BB$6,IF(AND('Zdroj data'!O136&gt;=Body!$BE$19,'Zdroj data'!O136&lt;=Body!$BG$19),Body!$BE$6,IF(AND('Zdroj data'!O136&gt;=Body!$BH$19,'Zdroj data'!O136&lt;=Body!$BJ$19),Body!$BH$6,IF(AND('Zdroj data'!O136&gt;=Body!$BK$19,'Zdroj data'!O136&lt;=Body!$BM$19),Body!$BK$6,IF(AND('Zdroj data'!O136&gt;=Body!$BN$19,'Zdroj data'!O136&lt;=Body!$BP$19),Body!$BN$6,IF(AND('Zdroj data'!O136&gt;=Body!$BQ$19,'Zdroj data'!O136&lt;=Body!$BS$19),Body!$BQ$6,IF(AND('Zdroj data'!O136&gt;=Body!$BT$19,'Zdroj data'!#REF!&lt;=Body!$BV$19),Body!$BT$6,IF(AND('Zdroj data'!O136&gt;=Body!$BW$19,'Zdroj data'!O136&lt;=Body!$BY$19),Body!$BW$6,IF('Zdroj data'!O136&gt;=Body!$CB$19,Body!$BZ$6," ")))))))))),IF(AND('Zdroj data'!BG136="T",'Zdroj data'!AM136=Body!$AX$20),IF(AND('Zdroj data'!O136&gt;=Body!$AY$20,'Zdroj data'!O136&lt;=Body!$BA$20),Body!$AY$6,IF(AND('Zdroj data'!O136&gt;=Body!$BB$20,'Zdroj data'!O136&lt;=Body!$BD$20),Body!$BB$6,IF(AND('Zdroj data'!O136&gt;=Body!$BE$20,'Zdroj data'!O136&lt;=Body!$BG$20),Body!$BE$6,IF(AND('Zdroj data'!O136&gt;=Body!$BH$20,'Zdroj data'!O136&lt;=Body!$BJ$20),Body!$BH$6,IF(AND('Zdroj data'!O136&gt;=Body!$BK$20,'Zdroj data'!O136&lt;=Body!$BM$20),Body!$BK$6,IF(AND('Zdroj data'!O136&gt;=Body!$BN$20,'Zdroj data'!O136&lt;=Body!$BP$20),Body!$BN$6,IF(AND('Zdroj data'!O136&gt;=Body!$BQ$20,'Zdroj data'!O136&lt;=Body!$BS$20),Body!$BQ$6,IF(AND('Zdroj data'!O136&gt;=Body!$BT$20,'Zdroj data'!O136&lt;=Body!#REF!),Body!$BT$6,IF(AND('Zdroj data'!O136&gt;=Body!$BW$20,'Zdroj data'!O136&lt;=Body!$BY$20),Body!$BW$6,IF('Zdroj data'!O136&gt;=Body!$CB$20,Body!$BZ$6," "))))))))))," ")))</f>
        <v xml:space="preserve"> </v>
      </c>
      <c r="AI136" s="264" t="str">
        <f>IF(AND('Zdroj data'!$BG136="L",'Zdroj data'!$AM136=Body!$AX$18),IF(AND(Tabulka1[[#This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data'!$BG136="ST",'Zdroj data'!$AM136=Body!$AX$19),IF(AND(Tabulka1[[#This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data'!$BG136="T",'Zdroj data'!$AM136=Body!$AX$20),IF(AND(Tabulka1[[#This Row],[K2O_60]]&gt;=Body!$AY$20,'Zdroj data'!O136&lt;=Body!$BA$20),Body!$AY$6,IF(AND(Tabulka1[[#This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36" s="265">
        <f t="shared" si="26"/>
        <v>14.666666666666682</v>
      </c>
      <c r="AK136" s="264">
        <f t="shared" si="27"/>
        <v>27.699854472207569</v>
      </c>
      <c r="AL136" s="264">
        <f t="shared" si="28"/>
        <v>22.50315319556745</v>
      </c>
      <c r="AM136" s="264">
        <f t="shared" si="29"/>
        <v>51.379896022687838</v>
      </c>
      <c r="AN136" s="264">
        <f t="shared" si="30"/>
        <v>49.835302815485846</v>
      </c>
      <c r="AO136" s="265">
        <f t="shared" si="33"/>
        <v>79.079750494895407</v>
      </c>
      <c r="AP136" s="265">
        <f t="shared" si="31"/>
        <v>72.338456011053296</v>
      </c>
      <c r="AQ136" s="318"/>
      <c r="AR136" s="338">
        <f t="shared" si="32"/>
        <v>166.0848731726154</v>
      </c>
      <c r="AS136" s="318"/>
      <c r="AT136" s="138"/>
      <c r="AU136" s="138"/>
    </row>
    <row r="137" spans="1:47" ht="15.5" x14ac:dyDescent="0.35">
      <c r="A137" s="270">
        <v>5585</v>
      </c>
      <c r="B137" s="156" t="s">
        <v>94</v>
      </c>
      <c r="C137" s="250" t="str">
        <f>VLOOKUP(B137,'Zdroj hloubka okresy'!$A$2:$D$171,2,FALSE)</f>
        <v>Kutna_Hora</v>
      </c>
      <c r="D137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137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137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37" s="264">
        <f>IF(AND(Tabulka1[[#This Row],[hum_60]]&gt;AY143,Tabulka1[[#This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37" s="264">
        <f>IF(Tabulka1[[#This Row],[kv.ek.]]=Body!$AX$13,IF(AND('Zdroj data'!M137&gt;=Body!$AY$13,'Zdroj data'!M137&lt;=Body!$BA$13),Body!$AY$6,IF(AND('Zdroj data'!M137&gt;=Body!$BB$13,'Zdroj data'!M137&lt;=Body!$BD$13),Body!$BB$6,IF(AND('Zdroj data'!M137&gt;=Body!$BE$13,'Zdroj data'!M137&lt;=Body!$BG$13),Body!$BE$6,IF(AND('Zdroj data'!M137&gt;=Body!$BH$13,'Zdroj data'!M137&lt;=Body!$BJ$13),Body!$BH$6,IF(AND('Zdroj data'!M137&gt;=Body!$BK$13,'Zdroj data'!M137&lt;=Body!$BM$13),Body!$BK$6,IF(AND('Zdroj data'!M137&gt;=Body!$BN$13,'Zdroj data'!M137&lt;=Body!$BP$13),Body!$BN$6,IF(AND('Zdroj data'!M137&gt;=Body!$BQ$13,'Zdroj data'!M137&lt;=Body!$BS$13),Body!$BQ$6,IF(AND('Zdroj data'!M137&gt;=Body!$BT$13,'Zdroj data'!M137&lt;=Body!$BV$13),Body!$BT$6,IF(AND('Zdroj data'!M137&gt;=Body!$BW$13,'Zdroj data'!M137&lt;=Body!$BY$13),Body!$BW$6,IF('Zdroj data'!M137&gt;=Body!$CB$13,Body!$BZ$6," ")))))))))),IF(Tabulka1[[#This Row],[kv.ek.]]=Body!$AX$14,IF(AND('Zdroj data'!N137&gt;=Body!$AY$14,'Zdroj data'!N137&lt;=Body!$BA$14),Body!$AY$6,IF(AND('Zdroj data'!N137&gt;=Body!$BB$14,'Zdroj data'!N137&lt;=Body!$BD$14),Body!$BB$6,IF(AND('Zdroj data'!N137&gt;=Body!$BE$14,'Zdroj data'!N137&lt;=Body!$BG$14),Body!$BE$6,IF(AND('Zdroj data'!N137&gt;=Body!$BH$14,'Zdroj data'!N137&lt;=Body!$BJ$14),Body!$BH$6,IF(AND('Zdroj data'!N137&gt;=Body!$BK$14,'Zdroj data'!N137&lt;=Body!$BM$14),Body!$BK$6,IF(AND('Zdroj data'!N137&gt;=Body!$BN$14,'Zdroj data'!N137&lt;=Body!$BP$14),Body!$BN$6,IF(AND('Zdroj data'!N137&gt;=Body!$BQ$14,'Zdroj data'!N137&lt;=Body!$BS$14),Body!$BQ$6,IF(AND('Zdroj data'!N137&gt;=Body!$BT$14,'Zdroj data'!N137&lt;=Body!$BV$14),Body!$BT$6,IF(AND('Zdroj data'!N137&gt;=Body!$BW$14,'Zdroj data'!N137&lt;=Body!$BY$14),Body!$BW$6,IF('Zdroj data'!N137&gt;=Body!$CB$14,Body!$BZ$6," "))))))))))," "))</f>
        <v>1</v>
      </c>
      <c r="I137" s="264">
        <f>IF(Tabulka1[[#This Row],[kv.ek.]]=Body!$AX$13,IF(AND('Zdroj data'!N137&gt;=Body!$AY$13,'Zdroj data'!N137&lt;=Body!$BA$13),Body!$AY$6,IF(AND('Zdroj data'!N137&gt;=Body!$BB$13,'Zdroj data'!N137&lt;=Body!$BD$13),Body!$BB$6,IF(AND('Zdroj data'!N137&gt;=Body!$BE$13,'Zdroj data'!N137&lt;=Body!$BG$13),Body!$BE$6,IF(AND('Zdroj data'!N137&gt;=Body!$BH$13,'Zdroj data'!N137&lt;=Body!$BJ$13),Body!$BH$6,IF(AND('Zdroj data'!N137&gt;=Body!$BK$13,'Zdroj data'!N137&lt;=Body!$BM$13),Body!$BK$6,IF(AND('Zdroj data'!N137&gt;=Body!$BN$13,'Zdroj data'!N137&lt;=Body!$BP$13),Body!$BN$6,IF(AND('Zdroj data'!N137&gt;=Body!$BQ$13,'Zdroj data'!N137&lt;=Body!$BS$13),Body!$BQ$6,IF(AND('Zdroj data'!N137&gt;=Body!$BT$13,'Zdroj data'!N137&lt;=Body!$BV$13),Body!$BT$6,IF(AND('Zdroj data'!N137&gt;=Body!$BW$13,'Zdroj data'!N137&lt;=Body!$BY$13),Body!$BW$6,IF('Zdroj data'!N137&gt;=Body!$CB$13,Body!$BZ$6," ")))))))))),IF(Tabulka1[[#This Row],[kv.ek.]]=Body!$AX$14,IF(AND('Zdroj data'!O137&gt;=Body!$AY$14,'Zdroj data'!O137&lt;=Body!$BA$14),Body!$AY$6,IF(AND('Zdroj data'!O137&gt;=Body!$BB$14,'Zdroj data'!O137&lt;=Body!$BD$14),Body!$BB$6,IF(AND('Zdroj data'!O137&gt;=Body!$BE$14,'Zdroj data'!O137&lt;=Body!$BG$14),Body!$BE$6,IF(AND('Zdroj data'!O137&gt;=Body!$BH$14,'Zdroj data'!O137&lt;=Body!$BJ$14),Body!$BH$6,IF(AND('Zdroj data'!O137&gt;=Body!$BK$14,'Zdroj data'!O137&lt;=Body!$BM$14),Body!$BK$6,IF(AND('Zdroj data'!O137&gt;=Body!$BN$14,'Zdroj data'!O137&lt;=Body!$BP$14),Body!$BN$6,IF(AND('Zdroj data'!O137&gt;=Body!$BQ$14,'Zdroj data'!O137&lt;=Body!$BS$14),Body!$BQ$6,IF(AND('Zdroj data'!O137&gt;=Body!$BT$14,'Zdroj data'!O137&lt;=Body!$BV$14),Body!$BT$6,IF(AND('Zdroj data'!O137&gt;=Body!$BW$14,'Zdroj data'!O137&lt;=Body!$BY$14),Body!$BW$6,IF('Zdroj data'!O137&gt;=Body!$CB$14,Body!$BZ$6," "))))))))))," "))</f>
        <v>1</v>
      </c>
      <c r="J137" s="264">
        <f t="shared" si="25"/>
        <v>1</v>
      </c>
      <c r="K137" s="264">
        <f>IF(AG137=" ",AI137,AG137)</f>
        <v>1</v>
      </c>
      <c r="L137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137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137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137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137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37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137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137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137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137" s="264">
        <f>IF('Zdroj data'!BB137=Body!$AY$25,Body!$AY$22,IF('Zdroj data'!BB137=Body!$BB$25,Body!$BB$22,IF('Zdroj data'!BB137=Body!$BE$25,Body!$BE$22,IF('Zdroj data'!BB137=Body!$BH$25,Body!$BH$22,IF('Zdroj data'!BB137=Body!BK$25,Body!$BK$22,IF('Zdroj data'!BB137=Body!$BN$25,Body!$BN$22,IF('Zdroj data'!BB137=Body!$BQ$25,Body!$BQ$22,IF('Zdroj data'!BB137=Body!$BT$25,Body!$BT$22,IF('Zdroj data'!BB137=Body!$BW$25,Body!$BW$22,IF('Zdroj data'!BB137=Body!$BZ$25,Body!$BZ$22," "))))))))))</f>
        <v>7</v>
      </c>
      <c r="V137" s="264">
        <f>IF(AND('Zdroj data'!BO137&gt;Body!$AY$27,'Zdroj data'!BO137&lt;=Body!$BA$27),Body!$AY$22,IF(AND('Zdroj data'!BO137&gt;=Body!$BB$27,'Zdroj data'!BO137&lt;=Body!$BD$27),Body!$BB$22,IF(AND('Zdroj data'!BO137&gt;=Body!$BE$27,'Zdroj data'!BO137&lt;=Body!$BG$27),Body!$BE$22,IF(AND('Zdroj data'!BO137&gt;=Body!$BH$27,'Zdroj data'!BO137&lt;=Body!$BJ$27),Body!$BH$22,IF(AND('Zdroj data'!BO137&gt;=Body!$BK$27,'Zdroj data'!BO137&lt;=Body!$BM$27),Body!$BK$22,IF(AND('Zdroj data'!BO137&gt;=Body!$BN$27,'Zdroj data'!BO137&lt;=Body!$BP$27),Body!$BN$22,IF(AND('Zdroj data'!BO137&gt;=Body!$BQ$27,'Zdroj data'!BO137&lt;=Body!$BS$27),Body!$BQ$22,IF(AND('Zdroj data'!BO137&gt;=Body!$BT$27,'Zdroj data'!BO137&lt;=Body!$BV$27),Body!$BT$22,IF(AND('Zdroj data'!BO137&gt;=Body!$BW$27,'Zdroj data'!BO137&lt;=Body!$BY$27),Body!$BW$22,IF('Zdroj data'!BO137&gt;=Body!$CB$27,$BZ$22," "))))))))))</f>
        <v>6</v>
      </c>
      <c r="W137" s="264">
        <f>IF(AND('Zdroj data'!BP137&gt;Body!$AY$27,'Zdroj data'!BP137&lt;=Body!$BA$27),Body!$AY$22,IF(AND('Zdroj data'!BP137&gt;=Body!$BB$27,'Zdroj data'!BP137&lt;=Body!$BD$27),Body!$BB$22,IF(AND('Zdroj data'!BP137&gt;=Body!$BE$27,'Zdroj data'!BP137&lt;=Body!$BG$27),Body!$BE$22,IF(AND('Zdroj data'!BP137&gt;=Body!$BH$27,'Zdroj data'!BP137&lt;=Body!$BJ$27),Body!$BH$22,IF(AND('Zdroj data'!BP137&gt;=Body!$BK$27,'Zdroj data'!BP137&lt;=Body!$BM$27),Body!$BK$22,IF(AND('Zdroj data'!BP137&gt;=Body!$BN$27,'Zdroj data'!BP137&lt;=Body!$BP$27),Body!$BN$22,IF(AND('Zdroj data'!BP137&gt;=Body!$BQ$27,'Zdroj data'!BP137&lt;=Body!$BS$27),Body!$BQ$22,IF(AND('Zdroj data'!BP137&gt;=Body!$BT$27,'Zdroj data'!BP137&lt;=Body!$BV$27),Body!$BT$22,IF(AND('Zdroj data'!BP137&gt;=Body!$BW$27,'Zdroj data'!BP137&lt;=Body!$BY$27),Body!$BW$22,IF('Zdroj data'!BP137&gt;=Body!$CB$27,$BZ$22," "))))))))))</f>
        <v>6</v>
      </c>
      <c r="X137" s="264">
        <f>IF('Zdroj data'!BA137=Body!$BB$28,$BB$22,IF('Zdroj data'!BA137=Body!$BE$28,$BE$22,IF(OR('Zdroj data'!BA137=Body!$BK$28,'Zdroj data'!BA137=Body!$BL$28,'Zdroj data'!BA137=Body!$BM$28),$BK$22,IF(OR('Zdroj data'!BA137=Body!$BT$28,'Zdroj data'!BA137=Body!$BV$28),$BT$22,IF(OR('Zdroj data'!BA137=Body!$BW$28,'Zdroj data'!BA137=Body!$BY$28),$BW$22,IF('Zdroj data'!BA137=Body!$BZ$28,$BZ$22," "))))))</f>
        <v>9</v>
      </c>
      <c r="Y137" s="264">
        <f>IF('Zdroj data'!AZ137=Body!$BZ$29,Body!$BZ$22,IF(OR('Zdroj data'!AZ137=$BT$29,'Zdroj data'!AZ137=$BU$29,'Zdroj data'!AZ137=$BV$29),$BT$22,IF(OR('Zdroj data'!AZ137=$BK$29,'Zdroj data'!AZ137=$BM$29),$BK$22,IF(OR('Zdroj data'!AZ137=$BE$29,'Zdroj data'!AZ137=$BG$29),$BE$22,IF(OR('Zdroj data'!AZ137=$AY$29,'Zdroj data'!AZ137=$BA$29),$AY$22," ")))))</f>
        <v>8</v>
      </c>
      <c r="Z137" s="264">
        <f>IF(AND('Zdroj data'!BF137="T",(OR('Zdroj data'!AZ137=Body!$AW$45,'Zdroj data'!AZ137=Body!$AW$46,'Zdroj data'!AZ137=Body!$AW$47,'Zdroj data'!AZ137=Body!$AW$48))),Body!$AY$22,IF(AND('Zdroj data'!BF137="T",(OR('Zdroj data'!AZ137=$AW$49,'Zdroj data'!AZ137=$AW$50,'Zdroj data'!AZ137=$AW$51,'Zdroj data'!AZ137=$AW$52))),$BZ$22,IF(AND(OR('Zdroj data'!BF137="VT",'Zdroj data'!BF137="T",'Zdroj data'!BF137="CH"),(OR('Zdroj data'!AZ137=$AW$43,'Zdroj data'!AZ137=$AW$44,))),$BZ$22,IF(AND('Zdroj data'!BF137="CH",(OR('Zdroj data'!AZ137=$AW$49,'Zdroj data'!AZ137=$AW$50,'Zdroj data'!AZ137=$AW$51,'Zdroj data'!AZ137=$AW$52))),$AY$22,IF(AND('Zdroj data'!BF137="CH",(OR('Zdroj data'!AZ137=$AW$45,'Zdroj data'!AZ137=$AW$46,'Zdroj data'!AZ137=$AW$47,'Zdroj data'!AZ137=$AW$48))),$BZ$22," ")))))</f>
        <v>10</v>
      </c>
      <c r="AA137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37" s="264">
        <f>IF(Tabulka1[[#This Row],[kv.ek.]]=Body!$BK$35,Body!$BK$34,IF(Tabulka1[[#This Row],[kv.ek.]]=Body!$BZ$35,Body!$BZ$34," "))</f>
        <v>5</v>
      </c>
      <c r="AC137" s="264" t="str">
        <f>IF(AND('Zdroj data'!BF137="T",(OR('Zdroj data'!AZ137=Body!$AW$45,'Zdroj data'!AZ137=Body!$AW$46,'Zdroj data'!AZ137=Body!$AW$47,'Zdroj data'!AZ137=Body!$AW$48))),Body!$AY$22,IF(AND('Zdroj data'!BF137="T",(OR('Zdroj data'!AZ137=$AW$49,'Zdroj data'!AZ137=$AW$50,'Zdroj data'!AZ137=$AW$51,'Zdroj data'!AZ137=$AW$52))),$BZ$22," "))</f>
        <v xml:space="preserve"> </v>
      </c>
      <c r="AD137" s="264">
        <f>IF(AND(OR('Zdroj data'!BF137="VT",'Zdroj data'!BF137="T",'Zdroj data'!BF137="CH"),(OR('Zdroj data'!AZ137=$AW$43,'Zdroj data'!AZ137=$AW$44,))),$BZ$22," ")</f>
        <v>10</v>
      </c>
      <c r="AE137" s="264" t="str">
        <f>IF(AND('Zdroj data'!BF137="CH",(OR('Zdroj data'!AZ137=$AW$49,'Zdroj data'!AZ137=$AW$50,'Zdroj data'!AZ137=$AW$51,'Zdroj data'!AZ137=$AW$52))),$AY$22,IF(AND('Zdroj data'!BF137="CH",(OR('Zdroj data'!AZ137=$AW$45,'Zdroj data'!AZ137=$AW$46,'Zdroj data'!AZ137=$AW$47,'Zdroj data'!AZ137=$AW$48))),$BZ$22," "))</f>
        <v xml:space="preserve"> </v>
      </c>
      <c r="AF137" s="264">
        <f>IF(AND('Zdroj data'!BG137="L",'Zdroj data'!AM137=Body!$AX$15),IF(AND('Zdroj data'!O137&gt;=Body!$AY$15,'Zdroj data'!O137&lt;=Body!$BA$15),Body!AY$6,IF(AND('Zdroj data'!O137&gt;=Body!$BB$15,'Zdroj data'!O137&lt;=Body!$BD$15),Body!BB$6,IF(AND('Zdroj data'!O137&gt;=Body!$BE$15,'Zdroj data'!O137&lt;=Body!$BG$15),Body!BE$6,IF(AND('Zdroj data'!O137&gt;=Body!$BH$15,'Zdroj data'!O137&lt;=Body!$BJ$15),Body!BH$6,IF(AND('Zdroj data'!O137&gt;=Body!$BK$15,'Zdroj data'!O137&lt;=Body!$BM$15),Body!BK$6,IF(AND('Zdroj data'!O137&gt;=Body!$BN$15,'Zdroj data'!O137&lt;=Body!$BP$15),Body!$BN$6,IF(AND('Zdroj data'!O137&gt;=Body!$BQ$15,'Zdroj data'!O137&lt;=Body!$BS$15),Body!$BQ$6,IF(AND('Zdroj data'!O137&gt;=Body!$BT$15,'Zdroj data'!O137&lt;=Body!$BV$15),Body!BT$6,IF(AND('Zdroj data'!O137&gt;=Body!$BW$15,'Zdroj data'!O137&lt;=Body!$BY$15),Body!$BW$6,IF('Zdroj data'!O137&gt;=Body!$CB$15,Body!$BZ$6," ")))))))))),IF(AND('Zdroj data'!BG137="ST",'Zdroj data'!AM137=Body!$AX$16),IF(AND('Zdroj data'!O137&gt;=Body!$AY$16,'Zdroj data'!O137&lt;=Body!$BA$16),Body!$AY$6,IF(AND('Zdroj data'!O137&gt;=Body!$BB$16,'Zdroj data'!O137&lt;=Body!$BD$16),Body!$BB$6,IF(AND('Zdroj data'!O137&gt;=Body!$BE$16,'Zdroj data'!O137&lt;=Body!$BG$16),Body!$BE$6,IF(AND('Zdroj data'!O137&gt;=Body!$BH$16,'Zdroj data'!O137&lt;=Body!$BJ$16),Body!$BH$6,IF(AND('Zdroj data'!O137&gt;=Body!$BK$16,'Zdroj data'!O137&lt;=Body!$BM$16),Body!$BK$6,IF(AND('Zdroj data'!O137&gt;=Body!$BN$16,'Zdroj data'!O137&lt;=Body!$BP$16),Body!$BN$6,IF(AND('Zdroj data'!O137&gt;=Body!$BQ$16,'Zdroj data'!O137&lt;=Body!$BS$16),Body!$BQ$6,IF(AND('Zdroj data'!O137&gt;=Body!$BT$16,'Zdroj data'!O137&lt;=Body!$BV$16),Body!$BT$6,IF(AND('Zdroj data'!O137&gt;=Body!$BW$16,'Zdroj data'!O137&lt;=Body!$BY$16),Body!$BW$6,IF('Zdroj data'!O137&gt;=Body!$CB$16,Body!$BZ$6," ")))))))))),IF(AND('Zdroj data'!BG137="T",'Zdroj data'!AM137=Body!$AX$17),IF(AND('Zdroj data'!O137&gt;=Body!$AY$17,'Zdroj data'!O137&lt;=Body!$BA$17),Body!$AY$6,IF(AND('Zdroj data'!O137&gt;=Body!$BB$17,'Zdroj data'!O137&lt;=Body!$BD$17),Body!$BB$6,IF(AND('Zdroj data'!O137&gt;=Body!$BE$17,'Zdroj data'!O137&lt;=Body!$BG$17),Body!$BE$6,IF(AND('Zdroj data'!O137&gt;=Body!$BH$17,'Zdroj data'!O137&lt;=Body!#REF!),Body!$BH$6,IF(AND('Zdroj data'!O137&gt;=Body!$BK$17,'Zdroj data'!O137&lt;=Body!$BM$17),Body!$BK$6,IF(AND('Zdroj data'!O137&gt;=Body!$BN$17,'Zdroj data'!O137&lt;=Body!$BP$17),Body!$BN$6,IF(AND('Zdroj data'!O137&gt;=Body!$BQ$17,'Zdroj data'!O137&lt;=Body!$BS$17),Body!$BQ$6,IF(AND('Zdroj data'!O137&gt;=Body!$BT$17,'Zdroj data'!O137&lt;=Body!$BV$17),Body!$BT$6,IF(AND('Zdroj data'!O137&gt;=Body!$BW$17,'Zdroj data'!O137&lt;=Body!$BY$17),Body!$BW$6,IF('Zdroj data'!O137&gt;=Body!$CB$17,Body!$BZ$6," "))))))))))," ")))</f>
        <v>1</v>
      </c>
      <c r="AG137" s="264">
        <f>IF(AND('Zdroj data'!$BG137="L",'Zdroj data'!$AM137=Body!$AX$15),IF(AND(Tabulka1[[#This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data'!$BG137="ST",'Zdroj data'!$AM137=Body!$AX$16),IF(AND(Tabulka1[[#This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data'!$BG137="T",'Zdroj data'!$AM137=Body!$AX$17),IF(AND(Tabulka1[[#This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37" s="264" t="str">
        <f>IF(AND('Zdroj data'!BG137="L",'Zdroj data'!AM137=Body!$AX$18),IF(AND('Zdroj data'!O137&gt;=Body!$AY$18,'Zdroj data'!O137&lt;=Body!$BA$18),Body!AY$6,IF(AND('Zdroj data'!O137&gt;=Body!$BB$18,'Zdroj data'!O137&lt;=Body!$BD$18),Body!BB$6,IF(AND('Zdroj data'!O137&gt;=Body!$BE$18,'Zdroj data'!O137&lt;=Body!$BG$18),Body!BE$6,IF(AND('Zdroj data'!O137&gt;=Body!$BH$18,'Zdroj data'!O137&lt;=Body!$BJ$18),Body!BH$6,IF(AND('Zdroj data'!O137&gt;=Body!$BK$18,'Zdroj data'!O137&lt;=Body!$BM$18),Body!$BK$6,IF(AND('Zdroj data'!O137&gt;=Body!$BN$18,'Zdroj data'!O137&lt;=Body!$BP$18),Body!BN$6,IF(AND('Zdroj data'!O137&gt;=Body!$BQ$18,'Zdroj data'!O137&lt;=Body!$BS$18),Body!$BQ$6,IF(AND('Zdroj data'!O137&gt;=Body!$BT$18,'Zdroj data'!O137&lt;=Body!$BV$18),Body!$BT$6,IF(AND('Zdroj data'!O137&gt;=Body!$BW$18,'Zdroj data'!O137&lt;=Body!$BY$18),Body!$BW$6,IF('Zdroj data'!O137&gt;=Body!$CB$18,Body!$BZ$6," ")))))))))),IF(AND('Zdroj data'!BG137="ST",'Zdroj data'!AM137=Body!$AX$19),IF(AND('Zdroj data'!O137&gt;=Body!$AY$19,'Zdroj data'!O137&lt;=Body!$BA$19),Body!$AY$6,IF(AND('Zdroj data'!O137&gt;=Body!$BB$19,'Zdroj data'!O137&lt;=Body!$BD$19),Body!$BB$6,IF(AND('Zdroj data'!O137&gt;=Body!$BE$19,'Zdroj data'!O137&lt;=Body!$BG$19),Body!$BE$6,IF(AND('Zdroj data'!O137&gt;=Body!$BH$19,'Zdroj data'!O137&lt;=Body!$BJ$19),Body!$BH$6,IF(AND('Zdroj data'!O137&gt;=Body!$BK$19,'Zdroj data'!O137&lt;=Body!$BM$19),Body!$BK$6,IF(AND('Zdroj data'!O137&gt;=Body!$BN$19,'Zdroj data'!O137&lt;=Body!$BP$19),Body!$BN$6,IF(AND('Zdroj data'!O137&gt;=Body!$BQ$19,'Zdroj data'!O137&lt;=Body!$BS$19),Body!$BQ$6,IF(AND('Zdroj data'!O137&gt;=Body!$BT$19,'Zdroj data'!#REF!&lt;=Body!$BV$19),Body!$BT$6,IF(AND('Zdroj data'!O137&gt;=Body!$BW$19,'Zdroj data'!O137&lt;=Body!$BY$19),Body!$BW$6,IF('Zdroj data'!O137&gt;=Body!$CB$19,Body!$BZ$6," ")))))))))),IF(AND('Zdroj data'!BG137="T",'Zdroj data'!AM137=Body!$AX$20),IF(AND('Zdroj data'!O137&gt;=Body!$AY$20,'Zdroj data'!O137&lt;=Body!$BA$20),Body!$AY$6,IF(AND('Zdroj data'!O137&gt;=Body!$BB$20,'Zdroj data'!O137&lt;=Body!$BD$20),Body!$BB$6,IF(AND('Zdroj data'!O137&gt;=Body!$BE$20,'Zdroj data'!O137&lt;=Body!$BG$20),Body!$BE$6,IF(AND('Zdroj data'!O137&gt;=Body!$BH$20,'Zdroj data'!O137&lt;=Body!$BJ$20),Body!$BH$6,IF(AND('Zdroj data'!O137&gt;=Body!$BK$20,'Zdroj data'!O137&lt;=Body!$BM$20),Body!$BK$6,IF(AND('Zdroj data'!O137&gt;=Body!$BN$20,'Zdroj data'!O137&lt;=Body!$BP$20),Body!$BN$6,IF(AND('Zdroj data'!O137&gt;=Body!$BQ$20,'Zdroj data'!O137&lt;=Body!$BS$20),Body!$BQ$6,IF(AND('Zdroj data'!O137&gt;=Body!$BT$20,'Zdroj data'!O137&lt;=Body!#REF!),Body!$BT$6,IF(AND('Zdroj data'!O137&gt;=Body!$BW$20,'Zdroj data'!O137&lt;=Body!$BY$20),Body!$BW$6,IF('Zdroj data'!O137&gt;=Body!$CB$20,Body!$BZ$6," "))))))))))," ")))</f>
        <v xml:space="preserve"> </v>
      </c>
      <c r="AI137" s="264" t="str">
        <f>IF(AND('Zdroj data'!$BG137="L",'Zdroj data'!$AM137=Body!$AX$18),IF(AND(Tabulka1[[#This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data'!$BG137="ST",'Zdroj data'!$AM137=Body!$AX$19),IF(AND(Tabulka1[[#This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data'!$BG137="T",'Zdroj data'!$AM137=Body!$AX$20),IF(AND(Tabulka1[[#This Row],[K2O_60]]&gt;=Body!$AY$20,'Zdroj data'!O137&lt;=Body!$BA$20),Body!$AY$6,IF(AND(Tabulka1[[#This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37" s="265">
        <f t="shared" si="26"/>
        <v>8.0000000000000071</v>
      </c>
      <c r="AK137" s="264">
        <f t="shared" si="27"/>
        <v>28.986660946769561</v>
      </c>
      <c r="AL137" s="264">
        <f t="shared" si="28"/>
        <v>26.131738461775278</v>
      </c>
      <c r="AM137" s="264">
        <f t="shared" si="29"/>
        <v>65.377986194979471</v>
      </c>
      <c r="AN137" s="264">
        <f t="shared" si="30"/>
        <v>65.377986194979471</v>
      </c>
      <c r="AO137" s="265">
        <f t="shared" si="33"/>
        <v>94.364647141749032</v>
      </c>
      <c r="AP137" s="265">
        <f t="shared" si="31"/>
        <v>91.509724656754742</v>
      </c>
      <c r="AQ137" s="318"/>
      <c r="AR137" s="338">
        <f t="shared" si="32"/>
        <v>193.87437179850377</v>
      </c>
      <c r="AS137" s="318"/>
      <c r="AT137" s="138"/>
      <c r="AU137" s="138"/>
    </row>
    <row r="138" spans="1:47" ht="15.5" x14ac:dyDescent="0.35">
      <c r="A138" s="270">
        <v>5588</v>
      </c>
      <c r="B138" s="156" t="s">
        <v>299</v>
      </c>
      <c r="C138" s="250" t="str">
        <f>VLOOKUP(B138,'Zdroj hloubka okresy'!$A$2:$D$171,2,FALSE)</f>
        <v>Kutna_Hora</v>
      </c>
      <c r="D138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2</v>
      </c>
      <c r="E138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2</v>
      </c>
      <c r="F138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38" s="264">
        <f>IF(AND(Tabulka1[[#This Row],[hum_60]]&gt;AY144,Tabulka1[[#This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38" s="264">
        <f>IF(Tabulka1[[#This Row],[kv.ek.]]=Body!$AX$13,IF(AND('Zdroj data'!M138&gt;=Body!$AY$13,'Zdroj data'!M138&lt;=Body!$BA$13),Body!$AY$6,IF(AND('Zdroj data'!M138&gt;=Body!$BB$13,'Zdroj data'!M138&lt;=Body!$BD$13),Body!$BB$6,IF(AND('Zdroj data'!M138&gt;=Body!$BE$13,'Zdroj data'!M138&lt;=Body!$BG$13),Body!$BE$6,IF(AND('Zdroj data'!M138&gt;=Body!$BH$13,'Zdroj data'!M138&lt;=Body!$BJ$13),Body!$BH$6,IF(AND('Zdroj data'!M138&gt;=Body!$BK$13,'Zdroj data'!M138&lt;=Body!$BM$13),Body!$BK$6,IF(AND('Zdroj data'!M138&gt;=Body!$BN$13,'Zdroj data'!M138&lt;=Body!$BP$13),Body!$BN$6,IF(AND('Zdroj data'!M138&gt;=Body!$BQ$13,'Zdroj data'!M138&lt;=Body!$BS$13),Body!$BQ$6,IF(AND('Zdroj data'!M138&gt;=Body!$BT$13,'Zdroj data'!M138&lt;=Body!$BV$13),Body!$BT$6,IF(AND('Zdroj data'!M138&gt;=Body!$BW$13,'Zdroj data'!M138&lt;=Body!$BY$13),Body!$BW$6,IF('Zdroj data'!M138&gt;=Body!$CB$13,Body!$BZ$6," ")))))))))),IF(Tabulka1[[#This Row],[kv.ek.]]=Body!$AX$14,IF(AND('Zdroj data'!N138&gt;=Body!$AY$14,'Zdroj data'!N138&lt;=Body!$BA$14),Body!$AY$6,IF(AND('Zdroj data'!N138&gt;=Body!$BB$14,'Zdroj data'!N138&lt;=Body!$BD$14),Body!$BB$6,IF(AND('Zdroj data'!N138&gt;=Body!$BE$14,'Zdroj data'!N138&lt;=Body!$BG$14),Body!$BE$6,IF(AND('Zdroj data'!N138&gt;=Body!$BH$14,'Zdroj data'!N138&lt;=Body!$BJ$14),Body!$BH$6,IF(AND('Zdroj data'!N138&gt;=Body!$BK$14,'Zdroj data'!N138&lt;=Body!$BM$14),Body!$BK$6,IF(AND('Zdroj data'!N138&gt;=Body!$BN$14,'Zdroj data'!N138&lt;=Body!$BP$14),Body!$BN$6,IF(AND('Zdroj data'!N138&gt;=Body!$BQ$14,'Zdroj data'!N138&lt;=Body!$BS$14),Body!$BQ$6,IF(AND('Zdroj data'!N138&gt;=Body!$BT$14,'Zdroj data'!N138&lt;=Body!$BV$14),Body!$BT$6,IF(AND('Zdroj data'!N138&gt;=Body!$BW$14,'Zdroj data'!N138&lt;=Body!$BY$14),Body!$BW$6,IF('Zdroj data'!N138&gt;=Body!$CB$14,Body!$BZ$6," "))))))))))," "))</f>
        <v>4</v>
      </c>
      <c r="I138" s="264">
        <f>IF(Tabulka1[[#This Row],[kv.ek.]]=Body!$AX$13,IF(AND('Zdroj data'!N138&gt;=Body!$AY$13,'Zdroj data'!N138&lt;=Body!$BA$13),Body!$AY$6,IF(AND('Zdroj data'!N138&gt;=Body!$BB$13,'Zdroj data'!N138&lt;=Body!$BD$13),Body!$BB$6,IF(AND('Zdroj data'!N138&gt;=Body!$BE$13,'Zdroj data'!N138&lt;=Body!$BG$13),Body!$BE$6,IF(AND('Zdroj data'!N138&gt;=Body!$BH$13,'Zdroj data'!N138&lt;=Body!$BJ$13),Body!$BH$6,IF(AND('Zdroj data'!N138&gt;=Body!$BK$13,'Zdroj data'!N138&lt;=Body!$BM$13),Body!$BK$6,IF(AND('Zdroj data'!N138&gt;=Body!$BN$13,'Zdroj data'!N138&lt;=Body!$BP$13),Body!$BN$6,IF(AND('Zdroj data'!N138&gt;=Body!$BQ$13,'Zdroj data'!N138&lt;=Body!$BS$13),Body!$BQ$6,IF(AND('Zdroj data'!N138&gt;=Body!$BT$13,'Zdroj data'!N138&lt;=Body!$BV$13),Body!$BT$6,IF(AND('Zdroj data'!N138&gt;=Body!$BW$13,'Zdroj data'!N138&lt;=Body!$BY$13),Body!$BW$6,IF('Zdroj data'!N138&gt;=Body!$CB$13,Body!$BZ$6," ")))))))))),IF(Tabulka1[[#This Row],[kv.ek.]]=Body!$AX$14,IF(AND('Zdroj data'!O138&gt;=Body!$AY$14,'Zdroj data'!O138&lt;=Body!$BA$14),Body!$AY$6,IF(AND('Zdroj data'!O138&gt;=Body!$BB$14,'Zdroj data'!O138&lt;=Body!$BD$14),Body!$BB$6,IF(AND('Zdroj data'!O138&gt;=Body!$BE$14,'Zdroj data'!O138&lt;=Body!$BG$14),Body!$BE$6,IF(AND('Zdroj data'!O138&gt;=Body!$BH$14,'Zdroj data'!O138&lt;=Body!$BJ$14),Body!$BH$6,IF(AND('Zdroj data'!O138&gt;=Body!$BK$14,'Zdroj data'!O138&lt;=Body!$BM$14),Body!$BK$6,IF(AND('Zdroj data'!O138&gt;=Body!$BN$14,'Zdroj data'!O138&lt;=Body!$BP$14),Body!$BN$6,IF(AND('Zdroj data'!O138&gt;=Body!$BQ$14,'Zdroj data'!O138&lt;=Body!$BS$14),Body!$BQ$6,IF(AND('Zdroj data'!O138&gt;=Body!$BT$14,'Zdroj data'!O138&lt;=Body!$BV$14),Body!$BT$6,IF(AND('Zdroj data'!O138&gt;=Body!$BW$14,'Zdroj data'!O138&lt;=Body!$BY$14),Body!$BW$6,IF('Zdroj data'!O138&gt;=Body!$CB$14,Body!$BZ$6," "))))))))))," "))</f>
        <v>2</v>
      </c>
      <c r="J138" s="264">
        <f t="shared" si="25"/>
        <v>1</v>
      </c>
      <c r="K138" s="264">
        <f t="shared" si="25"/>
        <v>1</v>
      </c>
      <c r="L138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8</v>
      </c>
      <c r="M138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7</v>
      </c>
      <c r="N138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138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138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38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138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138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9</v>
      </c>
      <c r="T138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138" s="264">
        <f>IF('Zdroj data'!BB138=Body!$AY$25,Body!$AY$22,IF('Zdroj data'!BB138=Body!$BB$25,Body!$BB$22,IF('Zdroj data'!BB138=Body!$BE$25,Body!$BE$22,IF('Zdroj data'!BB138=Body!$BH$25,Body!$BH$22,IF('Zdroj data'!BB138=Body!BK$25,Body!$BK$22,IF('Zdroj data'!BB138=Body!$BN$25,Body!$BN$22,IF('Zdroj data'!BB138=Body!$BQ$25,Body!$BQ$22,IF('Zdroj data'!BB138=Body!$BT$25,Body!$BT$22,IF('Zdroj data'!BB138=Body!$BW$25,Body!$BW$22,IF('Zdroj data'!BB138=Body!$BZ$25,Body!$BZ$22," "))))))))))</f>
        <v>7</v>
      </c>
      <c r="V138" s="264">
        <f>IF(AND('Zdroj data'!BO138&gt;Body!$AY$27,'Zdroj data'!BO138&lt;=Body!$BA$27),Body!$AY$22,IF(AND('Zdroj data'!BO138&gt;=Body!$BB$27,'Zdroj data'!BO138&lt;=Body!$BD$27),Body!$BB$22,IF(AND('Zdroj data'!BO138&gt;=Body!$BE$27,'Zdroj data'!BO138&lt;=Body!$BG$27),Body!$BE$22,IF(AND('Zdroj data'!BO138&gt;=Body!$BH$27,'Zdroj data'!BO138&lt;=Body!$BJ$27),Body!$BH$22,IF(AND('Zdroj data'!BO138&gt;=Body!$BK$27,'Zdroj data'!BO138&lt;=Body!$BM$27),Body!$BK$22,IF(AND('Zdroj data'!BO138&gt;=Body!$BN$27,'Zdroj data'!BO138&lt;=Body!$BP$27),Body!$BN$22,IF(AND('Zdroj data'!BO138&gt;=Body!$BQ$27,'Zdroj data'!BO138&lt;=Body!$BS$27),Body!$BQ$22,IF(AND('Zdroj data'!BO138&gt;=Body!$BT$27,'Zdroj data'!BO138&lt;=Body!$BV$27),Body!$BT$22,IF(AND('Zdroj data'!BO138&gt;=Body!$BW$27,'Zdroj data'!BO138&lt;=Body!$BY$27),Body!$BW$22,IF('Zdroj data'!BO138&gt;=Body!$CB$27,$BZ$22," "))))))))))</f>
        <v>7</v>
      </c>
      <c r="W138" s="264">
        <f>IF(AND('Zdroj data'!BP138&gt;Body!$AY$27,'Zdroj data'!BP138&lt;=Body!$BA$27),Body!$AY$22,IF(AND('Zdroj data'!BP138&gt;=Body!$BB$27,'Zdroj data'!BP138&lt;=Body!$BD$27),Body!$BB$22,IF(AND('Zdroj data'!BP138&gt;=Body!$BE$27,'Zdroj data'!BP138&lt;=Body!$BG$27),Body!$BE$22,IF(AND('Zdroj data'!BP138&gt;=Body!$BH$27,'Zdroj data'!BP138&lt;=Body!$BJ$27),Body!$BH$22,IF(AND('Zdroj data'!BP138&gt;=Body!$BK$27,'Zdroj data'!BP138&lt;=Body!$BM$27),Body!$BK$22,IF(AND('Zdroj data'!BP138&gt;=Body!$BN$27,'Zdroj data'!BP138&lt;=Body!$BP$27),Body!$BN$22,IF(AND('Zdroj data'!BP138&gt;=Body!$BQ$27,'Zdroj data'!BP138&lt;=Body!$BS$27),Body!$BQ$22,IF(AND('Zdroj data'!BP138&gt;=Body!$BT$27,'Zdroj data'!BP138&lt;=Body!$BV$27),Body!$BT$22,IF(AND('Zdroj data'!BP138&gt;=Body!$BW$27,'Zdroj data'!BP138&lt;=Body!$BY$27),Body!$BW$22,IF('Zdroj data'!BP138&gt;=Body!$CB$27,$BZ$22," "))))))))))</f>
        <v>6</v>
      </c>
      <c r="X138" s="264">
        <f>IF('Zdroj data'!BA138=Body!$BB$28,$BB$22,IF('Zdroj data'!BA138=Body!$BE$28,$BE$22,IF(OR('Zdroj data'!BA138=Body!$BK$28,'Zdroj data'!BA138=Body!$BL$28,'Zdroj data'!BA138=Body!$BM$28),$BK$22,IF(OR('Zdroj data'!BA138=Body!$BT$28,'Zdroj data'!BA138=Body!$BV$28),$BT$22,IF(OR('Zdroj data'!BA138=Body!$BW$28,'Zdroj data'!BA138=Body!$BY$28),$BW$22,IF('Zdroj data'!BA138=Body!$BZ$28,$BZ$22," "))))))</f>
        <v>10</v>
      </c>
      <c r="Y138" s="264">
        <f>IF('Zdroj data'!AZ138=Body!$BZ$29,Body!$BZ$22,IF(OR('Zdroj data'!AZ138=$BT$29,'Zdroj data'!AZ138=$BU$29,'Zdroj data'!AZ138=$BV$29),$BT$22,IF(OR('Zdroj data'!AZ138=$BK$29,'Zdroj data'!AZ138=$BM$29),$BK$22,IF(OR('Zdroj data'!AZ138=$BE$29,'Zdroj data'!AZ138=$BG$29),$BE$22,IF(OR('Zdroj data'!AZ138=$AY$29,'Zdroj data'!AZ138=$BA$29),$AY$22," ")))))</f>
        <v>10</v>
      </c>
      <c r="Z138" s="264">
        <f>IF(AND('Zdroj data'!BF138="T",(OR('Zdroj data'!AZ138=Body!$AW$45,'Zdroj data'!AZ138=Body!$AW$46,'Zdroj data'!AZ138=Body!$AW$47,'Zdroj data'!AZ138=Body!$AW$48))),Body!$AY$22,IF(AND('Zdroj data'!BF138="T",(OR('Zdroj data'!AZ138=$AW$49,'Zdroj data'!AZ138=$AW$50,'Zdroj data'!AZ138=$AW$51,'Zdroj data'!AZ138=$AW$52))),$BZ$22,IF(AND(OR('Zdroj data'!BF138="VT",'Zdroj data'!BF138="T",'Zdroj data'!BF138="CH"),(OR('Zdroj data'!AZ138=$AW$43,'Zdroj data'!AZ138=$AW$44,))),$BZ$22,IF(AND('Zdroj data'!BF138="CH",(OR('Zdroj data'!AZ138=$AW$49,'Zdroj data'!AZ138=$AW$50,'Zdroj data'!AZ138=$AW$51,'Zdroj data'!AZ138=$AW$52))),$AY$22,IF(AND('Zdroj data'!BF138="CH",(OR('Zdroj data'!AZ138=$AW$45,'Zdroj data'!AZ138=$AW$46,'Zdroj data'!AZ138=$AW$47,'Zdroj data'!AZ138=$AW$48))),$BZ$22," ")))))</f>
        <v>10</v>
      </c>
      <c r="AA138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38" s="264">
        <f>IF(Tabulka1[[#This Row],[kv.ek.]]=Body!$BK$35,Body!$BK$34,IF(Tabulka1[[#This Row],[kv.ek.]]=Body!$BZ$35,Body!$BZ$34," "))</f>
        <v>5</v>
      </c>
      <c r="AC138" s="264" t="str">
        <f>IF(AND('Zdroj data'!BF138="T",(OR('Zdroj data'!AZ138=Body!$AW$45,'Zdroj data'!AZ138=Body!$AW$46,'Zdroj data'!AZ138=Body!$AW$47,'Zdroj data'!AZ138=Body!$AW$48))),Body!$AY$22,IF(AND('Zdroj data'!BF138="T",(OR('Zdroj data'!AZ138=$AW$49,'Zdroj data'!AZ138=$AW$50,'Zdroj data'!AZ138=$AW$51,'Zdroj data'!AZ138=$AW$52))),$BZ$22," "))</f>
        <v xml:space="preserve"> </v>
      </c>
      <c r="AD138" s="264">
        <f>IF(AND(OR('Zdroj data'!BF138="VT",'Zdroj data'!BF138="T",'Zdroj data'!BF138="CH"),(OR('Zdroj data'!AZ138=$AW$43,'Zdroj data'!AZ138=$AW$44,))),$BZ$22," ")</f>
        <v>10</v>
      </c>
      <c r="AE138" s="264" t="str">
        <f>IF(AND('Zdroj data'!BF138="CH",(OR('Zdroj data'!AZ138=$AW$49,'Zdroj data'!AZ138=$AW$50,'Zdroj data'!AZ138=$AW$51,'Zdroj data'!AZ138=$AW$52))),$AY$22,IF(AND('Zdroj data'!BF138="CH",(OR('Zdroj data'!AZ138=$AW$45,'Zdroj data'!AZ138=$AW$46,'Zdroj data'!AZ138=$AW$47,'Zdroj data'!AZ138=$AW$48))),$BZ$22," "))</f>
        <v xml:space="preserve"> </v>
      </c>
      <c r="AF138" s="264">
        <f>IF(AND('Zdroj data'!BG138="L",'Zdroj data'!AM138=Body!$AX$15),IF(AND('Zdroj data'!O138&gt;=Body!$AY$15,'Zdroj data'!O138&lt;=Body!$BA$15),Body!AY$6,IF(AND('Zdroj data'!O138&gt;=Body!$BB$15,'Zdroj data'!O138&lt;=Body!$BD$15),Body!BB$6,IF(AND('Zdroj data'!O138&gt;=Body!$BE$15,'Zdroj data'!O138&lt;=Body!$BG$15),Body!BE$6,IF(AND('Zdroj data'!O138&gt;=Body!$BH$15,'Zdroj data'!O138&lt;=Body!$BJ$15),Body!BH$6,IF(AND('Zdroj data'!O138&gt;=Body!$BK$15,'Zdroj data'!O138&lt;=Body!$BM$15),Body!BK$6,IF(AND('Zdroj data'!O138&gt;=Body!$BN$15,'Zdroj data'!O138&lt;=Body!$BP$15),Body!$BN$6,IF(AND('Zdroj data'!O138&gt;=Body!$BQ$15,'Zdroj data'!O138&lt;=Body!$BS$15),Body!$BQ$6,IF(AND('Zdroj data'!O138&gt;=Body!$BT$15,'Zdroj data'!O138&lt;=Body!$BV$15),Body!BT$6,IF(AND('Zdroj data'!O138&gt;=Body!$BW$15,'Zdroj data'!O138&lt;=Body!$BY$15),Body!$BW$6,IF('Zdroj data'!O138&gt;=Body!$CB$15,Body!$BZ$6," ")))))))))),IF(AND('Zdroj data'!BG138="ST",'Zdroj data'!AM138=Body!$AX$16),IF(AND('Zdroj data'!O138&gt;=Body!$AY$16,'Zdroj data'!O138&lt;=Body!$BA$16),Body!$AY$6,IF(AND('Zdroj data'!O138&gt;=Body!$BB$16,'Zdroj data'!O138&lt;=Body!$BD$16),Body!$BB$6,IF(AND('Zdroj data'!O138&gt;=Body!$BE$16,'Zdroj data'!O138&lt;=Body!$BG$16),Body!$BE$6,IF(AND('Zdroj data'!O138&gt;=Body!$BH$16,'Zdroj data'!O138&lt;=Body!$BJ$16),Body!$BH$6,IF(AND('Zdroj data'!O138&gt;=Body!$BK$16,'Zdroj data'!O138&lt;=Body!$BM$16),Body!$BK$6,IF(AND('Zdroj data'!O138&gt;=Body!$BN$16,'Zdroj data'!O138&lt;=Body!$BP$16),Body!$BN$6,IF(AND('Zdroj data'!O138&gt;=Body!$BQ$16,'Zdroj data'!O138&lt;=Body!$BS$16),Body!$BQ$6,IF(AND('Zdroj data'!O138&gt;=Body!$BT$16,'Zdroj data'!O138&lt;=Body!$BV$16),Body!$BT$6,IF(AND('Zdroj data'!O138&gt;=Body!$BW$16,'Zdroj data'!O138&lt;=Body!$BY$16),Body!$BW$6,IF('Zdroj data'!O138&gt;=Body!$CB$16,Body!$BZ$6," ")))))))))),IF(AND('Zdroj data'!BG138="T",'Zdroj data'!AM138=Body!$AX$17),IF(AND('Zdroj data'!O138&gt;=Body!$AY$17,'Zdroj data'!O138&lt;=Body!$BA$17),Body!$AY$6,IF(AND('Zdroj data'!O138&gt;=Body!$BB$17,'Zdroj data'!O138&lt;=Body!$BD$17),Body!$BB$6,IF(AND('Zdroj data'!O138&gt;=Body!$BE$17,'Zdroj data'!O138&lt;=Body!$BG$17),Body!$BE$6,IF(AND('Zdroj data'!O138&gt;=Body!$BH$17,'Zdroj data'!O138&lt;=Body!#REF!),Body!$BH$6,IF(AND('Zdroj data'!O138&gt;=Body!$BK$17,'Zdroj data'!O138&lt;=Body!$BM$17),Body!$BK$6,IF(AND('Zdroj data'!O138&gt;=Body!$BN$17,'Zdroj data'!O138&lt;=Body!$BP$17),Body!$BN$6,IF(AND('Zdroj data'!O138&gt;=Body!$BQ$17,'Zdroj data'!O138&lt;=Body!$BS$17),Body!$BQ$6,IF(AND('Zdroj data'!O138&gt;=Body!$BT$17,'Zdroj data'!O138&lt;=Body!$BV$17),Body!$BT$6,IF(AND('Zdroj data'!O138&gt;=Body!$BW$17,'Zdroj data'!O138&lt;=Body!$BY$17),Body!$BW$6,IF('Zdroj data'!O138&gt;=Body!$CB$17,Body!$BZ$6," "))))))))))," ")))</f>
        <v>1</v>
      </c>
      <c r="AG138" s="264">
        <f>IF(AND('Zdroj data'!$BG138="L",'Zdroj data'!$AM138=Body!$AX$15),IF(AND(Tabulka1[[#This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data'!$BG138="ST",'Zdroj data'!$AM138=Body!$AX$16),IF(AND(Tabulka1[[#This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data'!$BG138="T",'Zdroj data'!$AM138=Body!$AX$17),IF(AND(Tabulka1[[#This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38" s="264" t="str">
        <f>IF(AND('Zdroj data'!BG138="L",'Zdroj data'!AM138=Body!$AX$18),IF(AND('Zdroj data'!O138&gt;=Body!$AY$18,'Zdroj data'!O138&lt;=Body!$BA$18),Body!AY$6,IF(AND('Zdroj data'!O138&gt;=Body!$BB$18,'Zdroj data'!O138&lt;=Body!$BD$18),Body!BB$6,IF(AND('Zdroj data'!O138&gt;=Body!$BE$18,'Zdroj data'!O138&lt;=Body!$BG$18),Body!BE$6,IF(AND('Zdroj data'!O138&gt;=Body!$BH$18,'Zdroj data'!O138&lt;=Body!$BJ$18),Body!BH$6,IF(AND('Zdroj data'!O138&gt;=Body!$BK$18,'Zdroj data'!O138&lt;=Body!$BM$18),Body!$BK$6,IF(AND('Zdroj data'!O138&gt;=Body!$BN$18,'Zdroj data'!O138&lt;=Body!$BP$18),Body!BN$6,IF(AND('Zdroj data'!O138&gt;=Body!$BQ$18,'Zdroj data'!O138&lt;=Body!$BS$18),Body!$BQ$6,IF(AND('Zdroj data'!O138&gt;=Body!$BT$18,'Zdroj data'!O138&lt;=Body!$BV$18),Body!$BT$6,IF(AND('Zdroj data'!O138&gt;=Body!$BW$18,'Zdroj data'!O138&lt;=Body!$BY$18),Body!$BW$6,IF('Zdroj data'!O138&gt;=Body!$CB$18,Body!$BZ$6," ")))))))))),IF(AND('Zdroj data'!BG138="ST",'Zdroj data'!AM138=Body!$AX$19),IF(AND('Zdroj data'!O138&gt;=Body!$AY$19,'Zdroj data'!O138&lt;=Body!$BA$19),Body!$AY$6,IF(AND('Zdroj data'!O138&gt;=Body!$BB$19,'Zdroj data'!O138&lt;=Body!$BD$19),Body!$BB$6,IF(AND('Zdroj data'!O138&gt;=Body!$BE$19,'Zdroj data'!O138&lt;=Body!$BG$19),Body!$BE$6,IF(AND('Zdroj data'!O138&gt;=Body!$BH$19,'Zdroj data'!O138&lt;=Body!$BJ$19),Body!$BH$6,IF(AND('Zdroj data'!O138&gt;=Body!$BK$19,'Zdroj data'!O138&lt;=Body!$BM$19),Body!$BK$6,IF(AND('Zdroj data'!O138&gt;=Body!$BN$19,'Zdroj data'!O138&lt;=Body!$BP$19),Body!$BN$6,IF(AND('Zdroj data'!O138&gt;=Body!$BQ$19,'Zdroj data'!O138&lt;=Body!$BS$19),Body!$BQ$6,IF(AND('Zdroj data'!O138&gt;=Body!$BT$19,'Zdroj data'!#REF!&lt;=Body!$BV$19),Body!$BT$6,IF(AND('Zdroj data'!O138&gt;=Body!$BW$19,'Zdroj data'!O138&lt;=Body!$BY$19),Body!$BW$6,IF('Zdroj data'!O138&gt;=Body!$CB$19,Body!$BZ$6," ")))))))))),IF(AND('Zdroj data'!BG138="T",'Zdroj data'!AM138=Body!$AX$20),IF(AND('Zdroj data'!O138&gt;=Body!$AY$20,'Zdroj data'!O138&lt;=Body!$BA$20),Body!$AY$6,IF(AND('Zdroj data'!O138&gt;=Body!$BB$20,'Zdroj data'!O138&lt;=Body!$BD$20),Body!$BB$6,IF(AND('Zdroj data'!O138&gt;=Body!$BE$20,'Zdroj data'!O138&lt;=Body!$BG$20),Body!$BE$6,IF(AND('Zdroj data'!O138&gt;=Body!$BH$20,'Zdroj data'!O138&lt;=Body!$BJ$20),Body!$BH$6,IF(AND('Zdroj data'!O138&gt;=Body!$BK$20,'Zdroj data'!O138&lt;=Body!$BM$20),Body!$BK$6,IF(AND('Zdroj data'!O138&gt;=Body!$BN$20,'Zdroj data'!O138&lt;=Body!$BP$20),Body!$BN$6,IF(AND('Zdroj data'!O138&gt;=Body!$BQ$20,'Zdroj data'!O138&lt;=Body!$BS$20),Body!$BQ$6,IF(AND('Zdroj data'!O138&gt;=Body!$BT$20,'Zdroj data'!O138&lt;=Body!#REF!),Body!$BT$6,IF(AND('Zdroj data'!O138&gt;=Body!$BW$20,'Zdroj data'!O138&lt;=Body!$BY$20),Body!$BW$6,IF('Zdroj data'!O138&gt;=Body!$CB$20,Body!$BZ$6," "))))))))))," ")))</f>
        <v xml:space="preserve"> </v>
      </c>
      <c r="AI138" s="264" t="str">
        <f>IF(AND('Zdroj data'!$BG138="L",'Zdroj data'!$AM138=Body!$AX$18),IF(AND(Tabulka1[[#This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data'!$BG138="ST",'Zdroj data'!$AM138=Body!$AX$19),IF(AND(Tabulka1[[#This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data'!$BG138="T",'Zdroj data'!$AM138=Body!$AX$20),IF(AND(Tabulka1[[#This Row],[K2O_60]]&gt;=Body!$AY$20,'Zdroj data'!O138&lt;=Body!$BA$20),Body!$AY$6,IF(AND(Tabulka1[[#This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38" s="265">
        <f t="shared" si="26"/>
        <v>8.0000000000000071</v>
      </c>
      <c r="AK138" s="264">
        <f t="shared" si="27"/>
        <v>32.059213917626607</v>
      </c>
      <c r="AL138" s="264">
        <f t="shared" si="28"/>
        <v>27.881076274387624</v>
      </c>
      <c r="AM138" s="264">
        <f t="shared" si="29"/>
        <v>76.406232972345762</v>
      </c>
      <c r="AN138" s="264">
        <f t="shared" si="30"/>
        <v>78.775263722219762</v>
      </c>
      <c r="AO138" s="265">
        <f t="shared" si="33"/>
        <v>108.46544688997237</v>
      </c>
      <c r="AP138" s="265">
        <f t="shared" si="31"/>
        <v>106.65633999660739</v>
      </c>
      <c r="AQ138" s="318"/>
      <c r="AR138" s="338">
        <f t="shared" si="32"/>
        <v>223.12178688657974</v>
      </c>
      <c r="AS138" s="318"/>
      <c r="AT138" s="138"/>
      <c r="AU138" s="138"/>
    </row>
    <row r="139" spans="1:47" ht="15.5" x14ac:dyDescent="0.35">
      <c r="A139" s="270">
        <v>5591</v>
      </c>
      <c r="B139" s="156" t="s">
        <v>80</v>
      </c>
      <c r="C139" s="250" t="str">
        <f>VLOOKUP(B139,'Zdroj hloubka okresy'!$A$2:$D$171,2,FALSE)</f>
        <v>Kutna_Hora</v>
      </c>
      <c r="D139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139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139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39" s="264">
        <f>IF(AND(Tabulka1[[#This Row],[hum_60]]&gt;AY145,Tabulka1[[#This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39" s="264">
        <f>IF(Tabulka1[[#This Row],[kv.ek.]]=Body!$AX$13,IF(AND('Zdroj data'!M139&gt;=Body!$AY$13,'Zdroj data'!M139&lt;=Body!$BA$13),Body!$AY$6,IF(AND('Zdroj data'!M139&gt;=Body!$BB$13,'Zdroj data'!M139&lt;=Body!$BD$13),Body!$BB$6,IF(AND('Zdroj data'!M139&gt;=Body!$BE$13,'Zdroj data'!M139&lt;=Body!$BG$13),Body!$BE$6,IF(AND('Zdroj data'!M139&gt;=Body!$BH$13,'Zdroj data'!M139&lt;=Body!$BJ$13),Body!$BH$6,IF(AND('Zdroj data'!M139&gt;=Body!$BK$13,'Zdroj data'!M139&lt;=Body!$BM$13),Body!$BK$6,IF(AND('Zdroj data'!M139&gt;=Body!$BN$13,'Zdroj data'!M139&lt;=Body!$BP$13),Body!$BN$6,IF(AND('Zdroj data'!M139&gt;=Body!$BQ$13,'Zdroj data'!M139&lt;=Body!$BS$13),Body!$BQ$6,IF(AND('Zdroj data'!M139&gt;=Body!$BT$13,'Zdroj data'!M139&lt;=Body!$BV$13),Body!$BT$6,IF(AND('Zdroj data'!M139&gt;=Body!$BW$13,'Zdroj data'!M139&lt;=Body!$BY$13),Body!$BW$6,IF('Zdroj data'!M139&gt;=Body!$CB$13,Body!$BZ$6," ")))))))))),IF(Tabulka1[[#This Row],[kv.ek.]]=Body!$AX$14,IF(AND('Zdroj data'!N139&gt;=Body!$AY$14,'Zdroj data'!N139&lt;=Body!$BA$14),Body!$AY$6,IF(AND('Zdroj data'!N139&gt;=Body!$BB$14,'Zdroj data'!N139&lt;=Body!$BD$14),Body!$BB$6,IF(AND('Zdroj data'!N139&gt;=Body!$BE$14,'Zdroj data'!N139&lt;=Body!$BG$14),Body!$BE$6,IF(AND('Zdroj data'!N139&gt;=Body!$BH$14,'Zdroj data'!N139&lt;=Body!$BJ$14),Body!$BH$6,IF(AND('Zdroj data'!N139&gt;=Body!$BK$14,'Zdroj data'!N139&lt;=Body!$BM$14),Body!$BK$6,IF(AND('Zdroj data'!N139&gt;=Body!$BN$14,'Zdroj data'!N139&lt;=Body!$BP$14),Body!$BN$6,IF(AND('Zdroj data'!N139&gt;=Body!$BQ$14,'Zdroj data'!N139&lt;=Body!$BS$14),Body!$BQ$6,IF(AND('Zdroj data'!N139&gt;=Body!$BT$14,'Zdroj data'!N139&lt;=Body!$BV$14),Body!$BT$6,IF(AND('Zdroj data'!N139&gt;=Body!$BW$14,'Zdroj data'!N139&lt;=Body!$BY$14),Body!$BW$6,IF('Zdroj data'!N139&gt;=Body!$CB$14,Body!$BZ$6," "))))))))))," "))</f>
        <v>9</v>
      </c>
      <c r="I139" s="264">
        <f>IF(Tabulka1[[#This Row],[kv.ek.]]=Body!$AX$13,IF(AND('Zdroj data'!N139&gt;=Body!$AY$13,'Zdroj data'!N139&lt;=Body!$BA$13),Body!$AY$6,IF(AND('Zdroj data'!N139&gt;=Body!$BB$13,'Zdroj data'!N139&lt;=Body!$BD$13),Body!$BB$6,IF(AND('Zdroj data'!N139&gt;=Body!$BE$13,'Zdroj data'!N139&lt;=Body!$BG$13),Body!$BE$6,IF(AND('Zdroj data'!N139&gt;=Body!$BH$13,'Zdroj data'!N139&lt;=Body!$BJ$13),Body!$BH$6,IF(AND('Zdroj data'!N139&gt;=Body!$BK$13,'Zdroj data'!N139&lt;=Body!$BM$13),Body!$BK$6,IF(AND('Zdroj data'!N139&gt;=Body!$BN$13,'Zdroj data'!N139&lt;=Body!$BP$13),Body!$BN$6,IF(AND('Zdroj data'!N139&gt;=Body!$BQ$13,'Zdroj data'!N139&lt;=Body!$BS$13),Body!$BQ$6,IF(AND('Zdroj data'!N139&gt;=Body!$BT$13,'Zdroj data'!N139&lt;=Body!$BV$13),Body!$BT$6,IF(AND('Zdroj data'!N139&gt;=Body!$BW$13,'Zdroj data'!N139&lt;=Body!$BY$13),Body!$BW$6,IF('Zdroj data'!N139&gt;=Body!$CB$13,Body!$BZ$6," ")))))))))),IF(Tabulka1[[#This Row],[kv.ek.]]=Body!$AX$14,IF(AND('Zdroj data'!O139&gt;=Body!$AY$14,'Zdroj data'!O139&lt;=Body!$BA$14),Body!$AY$6,IF(AND('Zdroj data'!O139&gt;=Body!$BB$14,'Zdroj data'!O139&lt;=Body!$BD$14),Body!$BB$6,IF(AND('Zdroj data'!O139&gt;=Body!$BE$14,'Zdroj data'!O139&lt;=Body!$BG$14),Body!$BE$6,IF(AND('Zdroj data'!O139&gt;=Body!$BH$14,'Zdroj data'!O139&lt;=Body!$BJ$14),Body!$BH$6,IF(AND('Zdroj data'!O139&gt;=Body!$BK$14,'Zdroj data'!O139&lt;=Body!$BM$14),Body!$BK$6,IF(AND('Zdroj data'!O139&gt;=Body!$BN$14,'Zdroj data'!O139&lt;=Body!$BP$14),Body!$BN$6,IF(AND('Zdroj data'!O139&gt;=Body!$BQ$14,'Zdroj data'!O139&lt;=Body!$BS$14),Body!$BQ$6,IF(AND('Zdroj data'!O139&gt;=Body!$BT$14,'Zdroj data'!O139&lt;=Body!$BV$14),Body!$BT$6,IF(AND('Zdroj data'!O139&gt;=Body!$BW$14,'Zdroj data'!O139&lt;=Body!$BY$14),Body!$BW$6,IF('Zdroj data'!O139&gt;=Body!$CB$14,Body!$BZ$6," "))))))))))," "))</f>
        <v>5</v>
      </c>
      <c r="J139" s="264">
        <f t="shared" si="25"/>
        <v>1</v>
      </c>
      <c r="K139" s="264">
        <f t="shared" si="25"/>
        <v>1</v>
      </c>
      <c r="L139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139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139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139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139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39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139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139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139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139" s="264">
        <f>IF('Zdroj data'!BB139=Body!$AY$25,Body!$AY$22,IF('Zdroj data'!BB139=Body!$BB$25,Body!$BB$22,IF('Zdroj data'!BB139=Body!$BE$25,Body!$BE$22,IF('Zdroj data'!BB139=Body!$BH$25,Body!$BH$22,IF('Zdroj data'!BB139=Body!BK$25,Body!$BK$22,IF('Zdroj data'!BB139=Body!$BN$25,Body!$BN$22,IF('Zdroj data'!BB139=Body!$BQ$25,Body!$BQ$22,IF('Zdroj data'!BB139=Body!$BT$25,Body!$BT$22,IF('Zdroj data'!BB139=Body!$BW$25,Body!$BW$22,IF('Zdroj data'!BB139=Body!$BZ$25,Body!$BZ$22," "))))))))))</f>
        <v>7</v>
      </c>
      <c r="V139" s="264">
        <f>IF(AND('Zdroj data'!BO139&gt;Body!$AY$27,'Zdroj data'!BO139&lt;=Body!$BA$27),Body!$AY$22,IF(AND('Zdroj data'!BO139&gt;=Body!$BB$27,'Zdroj data'!BO139&lt;=Body!$BD$27),Body!$BB$22,IF(AND('Zdroj data'!BO139&gt;=Body!$BE$27,'Zdroj data'!BO139&lt;=Body!$BG$27),Body!$BE$22,IF(AND('Zdroj data'!BO139&gt;=Body!$BH$27,'Zdroj data'!BO139&lt;=Body!$BJ$27),Body!$BH$22,IF(AND('Zdroj data'!BO139&gt;=Body!$BK$27,'Zdroj data'!BO139&lt;=Body!$BM$27),Body!$BK$22,IF(AND('Zdroj data'!BO139&gt;=Body!$BN$27,'Zdroj data'!BO139&lt;=Body!$BP$27),Body!$BN$22,IF(AND('Zdroj data'!BO139&gt;=Body!$BQ$27,'Zdroj data'!BO139&lt;=Body!$BS$27),Body!$BQ$22,IF(AND('Zdroj data'!BO139&gt;=Body!$BT$27,'Zdroj data'!BO139&lt;=Body!$BV$27),Body!$BT$22,IF(AND('Zdroj data'!BO139&gt;=Body!$BW$27,'Zdroj data'!BO139&lt;=Body!$BY$27),Body!$BW$22,IF('Zdroj data'!BO139&gt;=Body!$CB$27,$BZ$22," "))))))))))</f>
        <v>8</v>
      </c>
      <c r="W139" s="264">
        <f>IF(AND('Zdroj data'!BP139&gt;Body!$AY$27,'Zdroj data'!BP139&lt;=Body!$BA$27),Body!$AY$22,IF(AND('Zdroj data'!BP139&gt;=Body!$BB$27,'Zdroj data'!BP139&lt;=Body!$BD$27),Body!$BB$22,IF(AND('Zdroj data'!BP139&gt;=Body!$BE$27,'Zdroj data'!BP139&lt;=Body!$BG$27),Body!$BE$22,IF(AND('Zdroj data'!BP139&gt;=Body!$BH$27,'Zdroj data'!BP139&lt;=Body!$BJ$27),Body!$BH$22,IF(AND('Zdroj data'!BP139&gt;=Body!$BK$27,'Zdroj data'!BP139&lt;=Body!$BM$27),Body!$BK$22,IF(AND('Zdroj data'!BP139&gt;=Body!$BN$27,'Zdroj data'!BP139&lt;=Body!$BP$27),Body!$BN$22,IF(AND('Zdroj data'!BP139&gt;=Body!$BQ$27,'Zdroj data'!BP139&lt;=Body!$BS$27),Body!$BQ$22,IF(AND('Zdroj data'!BP139&gt;=Body!$BT$27,'Zdroj data'!BP139&lt;=Body!$BV$27),Body!$BT$22,IF(AND('Zdroj data'!BP139&gt;=Body!$BW$27,'Zdroj data'!BP139&lt;=Body!$BY$27),Body!$BW$22,IF('Zdroj data'!BP139&gt;=Body!$CB$27,$BZ$22," "))))))))))</f>
        <v>8</v>
      </c>
      <c r="X139" s="264">
        <f>IF('Zdroj data'!BA139=Body!$BB$28,$BB$22,IF('Zdroj data'!BA139=Body!$BE$28,$BE$22,IF(OR('Zdroj data'!BA139=Body!$BK$28,'Zdroj data'!BA139=Body!$BL$28,'Zdroj data'!BA139=Body!$BM$28),$BK$22,IF(OR('Zdroj data'!BA139=Body!$BT$28,'Zdroj data'!BA139=Body!$BV$28),$BT$22,IF(OR('Zdroj data'!BA139=Body!$BW$28,'Zdroj data'!BA139=Body!$BY$28),$BW$22,IF('Zdroj data'!BA139=Body!$BZ$28,$BZ$22," "))))))</f>
        <v>10</v>
      </c>
      <c r="Y139" s="264">
        <f>IF('Zdroj data'!AZ139=Body!$BZ$29,Body!$BZ$22,IF(OR('Zdroj data'!AZ139=$BT$29,'Zdroj data'!AZ139=$BU$29,'Zdroj data'!AZ139=$BV$29),$BT$22,IF(OR('Zdroj data'!AZ139=$BK$29,'Zdroj data'!AZ139=$BM$29),$BK$22,IF(OR('Zdroj data'!AZ139=$BE$29,'Zdroj data'!AZ139=$BG$29),$BE$22,IF(OR('Zdroj data'!AZ139=$AY$29,'Zdroj data'!AZ139=$BA$29),$AY$22," ")))))</f>
        <v>10</v>
      </c>
      <c r="Z139" s="264">
        <f>IF(AND('Zdroj data'!BF139="T",(OR('Zdroj data'!AZ139=Body!$AW$45,'Zdroj data'!AZ139=Body!$AW$46,'Zdroj data'!AZ139=Body!$AW$47,'Zdroj data'!AZ139=Body!$AW$48))),Body!$AY$22,IF(AND('Zdroj data'!BF139="T",(OR('Zdroj data'!AZ139=$AW$49,'Zdroj data'!AZ139=$AW$50,'Zdroj data'!AZ139=$AW$51,'Zdroj data'!AZ139=$AW$52))),$BZ$22,IF(AND(OR('Zdroj data'!BF139="VT",'Zdroj data'!BF139="T",'Zdroj data'!BF139="CH"),(OR('Zdroj data'!AZ139=$AW$43,'Zdroj data'!AZ139=$AW$44,))),$BZ$22,IF(AND('Zdroj data'!BF139="CH",(OR('Zdroj data'!AZ139=$AW$49,'Zdroj data'!AZ139=$AW$50,'Zdroj data'!AZ139=$AW$51,'Zdroj data'!AZ139=$AW$52))),$AY$22,IF(AND('Zdroj data'!BF139="CH",(OR('Zdroj data'!AZ139=$AW$45,'Zdroj data'!AZ139=$AW$46,'Zdroj data'!AZ139=$AW$47,'Zdroj data'!AZ139=$AW$48))),$BZ$22," ")))))</f>
        <v>10</v>
      </c>
      <c r="AA139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39" s="264">
        <f>IF(Tabulka1[[#This Row],[kv.ek.]]=Body!$BK$35,Body!$BK$34,IF(Tabulka1[[#This Row],[kv.ek.]]=Body!$BZ$35,Body!$BZ$34," "))</f>
        <v>5</v>
      </c>
      <c r="AC139" s="264" t="str">
        <f>IF(AND('Zdroj data'!BF139="T",(OR('Zdroj data'!AZ139=Body!$AW$45,'Zdroj data'!AZ139=Body!$AW$46,'Zdroj data'!AZ139=Body!$AW$47,'Zdroj data'!AZ139=Body!$AW$48))),Body!$AY$22,IF(AND('Zdroj data'!BF139="T",(OR('Zdroj data'!AZ139=$AW$49,'Zdroj data'!AZ139=$AW$50,'Zdroj data'!AZ139=$AW$51,'Zdroj data'!AZ139=$AW$52))),$BZ$22," "))</f>
        <v xml:space="preserve"> </v>
      </c>
      <c r="AD139" s="264">
        <f>IF(AND(OR('Zdroj data'!BF139="VT",'Zdroj data'!BF139="T",'Zdroj data'!BF139="CH"),(OR('Zdroj data'!AZ139=$AW$43,'Zdroj data'!AZ139=$AW$44,))),$BZ$22," ")</f>
        <v>10</v>
      </c>
      <c r="AE139" s="264" t="str">
        <f>IF(AND('Zdroj data'!BF139="CH",(OR('Zdroj data'!AZ139=$AW$49,'Zdroj data'!AZ139=$AW$50,'Zdroj data'!AZ139=$AW$51,'Zdroj data'!AZ139=$AW$52))),$AY$22,IF(AND('Zdroj data'!BF139="CH",(OR('Zdroj data'!AZ139=$AW$45,'Zdroj data'!AZ139=$AW$46,'Zdroj data'!AZ139=$AW$47,'Zdroj data'!AZ139=$AW$48))),$BZ$22," "))</f>
        <v xml:space="preserve"> </v>
      </c>
      <c r="AF139" s="264">
        <f>IF(AND('Zdroj data'!BG139="L",'Zdroj data'!AM139=Body!$AX$15),IF(AND('Zdroj data'!O139&gt;=Body!$AY$15,'Zdroj data'!O139&lt;=Body!$BA$15),Body!AY$6,IF(AND('Zdroj data'!O139&gt;=Body!$BB$15,'Zdroj data'!O139&lt;=Body!$BD$15),Body!BB$6,IF(AND('Zdroj data'!O139&gt;=Body!$BE$15,'Zdroj data'!O139&lt;=Body!$BG$15),Body!BE$6,IF(AND('Zdroj data'!O139&gt;=Body!$BH$15,'Zdroj data'!O139&lt;=Body!$BJ$15),Body!BH$6,IF(AND('Zdroj data'!O139&gt;=Body!$BK$15,'Zdroj data'!O139&lt;=Body!$BM$15),Body!BK$6,IF(AND('Zdroj data'!O139&gt;=Body!$BN$15,'Zdroj data'!O139&lt;=Body!$BP$15),Body!$BN$6,IF(AND('Zdroj data'!O139&gt;=Body!$BQ$15,'Zdroj data'!O139&lt;=Body!$BS$15),Body!$BQ$6,IF(AND('Zdroj data'!O139&gt;=Body!$BT$15,'Zdroj data'!O139&lt;=Body!$BV$15),Body!BT$6,IF(AND('Zdroj data'!O139&gt;=Body!$BW$15,'Zdroj data'!O139&lt;=Body!$BY$15),Body!$BW$6,IF('Zdroj data'!O139&gt;=Body!$CB$15,Body!$BZ$6," ")))))))))),IF(AND('Zdroj data'!BG139="ST",'Zdroj data'!AM139=Body!$AX$16),IF(AND('Zdroj data'!O139&gt;=Body!$AY$16,'Zdroj data'!O139&lt;=Body!$BA$16),Body!$AY$6,IF(AND('Zdroj data'!O139&gt;=Body!$BB$16,'Zdroj data'!O139&lt;=Body!$BD$16),Body!$BB$6,IF(AND('Zdroj data'!O139&gt;=Body!$BE$16,'Zdroj data'!O139&lt;=Body!$BG$16),Body!$BE$6,IF(AND('Zdroj data'!O139&gt;=Body!$BH$16,'Zdroj data'!O139&lt;=Body!$BJ$16),Body!$BH$6,IF(AND('Zdroj data'!O139&gt;=Body!$BK$16,'Zdroj data'!O139&lt;=Body!$BM$16),Body!$BK$6,IF(AND('Zdroj data'!O139&gt;=Body!$BN$16,'Zdroj data'!O139&lt;=Body!$BP$16),Body!$BN$6,IF(AND('Zdroj data'!O139&gt;=Body!$BQ$16,'Zdroj data'!O139&lt;=Body!$BS$16),Body!$BQ$6,IF(AND('Zdroj data'!O139&gt;=Body!$BT$16,'Zdroj data'!O139&lt;=Body!$BV$16),Body!$BT$6,IF(AND('Zdroj data'!O139&gt;=Body!$BW$16,'Zdroj data'!O139&lt;=Body!$BY$16),Body!$BW$6,IF('Zdroj data'!O139&gt;=Body!$CB$16,Body!$BZ$6," ")))))))))),IF(AND('Zdroj data'!BG139="T",'Zdroj data'!AM139=Body!$AX$17),IF(AND('Zdroj data'!O139&gt;=Body!$AY$17,'Zdroj data'!O139&lt;=Body!$BA$17),Body!$AY$6,IF(AND('Zdroj data'!O139&gt;=Body!$BB$17,'Zdroj data'!O139&lt;=Body!$BD$17),Body!$BB$6,IF(AND('Zdroj data'!O139&gt;=Body!$BE$17,'Zdroj data'!O139&lt;=Body!$BG$17),Body!$BE$6,IF(AND('Zdroj data'!O139&gt;=Body!$BH$17,'Zdroj data'!O139&lt;=Body!#REF!),Body!$BH$6,IF(AND('Zdroj data'!O139&gt;=Body!$BK$17,'Zdroj data'!O139&lt;=Body!$BM$17),Body!$BK$6,IF(AND('Zdroj data'!O139&gt;=Body!$BN$17,'Zdroj data'!O139&lt;=Body!$BP$17),Body!$BN$6,IF(AND('Zdroj data'!O139&gt;=Body!$BQ$17,'Zdroj data'!O139&lt;=Body!$BS$17),Body!$BQ$6,IF(AND('Zdroj data'!O139&gt;=Body!$BT$17,'Zdroj data'!O139&lt;=Body!$BV$17),Body!$BT$6,IF(AND('Zdroj data'!O139&gt;=Body!$BW$17,'Zdroj data'!O139&lt;=Body!$BY$17),Body!$BW$6,IF('Zdroj data'!O139&gt;=Body!$CB$17,Body!$BZ$6," "))))))))))," ")))</f>
        <v>1</v>
      </c>
      <c r="AG139" s="264">
        <f>IF(AND('Zdroj data'!$BG139="L",'Zdroj data'!$AM139=Body!$AX$15),IF(AND(Tabulka1[[#This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data'!$BG139="ST",'Zdroj data'!$AM139=Body!$AX$16),IF(AND(Tabulka1[[#This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data'!$BG139="T",'Zdroj data'!$AM139=Body!$AX$17),IF(AND(Tabulka1[[#This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39" s="264" t="str">
        <f>IF(AND('Zdroj data'!BG139="L",'Zdroj data'!AM139=Body!$AX$18),IF(AND('Zdroj data'!O139&gt;=Body!$AY$18,'Zdroj data'!O139&lt;=Body!$BA$18),Body!AY$6,IF(AND('Zdroj data'!O139&gt;=Body!$BB$18,'Zdroj data'!O139&lt;=Body!$BD$18),Body!BB$6,IF(AND('Zdroj data'!O139&gt;=Body!$BE$18,'Zdroj data'!O139&lt;=Body!$BG$18),Body!BE$6,IF(AND('Zdroj data'!O139&gt;=Body!$BH$18,'Zdroj data'!O139&lt;=Body!$BJ$18),Body!BH$6,IF(AND('Zdroj data'!O139&gt;=Body!$BK$18,'Zdroj data'!O139&lt;=Body!$BM$18),Body!$BK$6,IF(AND('Zdroj data'!O139&gt;=Body!$BN$18,'Zdroj data'!O139&lt;=Body!$BP$18),Body!BN$6,IF(AND('Zdroj data'!O139&gt;=Body!$BQ$18,'Zdroj data'!O139&lt;=Body!$BS$18),Body!$BQ$6,IF(AND('Zdroj data'!O139&gt;=Body!$BT$18,'Zdroj data'!O139&lt;=Body!$BV$18),Body!$BT$6,IF(AND('Zdroj data'!O139&gt;=Body!$BW$18,'Zdroj data'!O139&lt;=Body!$BY$18),Body!$BW$6,IF('Zdroj data'!O139&gt;=Body!$CB$18,Body!$BZ$6," ")))))))))),IF(AND('Zdroj data'!BG139="ST",'Zdroj data'!AM139=Body!$AX$19),IF(AND('Zdroj data'!O139&gt;=Body!$AY$19,'Zdroj data'!O139&lt;=Body!$BA$19),Body!$AY$6,IF(AND('Zdroj data'!O139&gt;=Body!$BB$19,'Zdroj data'!O139&lt;=Body!$BD$19),Body!$BB$6,IF(AND('Zdroj data'!O139&gt;=Body!$BE$19,'Zdroj data'!O139&lt;=Body!$BG$19),Body!$BE$6,IF(AND('Zdroj data'!O139&gt;=Body!$BH$19,'Zdroj data'!O139&lt;=Body!$BJ$19),Body!$BH$6,IF(AND('Zdroj data'!O139&gt;=Body!$BK$19,'Zdroj data'!O139&lt;=Body!$BM$19),Body!$BK$6,IF(AND('Zdroj data'!O139&gt;=Body!$BN$19,'Zdroj data'!O139&lt;=Body!$BP$19),Body!$BN$6,IF(AND('Zdroj data'!O139&gt;=Body!$BQ$19,'Zdroj data'!O139&lt;=Body!$BS$19),Body!$BQ$6,IF(AND('Zdroj data'!O139&gt;=Body!$BT$19,'Zdroj data'!#REF!&lt;=Body!$BV$19),Body!$BT$6,IF(AND('Zdroj data'!O139&gt;=Body!$BW$19,'Zdroj data'!O139&lt;=Body!$BY$19),Body!$BW$6,IF('Zdroj data'!O139&gt;=Body!$CB$19,Body!$BZ$6," ")))))))))),IF(AND('Zdroj data'!BG139="T",'Zdroj data'!AM139=Body!$AX$20),IF(AND('Zdroj data'!O139&gt;=Body!$AY$20,'Zdroj data'!O139&lt;=Body!$BA$20),Body!$AY$6,IF(AND('Zdroj data'!O139&gt;=Body!$BB$20,'Zdroj data'!O139&lt;=Body!$BD$20),Body!$BB$6,IF(AND('Zdroj data'!O139&gt;=Body!$BE$20,'Zdroj data'!O139&lt;=Body!$BG$20),Body!$BE$6,IF(AND('Zdroj data'!O139&gt;=Body!$BH$20,'Zdroj data'!O139&lt;=Body!$BJ$20),Body!$BH$6,IF(AND('Zdroj data'!O139&gt;=Body!$BK$20,'Zdroj data'!O139&lt;=Body!$BM$20),Body!$BK$6,IF(AND('Zdroj data'!O139&gt;=Body!$BN$20,'Zdroj data'!O139&lt;=Body!$BP$20),Body!$BN$6,IF(AND('Zdroj data'!O139&gt;=Body!$BQ$20,'Zdroj data'!O139&lt;=Body!$BS$20),Body!$BQ$6,IF(AND('Zdroj data'!O139&gt;=Body!$BT$20,'Zdroj data'!O139&lt;=Body!#REF!),Body!$BT$6,IF(AND('Zdroj data'!O139&gt;=Body!$BW$20,'Zdroj data'!O139&lt;=Body!$BY$20),Body!$BW$6,IF('Zdroj data'!O139&gt;=Body!$CB$20,Body!$BZ$6," "))))))))))," ")))</f>
        <v xml:space="preserve"> </v>
      </c>
      <c r="AI139" s="264" t="str">
        <f>IF(AND('Zdroj data'!$BG139="L",'Zdroj data'!$AM139=Body!$AX$18),IF(AND(Tabulka1[[#This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data'!$BG139="ST",'Zdroj data'!$AM139=Body!$AX$19),IF(AND(Tabulka1[[#This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data'!$BG139="T",'Zdroj data'!$AM139=Body!$AX$20),IF(AND(Tabulka1[[#This Row],[K2O_60]]&gt;=Body!$AY$20,'Zdroj data'!O139&lt;=Body!$BA$20),Body!$AY$6,IF(AND(Tabulka1[[#This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39" s="265">
        <f t="shared" si="26"/>
        <v>8.0000000000000071</v>
      </c>
      <c r="AK139" s="264">
        <f t="shared" si="27"/>
        <v>27.694653303253741</v>
      </c>
      <c r="AL139" s="264">
        <f t="shared" si="28"/>
        <v>24.576251151883127</v>
      </c>
      <c r="AM139" s="264">
        <f t="shared" si="29"/>
        <v>74.037202222471763</v>
      </c>
      <c r="AN139" s="264">
        <f t="shared" si="30"/>
        <v>70.123578265395778</v>
      </c>
      <c r="AO139" s="265">
        <f t="shared" si="33"/>
        <v>101.73185552572551</v>
      </c>
      <c r="AP139" s="265">
        <f t="shared" si="31"/>
        <v>94.699829417278906</v>
      </c>
      <c r="AQ139" s="318"/>
      <c r="AR139" s="338">
        <f t="shared" si="32"/>
        <v>204.43168494300443</v>
      </c>
      <c r="AS139" s="318"/>
      <c r="AT139" s="138"/>
      <c r="AU139" s="138"/>
    </row>
    <row r="140" spans="1:47" ht="15.5" x14ac:dyDescent="0.35">
      <c r="A140" s="270">
        <v>9107</v>
      </c>
      <c r="B140" s="156" t="s">
        <v>635</v>
      </c>
      <c r="C140" s="250" t="str">
        <f>VLOOKUP(B140,'Zdroj hloubka okresy'!$A$2:$D$171,2,FALSE)</f>
        <v>Mlada_Boleslav</v>
      </c>
      <c r="D140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140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7</v>
      </c>
      <c r="F140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40" s="264">
        <f>IF(AND(Tabulka1[[#This Row],[hum_60]]&gt;AY146,Tabulka1[[#This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40" s="264">
        <f>IF(Tabulka1[[#This Row],[kv.ek.]]=Body!$AX$13,IF(AND('Zdroj data'!M140&gt;=Body!$AY$13,'Zdroj data'!M140&lt;=Body!$BA$13),Body!$AY$6,IF(AND('Zdroj data'!M140&gt;=Body!$BB$13,'Zdroj data'!M140&lt;=Body!$BD$13),Body!$BB$6,IF(AND('Zdroj data'!M140&gt;=Body!$BE$13,'Zdroj data'!M140&lt;=Body!$BG$13),Body!$BE$6,IF(AND('Zdroj data'!M140&gt;=Body!$BH$13,'Zdroj data'!M140&lt;=Body!$BJ$13),Body!$BH$6,IF(AND('Zdroj data'!M140&gt;=Body!$BK$13,'Zdroj data'!M140&lt;=Body!$BM$13),Body!$BK$6,IF(AND('Zdroj data'!M140&gt;=Body!$BN$13,'Zdroj data'!M140&lt;=Body!$BP$13),Body!$BN$6,IF(AND('Zdroj data'!M140&gt;=Body!$BQ$13,'Zdroj data'!M140&lt;=Body!$BS$13),Body!$BQ$6,IF(AND('Zdroj data'!M140&gt;=Body!$BT$13,'Zdroj data'!M140&lt;=Body!$BV$13),Body!$BT$6,IF(AND('Zdroj data'!M140&gt;=Body!$BW$13,'Zdroj data'!M140&lt;=Body!$BY$13),Body!$BW$6,IF('Zdroj data'!M140&gt;=Body!$CB$13,Body!$BZ$6," ")))))))))),IF(Tabulka1[[#This Row],[kv.ek.]]=Body!$AX$14,IF(AND('Zdroj data'!N140&gt;=Body!$AY$14,'Zdroj data'!N140&lt;=Body!$BA$14),Body!$AY$6,IF(AND('Zdroj data'!N140&gt;=Body!$BB$14,'Zdroj data'!N140&lt;=Body!$BD$14),Body!$BB$6,IF(AND('Zdroj data'!N140&gt;=Body!$BE$14,'Zdroj data'!N140&lt;=Body!$BG$14),Body!$BE$6,IF(AND('Zdroj data'!N140&gt;=Body!$BH$14,'Zdroj data'!N140&lt;=Body!$BJ$14),Body!$BH$6,IF(AND('Zdroj data'!N140&gt;=Body!$BK$14,'Zdroj data'!N140&lt;=Body!$BM$14),Body!$BK$6,IF(AND('Zdroj data'!N140&gt;=Body!$BN$14,'Zdroj data'!N140&lt;=Body!$BP$14),Body!$BN$6,IF(AND('Zdroj data'!N140&gt;=Body!$BQ$14,'Zdroj data'!N140&lt;=Body!$BS$14),Body!$BQ$6,IF(AND('Zdroj data'!N140&gt;=Body!$BT$14,'Zdroj data'!N140&lt;=Body!$BV$14),Body!$BT$6,IF(AND('Zdroj data'!N140&gt;=Body!$BW$14,'Zdroj data'!N140&lt;=Body!$BY$14),Body!$BW$6,IF('Zdroj data'!N140&gt;=Body!$CB$14,Body!$BZ$6," "))))))))))," "))</f>
        <v>1</v>
      </c>
      <c r="I140" s="264">
        <f>IF(Tabulka1[[#This Row],[kv.ek.]]=Body!$AX$13,IF(AND('Zdroj data'!N140&gt;=Body!$AY$13,'Zdroj data'!N140&lt;=Body!$BA$13),Body!$AY$6,IF(AND('Zdroj data'!N140&gt;=Body!$BB$13,'Zdroj data'!N140&lt;=Body!$BD$13),Body!$BB$6,IF(AND('Zdroj data'!N140&gt;=Body!$BE$13,'Zdroj data'!N140&lt;=Body!$BG$13),Body!$BE$6,IF(AND('Zdroj data'!N140&gt;=Body!$BH$13,'Zdroj data'!N140&lt;=Body!$BJ$13),Body!$BH$6,IF(AND('Zdroj data'!N140&gt;=Body!$BK$13,'Zdroj data'!N140&lt;=Body!$BM$13),Body!$BK$6,IF(AND('Zdroj data'!N140&gt;=Body!$BN$13,'Zdroj data'!N140&lt;=Body!$BP$13),Body!$BN$6,IF(AND('Zdroj data'!N140&gt;=Body!$BQ$13,'Zdroj data'!N140&lt;=Body!$BS$13),Body!$BQ$6,IF(AND('Zdroj data'!N140&gt;=Body!$BT$13,'Zdroj data'!N140&lt;=Body!$BV$13),Body!$BT$6,IF(AND('Zdroj data'!N140&gt;=Body!$BW$13,'Zdroj data'!N140&lt;=Body!$BY$13),Body!$BW$6,IF('Zdroj data'!N140&gt;=Body!$CB$13,Body!$BZ$6," ")))))))))),IF(Tabulka1[[#This Row],[kv.ek.]]=Body!$AX$14,IF(AND('Zdroj data'!O140&gt;=Body!$AY$14,'Zdroj data'!O140&lt;=Body!$BA$14),Body!$AY$6,IF(AND('Zdroj data'!O140&gt;=Body!$BB$14,'Zdroj data'!O140&lt;=Body!$BD$14),Body!$BB$6,IF(AND('Zdroj data'!O140&gt;=Body!$BE$14,'Zdroj data'!O140&lt;=Body!$BG$14),Body!$BE$6,IF(AND('Zdroj data'!O140&gt;=Body!$BH$14,'Zdroj data'!O140&lt;=Body!$BJ$14),Body!$BH$6,IF(AND('Zdroj data'!O140&gt;=Body!$BK$14,'Zdroj data'!O140&lt;=Body!$BM$14),Body!$BK$6,IF(AND('Zdroj data'!O140&gt;=Body!$BN$14,'Zdroj data'!O140&lt;=Body!$BP$14),Body!$BN$6,IF(AND('Zdroj data'!O140&gt;=Body!$BQ$14,'Zdroj data'!O140&lt;=Body!$BS$14),Body!$BQ$6,IF(AND('Zdroj data'!O140&gt;=Body!$BT$14,'Zdroj data'!O140&lt;=Body!$BV$14),Body!$BT$6,IF(AND('Zdroj data'!O140&gt;=Body!$BW$14,'Zdroj data'!O140&lt;=Body!$BY$14),Body!$BW$6,IF('Zdroj data'!O140&gt;=Body!$CB$14,Body!$BZ$6," "))))))))))," "))</f>
        <v>1</v>
      </c>
      <c r="J140" s="264">
        <f t="shared" si="25"/>
        <v>2</v>
      </c>
      <c r="K140" s="264">
        <f t="shared" si="25"/>
        <v>1</v>
      </c>
      <c r="L140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6</v>
      </c>
      <c r="M140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7</v>
      </c>
      <c r="N140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140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9</v>
      </c>
      <c r="P140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40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140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140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140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140" s="264">
        <f>IF('Zdroj data'!BB140=Body!$AY$25,Body!$AY$22,IF('Zdroj data'!BB140=Body!$BB$25,Body!$BB$22,IF('Zdroj data'!BB140=Body!$BE$25,Body!$BE$22,IF('Zdroj data'!BB140=Body!$BH$25,Body!$BH$22,IF('Zdroj data'!BB140=Body!BK$25,Body!$BK$22,IF('Zdroj data'!BB140=Body!$BN$25,Body!$BN$22,IF('Zdroj data'!BB140=Body!$BQ$25,Body!$BQ$22,IF('Zdroj data'!BB140=Body!$BT$25,Body!$BT$22,IF('Zdroj data'!BB140=Body!$BW$25,Body!$BW$22,IF('Zdroj data'!BB140=Body!$BZ$25,Body!$BZ$22," "))))))))))</f>
        <v>7</v>
      </c>
      <c r="V140" s="264">
        <f>IF(AND('Zdroj data'!BO140&gt;Body!$AY$27,'Zdroj data'!BO140&lt;=Body!$BA$27),Body!$AY$22,IF(AND('Zdroj data'!BO140&gt;=Body!$BB$27,'Zdroj data'!BO140&lt;=Body!$BD$27),Body!$BB$22,IF(AND('Zdroj data'!BO140&gt;=Body!$BE$27,'Zdroj data'!BO140&lt;=Body!$BG$27),Body!$BE$22,IF(AND('Zdroj data'!BO140&gt;=Body!$BH$27,'Zdroj data'!BO140&lt;=Body!$BJ$27),Body!$BH$22,IF(AND('Zdroj data'!BO140&gt;=Body!$BK$27,'Zdroj data'!BO140&lt;=Body!$BM$27),Body!$BK$22,IF(AND('Zdroj data'!BO140&gt;=Body!$BN$27,'Zdroj data'!BO140&lt;=Body!$BP$27),Body!$BN$22,IF(AND('Zdroj data'!BO140&gt;=Body!$BQ$27,'Zdroj data'!BO140&lt;=Body!$BS$27),Body!$BQ$22,IF(AND('Zdroj data'!BO140&gt;=Body!$BT$27,'Zdroj data'!BO140&lt;=Body!$BV$27),Body!$BT$22,IF(AND('Zdroj data'!BO140&gt;=Body!$BW$27,'Zdroj data'!BO140&lt;=Body!$BY$27),Body!$BW$22,IF('Zdroj data'!BO140&gt;=Body!$CB$27,$BZ$22," "))))))))))</f>
        <v>7</v>
      </c>
      <c r="W140" s="264">
        <f>IF(AND('Zdroj data'!BP140&gt;Body!$AY$27,'Zdroj data'!BP140&lt;=Body!$BA$27),Body!$AY$22,IF(AND('Zdroj data'!BP140&gt;=Body!$BB$27,'Zdroj data'!BP140&lt;=Body!$BD$27),Body!$BB$22,IF(AND('Zdroj data'!BP140&gt;=Body!$BE$27,'Zdroj data'!BP140&lt;=Body!$BG$27),Body!$BE$22,IF(AND('Zdroj data'!BP140&gt;=Body!$BH$27,'Zdroj data'!BP140&lt;=Body!$BJ$27),Body!$BH$22,IF(AND('Zdroj data'!BP140&gt;=Body!$BK$27,'Zdroj data'!BP140&lt;=Body!$BM$27),Body!$BK$22,IF(AND('Zdroj data'!BP140&gt;=Body!$BN$27,'Zdroj data'!BP140&lt;=Body!$BP$27),Body!$BN$22,IF(AND('Zdroj data'!BP140&gt;=Body!$BQ$27,'Zdroj data'!BP140&lt;=Body!$BS$27),Body!$BQ$22,IF(AND('Zdroj data'!BP140&gt;=Body!$BT$27,'Zdroj data'!BP140&lt;=Body!$BV$27),Body!$BT$22,IF(AND('Zdroj data'!BP140&gt;=Body!$BW$27,'Zdroj data'!BP140&lt;=Body!$BY$27),Body!$BW$22,IF('Zdroj data'!BP140&gt;=Body!$CB$27,$BZ$22," "))))))))))</f>
        <v>5</v>
      </c>
      <c r="X140" s="264">
        <f>IF('Zdroj data'!BA140=Body!$BB$28,$BB$22,IF('Zdroj data'!BA140=Body!$BE$28,$BE$22,IF(OR('Zdroj data'!BA140=Body!$BK$28,'Zdroj data'!BA140=Body!$BL$28,'Zdroj data'!BA140=Body!$BM$28),$BK$22,IF(OR('Zdroj data'!BA140=Body!$BT$28,'Zdroj data'!BA140=Body!$BV$28),$BT$22,IF(OR('Zdroj data'!BA140=Body!$BW$28,'Zdroj data'!BA140=Body!$BY$28),$BW$22,IF('Zdroj data'!BA140=Body!$BZ$28,$BZ$22," "))))))</f>
        <v>10</v>
      </c>
      <c r="Y140" s="264">
        <f>IF('Zdroj data'!AZ140=Body!$BZ$29,Body!$BZ$22,IF(OR('Zdroj data'!AZ140=$BT$29,'Zdroj data'!AZ140=$BU$29,'Zdroj data'!AZ140=$BV$29),$BT$22,IF(OR('Zdroj data'!AZ140=$BK$29,'Zdroj data'!AZ140=$BM$29),$BK$22,IF(OR('Zdroj data'!AZ140=$BE$29,'Zdroj data'!AZ140=$BG$29),$BE$22,IF(OR('Zdroj data'!AZ140=$AY$29,'Zdroj data'!AZ140=$BA$29),$AY$22," ")))))</f>
        <v>10</v>
      </c>
      <c r="Z140" s="264">
        <f>IF(AND('Zdroj data'!BF140="T",(OR('Zdroj data'!AZ140=Body!$AW$45,'Zdroj data'!AZ140=Body!$AW$46,'Zdroj data'!AZ140=Body!$AW$47,'Zdroj data'!AZ140=Body!$AW$48))),Body!$AY$22,IF(AND('Zdroj data'!BF140="T",(OR('Zdroj data'!AZ140=$AW$49,'Zdroj data'!AZ140=$AW$50,'Zdroj data'!AZ140=$AW$51,'Zdroj data'!AZ140=$AW$52))),$BZ$22,IF(AND(OR('Zdroj data'!BF140="VT",'Zdroj data'!BF140="T",'Zdroj data'!BF140="CH"),(OR('Zdroj data'!AZ140=$AW$43,'Zdroj data'!AZ140=$AW$44,))),$BZ$22,IF(AND('Zdroj data'!BF140="CH",(OR('Zdroj data'!AZ140=$AW$49,'Zdroj data'!AZ140=$AW$50,'Zdroj data'!AZ140=$AW$51,'Zdroj data'!AZ140=$AW$52))),$AY$22,IF(AND('Zdroj data'!BF140="CH",(OR('Zdroj data'!AZ140=$AW$45,'Zdroj data'!AZ140=$AW$46,'Zdroj data'!AZ140=$AW$47,'Zdroj data'!AZ140=$AW$48))),$BZ$22," ")))))</f>
        <v>10</v>
      </c>
      <c r="AA140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</v>
      </c>
      <c r="AB140" s="264">
        <f>IF(Tabulka1[[#This Row],[kv.ek.]]=Body!$BK$35,Body!$BK$34,IF(Tabulka1[[#This Row],[kv.ek.]]=Body!$BZ$35,Body!$BZ$34," "))</f>
        <v>5</v>
      </c>
      <c r="AC140" s="264" t="str">
        <f>IF(AND('Zdroj data'!BF140="T",(OR('Zdroj data'!AZ140=Body!$AW$45,'Zdroj data'!AZ140=Body!$AW$46,'Zdroj data'!AZ140=Body!$AW$47,'Zdroj data'!AZ140=Body!$AW$48))),Body!$AY$22,IF(AND('Zdroj data'!BF140="T",(OR('Zdroj data'!AZ140=$AW$49,'Zdroj data'!AZ140=$AW$50,'Zdroj data'!AZ140=$AW$51,'Zdroj data'!AZ140=$AW$52))),$BZ$22," "))</f>
        <v xml:space="preserve"> </v>
      </c>
      <c r="AD140" s="264">
        <f>IF(AND(OR('Zdroj data'!BF140="VT",'Zdroj data'!BF140="T",'Zdroj data'!BF140="CH"),(OR('Zdroj data'!AZ140=$AW$43,'Zdroj data'!AZ140=$AW$44,))),$BZ$22," ")</f>
        <v>10</v>
      </c>
      <c r="AE140" s="264" t="str">
        <f>IF(AND('Zdroj data'!BF140="CH",(OR('Zdroj data'!AZ140=$AW$49,'Zdroj data'!AZ140=$AW$50,'Zdroj data'!AZ140=$AW$51,'Zdroj data'!AZ140=$AW$52))),$AY$22,IF(AND('Zdroj data'!BF140="CH",(OR('Zdroj data'!AZ140=$AW$45,'Zdroj data'!AZ140=$AW$46,'Zdroj data'!AZ140=$AW$47,'Zdroj data'!AZ140=$AW$48))),$BZ$22," "))</f>
        <v xml:space="preserve"> </v>
      </c>
      <c r="AF140" s="264">
        <f>IF(AND('Zdroj data'!BG140="L",'Zdroj data'!AM140=Body!$AX$15),IF(AND('Zdroj data'!O140&gt;=Body!$AY$15,'Zdroj data'!O140&lt;=Body!$BA$15),Body!AY$6,IF(AND('Zdroj data'!O140&gt;=Body!$BB$15,'Zdroj data'!O140&lt;=Body!$BD$15),Body!BB$6,IF(AND('Zdroj data'!O140&gt;=Body!$BE$15,'Zdroj data'!O140&lt;=Body!$BG$15),Body!BE$6,IF(AND('Zdroj data'!O140&gt;=Body!$BH$15,'Zdroj data'!O140&lt;=Body!$BJ$15),Body!BH$6,IF(AND('Zdroj data'!O140&gt;=Body!$BK$15,'Zdroj data'!O140&lt;=Body!$BM$15),Body!BK$6,IF(AND('Zdroj data'!O140&gt;=Body!$BN$15,'Zdroj data'!O140&lt;=Body!$BP$15),Body!$BN$6,IF(AND('Zdroj data'!O140&gt;=Body!$BQ$15,'Zdroj data'!O140&lt;=Body!$BS$15),Body!$BQ$6,IF(AND('Zdroj data'!O140&gt;=Body!$BT$15,'Zdroj data'!O140&lt;=Body!$BV$15),Body!BT$6,IF(AND('Zdroj data'!O140&gt;=Body!$BW$15,'Zdroj data'!O140&lt;=Body!$BY$15),Body!$BW$6,IF('Zdroj data'!O140&gt;=Body!$CB$15,Body!$BZ$6," ")))))))))),IF(AND('Zdroj data'!BG140="ST",'Zdroj data'!AM140=Body!$AX$16),IF(AND('Zdroj data'!O140&gt;=Body!$AY$16,'Zdroj data'!O140&lt;=Body!$BA$16),Body!$AY$6,IF(AND('Zdroj data'!O140&gt;=Body!$BB$16,'Zdroj data'!O140&lt;=Body!$BD$16),Body!$BB$6,IF(AND('Zdroj data'!O140&gt;=Body!$BE$16,'Zdroj data'!O140&lt;=Body!$BG$16),Body!$BE$6,IF(AND('Zdroj data'!O140&gt;=Body!$BH$16,'Zdroj data'!O140&lt;=Body!$BJ$16),Body!$BH$6,IF(AND('Zdroj data'!O140&gt;=Body!$BK$16,'Zdroj data'!O140&lt;=Body!$BM$16),Body!$BK$6,IF(AND('Zdroj data'!O140&gt;=Body!$BN$16,'Zdroj data'!O140&lt;=Body!$BP$16),Body!$BN$6,IF(AND('Zdroj data'!O140&gt;=Body!$BQ$16,'Zdroj data'!O140&lt;=Body!$BS$16),Body!$BQ$6,IF(AND('Zdroj data'!O140&gt;=Body!$BT$16,'Zdroj data'!O140&lt;=Body!$BV$16),Body!$BT$6,IF(AND('Zdroj data'!O140&gt;=Body!$BW$16,'Zdroj data'!O140&lt;=Body!$BY$16),Body!$BW$6,IF('Zdroj data'!O140&gt;=Body!$CB$16,Body!$BZ$6," ")))))))))),IF(AND('Zdroj data'!BG140="T",'Zdroj data'!AM140=Body!$AX$17),IF(AND('Zdroj data'!O140&gt;=Body!$AY$17,'Zdroj data'!O140&lt;=Body!$BA$17),Body!$AY$6,IF(AND('Zdroj data'!O140&gt;=Body!$BB$17,'Zdroj data'!O140&lt;=Body!$BD$17),Body!$BB$6,IF(AND('Zdroj data'!O140&gt;=Body!$BE$17,'Zdroj data'!O140&lt;=Body!$BG$17),Body!$BE$6,IF(AND('Zdroj data'!O140&gt;=Body!$BH$17,'Zdroj data'!O140&lt;=Body!BJ154),Body!$BH$6,IF(AND('Zdroj data'!O140&gt;=Body!$BK$17,'Zdroj data'!O140&lt;=Body!$BM$17),Body!$BK$6,IF(AND('Zdroj data'!O140&gt;=Body!$BN$17,'Zdroj data'!O140&lt;=Body!$BP$17),Body!$BN$6,IF(AND('Zdroj data'!O140&gt;=Body!$BQ$17,'Zdroj data'!O140&lt;=Body!$BS$17),Body!$BQ$6,IF(AND('Zdroj data'!O140&gt;=Body!$BT$17,'Zdroj data'!O140&lt;=Body!$BV$17),Body!$BT$6,IF(AND('Zdroj data'!O140&gt;=Body!$BW$17,'Zdroj data'!O140&lt;=Body!$BY$17),Body!$BW$6,IF('Zdroj data'!O140&gt;=Body!$CB$17,Body!$BZ$6," "))))))))))," ")))</f>
        <v>2</v>
      </c>
      <c r="AG140" s="264">
        <f>IF(AND('Zdroj data'!$BG140="L",'Zdroj data'!$AM140=Body!$AX$15),IF(AND(Tabulka1[[#This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data'!$BG140="ST",'Zdroj data'!$AM140=Body!$AX$16),IF(AND(Tabulka1[[#This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data'!$BG140="T",'Zdroj data'!$AM140=Body!$AX$17),IF(AND(Tabulka1[[#This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Row],[K2O_60]]&lt;=Body!BJ154),Body!$BH$6,IF(AND(Tabulka1[[#This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40" s="264" t="str">
        <f>IF(AND('Zdroj data'!BG140="L",'Zdroj data'!AM140=Body!$AX$18),IF(AND('Zdroj data'!O140&gt;=Body!$AY$18,'Zdroj data'!O140&lt;=Body!$BA$18),Body!AY$6,IF(AND('Zdroj data'!O140&gt;=Body!$BB$18,'Zdroj data'!O140&lt;=Body!$BD$18),Body!BB$6,IF(AND('Zdroj data'!O140&gt;=Body!$BE$18,'Zdroj data'!O140&lt;=Body!$BG$18),Body!BE$6,IF(AND('Zdroj data'!O140&gt;=Body!$BH$18,'Zdroj data'!O140&lt;=Body!$BJ$18),Body!BH$6,IF(AND('Zdroj data'!O140&gt;=Body!$BK$18,'Zdroj data'!O140&lt;=Body!$BM$18),Body!$BK$6,IF(AND('Zdroj data'!O140&gt;=Body!$BN$18,'Zdroj data'!O140&lt;=Body!$BP$18),Body!BN$6,IF(AND('Zdroj data'!O140&gt;=Body!$BQ$18,'Zdroj data'!O140&lt;=Body!$BS$18),Body!$BQ$6,IF(AND('Zdroj data'!O140&gt;=Body!$BT$18,'Zdroj data'!O140&lt;=Body!$BV$18),Body!$BT$6,IF(AND('Zdroj data'!O140&gt;=Body!$BW$18,'Zdroj data'!O140&lt;=Body!$BY$18),Body!$BW$6,IF('Zdroj data'!O140&gt;=Body!$CB$18,Body!$BZ$6," ")))))))))),IF(AND('Zdroj data'!BG140="ST",'Zdroj data'!AM140=Body!$AX$19),IF(AND('Zdroj data'!O140&gt;=Body!$AY$19,'Zdroj data'!O140&lt;=Body!$BA$19),Body!$AY$6,IF(AND('Zdroj data'!O140&gt;=Body!$BB$19,'Zdroj data'!O140&lt;=Body!$BD$19),Body!$BB$6,IF(AND('Zdroj data'!O140&gt;=Body!$BE$19,'Zdroj data'!O140&lt;=Body!$BG$19),Body!$BE$6,IF(AND('Zdroj data'!O140&gt;=Body!$BH$19,'Zdroj data'!O140&lt;=Body!$BJ$19),Body!$BH$6,IF(AND('Zdroj data'!O140&gt;=Body!$BK$19,'Zdroj data'!O140&lt;=Body!$BM$19),Body!$BK$6,IF(AND('Zdroj data'!O140&gt;=Body!$BN$19,'Zdroj data'!O140&lt;=Body!$BP$19),Body!$BN$6,IF(AND('Zdroj data'!O140&gt;=Body!$BQ$19,'Zdroj data'!O140&lt;=Body!$BS$19),Body!$BQ$6,IF(AND('Zdroj data'!O140&gt;=Body!$BT$19,'Zdroj data'!O144&lt;=Body!$BV$19),Body!$BT$6,IF(AND('Zdroj data'!O140&gt;=Body!$BW$19,'Zdroj data'!O140&lt;=Body!$BY$19),Body!$BW$6,IF('Zdroj data'!O140&gt;=Body!$CB$19,Body!$BZ$6," ")))))))))),IF(AND('Zdroj data'!BG140="T",'Zdroj data'!AM140=Body!$AX$20),IF(AND('Zdroj data'!O140&gt;=Body!$AY$20,'Zdroj data'!O140&lt;=Body!$BA$20),Body!$AY$6,IF(AND('Zdroj data'!O140&gt;=Body!$BB$20,'Zdroj data'!O140&lt;=Body!$BD$20),Body!$BB$6,IF(AND('Zdroj data'!O140&gt;=Body!$BE$20,'Zdroj data'!O140&lt;=Body!$BG$20),Body!$BE$6,IF(AND('Zdroj data'!O140&gt;=Body!$BH$20,'Zdroj data'!O140&lt;=Body!$BJ$20),Body!$BH$6,IF(AND('Zdroj data'!O140&gt;=Body!$BK$20,'Zdroj data'!O140&lt;=Body!$BM$20),Body!$BK$6,IF(AND('Zdroj data'!O140&gt;=Body!$BN$20,'Zdroj data'!O140&lt;=Body!$BP$20),Body!$BN$6,IF(AND('Zdroj data'!O140&gt;=Body!$BQ$20,'Zdroj data'!O140&lt;=Body!$BS$20),Body!$BQ$6,IF(AND('Zdroj data'!O140&gt;=Body!$BT$20,'Zdroj data'!O140&lt;=Body!BV157),Body!$BT$6,IF(AND('Zdroj data'!O140&gt;=Body!$BW$20,'Zdroj data'!O140&lt;=Body!$BY$20),Body!$BW$6,IF('Zdroj data'!O140&gt;=Body!$CB$20,Body!$BZ$6," "))))))))))," ")))</f>
        <v xml:space="preserve"> </v>
      </c>
      <c r="AI140" s="264" t="str">
        <f>IF(AND('Zdroj data'!$BG140="L",'Zdroj data'!$AM140=Body!$AX$18),IF(AND(Tabulka1[[#This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data'!$BG140="ST",'Zdroj data'!$AM140=Body!$AX$19),IF(AND(Tabulka1[[#This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data'!$BG140="T",'Zdroj data'!$AM140=Body!$AX$20),IF(AND(Tabulka1[[#This Row],[K2O_60]]&gt;=Body!$AY$20,'Zdroj data'!O140&lt;=Body!$BA$20),Body!$AY$6,IF(AND(Tabulka1[[#This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Row],[K2O_60]]&lt;=Body!BV157),Body!$BT$6,IF(AND(Tabulka1[[#This Row],[K2O_60]]&gt;=Body!$BW$20,Tabulka1[[#This Row],[K2O_60]]&lt;=Body!$BY$20),Body!$BW$6,IF(Tabulka1[[#This Row],[K2O_60]]&gt;=Body!$CB$20,Body!$BZ$6," "))))))))))," ")))</f>
        <v xml:space="preserve"> </v>
      </c>
      <c r="AJ140" s="265">
        <f t="shared" si="26"/>
        <v>2.6666666666666687</v>
      </c>
      <c r="AK140" s="264">
        <f t="shared" si="27"/>
        <v>30.025082260112146</v>
      </c>
      <c r="AL140" s="264">
        <f t="shared" si="28"/>
        <v>29.744175687634584</v>
      </c>
      <c r="AM140" s="264">
        <f t="shared" si="29"/>
        <v>80.319856929421761</v>
      </c>
      <c r="AN140" s="264">
        <f t="shared" si="30"/>
        <v>73.317046557941794</v>
      </c>
      <c r="AO140" s="265">
        <f t="shared" si="33"/>
        <v>110.3449391895339</v>
      </c>
      <c r="AP140" s="265">
        <f t="shared" si="31"/>
        <v>103.06122224557637</v>
      </c>
      <c r="AQ140" s="318"/>
      <c r="AR140" s="338">
        <f t="shared" si="32"/>
        <v>216.07282810177693</v>
      </c>
      <c r="AS140" s="318"/>
      <c r="AT140" s="138"/>
      <c r="AU140" s="138"/>
    </row>
    <row r="141" spans="1:47" ht="15.5" x14ac:dyDescent="0.35">
      <c r="A141" s="270">
        <v>9110</v>
      </c>
      <c r="B141" s="156" t="s">
        <v>588</v>
      </c>
      <c r="C141" s="250" t="str">
        <f>VLOOKUP(B141,'Zdroj hloubka okresy'!$A$2:$D$171,2,FALSE)</f>
        <v>Mlada_Boleslav</v>
      </c>
      <c r="D141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8</v>
      </c>
      <c r="E141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9</v>
      </c>
      <c r="F141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6</v>
      </c>
      <c r="G141" s="264">
        <f>IF(AND(Tabulka1[[#This Row],[hum_60]]&gt;AY147,Tabulka1[[#This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6</v>
      </c>
      <c r="H141" s="264">
        <f>IF(Tabulka1[[#This Row],[kv.ek.]]=Body!$AX$13,IF(AND('Zdroj data'!M141&gt;=Body!$AY$13,'Zdroj data'!M141&lt;=Body!$BA$13),Body!$AY$6,IF(AND('Zdroj data'!M141&gt;=Body!$BB$13,'Zdroj data'!M141&lt;=Body!$BD$13),Body!$BB$6,IF(AND('Zdroj data'!M141&gt;=Body!$BE$13,'Zdroj data'!M141&lt;=Body!$BG$13),Body!$BE$6,IF(AND('Zdroj data'!M141&gt;=Body!$BH$13,'Zdroj data'!M141&lt;=Body!$BJ$13),Body!$BH$6,IF(AND('Zdroj data'!M141&gt;=Body!$BK$13,'Zdroj data'!M141&lt;=Body!$BM$13),Body!$BK$6,IF(AND('Zdroj data'!M141&gt;=Body!$BN$13,'Zdroj data'!M141&lt;=Body!$BP$13),Body!$BN$6,IF(AND('Zdroj data'!M141&gt;=Body!$BQ$13,'Zdroj data'!M141&lt;=Body!$BS$13),Body!$BQ$6,IF(AND('Zdroj data'!M141&gt;=Body!$BT$13,'Zdroj data'!M141&lt;=Body!$BV$13),Body!$BT$6,IF(AND('Zdroj data'!M141&gt;=Body!$BW$13,'Zdroj data'!M141&lt;=Body!$BY$13),Body!$BW$6,IF('Zdroj data'!M141&gt;=Body!$CB$13,Body!$BZ$6," ")))))))))),IF(Tabulka1[[#This Row],[kv.ek.]]=Body!$AX$14,IF(AND('Zdroj data'!N141&gt;=Body!$AY$14,'Zdroj data'!N141&lt;=Body!$BA$14),Body!$AY$6,IF(AND('Zdroj data'!N141&gt;=Body!$BB$14,'Zdroj data'!N141&lt;=Body!$BD$14),Body!$BB$6,IF(AND('Zdroj data'!N141&gt;=Body!$BE$14,'Zdroj data'!N141&lt;=Body!$BG$14),Body!$BE$6,IF(AND('Zdroj data'!N141&gt;=Body!$BH$14,'Zdroj data'!N141&lt;=Body!$BJ$14),Body!$BH$6,IF(AND('Zdroj data'!N141&gt;=Body!$BK$14,'Zdroj data'!N141&lt;=Body!$BM$14),Body!$BK$6,IF(AND('Zdroj data'!N141&gt;=Body!$BN$14,'Zdroj data'!N141&lt;=Body!$BP$14),Body!$BN$6,IF(AND('Zdroj data'!N141&gt;=Body!$BQ$14,'Zdroj data'!N141&lt;=Body!$BS$14),Body!$BQ$6,IF(AND('Zdroj data'!N141&gt;=Body!$BT$14,'Zdroj data'!N141&lt;=Body!$BV$14),Body!$BT$6,IF(AND('Zdroj data'!N141&gt;=Body!$BW$14,'Zdroj data'!N141&lt;=Body!$BY$14),Body!$BW$6,IF('Zdroj data'!N141&gt;=Body!$CB$14,Body!$BZ$6," "))))))))))," "))</f>
        <v>10</v>
      </c>
      <c r="I141" s="264">
        <f>IF(Tabulka1[[#This Row],[kv.ek.]]=Body!$AX$13,IF(AND('Zdroj data'!N141&gt;=Body!$AY$13,'Zdroj data'!N141&lt;=Body!$BA$13),Body!$AY$6,IF(AND('Zdroj data'!N141&gt;=Body!$BB$13,'Zdroj data'!N141&lt;=Body!$BD$13),Body!$BB$6,IF(AND('Zdroj data'!N141&gt;=Body!$BE$13,'Zdroj data'!N141&lt;=Body!$BG$13),Body!$BE$6,IF(AND('Zdroj data'!N141&gt;=Body!$BH$13,'Zdroj data'!N141&lt;=Body!$BJ$13),Body!$BH$6,IF(AND('Zdroj data'!N141&gt;=Body!$BK$13,'Zdroj data'!N141&lt;=Body!$BM$13),Body!$BK$6,IF(AND('Zdroj data'!N141&gt;=Body!$BN$13,'Zdroj data'!N141&lt;=Body!$BP$13),Body!$BN$6,IF(AND('Zdroj data'!N141&gt;=Body!$BQ$13,'Zdroj data'!N141&lt;=Body!$BS$13),Body!$BQ$6,IF(AND('Zdroj data'!N141&gt;=Body!$BT$13,'Zdroj data'!N141&lt;=Body!$BV$13),Body!$BT$6,IF(AND('Zdroj data'!N141&gt;=Body!$BW$13,'Zdroj data'!N141&lt;=Body!$BY$13),Body!$BW$6,IF('Zdroj data'!N141&gt;=Body!$CB$13,Body!$BZ$6," ")))))))))),IF(Tabulka1[[#This Row],[kv.ek.]]=Body!$AX$14,IF(AND('Zdroj data'!O141&gt;=Body!$AY$14,'Zdroj data'!O141&lt;=Body!$BA$14),Body!$AY$6,IF(AND('Zdroj data'!O141&gt;=Body!$BB$14,'Zdroj data'!O141&lt;=Body!$BD$14),Body!$BB$6,IF(AND('Zdroj data'!O141&gt;=Body!$BE$14,'Zdroj data'!O141&lt;=Body!$BG$14),Body!$BE$6,IF(AND('Zdroj data'!O141&gt;=Body!$BH$14,'Zdroj data'!O141&lt;=Body!$BJ$14),Body!$BH$6,IF(AND('Zdroj data'!O141&gt;=Body!$BK$14,'Zdroj data'!O141&lt;=Body!$BM$14),Body!$BK$6,IF(AND('Zdroj data'!O141&gt;=Body!$BN$14,'Zdroj data'!O141&lt;=Body!$BP$14),Body!$BN$6,IF(AND('Zdroj data'!O141&gt;=Body!$BQ$14,'Zdroj data'!O141&lt;=Body!$BS$14),Body!$BQ$6,IF(AND('Zdroj data'!O141&gt;=Body!$BT$14,'Zdroj data'!O141&lt;=Body!$BV$14),Body!$BT$6,IF(AND('Zdroj data'!O141&gt;=Body!$BW$14,'Zdroj data'!O141&lt;=Body!$BY$14),Body!$BW$6,IF('Zdroj data'!O141&gt;=Body!$CB$14,Body!$BZ$6," "))))))))))," "))</f>
        <v>10</v>
      </c>
      <c r="J141" s="264">
        <f>IF(AF141=" ",AH141,AF141)</f>
        <v>1</v>
      </c>
      <c r="K141" s="264">
        <f t="shared" si="25"/>
        <v>2</v>
      </c>
      <c r="L141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8</v>
      </c>
      <c r="M141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8</v>
      </c>
      <c r="N141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141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141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41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141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141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141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141" s="264">
        <f>IF('Zdroj data'!BB141=Body!$AY$25,Body!$AY$22,IF('Zdroj data'!BB141=Body!$BB$25,Body!$BB$22,IF('Zdroj data'!BB141=Body!$BE$25,Body!$BE$22,IF('Zdroj data'!BB141=Body!$BH$25,Body!$BH$22,IF('Zdroj data'!BB141=Body!BK$25,Body!$BK$22,IF('Zdroj data'!BB141=Body!$BN$25,Body!$BN$22,IF('Zdroj data'!BB141=Body!$BQ$25,Body!$BQ$22,IF('Zdroj data'!BB141=Body!$BT$25,Body!$BT$22,IF('Zdroj data'!BB141=Body!$BW$25,Body!$BW$22,IF('Zdroj data'!BB141=Body!$BZ$25,Body!$BZ$22," "))))))))))</f>
        <v>7</v>
      </c>
      <c r="V141" s="264">
        <f>IF(AND('Zdroj data'!BO141&gt;Body!$AY$27,'Zdroj data'!BO141&lt;=Body!$BA$27),Body!$AY$22,IF(AND('Zdroj data'!BO141&gt;=Body!$BB$27,'Zdroj data'!BO141&lt;=Body!$BD$27),Body!$BB$22,IF(AND('Zdroj data'!BO141&gt;=Body!$BE$27,'Zdroj data'!BO141&lt;=Body!$BG$27),Body!$BE$22,IF(AND('Zdroj data'!BO141&gt;=Body!$BH$27,'Zdroj data'!BO141&lt;=Body!$BJ$27),Body!$BH$22,IF(AND('Zdroj data'!BO141&gt;=Body!$BK$27,'Zdroj data'!BO141&lt;=Body!$BM$27),Body!$BK$22,IF(AND('Zdroj data'!BO141&gt;=Body!$BN$27,'Zdroj data'!BO141&lt;=Body!$BP$27),Body!$BN$22,IF(AND('Zdroj data'!BO141&gt;=Body!$BQ$27,'Zdroj data'!BO141&lt;=Body!$BS$27),Body!$BQ$22,IF(AND('Zdroj data'!BO141&gt;=Body!$BT$27,'Zdroj data'!BO141&lt;=Body!$BV$27),Body!$BT$22,IF(AND('Zdroj data'!BO141&gt;=Body!$BW$27,'Zdroj data'!BO141&lt;=Body!$BY$27),Body!$BW$22,IF('Zdroj data'!BO141&gt;=Body!$CB$27,$BZ$22," "))))))))))</f>
        <v>7</v>
      </c>
      <c r="W141" s="264">
        <f>IF(AND('Zdroj data'!BP141&gt;Body!$AY$27,'Zdroj data'!BP141&lt;=Body!$BA$27),Body!$AY$22,IF(AND('Zdroj data'!BP141&gt;=Body!$BB$27,'Zdroj data'!BP141&lt;=Body!$BD$27),Body!$BB$22,IF(AND('Zdroj data'!BP141&gt;=Body!$BE$27,'Zdroj data'!BP141&lt;=Body!$BG$27),Body!$BE$22,IF(AND('Zdroj data'!BP141&gt;=Body!$BH$27,'Zdroj data'!BP141&lt;=Body!$BJ$27),Body!$BH$22,IF(AND('Zdroj data'!BP141&gt;=Body!$BK$27,'Zdroj data'!BP141&lt;=Body!$BM$27),Body!$BK$22,IF(AND('Zdroj data'!BP141&gt;=Body!$BN$27,'Zdroj data'!BP141&lt;=Body!$BP$27),Body!$BN$22,IF(AND('Zdroj data'!BP141&gt;=Body!$BQ$27,'Zdroj data'!BP141&lt;=Body!$BS$27),Body!$BQ$22,IF(AND('Zdroj data'!BP141&gt;=Body!$BT$27,'Zdroj data'!BP141&lt;=Body!$BV$27),Body!$BT$22,IF(AND('Zdroj data'!BP141&gt;=Body!$BW$27,'Zdroj data'!BP141&lt;=Body!$BY$27),Body!$BW$22,IF('Zdroj data'!BP141&gt;=Body!$CB$27,$BZ$22," "))))))))))</f>
        <v>8</v>
      </c>
      <c r="X141" s="264">
        <f>IF('Zdroj data'!BA141=Body!$BB$28,$BB$22,IF('Zdroj data'!BA141=Body!$BE$28,$BE$22,IF(OR('Zdroj data'!BA141=Body!$BK$28,'Zdroj data'!BA141=Body!$BL$28,'Zdroj data'!BA141=Body!$BM$28),$BK$22,IF(OR('Zdroj data'!BA141=Body!$BT$28,'Zdroj data'!BA141=Body!$BV$28),$BT$22,IF(OR('Zdroj data'!BA141=Body!$BW$28,'Zdroj data'!BA141=Body!$BY$28),$BW$22,IF('Zdroj data'!BA141=Body!$BZ$28,$BZ$22," "))))))</f>
        <v>10</v>
      </c>
      <c r="Y141" s="264">
        <f>IF('Zdroj data'!AZ141=Body!$BZ$29,Body!$BZ$22,IF(OR('Zdroj data'!AZ141=$BT$29,'Zdroj data'!AZ141=$BU$29,'Zdroj data'!AZ141=$BV$29),$BT$22,IF(OR('Zdroj data'!AZ141=$BK$29,'Zdroj data'!AZ141=$BM$29),$BK$22,IF(OR('Zdroj data'!AZ141=$BE$29,'Zdroj data'!AZ141=$BG$29),$BE$22,IF(OR('Zdroj data'!AZ141=$AY$29,'Zdroj data'!AZ141=$BA$29),$AY$22," ")))))</f>
        <v>10</v>
      </c>
      <c r="Z141" s="264">
        <f>IF(AND('Zdroj data'!BF141="T",(OR('Zdroj data'!AZ141=Body!$AW$45,'Zdroj data'!AZ141=Body!$AW$46,'Zdroj data'!AZ141=Body!$AW$47,'Zdroj data'!AZ141=Body!$AW$48))),Body!$AY$22,IF(AND('Zdroj data'!BF141="T",(OR('Zdroj data'!AZ141=$AW$49,'Zdroj data'!AZ141=$AW$50,'Zdroj data'!AZ141=$AW$51,'Zdroj data'!AZ141=$AW$52))),$BZ$22,IF(AND(OR('Zdroj data'!BF141="VT",'Zdroj data'!BF141="T",'Zdroj data'!BF141="CH"),(OR('Zdroj data'!AZ141=$AW$43,'Zdroj data'!AZ141=$AW$44,))),$BZ$22,IF(AND('Zdroj data'!BF141="CH",(OR('Zdroj data'!AZ141=$AW$49,'Zdroj data'!AZ141=$AW$50,'Zdroj data'!AZ141=$AW$51,'Zdroj data'!AZ141=$AW$52))),$AY$22,IF(AND('Zdroj data'!BF141="CH",(OR('Zdroj data'!AZ141=$AW$45,'Zdroj data'!AZ141=$AW$46,'Zdroj data'!AZ141=$AW$47,'Zdroj data'!AZ141=$AW$48))),$BZ$22," ")))))</f>
        <v>10</v>
      </c>
      <c r="AA141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41" s="264">
        <f>IF(Tabulka1[[#This Row],[kv.ek.]]=Body!$BK$35,Body!$BK$34,IF(Tabulka1[[#This Row],[kv.ek.]]=Body!$BZ$35,Body!$BZ$34," "))</f>
        <v>5</v>
      </c>
      <c r="AC141" s="264" t="str">
        <f>IF(AND('Zdroj data'!BF141="T",(OR('Zdroj data'!AZ141=Body!$AW$45,'Zdroj data'!AZ141=Body!$AW$46,'Zdroj data'!AZ141=Body!$AW$47,'Zdroj data'!AZ141=Body!$AW$48))),Body!$AY$22,IF(AND('Zdroj data'!BF141="T",(OR('Zdroj data'!AZ141=$AW$49,'Zdroj data'!AZ141=$AW$50,'Zdroj data'!AZ141=$AW$51,'Zdroj data'!AZ141=$AW$52))),$BZ$22," "))</f>
        <v xml:space="preserve"> </v>
      </c>
      <c r="AD141" s="264">
        <f>IF(AND(OR('Zdroj data'!BF141="VT",'Zdroj data'!BF141="T",'Zdroj data'!BF141="CH"),(OR('Zdroj data'!AZ141=$AW$43,'Zdroj data'!AZ141=$AW$44,))),$BZ$22," ")</f>
        <v>10</v>
      </c>
      <c r="AE141" s="264" t="str">
        <f>IF(AND('Zdroj data'!BF141="CH",(OR('Zdroj data'!AZ141=$AW$49,'Zdroj data'!AZ141=$AW$50,'Zdroj data'!AZ141=$AW$51,'Zdroj data'!AZ141=$AW$52))),$AY$22,IF(AND('Zdroj data'!BF141="CH",(OR('Zdroj data'!AZ141=$AW$45,'Zdroj data'!AZ141=$AW$46,'Zdroj data'!AZ141=$AW$47,'Zdroj data'!AZ141=$AW$48))),$BZ$22," "))</f>
        <v xml:space="preserve"> </v>
      </c>
      <c r="AF141" s="264">
        <f>IF(AND('Zdroj data'!BG141="L",'Zdroj data'!AM141=Body!$AX$15),IF(AND('Zdroj data'!O141&gt;=Body!$AY$15,'Zdroj data'!O141&lt;=Body!$BA$15),Body!AY$6,IF(AND('Zdroj data'!O141&gt;=Body!$BB$15,'Zdroj data'!O141&lt;=Body!$BD$15),Body!BB$6,IF(AND('Zdroj data'!O141&gt;=Body!$BE$15,'Zdroj data'!O141&lt;=Body!$BG$15),Body!BE$6,IF(AND('Zdroj data'!O141&gt;=Body!$BH$15,'Zdroj data'!O141&lt;=Body!$BJ$15),Body!BH$6,IF(AND('Zdroj data'!O141&gt;=Body!$BK$15,'Zdroj data'!O141&lt;=Body!$BM$15),Body!BK$6,IF(AND('Zdroj data'!O141&gt;=Body!$BN$15,'Zdroj data'!O141&lt;=Body!$BP$15),Body!$BN$6,IF(AND('Zdroj data'!O141&gt;=Body!$BQ$15,'Zdroj data'!O141&lt;=Body!$BS$15),Body!$BQ$6,IF(AND('Zdroj data'!O141&gt;=Body!$BT$15,'Zdroj data'!O141&lt;=Body!$BV$15),Body!BT$6,IF(AND('Zdroj data'!O141&gt;=Body!$BW$15,'Zdroj data'!O141&lt;=Body!$BY$15),Body!$BW$6,IF('Zdroj data'!O141&gt;=Body!$CB$15,Body!$BZ$6," ")))))))))),IF(AND('Zdroj data'!BG141="ST",'Zdroj data'!AM141=Body!$AX$16),IF(AND('Zdroj data'!O141&gt;=Body!$AY$16,'Zdroj data'!O141&lt;=Body!$BA$16),Body!$AY$6,IF(AND('Zdroj data'!O141&gt;=Body!$BB$16,'Zdroj data'!O141&lt;=Body!$BD$16),Body!$BB$6,IF(AND('Zdroj data'!O141&gt;=Body!$BE$16,'Zdroj data'!O141&lt;=Body!$BG$16),Body!$BE$6,IF(AND('Zdroj data'!O141&gt;=Body!$BH$16,'Zdroj data'!O141&lt;=Body!$BJ$16),Body!$BH$6,IF(AND('Zdroj data'!O141&gt;=Body!$BK$16,'Zdroj data'!O141&lt;=Body!$BM$16),Body!$BK$6,IF(AND('Zdroj data'!O141&gt;=Body!$BN$16,'Zdroj data'!O141&lt;=Body!$BP$16),Body!$BN$6,IF(AND('Zdroj data'!O141&gt;=Body!$BQ$16,'Zdroj data'!O141&lt;=Body!$BS$16),Body!$BQ$6,IF(AND('Zdroj data'!O141&gt;=Body!$BT$16,'Zdroj data'!O141&lt;=Body!$BV$16),Body!$BT$6,IF(AND('Zdroj data'!O141&gt;=Body!$BW$16,'Zdroj data'!O141&lt;=Body!$BY$16),Body!$BW$6,IF('Zdroj data'!O141&gt;=Body!$CB$16,Body!$BZ$6," ")))))))))),IF(AND('Zdroj data'!BG141="T",'Zdroj data'!AM141=Body!$AX$17),IF(AND('Zdroj data'!O141&gt;=Body!$AY$17,'Zdroj data'!O141&lt;=Body!$BA$17),Body!$AY$6,IF(AND('Zdroj data'!O141&gt;=Body!$BB$17,'Zdroj data'!O141&lt;=Body!$BD$17),Body!$BB$6,IF(AND('Zdroj data'!O141&gt;=Body!$BE$17,'Zdroj data'!O141&lt;=Body!$BG$17),Body!$BE$6,IF(AND('Zdroj data'!O141&gt;=Body!$BH$17,'Zdroj data'!O141&lt;=Body!BJ155),Body!$BH$6,IF(AND('Zdroj data'!O141&gt;=Body!$BK$17,'Zdroj data'!O141&lt;=Body!$BM$17),Body!$BK$6,IF(AND('Zdroj data'!O141&gt;=Body!$BN$17,'Zdroj data'!O141&lt;=Body!$BP$17),Body!$BN$6,IF(AND('Zdroj data'!O141&gt;=Body!$BQ$17,'Zdroj data'!O141&lt;=Body!$BS$17),Body!$BQ$6,IF(AND('Zdroj data'!O141&gt;=Body!$BT$17,'Zdroj data'!O141&lt;=Body!$BV$17),Body!$BT$6,IF(AND('Zdroj data'!O141&gt;=Body!$BW$17,'Zdroj data'!O141&lt;=Body!$BY$17),Body!$BW$6,IF('Zdroj data'!O141&gt;=Body!$CB$17,Body!$BZ$6," "))))))))))," ")))</f>
        <v>1</v>
      </c>
      <c r="AG141" s="264">
        <f>IF(AND('Zdroj data'!$BG141="L",'Zdroj data'!$AM141=Body!$AX$15),IF(AND(Tabulka1[[#This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data'!$BG141="ST",'Zdroj data'!$AM141=Body!$AX$16),IF(AND(Tabulka1[[#This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data'!$BG141="T",'Zdroj data'!$AM141=Body!$AX$17),IF(AND(Tabulka1[[#This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Row],[K2O_60]]&lt;=Body!BJ155),Body!$BH$6,IF(AND(Tabulka1[[#This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2</v>
      </c>
      <c r="AH141" s="264" t="str">
        <f>IF(AND('Zdroj data'!BG141="L",'Zdroj data'!AM141=Body!$AX$18),IF(AND('Zdroj data'!O141&gt;=Body!$AY$18,'Zdroj data'!O141&lt;=Body!$BA$18),Body!AY$6,IF(AND('Zdroj data'!O141&gt;=Body!$BB$18,'Zdroj data'!O141&lt;=Body!$BD$18),Body!BB$6,IF(AND('Zdroj data'!O141&gt;=Body!$BE$18,'Zdroj data'!O141&lt;=Body!$BG$18),Body!BE$6,IF(AND('Zdroj data'!O141&gt;=Body!$BH$18,'Zdroj data'!O141&lt;=Body!$BJ$18),Body!BH$6,IF(AND('Zdroj data'!O141&gt;=Body!$BK$18,'Zdroj data'!O141&lt;=Body!$BM$18),Body!$BK$6,IF(AND('Zdroj data'!O141&gt;=Body!$BN$18,'Zdroj data'!O141&lt;=Body!$BP$18),Body!BN$6,IF(AND('Zdroj data'!O141&gt;=Body!$BQ$18,'Zdroj data'!O141&lt;=Body!$BS$18),Body!$BQ$6,IF(AND('Zdroj data'!O141&gt;=Body!$BT$18,'Zdroj data'!O141&lt;=Body!$BV$18),Body!$BT$6,IF(AND('Zdroj data'!O141&gt;=Body!$BW$18,'Zdroj data'!O141&lt;=Body!$BY$18),Body!$BW$6,IF('Zdroj data'!O141&gt;=Body!$CB$18,Body!$BZ$6," ")))))))))),IF(AND('Zdroj data'!BG141="ST",'Zdroj data'!AM141=Body!$AX$19),IF(AND('Zdroj data'!O141&gt;=Body!$AY$19,'Zdroj data'!O141&lt;=Body!$BA$19),Body!$AY$6,IF(AND('Zdroj data'!O141&gt;=Body!$BB$19,'Zdroj data'!O141&lt;=Body!$BD$19),Body!$BB$6,IF(AND('Zdroj data'!O141&gt;=Body!$BE$19,'Zdroj data'!O141&lt;=Body!$BG$19),Body!$BE$6,IF(AND('Zdroj data'!O141&gt;=Body!$BH$19,'Zdroj data'!O141&lt;=Body!$BJ$19),Body!$BH$6,IF(AND('Zdroj data'!O141&gt;=Body!$BK$19,'Zdroj data'!O141&lt;=Body!$BM$19),Body!$BK$6,IF(AND('Zdroj data'!O141&gt;=Body!$BN$19,'Zdroj data'!O141&lt;=Body!$BP$19),Body!$BN$6,IF(AND('Zdroj data'!O141&gt;=Body!$BQ$19,'Zdroj data'!O141&lt;=Body!$BS$19),Body!$BQ$6,IF(AND('Zdroj data'!O141&gt;=Body!$BT$19,'Zdroj data'!O145&lt;=Body!$BV$19),Body!$BT$6,IF(AND('Zdroj data'!O141&gt;=Body!$BW$19,'Zdroj data'!O141&lt;=Body!$BY$19),Body!$BW$6,IF('Zdroj data'!O141&gt;=Body!$CB$19,Body!$BZ$6," ")))))))))),IF(AND('Zdroj data'!BG141="T",'Zdroj data'!AM141=Body!$AX$20),IF(AND('Zdroj data'!O141&gt;=Body!$AY$20,'Zdroj data'!O141&lt;=Body!$BA$20),Body!$AY$6,IF(AND('Zdroj data'!O141&gt;=Body!$BB$20,'Zdroj data'!O141&lt;=Body!$BD$20),Body!$BB$6,IF(AND('Zdroj data'!O141&gt;=Body!$BE$20,'Zdroj data'!O141&lt;=Body!$BG$20),Body!$BE$6,IF(AND('Zdroj data'!O141&gt;=Body!$BH$20,'Zdroj data'!O141&lt;=Body!$BJ$20),Body!$BH$6,IF(AND('Zdroj data'!O141&gt;=Body!$BK$20,'Zdroj data'!O141&lt;=Body!$BM$20),Body!$BK$6,IF(AND('Zdroj data'!O141&gt;=Body!$BN$20,'Zdroj data'!O141&lt;=Body!$BP$20),Body!$BN$6,IF(AND('Zdroj data'!O141&gt;=Body!$BQ$20,'Zdroj data'!O141&lt;=Body!$BS$20),Body!$BQ$6,IF(AND('Zdroj data'!O141&gt;=Body!$BT$20,'Zdroj data'!O141&lt;=Body!BV158),Body!$BT$6,IF(AND('Zdroj data'!O141&gt;=Body!$BW$20,'Zdroj data'!O141&lt;=Body!$BY$20),Body!$BW$6,IF('Zdroj data'!O141&gt;=Body!$CB$20,Body!$BZ$6," "))))))))))," ")))</f>
        <v xml:space="preserve"> </v>
      </c>
      <c r="AI141" s="264" t="str">
        <f>IF(AND('Zdroj data'!$BG141="L",'Zdroj data'!$AM141=Body!$AX$18),IF(AND(Tabulka1[[#This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data'!$BG141="ST",'Zdroj data'!$AM141=Body!$AX$19),IF(AND(Tabulka1[[#This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data'!$BG141="T",'Zdroj data'!$AM141=Body!$AX$20),IF(AND(Tabulka1[[#This Row],[K2O_60]]&gt;=Body!$AY$20,'Zdroj data'!O141&lt;=Body!$BA$20),Body!$AY$6,IF(AND(Tabulka1[[#This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Row],[K2O_60]]&lt;=Body!BV158),Body!$BT$6,IF(AND(Tabulka1[[#This Row],[K2O_60]]&gt;=Body!$BW$20,Tabulka1[[#This Row],[K2O_60]]&lt;=Body!$BY$20),Body!$BW$6,IF(Tabulka1[[#This Row],[K2O_60]]&gt;=Body!$CB$20,Body!$BZ$6," "))))))))))," ")))</f>
        <v xml:space="preserve"> </v>
      </c>
      <c r="AJ141" s="265">
        <f t="shared" si="26"/>
        <v>5.3333333333333375</v>
      </c>
      <c r="AK141" s="264">
        <f t="shared" si="27"/>
        <v>37.590267859275336</v>
      </c>
      <c r="AL141" s="264">
        <f t="shared" si="28"/>
        <v>39.326172299444394</v>
      </c>
      <c r="AM141" s="264">
        <f t="shared" si="29"/>
        <v>80.319856929421761</v>
      </c>
      <c r="AN141" s="264">
        <f t="shared" si="30"/>
        <v>77.950826179547761</v>
      </c>
      <c r="AO141" s="265">
        <f t="shared" si="33"/>
        <v>117.91012478869709</v>
      </c>
      <c r="AP141" s="265">
        <f t="shared" si="31"/>
        <v>117.27699847899216</v>
      </c>
      <c r="AQ141" s="318"/>
      <c r="AR141" s="338">
        <f t="shared" si="32"/>
        <v>240.52045660102257</v>
      </c>
      <c r="AS141" s="318"/>
      <c r="AT141" s="138"/>
      <c r="AU141" s="138"/>
    </row>
    <row r="142" spans="1:47" ht="15.5" x14ac:dyDescent="0.35">
      <c r="A142" s="270">
        <v>9113</v>
      </c>
      <c r="B142" s="156" t="s">
        <v>622</v>
      </c>
      <c r="C142" s="250" t="str">
        <f>VLOOKUP(B142,'Zdroj hloubka okresy'!$A$2:$D$171,2,FALSE)</f>
        <v>Mlada_Boleslav</v>
      </c>
      <c r="D142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142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3</v>
      </c>
      <c r="F142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42" s="264">
        <f>IF(AND(Tabulka1[[#This Row],[hum_60]]&gt;AY148,Tabulka1[[#This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42" s="264">
        <f>IF(Tabulka1[[#This Row],[kv.ek.]]=Body!$AX$13,IF(AND('Zdroj data'!M142&gt;=Body!$AY$13,'Zdroj data'!M142&lt;=Body!$BA$13),Body!$AY$6,IF(AND('Zdroj data'!M142&gt;=Body!$BB$13,'Zdroj data'!M142&lt;=Body!$BD$13),Body!$BB$6,IF(AND('Zdroj data'!M142&gt;=Body!$BE$13,'Zdroj data'!M142&lt;=Body!$BG$13),Body!$BE$6,IF(AND('Zdroj data'!M142&gt;=Body!$BH$13,'Zdroj data'!M142&lt;=Body!$BJ$13),Body!$BH$6,IF(AND('Zdroj data'!M142&gt;=Body!$BK$13,'Zdroj data'!M142&lt;=Body!$BM$13),Body!$BK$6,IF(AND('Zdroj data'!M142&gt;=Body!$BN$13,'Zdroj data'!M142&lt;=Body!$BP$13),Body!$BN$6,IF(AND('Zdroj data'!M142&gt;=Body!$BQ$13,'Zdroj data'!M142&lt;=Body!$BS$13),Body!$BQ$6,IF(AND('Zdroj data'!M142&gt;=Body!$BT$13,'Zdroj data'!M142&lt;=Body!$BV$13),Body!$BT$6,IF(AND('Zdroj data'!M142&gt;=Body!$BW$13,'Zdroj data'!M142&lt;=Body!$BY$13),Body!$BW$6,IF('Zdroj data'!M142&gt;=Body!$CB$13,Body!$BZ$6," ")))))))))),IF(Tabulka1[[#This Row],[kv.ek.]]=Body!$AX$14,IF(AND('Zdroj data'!N142&gt;=Body!$AY$14,'Zdroj data'!N142&lt;=Body!$BA$14),Body!$AY$6,IF(AND('Zdroj data'!N142&gt;=Body!$BB$14,'Zdroj data'!N142&lt;=Body!$BD$14),Body!$BB$6,IF(AND('Zdroj data'!N142&gt;=Body!$BE$14,'Zdroj data'!N142&lt;=Body!$BG$14),Body!$BE$6,IF(AND('Zdroj data'!N142&gt;=Body!$BH$14,'Zdroj data'!N142&lt;=Body!$BJ$14),Body!$BH$6,IF(AND('Zdroj data'!N142&gt;=Body!$BK$14,'Zdroj data'!N142&lt;=Body!$BM$14),Body!$BK$6,IF(AND('Zdroj data'!N142&gt;=Body!$BN$14,'Zdroj data'!N142&lt;=Body!$BP$14),Body!$BN$6,IF(AND('Zdroj data'!N142&gt;=Body!$BQ$14,'Zdroj data'!N142&lt;=Body!$BS$14),Body!$BQ$6,IF(AND('Zdroj data'!N142&gt;=Body!$BT$14,'Zdroj data'!N142&lt;=Body!$BV$14),Body!$BT$6,IF(AND('Zdroj data'!N142&gt;=Body!$BW$14,'Zdroj data'!N142&lt;=Body!$BY$14),Body!$BW$6,IF('Zdroj data'!N142&gt;=Body!$CB$14,Body!$BZ$6," "))))))))))," "))</f>
        <v>8</v>
      </c>
      <c r="I142" s="264">
        <f>IF(Tabulka1[[#This Row],[kv.ek.]]=Body!$AX$13,IF(AND('Zdroj data'!N142&gt;=Body!$AY$13,'Zdroj data'!N142&lt;=Body!$BA$13),Body!$AY$6,IF(AND('Zdroj data'!N142&gt;=Body!$BB$13,'Zdroj data'!N142&lt;=Body!$BD$13),Body!$BB$6,IF(AND('Zdroj data'!N142&gt;=Body!$BE$13,'Zdroj data'!N142&lt;=Body!$BG$13),Body!$BE$6,IF(AND('Zdroj data'!N142&gt;=Body!$BH$13,'Zdroj data'!N142&lt;=Body!$BJ$13),Body!$BH$6,IF(AND('Zdroj data'!N142&gt;=Body!$BK$13,'Zdroj data'!N142&lt;=Body!$BM$13),Body!$BK$6,IF(AND('Zdroj data'!N142&gt;=Body!$BN$13,'Zdroj data'!N142&lt;=Body!$BP$13),Body!$BN$6,IF(AND('Zdroj data'!N142&gt;=Body!$BQ$13,'Zdroj data'!N142&lt;=Body!$BS$13),Body!$BQ$6,IF(AND('Zdroj data'!N142&gt;=Body!$BT$13,'Zdroj data'!N142&lt;=Body!$BV$13),Body!$BT$6,IF(AND('Zdroj data'!N142&gt;=Body!$BW$13,'Zdroj data'!N142&lt;=Body!$BY$13),Body!$BW$6,IF('Zdroj data'!N142&gt;=Body!$CB$13,Body!$BZ$6," ")))))))))),IF(Tabulka1[[#This Row],[kv.ek.]]=Body!$AX$14,IF(AND('Zdroj data'!O142&gt;=Body!$AY$14,'Zdroj data'!O142&lt;=Body!$BA$14),Body!$AY$6,IF(AND('Zdroj data'!O142&gt;=Body!$BB$14,'Zdroj data'!O142&lt;=Body!$BD$14),Body!$BB$6,IF(AND('Zdroj data'!O142&gt;=Body!$BE$14,'Zdroj data'!O142&lt;=Body!$BG$14),Body!$BE$6,IF(AND('Zdroj data'!O142&gt;=Body!$BH$14,'Zdroj data'!O142&lt;=Body!$BJ$14),Body!$BH$6,IF(AND('Zdroj data'!O142&gt;=Body!$BK$14,'Zdroj data'!O142&lt;=Body!$BM$14),Body!$BK$6,IF(AND('Zdroj data'!O142&gt;=Body!$BN$14,'Zdroj data'!O142&lt;=Body!$BP$14),Body!$BN$6,IF(AND('Zdroj data'!O142&gt;=Body!$BQ$14,'Zdroj data'!O142&lt;=Body!$BS$14),Body!$BQ$6,IF(AND('Zdroj data'!O142&gt;=Body!$BT$14,'Zdroj data'!O142&lt;=Body!$BV$14),Body!$BT$6,IF(AND('Zdroj data'!O142&gt;=Body!$BW$14,'Zdroj data'!O142&lt;=Body!$BY$14),Body!$BW$6,IF('Zdroj data'!O142&gt;=Body!$CB$14,Body!$BZ$6," "))))))))))," "))</f>
        <v>8</v>
      </c>
      <c r="J142" s="264">
        <f t="shared" si="25"/>
        <v>1</v>
      </c>
      <c r="K142" s="264">
        <f t="shared" si="25"/>
        <v>1</v>
      </c>
      <c r="L142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142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142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142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142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42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142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142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142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142" s="264">
        <f>IF('Zdroj data'!BB142=Body!$AY$25,Body!$AY$22,IF('Zdroj data'!BB142=Body!$BB$25,Body!$BB$22,IF('Zdroj data'!BB142=Body!$BE$25,Body!$BE$22,IF('Zdroj data'!BB142=Body!$BH$25,Body!$BH$22,IF('Zdroj data'!BB142=Body!BK$25,Body!$BK$22,IF('Zdroj data'!BB142=Body!$BN$25,Body!$BN$22,IF('Zdroj data'!BB142=Body!$BQ$25,Body!$BQ$22,IF('Zdroj data'!BB142=Body!$BT$25,Body!$BT$22,IF('Zdroj data'!BB142=Body!$BW$25,Body!$BW$22,IF('Zdroj data'!BB142=Body!$BZ$25,Body!$BZ$22," "))))))))))</f>
        <v>7</v>
      </c>
      <c r="V142" s="264">
        <f>IF(AND('Zdroj data'!BO142&gt;Body!$AY$27,'Zdroj data'!BO142&lt;=Body!$BA$27),Body!$AY$22,IF(AND('Zdroj data'!BO142&gt;=Body!$BB$27,'Zdroj data'!BO142&lt;=Body!$BD$27),Body!$BB$22,IF(AND('Zdroj data'!BO142&gt;=Body!$BE$27,'Zdroj data'!BO142&lt;=Body!$BG$27),Body!$BE$22,IF(AND('Zdroj data'!BO142&gt;=Body!$BH$27,'Zdroj data'!BO142&lt;=Body!$BJ$27),Body!$BH$22,IF(AND('Zdroj data'!BO142&gt;=Body!$BK$27,'Zdroj data'!BO142&lt;=Body!$BM$27),Body!$BK$22,IF(AND('Zdroj data'!BO142&gt;=Body!$BN$27,'Zdroj data'!BO142&lt;=Body!$BP$27),Body!$BN$22,IF(AND('Zdroj data'!BO142&gt;=Body!$BQ$27,'Zdroj data'!BO142&lt;=Body!$BS$27),Body!$BQ$22,IF(AND('Zdroj data'!BO142&gt;=Body!$BT$27,'Zdroj data'!BO142&lt;=Body!$BV$27),Body!$BT$22,IF(AND('Zdroj data'!BO142&gt;=Body!$BW$27,'Zdroj data'!BO142&lt;=Body!$BY$27),Body!$BW$22,IF('Zdroj data'!BO142&gt;=Body!$CB$27,$BZ$22," "))))))))))</f>
        <v>7</v>
      </c>
      <c r="W142" s="264">
        <f>IF(AND('Zdroj data'!BP142&gt;Body!$AY$27,'Zdroj data'!BP142&lt;=Body!$BA$27),Body!$AY$22,IF(AND('Zdroj data'!BP142&gt;=Body!$BB$27,'Zdroj data'!BP142&lt;=Body!$BD$27),Body!$BB$22,IF(AND('Zdroj data'!BP142&gt;=Body!$BE$27,'Zdroj data'!BP142&lt;=Body!$BG$27),Body!$BE$22,IF(AND('Zdroj data'!BP142&gt;=Body!$BH$27,'Zdroj data'!BP142&lt;=Body!$BJ$27),Body!$BH$22,IF(AND('Zdroj data'!BP142&gt;=Body!$BK$27,'Zdroj data'!BP142&lt;=Body!$BM$27),Body!$BK$22,IF(AND('Zdroj data'!BP142&gt;=Body!$BN$27,'Zdroj data'!BP142&lt;=Body!$BP$27),Body!$BN$22,IF(AND('Zdroj data'!BP142&gt;=Body!$BQ$27,'Zdroj data'!BP142&lt;=Body!$BS$27),Body!$BQ$22,IF(AND('Zdroj data'!BP142&gt;=Body!$BT$27,'Zdroj data'!BP142&lt;=Body!$BV$27),Body!$BT$22,IF(AND('Zdroj data'!BP142&gt;=Body!$BW$27,'Zdroj data'!BP142&lt;=Body!$BY$27),Body!$BW$22,IF('Zdroj data'!BP142&gt;=Body!$CB$27,$BZ$22," "))))))))))</f>
        <v>5</v>
      </c>
      <c r="X142" s="264">
        <f>IF('Zdroj data'!BA142=Body!$BB$28,$BB$22,IF('Zdroj data'!BA142=Body!$BE$28,$BE$22,IF(OR('Zdroj data'!BA142=Body!$BK$28,'Zdroj data'!BA142=Body!$BL$28,'Zdroj data'!BA142=Body!$BM$28),$BK$22,IF(OR('Zdroj data'!BA142=Body!$BT$28,'Zdroj data'!BA142=Body!$BV$28),$BT$22,IF(OR('Zdroj data'!BA142=Body!$BW$28,'Zdroj data'!BA142=Body!$BY$28),$BW$22,IF('Zdroj data'!BA142=Body!$BZ$28,$BZ$22," "))))))</f>
        <v>10</v>
      </c>
      <c r="Y142" s="264">
        <f>IF('Zdroj data'!AZ142=Body!$BZ$29,Body!$BZ$22,IF(OR('Zdroj data'!AZ142=$BT$29,'Zdroj data'!AZ142=$BU$29,'Zdroj data'!AZ142=$BV$29),$BT$22,IF(OR('Zdroj data'!AZ142=$BK$29,'Zdroj data'!AZ142=$BM$29),$BK$22,IF(OR('Zdroj data'!AZ142=$BE$29,'Zdroj data'!AZ142=$BG$29),$BE$22,IF(OR('Zdroj data'!AZ142=$AY$29,'Zdroj data'!AZ142=$BA$29),$AY$22," ")))))</f>
        <v>8</v>
      </c>
      <c r="Z142" s="264">
        <f>IF(AND('Zdroj data'!BF142="T",(OR('Zdroj data'!AZ142=Body!$AW$45,'Zdroj data'!AZ142=Body!$AW$46,'Zdroj data'!AZ142=Body!$AW$47,'Zdroj data'!AZ142=Body!$AW$48))),Body!$AY$22,IF(AND('Zdroj data'!BF142="T",(OR('Zdroj data'!AZ142=$AW$49,'Zdroj data'!AZ142=$AW$50,'Zdroj data'!AZ142=$AW$51,'Zdroj data'!AZ142=$AW$52))),$BZ$22,IF(AND(OR('Zdroj data'!BF142="VT",'Zdroj data'!BF142="T",'Zdroj data'!BF142="CH"),(OR('Zdroj data'!AZ142=$AW$43,'Zdroj data'!AZ142=$AW$44,))),$BZ$22,IF(AND('Zdroj data'!BF142="CH",(OR('Zdroj data'!AZ142=$AW$49,'Zdroj data'!AZ142=$AW$50,'Zdroj data'!AZ142=$AW$51,'Zdroj data'!AZ142=$AW$52))),$AY$22,IF(AND('Zdroj data'!BF142="CH",(OR('Zdroj data'!AZ142=$AW$45,'Zdroj data'!AZ142=$AW$46,'Zdroj data'!AZ142=$AW$47,'Zdroj data'!AZ142=$AW$48))),$BZ$22," ")))))</f>
        <v>10</v>
      </c>
      <c r="AA142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42" s="264">
        <f>IF(Tabulka1[[#This Row],[kv.ek.]]=Body!$BK$35,Body!$BK$34,IF(Tabulka1[[#This Row],[kv.ek.]]=Body!$BZ$35,Body!$BZ$34," "))</f>
        <v>5</v>
      </c>
      <c r="AC142" s="264" t="str">
        <f>IF(AND('Zdroj data'!BF142="T",(OR('Zdroj data'!AZ142=Body!$AW$45,'Zdroj data'!AZ142=Body!$AW$46,'Zdroj data'!AZ142=Body!$AW$47,'Zdroj data'!AZ142=Body!$AW$48))),Body!$AY$22,IF(AND('Zdroj data'!BF142="T",(OR('Zdroj data'!AZ142=$AW$49,'Zdroj data'!AZ142=$AW$50,'Zdroj data'!AZ142=$AW$51,'Zdroj data'!AZ142=$AW$52))),$BZ$22," "))</f>
        <v xml:space="preserve"> </v>
      </c>
      <c r="AD142" s="264">
        <f>IF(AND(OR('Zdroj data'!BF142="VT",'Zdroj data'!BF142="T",'Zdroj data'!BF142="CH"),(OR('Zdroj data'!AZ142=$AW$43,'Zdroj data'!AZ142=$AW$44,))),$BZ$22," ")</f>
        <v>10</v>
      </c>
      <c r="AE142" s="264" t="str">
        <f>IF(AND('Zdroj data'!BF142="CH",(OR('Zdroj data'!AZ142=$AW$49,'Zdroj data'!AZ142=$AW$50,'Zdroj data'!AZ142=$AW$51,'Zdroj data'!AZ142=$AW$52))),$AY$22,IF(AND('Zdroj data'!BF142="CH",(OR('Zdroj data'!AZ142=$AW$45,'Zdroj data'!AZ142=$AW$46,'Zdroj data'!AZ142=$AW$47,'Zdroj data'!AZ142=$AW$48))),$BZ$22," "))</f>
        <v xml:space="preserve"> </v>
      </c>
      <c r="AF142" s="264">
        <f>IF(AND('Zdroj data'!BG142="L",'Zdroj data'!AM142=Body!$AX$15),IF(AND('Zdroj data'!O142&gt;=Body!$AY$15,'Zdroj data'!O142&lt;=Body!$BA$15),Body!AY$6,IF(AND('Zdroj data'!O142&gt;=Body!$BB$15,'Zdroj data'!O142&lt;=Body!$BD$15),Body!BB$6,IF(AND('Zdroj data'!O142&gt;=Body!$BE$15,'Zdroj data'!O142&lt;=Body!$BG$15),Body!BE$6,IF(AND('Zdroj data'!O142&gt;=Body!$BH$15,'Zdroj data'!O142&lt;=Body!$BJ$15),Body!BH$6,IF(AND('Zdroj data'!O142&gt;=Body!$BK$15,'Zdroj data'!O142&lt;=Body!$BM$15),Body!BK$6,IF(AND('Zdroj data'!O142&gt;=Body!$BN$15,'Zdroj data'!O142&lt;=Body!$BP$15),Body!$BN$6,IF(AND('Zdroj data'!O142&gt;=Body!$BQ$15,'Zdroj data'!O142&lt;=Body!$BS$15),Body!$BQ$6,IF(AND('Zdroj data'!O142&gt;=Body!$BT$15,'Zdroj data'!O142&lt;=Body!$BV$15),Body!BT$6,IF(AND('Zdroj data'!O142&gt;=Body!$BW$15,'Zdroj data'!O142&lt;=Body!$BY$15),Body!$BW$6,IF('Zdroj data'!O142&gt;=Body!$CB$15,Body!$BZ$6," ")))))))))),IF(AND('Zdroj data'!BG142="ST",'Zdroj data'!AM142=Body!$AX$16),IF(AND('Zdroj data'!O142&gt;=Body!$AY$16,'Zdroj data'!O142&lt;=Body!$BA$16),Body!$AY$6,IF(AND('Zdroj data'!O142&gt;=Body!$BB$16,'Zdroj data'!O142&lt;=Body!$BD$16),Body!$BB$6,IF(AND('Zdroj data'!O142&gt;=Body!$BE$16,'Zdroj data'!O142&lt;=Body!$BG$16),Body!$BE$6,IF(AND('Zdroj data'!O142&gt;=Body!$BH$16,'Zdroj data'!O142&lt;=Body!$BJ$16),Body!$BH$6,IF(AND('Zdroj data'!O142&gt;=Body!$BK$16,'Zdroj data'!O142&lt;=Body!$BM$16),Body!$BK$6,IF(AND('Zdroj data'!O142&gt;=Body!$BN$16,'Zdroj data'!O142&lt;=Body!$BP$16),Body!$BN$6,IF(AND('Zdroj data'!O142&gt;=Body!$BQ$16,'Zdroj data'!O142&lt;=Body!$BS$16),Body!$BQ$6,IF(AND('Zdroj data'!O142&gt;=Body!$BT$16,'Zdroj data'!O142&lt;=Body!$BV$16),Body!$BT$6,IF(AND('Zdroj data'!O142&gt;=Body!$BW$16,'Zdroj data'!O142&lt;=Body!$BY$16),Body!$BW$6,IF('Zdroj data'!O142&gt;=Body!$CB$16,Body!$BZ$6," ")))))))))),IF(AND('Zdroj data'!BG142="T",'Zdroj data'!AM142=Body!$AX$17),IF(AND('Zdroj data'!O142&gt;=Body!$AY$17,'Zdroj data'!O142&lt;=Body!$BA$17),Body!$AY$6,IF(AND('Zdroj data'!O142&gt;=Body!$BB$17,'Zdroj data'!O142&lt;=Body!$BD$17),Body!$BB$6,IF(AND('Zdroj data'!O142&gt;=Body!$BE$17,'Zdroj data'!O142&lt;=Body!$BG$17),Body!$BE$6,IF(AND('Zdroj data'!O142&gt;=Body!$BH$17,'Zdroj data'!O142&lt;=Body!BJ156),Body!$BH$6,IF(AND('Zdroj data'!O142&gt;=Body!$BK$17,'Zdroj data'!O142&lt;=Body!$BM$17),Body!$BK$6,IF(AND('Zdroj data'!O142&gt;=Body!$BN$17,'Zdroj data'!O142&lt;=Body!$BP$17),Body!$BN$6,IF(AND('Zdroj data'!O142&gt;=Body!$BQ$17,'Zdroj data'!O142&lt;=Body!$BS$17),Body!$BQ$6,IF(AND('Zdroj data'!O142&gt;=Body!$BT$17,'Zdroj data'!O142&lt;=Body!$BV$17),Body!$BT$6,IF(AND('Zdroj data'!O142&gt;=Body!$BW$17,'Zdroj data'!O142&lt;=Body!$BY$17),Body!$BW$6,IF('Zdroj data'!O142&gt;=Body!$CB$17,Body!$BZ$6," "))))))))))," ")))</f>
        <v>1</v>
      </c>
      <c r="AG142" s="264">
        <f>IF(AND('Zdroj data'!$BG142="L",'Zdroj data'!$AM142=Body!$AX$15),IF(AND(Tabulka1[[#This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data'!$BG142="ST",'Zdroj data'!$AM142=Body!$AX$16),IF(AND(Tabulka1[[#This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data'!$BG142="T",'Zdroj data'!$AM142=Body!$AX$17),IF(AND(Tabulka1[[#This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Row],[K2O_60]]&lt;=Body!BJ156),Body!$BH$6,IF(AND(Tabulka1[[#This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42" s="264" t="str">
        <f>IF(AND('Zdroj data'!BG142="L",'Zdroj data'!AM142=Body!$AX$18),IF(AND('Zdroj data'!O142&gt;=Body!$AY$18,'Zdroj data'!O142&lt;=Body!$BA$18),Body!AY$6,IF(AND('Zdroj data'!O142&gt;=Body!$BB$18,'Zdroj data'!O142&lt;=Body!$BD$18),Body!BB$6,IF(AND('Zdroj data'!O142&gt;=Body!$BE$18,'Zdroj data'!O142&lt;=Body!$BG$18),Body!BE$6,IF(AND('Zdroj data'!O142&gt;=Body!$BH$18,'Zdroj data'!O142&lt;=Body!$BJ$18),Body!BH$6,IF(AND('Zdroj data'!O142&gt;=Body!$BK$18,'Zdroj data'!O142&lt;=Body!$BM$18),Body!$BK$6,IF(AND('Zdroj data'!O142&gt;=Body!$BN$18,'Zdroj data'!O142&lt;=Body!$BP$18),Body!BN$6,IF(AND('Zdroj data'!O142&gt;=Body!$BQ$18,'Zdroj data'!O142&lt;=Body!$BS$18),Body!$BQ$6,IF(AND('Zdroj data'!O142&gt;=Body!$BT$18,'Zdroj data'!O142&lt;=Body!$BV$18),Body!$BT$6,IF(AND('Zdroj data'!O142&gt;=Body!$BW$18,'Zdroj data'!O142&lt;=Body!$BY$18),Body!$BW$6,IF('Zdroj data'!O142&gt;=Body!$CB$18,Body!$BZ$6," ")))))))))),IF(AND('Zdroj data'!BG142="ST",'Zdroj data'!AM142=Body!$AX$19),IF(AND('Zdroj data'!O142&gt;=Body!$AY$19,'Zdroj data'!O142&lt;=Body!$BA$19),Body!$AY$6,IF(AND('Zdroj data'!O142&gt;=Body!$BB$19,'Zdroj data'!O142&lt;=Body!$BD$19),Body!$BB$6,IF(AND('Zdroj data'!O142&gt;=Body!$BE$19,'Zdroj data'!O142&lt;=Body!$BG$19),Body!$BE$6,IF(AND('Zdroj data'!O142&gt;=Body!$BH$19,'Zdroj data'!O142&lt;=Body!$BJ$19),Body!$BH$6,IF(AND('Zdroj data'!O142&gt;=Body!$BK$19,'Zdroj data'!O142&lt;=Body!$BM$19),Body!$BK$6,IF(AND('Zdroj data'!O142&gt;=Body!$BN$19,'Zdroj data'!O142&lt;=Body!$BP$19),Body!$BN$6,IF(AND('Zdroj data'!O142&gt;=Body!$BQ$19,'Zdroj data'!O142&lt;=Body!$BS$19),Body!$BQ$6,IF(AND('Zdroj data'!O142&gt;=Body!$BT$19,'Zdroj data'!O146&lt;=Body!$BV$19),Body!$BT$6,IF(AND('Zdroj data'!O142&gt;=Body!$BW$19,'Zdroj data'!O142&lt;=Body!$BY$19),Body!$BW$6,IF('Zdroj data'!O142&gt;=Body!$CB$19,Body!$BZ$6," ")))))))))),IF(AND('Zdroj data'!BG142="T",'Zdroj data'!AM142=Body!$AX$20),IF(AND('Zdroj data'!O142&gt;=Body!$AY$20,'Zdroj data'!O142&lt;=Body!$BA$20),Body!$AY$6,IF(AND('Zdroj data'!O142&gt;=Body!$BB$20,'Zdroj data'!O142&lt;=Body!$BD$20),Body!$BB$6,IF(AND('Zdroj data'!O142&gt;=Body!$BE$20,'Zdroj data'!O142&lt;=Body!$BG$20),Body!$BE$6,IF(AND('Zdroj data'!O142&gt;=Body!$BH$20,'Zdroj data'!O142&lt;=Body!$BJ$20),Body!$BH$6,IF(AND('Zdroj data'!O142&gt;=Body!$BK$20,'Zdroj data'!O142&lt;=Body!$BM$20),Body!$BK$6,IF(AND('Zdroj data'!O142&gt;=Body!$BN$20,'Zdroj data'!O142&lt;=Body!$BP$20),Body!$BN$6,IF(AND('Zdroj data'!O142&gt;=Body!$BQ$20,'Zdroj data'!O142&lt;=Body!$BS$20),Body!$BQ$6,IF(AND('Zdroj data'!O142&gt;=Body!$BT$20,'Zdroj data'!O142&lt;=Body!BV159),Body!$BT$6,IF(AND('Zdroj data'!O142&gt;=Body!$BW$20,'Zdroj data'!O142&lt;=Body!$BY$20),Body!$BW$6,IF('Zdroj data'!O142&gt;=Body!$CB$20,Body!$BZ$6," "))))))))))," ")))</f>
        <v xml:space="preserve"> </v>
      </c>
      <c r="AI142" s="264" t="str">
        <f>IF(AND('Zdroj data'!$BG142="L",'Zdroj data'!$AM142=Body!$AX$18),IF(AND(Tabulka1[[#This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data'!$BG142="ST",'Zdroj data'!$AM142=Body!$AX$19),IF(AND(Tabulka1[[#This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data'!$BG142="T",'Zdroj data'!$AM142=Body!$AX$20),IF(AND(Tabulka1[[#This Row],[K2O_60]]&gt;=Body!$AY$20,'Zdroj data'!O142&lt;=Body!$BA$20),Body!$AY$6,IF(AND(Tabulka1[[#This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Row],[K2O_60]]&lt;=Body!BV159),Body!$BT$6,IF(AND(Tabulka1[[#This Row],[K2O_60]]&gt;=Body!$BW$20,Tabulka1[[#This Row],[K2O_60]]&lt;=Body!$BY$20),Body!$BW$6,IF(Tabulka1[[#This Row],[K2O_60]]&gt;=Body!$CB$20,Body!$BZ$6," "))))))))))," ")))</f>
        <v xml:space="preserve"> </v>
      </c>
      <c r="AJ142" s="265">
        <f t="shared" si="26"/>
        <v>5.3333333333333375</v>
      </c>
      <c r="AK142" s="264">
        <f t="shared" si="27"/>
        <v>28.251387882560241</v>
      </c>
      <c r="AL142" s="264">
        <f t="shared" si="28"/>
        <v>26.043810827851988</v>
      </c>
      <c r="AM142" s="264">
        <f t="shared" si="29"/>
        <v>71.575259894333584</v>
      </c>
      <c r="AN142" s="264">
        <f t="shared" si="30"/>
        <v>76.313321394081598</v>
      </c>
      <c r="AO142" s="265">
        <f t="shared" si="33"/>
        <v>99.826647776893822</v>
      </c>
      <c r="AP142" s="265">
        <f t="shared" si="31"/>
        <v>102.35713222193358</v>
      </c>
      <c r="AQ142" s="318"/>
      <c r="AR142" s="338">
        <f t="shared" si="32"/>
        <v>207.51711333216073</v>
      </c>
      <c r="AS142" s="318"/>
      <c r="AT142" s="138"/>
      <c r="AU142" s="138"/>
    </row>
    <row r="143" spans="1:47" ht="15.5" x14ac:dyDescent="0.35">
      <c r="A143" s="270">
        <v>9116</v>
      </c>
      <c r="B143" s="156" t="s">
        <v>632</v>
      </c>
      <c r="C143" s="250" t="str">
        <f>VLOOKUP(B143,'Zdroj hloubka okresy'!$A$2:$D$171,2,FALSE)</f>
        <v>Mlada_Boleslav</v>
      </c>
      <c r="D143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2</v>
      </c>
      <c r="E143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143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43" s="264">
        <f>IF(AND(Tabulka1[[#This Row],[hum_60]]&gt;AY149,Tabulka1[[#This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43" s="264">
        <f>IF(Tabulka1[[#This Row],[kv.ek.]]=Body!$AX$13,IF(AND('Zdroj data'!M143&gt;=Body!$AY$13,'Zdroj data'!M143&lt;=Body!$BA$13),Body!$AY$6,IF(AND('Zdroj data'!M143&gt;=Body!$BB$13,'Zdroj data'!M143&lt;=Body!$BD$13),Body!$BB$6,IF(AND('Zdroj data'!M143&gt;=Body!$BE$13,'Zdroj data'!M143&lt;=Body!$BG$13),Body!$BE$6,IF(AND('Zdroj data'!M143&gt;=Body!$BH$13,'Zdroj data'!M143&lt;=Body!$BJ$13),Body!$BH$6,IF(AND('Zdroj data'!M143&gt;=Body!$BK$13,'Zdroj data'!M143&lt;=Body!$BM$13),Body!$BK$6,IF(AND('Zdroj data'!M143&gt;=Body!$BN$13,'Zdroj data'!M143&lt;=Body!$BP$13),Body!$BN$6,IF(AND('Zdroj data'!M143&gt;=Body!$BQ$13,'Zdroj data'!M143&lt;=Body!$BS$13),Body!$BQ$6,IF(AND('Zdroj data'!M143&gt;=Body!$BT$13,'Zdroj data'!M143&lt;=Body!$BV$13),Body!$BT$6,IF(AND('Zdroj data'!M143&gt;=Body!$BW$13,'Zdroj data'!M143&lt;=Body!$BY$13),Body!$BW$6,IF('Zdroj data'!M143&gt;=Body!$CB$13,Body!$BZ$6," ")))))))))),IF(Tabulka1[[#This Row],[kv.ek.]]=Body!$AX$14,IF(AND('Zdroj data'!N143&gt;=Body!$AY$14,'Zdroj data'!N143&lt;=Body!$BA$14),Body!$AY$6,IF(AND('Zdroj data'!N143&gt;=Body!$BB$14,'Zdroj data'!N143&lt;=Body!$BD$14),Body!$BB$6,IF(AND('Zdroj data'!N143&gt;=Body!$BE$14,'Zdroj data'!N143&lt;=Body!$BG$14),Body!$BE$6,IF(AND('Zdroj data'!N143&gt;=Body!$BH$14,'Zdroj data'!N143&lt;=Body!$BJ$14),Body!$BH$6,IF(AND('Zdroj data'!N143&gt;=Body!$BK$14,'Zdroj data'!N143&lt;=Body!$BM$14),Body!$BK$6,IF(AND('Zdroj data'!N143&gt;=Body!$BN$14,'Zdroj data'!N143&lt;=Body!$BP$14),Body!$BN$6,IF(AND('Zdroj data'!N143&gt;=Body!$BQ$14,'Zdroj data'!N143&lt;=Body!$BS$14),Body!$BQ$6,IF(AND('Zdroj data'!N143&gt;=Body!$BT$14,'Zdroj data'!N143&lt;=Body!$BV$14),Body!$BT$6,IF(AND('Zdroj data'!N143&gt;=Body!$BW$14,'Zdroj data'!N143&lt;=Body!$BY$14),Body!$BW$6,IF('Zdroj data'!N143&gt;=Body!$CB$14,Body!$BZ$6," "))))))))))," "))</f>
        <v>8</v>
      </c>
      <c r="I143" s="264">
        <f>IF(Tabulka1[[#This Row],[kv.ek.]]=Body!$AX$13,IF(AND('Zdroj data'!N143&gt;=Body!$AY$13,'Zdroj data'!N143&lt;=Body!$BA$13),Body!$AY$6,IF(AND('Zdroj data'!N143&gt;=Body!$BB$13,'Zdroj data'!N143&lt;=Body!$BD$13),Body!$BB$6,IF(AND('Zdroj data'!N143&gt;=Body!$BE$13,'Zdroj data'!N143&lt;=Body!$BG$13),Body!$BE$6,IF(AND('Zdroj data'!N143&gt;=Body!$BH$13,'Zdroj data'!N143&lt;=Body!$BJ$13),Body!$BH$6,IF(AND('Zdroj data'!N143&gt;=Body!$BK$13,'Zdroj data'!N143&lt;=Body!$BM$13),Body!$BK$6,IF(AND('Zdroj data'!N143&gt;=Body!$BN$13,'Zdroj data'!N143&lt;=Body!$BP$13),Body!$BN$6,IF(AND('Zdroj data'!N143&gt;=Body!$BQ$13,'Zdroj data'!N143&lt;=Body!$BS$13),Body!$BQ$6,IF(AND('Zdroj data'!N143&gt;=Body!$BT$13,'Zdroj data'!N143&lt;=Body!$BV$13),Body!$BT$6,IF(AND('Zdroj data'!N143&gt;=Body!$BW$13,'Zdroj data'!N143&lt;=Body!$BY$13),Body!$BW$6,IF('Zdroj data'!N143&gt;=Body!$CB$13,Body!$BZ$6," ")))))))))),IF(Tabulka1[[#This Row],[kv.ek.]]=Body!$AX$14,IF(AND('Zdroj data'!O143&gt;=Body!$AY$14,'Zdroj data'!O143&lt;=Body!$BA$14),Body!$AY$6,IF(AND('Zdroj data'!O143&gt;=Body!$BB$14,'Zdroj data'!O143&lt;=Body!$BD$14),Body!$BB$6,IF(AND('Zdroj data'!O143&gt;=Body!$BE$14,'Zdroj data'!O143&lt;=Body!$BG$14),Body!$BE$6,IF(AND('Zdroj data'!O143&gt;=Body!$BH$14,'Zdroj data'!O143&lt;=Body!$BJ$14),Body!$BH$6,IF(AND('Zdroj data'!O143&gt;=Body!$BK$14,'Zdroj data'!O143&lt;=Body!$BM$14),Body!$BK$6,IF(AND('Zdroj data'!O143&gt;=Body!$BN$14,'Zdroj data'!O143&lt;=Body!$BP$14),Body!$BN$6,IF(AND('Zdroj data'!O143&gt;=Body!$BQ$14,'Zdroj data'!O143&lt;=Body!$BS$14),Body!$BQ$6,IF(AND('Zdroj data'!O143&gt;=Body!$BT$14,'Zdroj data'!O143&lt;=Body!$BV$14),Body!$BT$6,IF(AND('Zdroj data'!O143&gt;=Body!$BW$14,'Zdroj data'!O143&lt;=Body!$BY$14),Body!$BW$6,IF('Zdroj data'!O143&gt;=Body!$CB$14,Body!$BZ$6," "))))))))))," "))</f>
        <v>5</v>
      </c>
      <c r="J143" s="264">
        <f t="shared" si="25"/>
        <v>1</v>
      </c>
      <c r="K143" s="264">
        <f t="shared" si="25"/>
        <v>1</v>
      </c>
      <c r="L143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143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143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143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9</v>
      </c>
      <c r="P143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43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143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143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143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143" s="264">
        <f>IF('Zdroj data'!BB143=Body!$AY$25,Body!$AY$22,IF('Zdroj data'!BB143=Body!$BB$25,Body!$BB$22,IF('Zdroj data'!BB143=Body!$BE$25,Body!$BE$22,IF('Zdroj data'!BB143=Body!$BH$25,Body!$BH$22,IF('Zdroj data'!BB143=Body!BK$25,Body!$BK$22,IF('Zdroj data'!BB143=Body!$BN$25,Body!$BN$22,IF('Zdroj data'!BB143=Body!$BQ$25,Body!$BQ$22,IF('Zdroj data'!BB143=Body!$BT$25,Body!$BT$22,IF('Zdroj data'!BB143=Body!$BW$25,Body!$BW$22,IF('Zdroj data'!BB143=Body!$BZ$25,Body!$BZ$22," "))))))))))</f>
        <v>7</v>
      </c>
      <c r="V143" s="264">
        <f>IF(AND('Zdroj data'!BO143&gt;Body!$AY$27,'Zdroj data'!BO143&lt;=Body!$BA$27),Body!$AY$22,IF(AND('Zdroj data'!BO143&gt;=Body!$BB$27,'Zdroj data'!BO143&lt;=Body!$BD$27),Body!$BB$22,IF(AND('Zdroj data'!BO143&gt;=Body!$BE$27,'Zdroj data'!BO143&lt;=Body!$BG$27),Body!$BE$22,IF(AND('Zdroj data'!BO143&gt;=Body!$BH$27,'Zdroj data'!BO143&lt;=Body!$BJ$27),Body!$BH$22,IF(AND('Zdroj data'!BO143&gt;=Body!$BK$27,'Zdroj data'!BO143&lt;=Body!$BM$27),Body!$BK$22,IF(AND('Zdroj data'!BO143&gt;=Body!$BN$27,'Zdroj data'!BO143&lt;=Body!$BP$27),Body!$BN$22,IF(AND('Zdroj data'!BO143&gt;=Body!$BQ$27,'Zdroj data'!BO143&lt;=Body!$BS$27),Body!$BQ$22,IF(AND('Zdroj data'!BO143&gt;=Body!$BT$27,'Zdroj data'!BO143&lt;=Body!$BV$27),Body!$BT$22,IF(AND('Zdroj data'!BO143&gt;=Body!$BW$27,'Zdroj data'!BO143&lt;=Body!$BY$27),Body!$BW$22,IF('Zdroj data'!BO143&gt;=Body!$CB$27,$BZ$22," "))))))))))</f>
        <v>7</v>
      </c>
      <c r="W143" s="264">
        <f>IF(AND('Zdroj data'!BP143&gt;Body!$AY$27,'Zdroj data'!BP143&lt;=Body!$BA$27),Body!$AY$22,IF(AND('Zdroj data'!BP143&gt;=Body!$BB$27,'Zdroj data'!BP143&lt;=Body!$BD$27),Body!$BB$22,IF(AND('Zdroj data'!BP143&gt;=Body!$BE$27,'Zdroj data'!BP143&lt;=Body!$BG$27),Body!$BE$22,IF(AND('Zdroj data'!BP143&gt;=Body!$BH$27,'Zdroj data'!BP143&lt;=Body!$BJ$27),Body!$BH$22,IF(AND('Zdroj data'!BP143&gt;=Body!$BK$27,'Zdroj data'!BP143&lt;=Body!$BM$27),Body!$BK$22,IF(AND('Zdroj data'!BP143&gt;=Body!$BN$27,'Zdroj data'!BP143&lt;=Body!$BP$27),Body!$BN$22,IF(AND('Zdroj data'!BP143&gt;=Body!$BQ$27,'Zdroj data'!BP143&lt;=Body!$BS$27),Body!$BQ$22,IF(AND('Zdroj data'!BP143&gt;=Body!$BT$27,'Zdroj data'!BP143&lt;=Body!$BV$27),Body!$BT$22,IF(AND('Zdroj data'!BP143&gt;=Body!$BW$27,'Zdroj data'!BP143&lt;=Body!$BY$27),Body!$BW$22,IF('Zdroj data'!BP143&gt;=Body!$CB$27,$BZ$22," "))))))))))</f>
        <v>5</v>
      </c>
      <c r="X143" s="264">
        <f>IF('Zdroj data'!BA143=Body!$BB$28,$BB$22,IF('Zdroj data'!BA143=Body!$BE$28,$BE$22,IF(OR('Zdroj data'!BA143=Body!$BK$28,'Zdroj data'!BA143=Body!$BL$28,'Zdroj data'!BA143=Body!$BM$28),$BK$22,IF(OR('Zdroj data'!BA143=Body!$BT$28,'Zdroj data'!BA143=Body!$BV$28),$BT$22,IF(OR('Zdroj data'!BA143=Body!$BW$28,'Zdroj data'!BA143=Body!$BY$28),$BW$22,IF('Zdroj data'!BA143=Body!$BZ$28,$BZ$22," "))))))</f>
        <v>10</v>
      </c>
      <c r="Y143" s="264">
        <f>IF('Zdroj data'!AZ143=Body!$BZ$29,Body!$BZ$22,IF(OR('Zdroj data'!AZ143=$BT$29,'Zdroj data'!AZ143=$BU$29,'Zdroj data'!AZ143=$BV$29),$BT$22,IF(OR('Zdroj data'!AZ143=$BK$29,'Zdroj data'!AZ143=$BM$29),$BK$22,IF(OR('Zdroj data'!AZ143=$BE$29,'Zdroj data'!AZ143=$BG$29),$BE$22,IF(OR('Zdroj data'!AZ143=$AY$29,'Zdroj data'!AZ143=$BA$29),$AY$22," ")))))</f>
        <v>10</v>
      </c>
      <c r="Z143" s="264">
        <f>IF(AND('Zdroj data'!BF143="T",(OR('Zdroj data'!AZ143=Body!$AW$45,'Zdroj data'!AZ143=Body!$AW$46,'Zdroj data'!AZ143=Body!$AW$47,'Zdroj data'!AZ143=Body!$AW$48))),Body!$AY$22,IF(AND('Zdroj data'!BF143="T",(OR('Zdroj data'!AZ143=$AW$49,'Zdroj data'!AZ143=$AW$50,'Zdroj data'!AZ143=$AW$51,'Zdroj data'!AZ143=$AW$52))),$BZ$22,IF(AND(OR('Zdroj data'!BF143="VT",'Zdroj data'!BF143="T",'Zdroj data'!BF143="CH"),(OR('Zdroj data'!AZ143=$AW$43,'Zdroj data'!AZ143=$AW$44,))),$BZ$22,IF(AND('Zdroj data'!BF143="CH",(OR('Zdroj data'!AZ143=$AW$49,'Zdroj data'!AZ143=$AW$50,'Zdroj data'!AZ143=$AW$51,'Zdroj data'!AZ143=$AW$52))),$AY$22,IF(AND('Zdroj data'!BF143="CH",(OR('Zdroj data'!AZ143=$AW$45,'Zdroj data'!AZ143=$AW$46,'Zdroj data'!AZ143=$AW$47,'Zdroj data'!AZ143=$AW$48))),$BZ$22," ")))))</f>
        <v>10</v>
      </c>
      <c r="AA143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43" s="264">
        <f>IF(Tabulka1[[#This Row],[kv.ek.]]=Body!$BK$35,Body!$BK$34,IF(Tabulka1[[#This Row],[kv.ek.]]=Body!$BZ$35,Body!$BZ$34," "))</f>
        <v>5</v>
      </c>
      <c r="AC143" s="264" t="str">
        <f>IF(AND('Zdroj data'!BF143="T",(OR('Zdroj data'!AZ143=Body!$AW$45,'Zdroj data'!AZ143=Body!$AW$46,'Zdroj data'!AZ143=Body!$AW$47,'Zdroj data'!AZ143=Body!$AW$48))),Body!$AY$22,IF(AND('Zdroj data'!BF143="T",(OR('Zdroj data'!AZ143=$AW$49,'Zdroj data'!AZ143=$AW$50,'Zdroj data'!AZ143=$AW$51,'Zdroj data'!AZ143=$AW$52))),$BZ$22," "))</f>
        <v xml:space="preserve"> </v>
      </c>
      <c r="AD143" s="264">
        <f>IF(AND(OR('Zdroj data'!BF143="VT",'Zdroj data'!BF143="T",'Zdroj data'!BF143="CH"),(OR('Zdroj data'!AZ143=$AW$43,'Zdroj data'!AZ143=$AW$44,))),$BZ$22," ")</f>
        <v>10</v>
      </c>
      <c r="AE143" s="264" t="str">
        <f>IF(AND('Zdroj data'!BF143="CH",(OR('Zdroj data'!AZ143=$AW$49,'Zdroj data'!AZ143=$AW$50,'Zdroj data'!AZ143=$AW$51,'Zdroj data'!AZ143=$AW$52))),$AY$22,IF(AND('Zdroj data'!BF143="CH",(OR('Zdroj data'!AZ143=$AW$45,'Zdroj data'!AZ143=$AW$46,'Zdroj data'!AZ143=$AW$47,'Zdroj data'!AZ143=$AW$48))),$BZ$22," "))</f>
        <v xml:space="preserve"> </v>
      </c>
      <c r="AF143" s="264">
        <f>IF(AND('Zdroj data'!BG143="L",'Zdroj data'!AM143=Body!$AX$15),IF(AND('Zdroj data'!O143&gt;=Body!$AY$15,'Zdroj data'!O143&lt;=Body!$BA$15),Body!AY$6,IF(AND('Zdroj data'!O143&gt;=Body!$BB$15,'Zdroj data'!O143&lt;=Body!$BD$15),Body!BB$6,IF(AND('Zdroj data'!O143&gt;=Body!$BE$15,'Zdroj data'!O143&lt;=Body!$BG$15),Body!BE$6,IF(AND('Zdroj data'!O143&gt;=Body!$BH$15,'Zdroj data'!O143&lt;=Body!$BJ$15),Body!BH$6,IF(AND('Zdroj data'!O143&gt;=Body!$BK$15,'Zdroj data'!O143&lt;=Body!$BM$15),Body!BK$6,IF(AND('Zdroj data'!O143&gt;=Body!$BN$15,'Zdroj data'!O143&lt;=Body!$BP$15),Body!$BN$6,IF(AND('Zdroj data'!O143&gt;=Body!$BQ$15,'Zdroj data'!O143&lt;=Body!$BS$15),Body!$BQ$6,IF(AND('Zdroj data'!O143&gt;=Body!$BT$15,'Zdroj data'!O143&lt;=Body!$BV$15),Body!BT$6,IF(AND('Zdroj data'!O143&gt;=Body!$BW$15,'Zdroj data'!O143&lt;=Body!$BY$15),Body!$BW$6,IF('Zdroj data'!O143&gt;=Body!$CB$15,Body!$BZ$6," ")))))))))),IF(AND('Zdroj data'!BG143="ST",'Zdroj data'!AM143=Body!$AX$16),IF(AND('Zdroj data'!O143&gt;=Body!$AY$16,'Zdroj data'!O143&lt;=Body!$BA$16),Body!$AY$6,IF(AND('Zdroj data'!O143&gt;=Body!$BB$16,'Zdroj data'!O143&lt;=Body!$BD$16),Body!$BB$6,IF(AND('Zdroj data'!O143&gt;=Body!$BE$16,'Zdroj data'!O143&lt;=Body!$BG$16),Body!$BE$6,IF(AND('Zdroj data'!O143&gt;=Body!$BH$16,'Zdroj data'!O143&lt;=Body!$BJ$16),Body!$BH$6,IF(AND('Zdroj data'!O143&gt;=Body!$BK$16,'Zdroj data'!O143&lt;=Body!$BM$16),Body!$BK$6,IF(AND('Zdroj data'!O143&gt;=Body!$BN$16,'Zdroj data'!O143&lt;=Body!$BP$16),Body!$BN$6,IF(AND('Zdroj data'!O143&gt;=Body!$BQ$16,'Zdroj data'!O143&lt;=Body!$BS$16),Body!$BQ$6,IF(AND('Zdroj data'!O143&gt;=Body!$BT$16,'Zdroj data'!O143&lt;=Body!$BV$16),Body!$BT$6,IF(AND('Zdroj data'!O143&gt;=Body!$BW$16,'Zdroj data'!O143&lt;=Body!$BY$16),Body!$BW$6,IF('Zdroj data'!O143&gt;=Body!$CB$16,Body!$BZ$6," ")))))))))),IF(AND('Zdroj data'!BG143="T",'Zdroj data'!AM143=Body!$AX$17),IF(AND('Zdroj data'!O143&gt;=Body!$AY$17,'Zdroj data'!O143&lt;=Body!$BA$17),Body!$AY$6,IF(AND('Zdroj data'!O143&gt;=Body!$BB$17,'Zdroj data'!O143&lt;=Body!$BD$17),Body!$BB$6,IF(AND('Zdroj data'!O143&gt;=Body!$BE$17,'Zdroj data'!O143&lt;=Body!$BG$17),Body!$BE$6,IF(AND('Zdroj data'!O143&gt;=Body!$BH$17,'Zdroj data'!O143&lt;=Body!BJ157),Body!$BH$6,IF(AND('Zdroj data'!O143&gt;=Body!$BK$17,'Zdroj data'!O143&lt;=Body!$BM$17),Body!$BK$6,IF(AND('Zdroj data'!O143&gt;=Body!$BN$17,'Zdroj data'!O143&lt;=Body!$BP$17),Body!$BN$6,IF(AND('Zdroj data'!O143&gt;=Body!$BQ$17,'Zdroj data'!O143&lt;=Body!$BS$17),Body!$BQ$6,IF(AND('Zdroj data'!O143&gt;=Body!$BT$17,'Zdroj data'!O143&lt;=Body!$BV$17),Body!$BT$6,IF(AND('Zdroj data'!O143&gt;=Body!$BW$17,'Zdroj data'!O143&lt;=Body!$BY$17),Body!$BW$6,IF('Zdroj data'!O143&gt;=Body!$CB$17,Body!$BZ$6," "))))))))))," ")))</f>
        <v>1</v>
      </c>
      <c r="AG143" s="264">
        <f>IF(AND('Zdroj data'!$BG143="L",'Zdroj data'!$AM143=Body!$AX$15),IF(AND(Tabulka1[[#This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data'!$BG143="ST",'Zdroj data'!$AM143=Body!$AX$16),IF(AND(Tabulka1[[#This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data'!$BG143="T",'Zdroj data'!$AM143=Body!$AX$17),IF(AND(Tabulka1[[#This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Row],[K2O_60]]&lt;=Body!BJ157),Body!$BH$6,IF(AND(Tabulka1[[#This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43" s="264" t="str">
        <f>IF(AND('Zdroj data'!BG143="L",'Zdroj data'!AM143=Body!$AX$18),IF(AND('Zdroj data'!O143&gt;=Body!$AY$18,'Zdroj data'!O143&lt;=Body!$BA$18),Body!AY$6,IF(AND('Zdroj data'!O143&gt;=Body!$BB$18,'Zdroj data'!O143&lt;=Body!$BD$18),Body!BB$6,IF(AND('Zdroj data'!O143&gt;=Body!$BE$18,'Zdroj data'!O143&lt;=Body!$BG$18),Body!BE$6,IF(AND('Zdroj data'!O143&gt;=Body!$BH$18,'Zdroj data'!O143&lt;=Body!$BJ$18),Body!BH$6,IF(AND('Zdroj data'!O143&gt;=Body!$BK$18,'Zdroj data'!O143&lt;=Body!$BM$18),Body!$BK$6,IF(AND('Zdroj data'!O143&gt;=Body!$BN$18,'Zdroj data'!O143&lt;=Body!$BP$18),Body!BN$6,IF(AND('Zdroj data'!O143&gt;=Body!$BQ$18,'Zdroj data'!O143&lt;=Body!$BS$18),Body!$BQ$6,IF(AND('Zdroj data'!O143&gt;=Body!$BT$18,'Zdroj data'!O143&lt;=Body!$BV$18),Body!$BT$6,IF(AND('Zdroj data'!O143&gt;=Body!$BW$18,'Zdroj data'!O143&lt;=Body!$BY$18),Body!$BW$6,IF('Zdroj data'!O143&gt;=Body!$CB$18,Body!$BZ$6," ")))))))))),IF(AND('Zdroj data'!BG143="ST",'Zdroj data'!AM143=Body!$AX$19),IF(AND('Zdroj data'!O143&gt;=Body!$AY$19,'Zdroj data'!O143&lt;=Body!$BA$19),Body!$AY$6,IF(AND('Zdroj data'!O143&gt;=Body!$BB$19,'Zdroj data'!O143&lt;=Body!$BD$19),Body!$BB$6,IF(AND('Zdroj data'!O143&gt;=Body!$BE$19,'Zdroj data'!O143&lt;=Body!$BG$19),Body!$BE$6,IF(AND('Zdroj data'!O143&gt;=Body!$BH$19,'Zdroj data'!O143&lt;=Body!$BJ$19),Body!$BH$6,IF(AND('Zdroj data'!O143&gt;=Body!$BK$19,'Zdroj data'!O143&lt;=Body!$BM$19),Body!$BK$6,IF(AND('Zdroj data'!O143&gt;=Body!$BN$19,'Zdroj data'!O143&lt;=Body!$BP$19),Body!$BN$6,IF(AND('Zdroj data'!O143&gt;=Body!$BQ$19,'Zdroj data'!O143&lt;=Body!$BS$19),Body!$BQ$6,IF(AND('Zdroj data'!O143&gt;=Body!$BT$19,'Zdroj data'!O147&lt;=Body!$BV$19),Body!$BT$6,IF(AND('Zdroj data'!O143&gt;=Body!$BW$19,'Zdroj data'!O143&lt;=Body!$BY$19),Body!$BW$6,IF('Zdroj data'!O143&gt;=Body!$CB$19,Body!$BZ$6," ")))))))))),IF(AND('Zdroj data'!BG143="T",'Zdroj data'!AM143=Body!$AX$20),IF(AND('Zdroj data'!O143&gt;=Body!$AY$20,'Zdroj data'!O143&lt;=Body!$BA$20),Body!$AY$6,IF(AND('Zdroj data'!O143&gt;=Body!$BB$20,'Zdroj data'!O143&lt;=Body!$BD$20),Body!$BB$6,IF(AND('Zdroj data'!O143&gt;=Body!$BE$20,'Zdroj data'!O143&lt;=Body!$BG$20),Body!$BE$6,IF(AND('Zdroj data'!O143&gt;=Body!$BH$20,'Zdroj data'!O143&lt;=Body!$BJ$20),Body!$BH$6,IF(AND('Zdroj data'!O143&gt;=Body!$BK$20,'Zdroj data'!O143&lt;=Body!$BM$20),Body!$BK$6,IF(AND('Zdroj data'!O143&gt;=Body!$BN$20,'Zdroj data'!O143&lt;=Body!$BP$20),Body!$BN$6,IF(AND('Zdroj data'!O143&gt;=Body!$BQ$20,'Zdroj data'!O143&lt;=Body!$BS$20),Body!$BQ$6,IF(AND('Zdroj data'!O143&gt;=Body!$BT$20,'Zdroj data'!O143&lt;=Body!BV160),Body!$BT$6,IF(AND('Zdroj data'!O143&gt;=Body!$BW$20,'Zdroj data'!O143&lt;=Body!$BY$20),Body!$BW$6,IF('Zdroj data'!O143&gt;=Body!$CB$20,Body!$BZ$6," "))))))))))," ")))</f>
        <v xml:space="preserve"> </v>
      </c>
      <c r="AI143" s="264" t="str">
        <f>IF(AND('Zdroj data'!$BG143="L",'Zdroj data'!$AM143=Body!$AX$18),IF(AND(Tabulka1[[#This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data'!$BG143="ST",'Zdroj data'!$AM143=Body!$AX$19),IF(AND(Tabulka1[[#This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data'!$BG143="T",'Zdroj data'!$AM143=Body!$AX$20),IF(AND(Tabulka1[[#This Row],[K2O_60]]&gt;=Body!$AY$20,'Zdroj data'!O143&lt;=Body!$BA$20),Body!$AY$6,IF(AND(Tabulka1[[#This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Row],[K2O_60]]&lt;=Body!BV160),Body!$BT$6,IF(AND(Tabulka1[[#This Row],[K2O_60]]&gt;=Body!$BW$20,Tabulka1[[#This Row],[K2O_60]]&lt;=Body!$BY$20),Body!$BW$6,IF(Tabulka1[[#This Row],[K2O_60]]&gt;=Body!$CB$20,Body!$BZ$6," "))))))))))," ")))</f>
        <v xml:space="preserve"> </v>
      </c>
      <c r="AJ143" s="265">
        <f t="shared" si="26"/>
        <v>5.3333333333333375</v>
      </c>
      <c r="AK143" s="264">
        <f t="shared" si="27"/>
        <v>29.175811687261394</v>
      </c>
      <c r="AL143" s="264">
        <f t="shared" si="28"/>
        <v>25.8496444693596</v>
      </c>
      <c r="AM143" s="264">
        <f t="shared" si="29"/>
        <v>72.492609015269778</v>
      </c>
      <c r="AN143" s="264">
        <f t="shared" si="30"/>
        <v>69.403422600865809</v>
      </c>
      <c r="AO143" s="265">
        <f t="shared" si="33"/>
        <v>101.66842070253117</v>
      </c>
      <c r="AP143" s="265">
        <f t="shared" si="31"/>
        <v>95.253067070225413</v>
      </c>
      <c r="AQ143" s="318"/>
      <c r="AR143" s="338">
        <f t="shared" si="32"/>
        <v>202.25482110608991</v>
      </c>
      <c r="AS143" s="318"/>
      <c r="AT143" s="138"/>
      <c r="AU143" s="138"/>
    </row>
    <row r="144" spans="1:47" ht="15.5" x14ac:dyDescent="0.35">
      <c r="A144" s="270">
        <v>9119</v>
      </c>
      <c r="B144" s="156" t="s">
        <v>634</v>
      </c>
      <c r="C144" s="250" t="str">
        <f>VLOOKUP(B144,'Zdroj hloubka okresy'!$A$2:$D$171,2,FALSE)</f>
        <v>Mlada_Boleslav</v>
      </c>
      <c r="D144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144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144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44" s="264">
        <f>IF(AND(Tabulka1[[#This Row],[hum_60]]&gt;AY150,Tabulka1[[#This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44" s="264">
        <f>IF(Tabulka1[[#This Row],[kv.ek.]]=Body!$AX$13,IF(AND('Zdroj data'!M144&gt;=Body!$AY$13,'Zdroj data'!M144&lt;=Body!$BA$13),Body!$AY$6,IF(AND('Zdroj data'!M144&gt;=Body!$BB$13,'Zdroj data'!M144&lt;=Body!$BD$13),Body!$BB$6,IF(AND('Zdroj data'!M144&gt;=Body!$BE$13,'Zdroj data'!M144&lt;=Body!$BG$13),Body!$BE$6,IF(AND('Zdroj data'!M144&gt;=Body!$BH$13,'Zdroj data'!M144&lt;=Body!$BJ$13),Body!$BH$6,IF(AND('Zdroj data'!M144&gt;=Body!$BK$13,'Zdroj data'!M144&lt;=Body!$BM$13),Body!$BK$6,IF(AND('Zdroj data'!M144&gt;=Body!$BN$13,'Zdroj data'!M144&lt;=Body!$BP$13),Body!$BN$6,IF(AND('Zdroj data'!M144&gt;=Body!$BQ$13,'Zdroj data'!M144&lt;=Body!$BS$13),Body!$BQ$6,IF(AND('Zdroj data'!M144&gt;=Body!$BT$13,'Zdroj data'!M144&lt;=Body!$BV$13),Body!$BT$6,IF(AND('Zdroj data'!M144&gt;=Body!$BW$13,'Zdroj data'!M144&lt;=Body!$BY$13),Body!$BW$6,IF('Zdroj data'!M144&gt;=Body!$CB$13,Body!$BZ$6," ")))))))))),IF(Tabulka1[[#This Row],[kv.ek.]]=Body!$AX$14,IF(AND('Zdroj data'!N144&gt;=Body!$AY$14,'Zdroj data'!N144&lt;=Body!$BA$14),Body!$AY$6,IF(AND('Zdroj data'!N144&gt;=Body!$BB$14,'Zdroj data'!N144&lt;=Body!$BD$14),Body!$BB$6,IF(AND('Zdroj data'!N144&gt;=Body!$BE$14,'Zdroj data'!N144&lt;=Body!$BG$14),Body!$BE$6,IF(AND('Zdroj data'!N144&gt;=Body!$BH$14,'Zdroj data'!N144&lt;=Body!$BJ$14),Body!$BH$6,IF(AND('Zdroj data'!N144&gt;=Body!$BK$14,'Zdroj data'!N144&lt;=Body!$BM$14),Body!$BK$6,IF(AND('Zdroj data'!N144&gt;=Body!$BN$14,'Zdroj data'!N144&lt;=Body!$BP$14),Body!$BN$6,IF(AND('Zdroj data'!N144&gt;=Body!$BQ$14,'Zdroj data'!N144&lt;=Body!$BS$14),Body!$BQ$6,IF(AND('Zdroj data'!N144&gt;=Body!$BT$14,'Zdroj data'!N144&lt;=Body!$BV$14),Body!$BT$6,IF(AND('Zdroj data'!N144&gt;=Body!$BW$14,'Zdroj data'!N144&lt;=Body!$BY$14),Body!$BW$6,IF('Zdroj data'!N144&gt;=Body!$CB$14,Body!$BZ$6," "))))))))))," "))</f>
        <v>4</v>
      </c>
      <c r="I144" s="264">
        <f>IF(Tabulka1[[#This Row],[kv.ek.]]=Body!$AX$13,IF(AND('Zdroj data'!N144&gt;=Body!$AY$13,'Zdroj data'!N144&lt;=Body!$BA$13),Body!$AY$6,IF(AND('Zdroj data'!N144&gt;=Body!$BB$13,'Zdroj data'!N144&lt;=Body!$BD$13),Body!$BB$6,IF(AND('Zdroj data'!N144&gt;=Body!$BE$13,'Zdroj data'!N144&lt;=Body!$BG$13),Body!$BE$6,IF(AND('Zdroj data'!N144&gt;=Body!$BH$13,'Zdroj data'!N144&lt;=Body!$BJ$13),Body!$BH$6,IF(AND('Zdroj data'!N144&gt;=Body!$BK$13,'Zdroj data'!N144&lt;=Body!$BM$13),Body!$BK$6,IF(AND('Zdroj data'!N144&gt;=Body!$BN$13,'Zdroj data'!N144&lt;=Body!$BP$13),Body!$BN$6,IF(AND('Zdroj data'!N144&gt;=Body!$BQ$13,'Zdroj data'!N144&lt;=Body!$BS$13),Body!$BQ$6,IF(AND('Zdroj data'!N144&gt;=Body!$BT$13,'Zdroj data'!N144&lt;=Body!$BV$13),Body!$BT$6,IF(AND('Zdroj data'!N144&gt;=Body!$BW$13,'Zdroj data'!N144&lt;=Body!$BY$13),Body!$BW$6,IF('Zdroj data'!N144&gt;=Body!$CB$13,Body!$BZ$6," ")))))))))),IF(Tabulka1[[#This Row],[kv.ek.]]=Body!$AX$14,IF(AND('Zdroj data'!O144&gt;=Body!$AY$14,'Zdroj data'!O144&lt;=Body!$BA$14),Body!$AY$6,IF(AND('Zdroj data'!O144&gt;=Body!$BB$14,'Zdroj data'!O144&lt;=Body!$BD$14),Body!$BB$6,IF(AND('Zdroj data'!O144&gt;=Body!$BE$14,'Zdroj data'!O144&lt;=Body!$BG$14),Body!$BE$6,IF(AND('Zdroj data'!O144&gt;=Body!$BH$14,'Zdroj data'!O144&lt;=Body!$BJ$14),Body!$BH$6,IF(AND('Zdroj data'!O144&gt;=Body!$BK$14,'Zdroj data'!O144&lt;=Body!$BM$14),Body!$BK$6,IF(AND('Zdroj data'!O144&gt;=Body!$BN$14,'Zdroj data'!O144&lt;=Body!$BP$14),Body!$BN$6,IF(AND('Zdroj data'!O144&gt;=Body!$BQ$14,'Zdroj data'!O144&lt;=Body!$BS$14),Body!$BQ$6,IF(AND('Zdroj data'!O144&gt;=Body!$BT$14,'Zdroj data'!O144&lt;=Body!$BV$14),Body!$BT$6,IF(AND('Zdroj data'!O144&gt;=Body!$BW$14,'Zdroj data'!O144&lt;=Body!$BY$14),Body!$BW$6,IF('Zdroj data'!O144&gt;=Body!$CB$14,Body!$BZ$6," "))))))))))," "))</f>
        <v>2</v>
      </c>
      <c r="J144" s="264">
        <f t="shared" si="25"/>
        <v>1</v>
      </c>
      <c r="K144" s="264">
        <f t="shared" si="25"/>
        <v>1</v>
      </c>
      <c r="L144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144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144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144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144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44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144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144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144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144" s="264">
        <f>IF('Zdroj data'!BB144=Body!$AY$25,Body!$AY$22,IF('Zdroj data'!BB144=Body!$BB$25,Body!$BB$22,IF('Zdroj data'!BB144=Body!$BE$25,Body!$BE$22,IF('Zdroj data'!BB144=Body!$BH$25,Body!$BH$22,IF('Zdroj data'!BB144=Body!BK$25,Body!$BK$22,IF('Zdroj data'!BB144=Body!$BN$25,Body!$BN$22,IF('Zdroj data'!BB144=Body!$BQ$25,Body!$BQ$22,IF('Zdroj data'!BB144=Body!$BT$25,Body!$BT$22,IF('Zdroj data'!BB144=Body!$BW$25,Body!$BW$22,IF('Zdroj data'!BB144=Body!$BZ$25,Body!$BZ$22," "))))))))))</f>
        <v>7</v>
      </c>
      <c r="V144" s="264">
        <f>IF(AND('Zdroj data'!BO144&gt;Body!$AY$27,'Zdroj data'!BO144&lt;=Body!$BA$27),Body!$AY$22,IF(AND('Zdroj data'!BO144&gt;=Body!$BB$27,'Zdroj data'!BO144&lt;=Body!$BD$27),Body!$BB$22,IF(AND('Zdroj data'!BO144&gt;=Body!$BE$27,'Zdroj data'!BO144&lt;=Body!$BG$27),Body!$BE$22,IF(AND('Zdroj data'!BO144&gt;=Body!$BH$27,'Zdroj data'!BO144&lt;=Body!$BJ$27),Body!$BH$22,IF(AND('Zdroj data'!BO144&gt;=Body!$BK$27,'Zdroj data'!BO144&lt;=Body!$BM$27),Body!$BK$22,IF(AND('Zdroj data'!BO144&gt;=Body!$BN$27,'Zdroj data'!BO144&lt;=Body!$BP$27),Body!$BN$22,IF(AND('Zdroj data'!BO144&gt;=Body!$BQ$27,'Zdroj data'!BO144&lt;=Body!$BS$27),Body!$BQ$22,IF(AND('Zdroj data'!BO144&gt;=Body!$BT$27,'Zdroj data'!BO144&lt;=Body!$BV$27),Body!$BT$22,IF(AND('Zdroj data'!BO144&gt;=Body!$BW$27,'Zdroj data'!BO144&lt;=Body!$BY$27),Body!$BW$22,IF('Zdroj data'!BO144&gt;=Body!$CB$27,$BZ$22," "))))))))))</f>
        <v>6</v>
      </c>
      <c r="W144" s="264">
        <f>IF(AND('Zdroj data'!BP144&gt;Body!$AY$27,'Zdroj data'!BP144&lt;=Body!$BA$27),Body!$AY$22,IF(AND('Zdroj data'!BP144&gt;=Body!$BB$27,'Zdroj data'!BP144&lt;=Body!$BD$27),Body!$BB$22,IF(AND('Zdroj data'!BP144&gt;=Body!$BE$27,'Zdroj data'!BP144&lt;=Body!$BG$27),Body!$BE$22,IF(AND('Zdroj data'!BP144&gt;=Body!$BH$27,'Zdroj data'!BP144&lt;=Body!$BJ$27),Body!$BH$22,IF(AND('Zdroj data'!BP144&gt;=Body!$BK$27,'Zdroj data'!BP144&lt;=Body!$BM$27),Body!$BK$22,IF(AND('Zdroj data'!BP144&gt;=Body!$BN$27,'Zdroj data'!BP144&lt;=Body!$BP$27),Body!$BN$22,IF(AND('Zdroj data'!BP144&gt;=Body!$BQ$27,'Zdroj data'!BP144&lt;=Body!$BS$27),Body!$BQ$22,IF(AND('Zdroj data'!BP144&gt;=Body!$BT$27,'Zdroj data'!BP144&lt;=Body!$BV$27),Body!$BT$22,IF(AND('Zdroj data'!BP144&gt;=Body!$BW$27,'Zdroj data'!BP144&lt;=Body!$BY$27),Body!$BW$22,IF('Zdroj data'!BP144&gt;=Body!$CB$27,$BZ$22," "))))))))))</f>
        <v>4</v>
      </c>
      <c r="X144" s="264">
        <f>IF('Zdroj data'!BA144=Body!$BB$28,$BB$22,IF('Zdroj data'!BA144=Body!$BE$28,$BE$22,IF(OR('Zdroj data'!BA144=Body!$BK$28,'Zdroj data'!BA144=Body!$BL$28,'Zdroj data'!BA144=Body!$BM$28),$BK$22,IF(OR('Zdroj data'!BA144=Body!$BT$28,'Zdroj data'!BA144=Body!$BV$28),$BT$22,IF(OR('Zdroj data'!BA144=Body!$BW$28,'Zdroj data'!BA144=Body!$BY$28),$BW$22,IF('Zdroj data'!BA144=Body!$BZ$28,$BZ$22," "))))))</f>
        <v>10</v>
      </c>
      <c r="Y144" s="264">
        <f>IF('Zdroj data'!AZ144=Body!$BZ$29,Body!$BZ$22,IF(OR('Zdroj data'!AZ144=$BT$29,'Zdroj data'!AZ144=$BU$29,'Zdroj data'!AZ144=$BV$29),$BT$22,IF(OR('Zdroj data'!AZ144=$BK$29,'Zdroj data'!AZ144=$BM$29),$BK$22,IF(OR('Zdroj data'!AZ144=$BE$29,'Zdroj data'!AZ144=$BG$29),$BE$22,IF(OR('Zdroj data'!AZ144=$AY$29,'Zdroj data'!AZ144=$BA$29),$AY$22," ")))))</f>
        <v>10</v>
      </c>
      <c r="Z144" s="264">
        <f>IF(AND('Zdroj data'!BF144="T",(OR('Zdroj data'!AZ144=Body!$AW$45,'Zdroj data'!AZ144=Body!$AW$46,'Zdroj data'!AZ144=Body!$AW$47,'Zdroj data'!AZ144=Body!$AW$48))),Body!$AY$22,IF(AND('Zdroj data'!BF144="T",(OR('Zdroj data'!AZ144=$AW$49,'Zdroj data'!AZ144=$AW$50,'Zdroj data'!AZ144=$AW$51,'Zdroj data'!AZ144=$AW$52))),$BZ$22,IF(AND(OR('Zdroj data'!BF144="VT",'Zdroj data'!BF144="T",'Zdroj data'!BF144="CH"),(OR('Zdroj data'!AZ144=$AW$43,'Zdroj data'!AZ144=$AW$44,))),$BZ$22,IF(AND('Zdroj data'!BF144="CH",(OR('Zdroj data'!AZ144=$AW$49,'Zdroj data'!AZ144=$AW$50,'Zdroj data'!AZ144=$AW$51,'Zdroj data'!AZ144=$AW$52))),$AY$22,IF(AND('Zdroj data'!BF144="CH",(OR('Zdroj data'!AZ144=$AW$45,'Zdroj data'!AZ144=$AW$46,'Zdroj data'!AZ144=$AW$47,'Zdroj data'!AZ144=$AW$48))),$BZ$22," ")))))</f>
        <v>10</v>
      </c>
      <c r="AA144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44" s="264">
        <f>IF(Tabulka1[[#This Row],[kv.ek.]]=Body!$BK$35,Body!$BK$34,IF(Tabulka1[[#This Row],[kv.ek.]]=Body!$BZ$35,Body!$BZ$34," "))</f>
        <v>5</v>
      </c>
      <c r="AC144" s="264" t="str">
        <f>IF(AND('Zdroj data'!BF144="T",(OR('Zdroj data'!AZ144=Body!$AW$45,'Zdroj data'!AZ144=Body!$AW$46,'Zdroj data'!AZ144=Body!$AW$47,'Zdroj data'!AZ144=Body!$AW$48))),Body!$AY$22,IF(AND('Zdroj data'!BF144="T",(OR('Zdroj data'!AZ144=$AW$49,'Zdroj data'!AZ144=$AW$50,'Zdroj data'!AZ144=$AW$51,'Zdroj data'!AZ144=$AW$52))),$BZ$22," "))</f>
        <v xml:space="preserve"> </v>
      </c>
      <c r="AD144" s="264">
        <f>IF(AND(OR('Zdroj data'!BF144="VT",'Zdroj data'!BF144="T",'Zdroj data'!BF144="CH"),(OR('Zdroj data'!AZ144=$AW$43,'Zdroj data'!AZ144=$AW$44,))),$BZ$22," ")</f>
        <v>10</v>
      </c>
      <c r="AE144" s="264" t="str">
        <f>IF(AND('Zdroj data'!BF144="CH",(OR('Zdroj data'!AZ144=$AW$49,'Zdroj data'!AZ144=$AW$50,'Zdroj data'!AZ144=$AW$51,'Zdroj data'!AZ144=$AW$52))),$AY$22,IF(AND('Zdroj data'!BF144="CH",(OR('Zdroj data'!AZ144=$AW$45,'Zdroj data'!AZ144=$AW$46,'Zdroj data'!AZ144=$AW$47,'Zdroj data'!AZ144=$AW$48))),$BZ$22," "))</f>
        <v xml:space="preserve"> </v>
      </c>
      <c r="AF144" s="264">
        <f>IF(AND('Zdroj data'!BG144="L",'Zdroj data'!AM144=Body!$AX$15),IF(AND('Zdroj data'!O144&gt;=Body!$AY$15,'Zdroj data'!O144&lt;=Body!$BA$15),Body!AY$6,IF(AND('Zdroj data'!O144&gt;=Body!$BB$15,'Zdroj data'!O144&lt;=Body!$BD$15),Body!BB$6,IF(AND('Zdroj data'!O144&gt;=Body!$BE$15,'Zdroj data'!O144&lt;=Body!$BG$15),Body!BE$6,IF(AND('Zdroj data'!O144&gt;=Body!$BH$15,'Zdroj data'!O144&lt;=Body!$BJ$15),Body!BH$6,IF(AND('Zdroj data'!O144&gt;=Body!$BK$15,'Zdroj data'!O144&lt;=Body!$BM$15),Body!BK$6,IF(AND('Zdroj data'!O144&gt;=Body!$BN$15,'Zdroj data'!O144&lt;=Body!$BP$15),Body!$BN$6,IF(AND('Zdroj data'!O144&gt;=Body!$BQ$15,'Zdroj data'!O144&lt;=Body!$BS$15),Body!$BQ$6,IF(AND('Zdroj data'!O144&gt;=Body!$BT$15,'Zdroj data'!O144&lt;=Body!$BV$15),Body!BT$6,IF(AND('Zdroj data'!O144&gt;=Body!$BW$15,'Zdroj data'!O144&lt;=Body!$BY$15),Body!$BW$6,IF('Zdroj data'!O144&gt;=Body!$CB$15,Body!$BZ$6," ")))))))))),IF(AND('Zdroj data'!BG144="ST",'Zdroj data'!AM144=Body!$AX$16),IF(AND('Zdroj data'!O144&gt;=Body!$AY$16,'Zdroj data'!O144&lt;=Body!$BA$16),Body!$AY$6,IF(AND('Zdroj data'!O144&gt;=Body!$BB$16,'Zdroj data'!O144&lt;=Body!$BD$16),Body!$BB$6,IF(AND('Zdroj data'!O144&gt;=Body!$BE$16,'Zdroj data'!O144&lt;=Body!$BG$16),Body!$BE$6,IF(AND('Zdroj data'!O144&gt;=Body!$BH$16,'Zdroj data'!O144&lt;=Body!$BJ$16),Body!$BH$6,IF(AND('Zdroj data'!O144&gt;=Body!$BK$16,'Zdroj data'!O144&lt;=Body!$BM$16),Body!$BK$6,IF(AND('Zdroj data'!O144&gt;=Body!$BN$16,'Zdroj data'!O144&lt;=Body!$BP$16),Body!$BN$6,IF(AND('Zdroj data'!O144&gt;=Body!$BQ$16,'Zdroj data'!O144&lt;=Body!$BS$16),Body!$BQ$6,IF(AND('Zdroj data'!O144&gt;=Body!$BT$16,'Zdroj data'!O144&lt;=Body!$BV$16),Body!$BT$6,IF(AND('Zdroj data'!O144&gt;=Body!$BW$16,'Zdroj data'!O144&lt;=Body!$BY$16),Body!$BW$6,IF('Zdroj data'!O144&gt;=Body!$CB$16,Body!$BZ$6," ")))))))))),IF(AND('Zdroj data'!BG144="T",'Zdroj data'!AM144=Body!$AX$17),IF(AND('Zdroj data'!O144&gt;=Body!$AY$17,'Zdroj data'!O144&lt;=Body!$BA$17),Body!$AY$6,IF(AND('Zdroj data'!O144&gt;=Body!$BB$17,'Zdroj data'!O144&lt;=Body!$BD$17),Body!$BB$6,IF(AND('Zdroj data'!O144&gt;=Body!$BE$17,'Zdroj data'!O144&lt;=Body!$BG$17),Body!$BE$6,IF(AND('Zdroj data'!O144&gt;=Body!$BH$17,'Zdroj data'!O144&lt;=Body!BJ158),Body!$BH$6,IF(AND('Zdroj data'!O144&gt;=Body!$BK$17,'Zdroj data'!O144&lt;=Body!$BM$17),Body!$BK$6,IF(AND('Zdroj data'!O144&gt;=Body!$BN$17,'Zdroj data'!O144&lt;=Body!$BP$17),Body!$BN$6,IF(AND('Zdroj data'!O144&gt;=Body!$BQ$17,'Zdroj data'!O144&lt;=Body!$BS$17),Body!$BQ$6,IF(AND('Zdroj data'!O144&gt;=Body!$BT$17,'Zdroj data'!O144&lt;=Body!$BV$17),Body!$BT$6,IF(AND('Zdroj data'!O144&gt;=Body!$BW$17,'Zdroj data'!O144&lt;=Body!$BY$17),Body!$BW$6,IF('Zdroj data'!O144&gt;=Body!$CB$17,Body!$BZ$6," "))))))))))," ")))</f>
        <v>1</v>
      </c>
      <c r="AG144" s="264">
        <f>IF(AND('Zdroj data'!$BG144="L",'Zdroj data'!$AM144=Body!$AX$15),IF(AND(Tabulka1[[#This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data'!$BG144="ST",'Zdroj data'!$AM144=Body!$AX$16),IF(AND(Tabulka1[[#This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data'!$BG144="T",'Zdroj data'!$AM144=Body!$AX$17),IF(AND(Tabulka1[[#This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Row],[K2O_60]]&lt;=Body!BJ158),Body!$BH$6,IF(AND(Tabulka1[[#This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44" s="264" t="str">
        <f>IF(AND('Zdroj data'!BG144="L",'Zdroj data'!AM144=Body!$AX$18),IF(AND('Zdroj data'!O144&gt;=Body!$AY$18,'Zdroj data'!O144&lt;=Body!$BA$18),Body!AY$6,IF(AND('Zdroj data'!O144&gt;=Body!$BB$18,'Zdroj data'!O144&lt;=Body!$BD$18),Body!BB$6,IF(AND('Zdroj data'!O144&gt;=Body!$BE$18,'Zdroj data'!O144&lt;=Body!$BG$18),Body!BE$6,IF(AND('Zdroj data'!O144&gt;=Body!$BH$18,'Zdroj data'!O144&lt;=Body!$BJ$18),Body!BH$6,IF(AND('Zdroj data'!O144&gt;=Body!$BK$18,'Zdroj data'!O144&lt;=Body!$BM$18),Body!$BK$6,IF(AND('Zdroj data'!O144&gt;=Body!$BN$18,'Zdroj data'!O144&lt;=Body!$BP$18),Body!BN$6,IF(AND('Zdroj data'!O144&gt;=Body!$BQ$18,'Zdroj data'!O144&lt;=Body!$BS$18),Body!$BQ$6,IF(AND('Zdroj data'!O144&gt;=Body!$BT$18,'Zdroj data'!O144&lt;=Body!$BV$18),Body!$BT$6,IF(AND('Zdroj data'!O144&gt;=Body!$BW$18,'Zdroj data'!O144&lt;=Body!$BY$18),Body!$BW$6,IF('Zdroj data'!O144&gt;=Body!$CB$18,Body!$BZ$6," ")))))))))),IF(AND('Zdroj data'!BG144="ST",'Zdroj data'!AM144=Body!$AX$19),IF(AND('Zdroj data'!O144&gt;=Body!$AY$19,'Zdroj data'!O144&lt;=Body!$BA$19),Body!$AY$6,IF(AND('Zdroj data'!O144&gt;=Body!$BB$19,'Zdroj data'!O144&lt;=Body!$BD$19),Body!$BB$6,IF(AND('Zdroj data'!O144&gt;=Body!$BE$19,'Zdroj data'!O144&lt;=Body!$BG$19),Body!$BE$6,IF(AND('Zdroj data'!O144&gt;=Body!$BH$19,'Zdroj data'!O144&lt;=Body!$BJ$19),Body!$BH$6,IF(AND('Zdroj data'!O144&gt;=Body!$BK$19,'Zdroj data'!O144&lt;=Body!$BM$19),Body!$BK$6,IF(AND('Zdroj data'!O144&gt;=Body!$BN$19,'Zdroj data'!O144&lt;=Body!$BP$19),Body!$BN$6,IF(AND('Zdroj data'!O144&gt;=Body!$BQ$19,'Zdroj data'!O144&lt;=Body!$BS$19),Body!$BQ$6,IF(AND('Zdroj data'!O144&gt;=Body!$BT$19,'Zdroj data'!O148&lt;=Body!$BV$19),Body!$BT$6,IF(AND('Zdroj data'!O144&gt;=Body!$BW$19,'Zdroj data'!O144&lt;=Body!$BY$19),Body!$BW$6,IF('Zdroj data'!O144&gt;=Body!$CB$19,Body!$BZ$6," ")))))))))),IF(AND('Zdroj data'!BG144="T",'Zdroj data'!AM144=Body!$AX$20),IF(AND('Zdroj data'!O144&gt;=Body!$AY$20,'Zdroj data'!O144&lt;=Body!$BA$20),Body!$AY$6,IF(AND('Zdroj data'!O144&gt;=Body!$BB$20,'Zdroj data'!O144&lt;=Body!$BD$20),Body!$BB$6,IF(AND('Zdroj data'!O144&gt;=Body!$BE$20,'Zdroj data'!O144&lt;=Body!$BG$20),Body!$BE$6,IF(AND('Zdroj data'!O144&gt;=Body!$BH$20,'Zdroj data'!O144&lt;=Body!$BJ$20),Body!$BH$6,IF(AND('Zdroj data'!O144&gt;=Body!$BK$20,'Zdroj data'!O144&lt;=Body!$BM$20),Body!$BK$6,IF(AND('Zdroj data'!O144&gt;=Body!$BN$20,'Zdroj data'!O144&lt;=Body!$BP$20),Body!$BN$6,IF(AND('Zdroj data'!O144&gt;=Body!$BQ$20,'Zdroj data'!O144&lt;=Body!$BS$20),Body!$BQ$6,IF(AND('Zdroj data'!O144&gt;=Body!$BT$20,'Zdroj data'!O144&lt;=Body!BV161),Body!$BT$6,IF(AND('Zdroj data'!O144&gt;=Body!$BW$20,'Zdroj data'!O144&lt;=Body!$BY$20),Body!$BW$6,IF('Zdroj data'!O144&gt;=Body!$CB$20,Body!$BZ$6," "))))))))))," ")))</f>
        <v xml:space="preserve"> </v>
      </c>
      <c r="AI144" s="264" t="str">
        <f>IF(AND('Zdroj data'!$BG144="L",'Zdroj data'!$AM144=Body!$AX$18),IF(AND(Tabulka1[[#This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data'!$BG144="ST",'Zdroj data'!$AM144=Body!$AX$19),IF(AND(Tabulka1[[#This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data'!$BG144="T",'Zdroj data'!$AM144=Body!$AX$20),IF(AND(Tabulka1[[#This Row],[K2O_60]]&gt;=Body!$AY$20,'Zdroj data'!O144&lt;=Body!$BA$20),Body!$AY$6,IF(AND(Tabulka1[[#This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Row],[K2O_60]]&lt;=Body!BV161),Body!$BT$6,IF(AND(Tabulka1[[#This Row],[K2O_60]]&gt;=Body!$BW$20,Tabulka1[[#This Row],[K2O_60]]&lt;=Body!$BY$20),Body!$BW$6,IF(Tabulka1[[#This Row],[K2O_60]]&gt;=Body!$CB$20,Body!$BZ$6," "))))))))))," ")))</f>
        <v xml:space="preserve"> </v>
      </c>
      <c r="AJ144" s="265">
        <f t="shared" si="26"/>
        <v>5.3333333333333375</v>
      </c>
      <c r="AK144" s="264">
        <f t="shared" si="27"/>
        <v>25.807071723129468</v>
      </c>
      <c r="AL144" s="264">
        <f t="shared" si="28"/>
        <v>25.351659174798289</v>
      </c>
      <c r="AM144" s="264">
        <f t="shared" si="29"/>
        <v>67.034391850991796</v>
      </c>
      <c r="AN144" s="264">
        <f t="shared" si="30"/>
        <v>67.858829393663825</v>
      </c>
      <c r="AO144" s="265">
        <f t="shared" si="33"/>
        <v>92.841463574121263</v>
      </c>
      <c r="AP144" s="265">
        <f t="shared" si="31"/>
        <v>93.210488568462111</v>
      </c>
      <c r="AQ144" s="318"/>
      <c r="AR144" s="338">
        <f t="shared" si="32"/>
        <v>191.38528547591673</v>
      </c>
      <c r="AS144" s="318"/>
      <c r="AT144" s="138"/>
      <c r="AU144" s="138"/>
    </row>
    <row r="145" spans="1:47" ht="15.5" x14ac:dyDescent="0.35">
      <c r="A145" s="270">
        <v>9122</v>
      </c>
      <c r="B145" s="156" t="s">
        <v>596</v>
      </c>
      <c r="C145" s="250" t="str">
        <f>VLOOKUP(B145,'Zdroj hloubka okresy'!$A$2:$D$171,2,FALSE)</f>
        <v>Mlada_Boleslav</v>
      </c>
      <c r="D145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7</v>
      </c>
      <c r="E145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8</v>
      </c>
      <c r="F145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145" s="264">
        <f>IF(AND(Tabulka1[[#This Row],[hum_60]]&gt;AY151,Tabulka1[[#This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45" s="264">
        <f>IF(Tabulka1[[#This Row],[kv.ek.]]=Body!$AX$13,IF(AND('Zdroj data'!M145&gt;=Body!$AY$13,'Zdroj data'!M145&lt;=Body!$BA$13),Body!$AY$6,IF(AND('Zdroj data'!M145&gt;=Body!$BB$13,'Zdroj data'!M145&lt;=Body!$BD$13),Body!$BB$6,IF(AND('Zdroj data'!M145&gt;=Body!$BE$13,'Zdroj data'!M145&lt;=Body!$BG$13),Body!$BE$6,IF(AND('Zdroj data'!M145&gt;=Body!$BH$13,'Zdroj data'!M145&lt;=Body!$BJ$13),Body!$BH$6,IF(AND('Zdroj data'!M145&gt;=Body!$BK$13,'Zdroj data'!M145&lt;=Body!$BM$13),Body!$BK$6,IF(AND('Zdroj data'!M145&gt;=Body!$BN$13,'Zdroj data'!M145&lt;=Body!$BP$13),Body!$BN$6,IF(AND('Zdroj data'!M145&gt;=Body!$BQ$13,'Zdroj data'!M145&lt;=Body!$BS$13),Body!$BQ$6,IF(AND('Zdroj data'!M145&gt;=Body!$BT$13,'Zdroj data'!M145&lt;=Body!$BV$13),Body!$BT$6,IF(AND('Zdroj data'!M145&gt;=Body!$BW$13,'Zdroj data'!M145&lt;=Body!$BY$13),Body!$BW$6,IF('Zdroj data'!M145&gt;=Body!$CB$13,Body!$BZ$6," ")))))))))),IF(Tabulka1[[#This Row],[kv.ek.]]=Body!$AX$14,IF(AND('Zdroj data'!N145&gt;=Body!$AY$14,'Zdroj data'!N145&lt;=Body!$BA$14),Body!$AY$6,IF(AND('Zdroj data'!N145&gt;=Body!$BB$14,'Zdroj data'!N145&lt;=Body!$BD$14),Body!$BB$6,IF(AND('Zdroj data'!N145&gt;=Body!$BE$14,'Zdroj data'!N145&lt;=Body!$BG$14),Body!$BE$6,IF(AND('Zdroj data'!N145&gt;=Body!$BH$14,'Zdroj data'!N145&lt;=Body!$BJ$14),Body!$BH$6,IF(AND('Zdroj data'!N145&gt;=Body!$BK$14,'Zdroj data'!N145&lt;=Body!$BM$14),Body!$BK$6,IF(AND('Zdroj data'!N145&gt;=Body!$BN$14,'Zdroj data'!N145&lt;=Body!$BP$14),Body!$BN$6,IF(AND('Zdroj data'!N145&gt;=Body!$BQ$14,'Zdroj data'!N145&lt;=Body!$BS$14),Body!$BQ$6,IF(AND('Zdroj data'!N145&gt;=Body!$BT$14,'Zdroj data'!N145&lt;=Body!$BV$14),Body!$BT$6,IF(AND('Zdroj data'!N145&gt;=Body!$BW$14,'Zdroj data'!N145&lt;=Body!$BY$14),Body!$BW$6,IF('Zdroj data'!N145&gt;=Body!$CB$14,Body!$BZ$6," "))))))))))," "))</f>
        <v>10</v>
      </c>
      <c r="I145" s="264">
        <f>IF(Tabulka1[[#This Row],[kv.ek.]]=Body!$AX$13,IF(AND('Zdroj data'!N145&gt;=Body!$AY$13,'Zdroj data'!N145&lt;=Body!$BA$13),Body!$AY$6,IF(AND('Zdroj data'!N145&gt;=Body!$BB$13,'Zdroj data'!N145&lt;=Body!$BD$13),Body!$BB$6,IF(AND('Zdroj data'!N145&gt;=Body!$BE$13,'Zdroj data'!N145&lt;=Body!$BG$13),Body!$BE$6,IF(AND('Zdroj data'!N145&gt;=Body!$BH$13,'Zdroj data'!N145&lt;=Body!$BJ$13),Body!$BH$6,IF(AND('Zdroj data'!N145&gt;=Body!$BK$13,'Zdroj data'!N145&lt;=Body!$BM$13),Body!$BK$6,IF(AND('Zdroj data'!N145&gt;=Body!$BN$13,'Zdroj data'!N145&lt;=Body!$BP$13),Body!$BN$6,IF(AND('Zdroj data'!N145&gt;=Body!$BQ$13,'Zdroj data'!N145&lt;=Body!$BS$13),Body!$BQ$6,IF(AND('Zdroj data'!N145&gt;=Body!$BT$13,'Zdroj data'!N145&lt;=Body!$BV$13),Body!$BT$6,IF(AND('Zdroj data'!N145&gt;=Body!$BW$13,'Zdroj data'!N145&lt;=Body!$BY$13),Body!$BW$6,IF('Zdroj data'!N145&gt;=Body!$CB$13,Body!$BZ$6," ")))))))))),IF(Tabulka1[[#This Row],[kv.ek.]]=Body!$AX$14,IF(AND('Zdroj data'!O145&gt;=Body!$AY$14,'Zdroj data'!O145&lt;=Body!$BA$14),Body!$AY$6,IF(AND('Zdroj data'!O145&gt;=Body!$BB$14,'Zdroj data'!O145&lt;=Body!$BD$14),Body!$BB$6,IF(AND('Zdroj data'!O145&gt;=Body!$BE$14,'Zdroj data'!O145&lt;=Body!$BG$14),Body!$BE$6,IF(AND('Zdroj data'!O145&gt;=Body!$BH$14,'Zdroj data'!O145&lt;=Body!$BJ$14),Body!$BH$6,IF(AND('Zdroj data'!O145&gt;=Body!$BK$14,'Zdroj data'!O145&lt;=Body!$BM$14),Body!$BK$6,IF(AND('Zdroj data'!O145&gt;=Body!$BN$14,'Zdroj data'!O145&lt;=Body!$BP$14),Body!$BN$6,IF(AND('Zdroj data'!O145&gt;=Body!$BQ$14,'Zdroj data'!O145&lt;=Body!$BS$14),Body!$BQ$6,IF(AND('Zdroj data'!O145&gt;=Body!$BT$14,'Zdroj data'!O145&lt;=Body!$BV$14),Body!$BT$6,IF(AND('Zdroj data'!O145&gt;=Body!$BW$14,'Zdroj data'!O145&lt;=Body!$BY$14),Body!$BW$6,IF('Zdroj data'!O145&gt;=Body!$CB$14,Body!$BZ$6," "))))))))))," "))</f>
        <v>10</v>
      </c>
      <c r="J145" s="264">
        <f t="shared" si="25"/>
        <v>2</v>
      </c>
      <c r="K145" s="264">
        <f t="shared" si="25"/>
        <v>2</v>
      </c>
      <c r="L145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6</v>
      </c>
      <c r="M145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7</v>
      </c>
      <c r="N145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145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145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45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145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145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145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9</v>
      </c>
      <c r="U145" s="264">
        <f>IF('Zdroj data'!BB145=Body!$AY$25,Body!$AY$22,IF('Zdroj data'!BB145=Body!$BB$25,Body!$BB$22,IF('Zdroj data'!BB145=Body!$BE$25,Body!$BE$22,IF('Zdroj data'!BB145=Body!$BH$25,Body!$BH$22,IF('Zdroj data'!BB145=Body!BK$25,Body!$BK$22,IF('Zdroj data'!BB145=Body!$BN$25,Body!$BN$22,IF('Zdroj data'!BB145=Body!$BQ$25,Body!$BQ$22,IF('Zdroj data'!BB145=Body!$BT$25,Body!$BT$22,IF('Zdroj data'!BB145=Body!$BW$25,Body!$BW$22,IF('Zdroj data'!BB145=Body!$BZ$25,Body!$BZ$22," "))))))))))</f>
        <v>7</v>
      </c>
      <c r="V145" s="264">
        <f>IF(AND('Zdroj data'!BO145&gt;Body!$AY$27,'Zdroj data'!BO145&lt;=Body!$BA$27),Body!$AY$22,IF(AND('Zdroj data'!BO145&gt;=Body!$BB$27,'Zdroj data'!BO145&lt;=Body!$BD$27),Body!$BB$22,IF(AND('Zdroj data'!BO145&gt;=Body!$BE$27,'Zdroj data'!BO145&lt;=Body!$BG$27),Body!$BE$22,IF(AND('Zdroj data'!BO145&gt;=Body!$BH$27,'Zdroj data'!BO145&lt;=Body!$BJ$27),Body!$BH$22,IF(AND('Zdroj data'!BO145&gt;=Body!$BK$27,'Zdroj data'!BO145&lt;=Body!$BM$27),Body!$BK$22,IF(AND('Zdroj data'!BO145&gt;=Body!$BN$27,'Zdroj data'!BO145&lt;=Body!$BP$27),Body!$BN$22,IF(AND('Zdroj data'!BO145&gt;=Body!$BQ$27,'Zdroj data'!BO145&lt;=Body!$BS$27),Body!$BQ$22,IF(AND('Zdroj data'!BO145&gt;=Body!$BT$27,'Zdroj data'!BO145&lt;=Body!$BV$27),Body!$BT$22,IF(AND('Zdroj data'!BO145&gt;=Body!$BW$27,'Zdroj data'!BO145&lt;=Body!$BY$27),Body!$BW$22,IF('Zdroj data'!BO145&gt;=Body!$CB$27,$BZ$22," "))))))))))</f>
        <v>8</v>
      </c>
      <c r="W145" s="264">
        <f>IF(AND('Zdroj data'!BP145&gt;Body!$AY$27,'Zdroj data'!BP145&lt;=Body!$BA$27),Body!$AY$22,IF(AND('Zdroj data'!BP145&gt;=Body!$BB$27,'Zdroj data'!BP145&lt;=Body!$BD$27),Body!$BB$22,IF(AND('Zdroj data'!BP145&gt;=Body!$BE$27,'Zdroj data'!BP145&lt;=Body!$BG$27),Body!$BE$22,IF(AND('Zdroj data'!BP145&gt;=Body!$BH$27,'Zdroj data'!BP145&lt;=Body!$BJ$27),Body!$BH$22,IF(AND('Zdroj data'!BP145&gt;=Body!$BK$27,'Zdroj data'!BP145&lt;=Body!$BM$27),Body!$BK$22,IF(AND('Zdroj data'!BP145&gt;=Body!$BN$27,'Zdroj data'!BP145&lt;=Body!$BP$27),Body!$BN$22,IF(AND('Zdroj data'!BP145&gt;=Body!$BQ$27,'Zdroj data'!BP145&lt;=Body!$BS$27),Body!$BQ$22,IF(AND('Zdroj data'!BP145&gt;=Body!$BT$27,'Zdroj data'!BP145&lt;=Body!$BV$27),Body!$BT$22,IF(AND('Zdroj data'!BP145&gt;=Body!$BW$27,'Zdroj data'!BP145&lt;=Body!$BY$27),Body!$BW$22,IF('Zdroj data'!BP145&gt;=Body!$CB$27,$BZ$22," "))))))))))</f>
        <v>5</v>
      </c>
      <c r="X145" s="264">
        <f>IF('Zdroj data'!BA145=Body!$BB$28,$BB$22,IF('Zdroj data'!BA145=Body!$BE$28,$BE$22,IF(OR('Zdroj data'!BA145=Body!$BK$28,'Zdroj data'!BA145=Body!$BL$28,'Zdroj data'!BA145=Body!$BM$28),$BK$22,IF(OR('Zdroj data'!BA145=Body!$BT$28,'Zdroj data'!BA145=Body!$BV$28),$BT$22,IF(OR('Zdroj data'!BA145=Body!$BW$28,'Zdroj data'!BA145=Body!$BY$28),$BW$22,IF('Zdroj data'!BA145=Body!$BZ$28,$BZ$22," "))))))</f>
        <v>10</v>
      </c>
      <c r="Y145" s="264">
        <f>IF('Zdroj data'!AZ145=Body!$BZ$29,Body!$BZ$22,IF(OR('Zdroj data'!AZ145=$BT$29,'Zdroj data'!AZ145=$BU$29,'Zdroj data'!AZ145=$BV$29),$BT$22,IF(OR('Zdroj data'!AZ145=$BK$29,'Zdroj data'!AZ145=$BM$29),$BK$22,IF(OR('Zdroj data'!AZ145=$BE$29,'Zdroj data'!AZ145=$BG$29),$BE$22,IF(OR('Zdroj data'!AZ145=$AY$29,'Zdroj data'!AZ145=$BA$29),$AY$22," ")))))</f>
        <v>10</v>
      </c>
      <c r="Z145" s="264">
        <f>IF(AND('Zdroj data'!BF145="T",(OR('Zdroj data'!AZ145=Body!$AW$45,'Zdroj data'!AZ145=Body!$AW$46,'Zdroj data'!AZ145=Body!$AW$47,'Zdroj data'!AZ145=Body!$AW$48))),Body!$AY$22,IF(AND('Zdroj data'!BF145="T",(OR('Zdroj data'!AZ145=$AW$49,'Zdroj data'!AZ145=$AW$50,'Zdroj data'!AZ145=$AW$51,'Zdroj data'!AZ145=$AW$52))),$BZ$22,IF(AND(OR('Zdroj data'!BF145="VT",'Zdroj data'!BF145="T",'Zdroj data'!BF145="CH"),(OR('Zdroj data'!AZ145=$AW$43,'Zdroj data'!AZ145=$AW$44,))),$BZ$22,IF(AND('Zdroj data'!BF145="CH",(OR('Zdroj data'!AZ145=$AW$49,'Zdroj data'!AZ145=$AW$50,'Zdroj data'!AZ145=$AW$51,'Zdroj data'!AZ145=$AW$52))),$AY$22,IF(AND('Zdroj data'!BF145="CH",(OR('Zdroj data'!AZ145=$AW$45,'Zdroj data'!AZ145=$AW$46,'Zdroj data'!AZ145=$AW$47,'Zdroj data'!AZ145=$AW$48))),$BZ$22," ")))))</f>
        <v>10</v>
      </c>
      <c r="AA145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45" s="264">
        <f>IF(Tabulka1[[#This Row],[kv.ek.]]=Body!$BK$35,Body!$BK$34,IF(Tabulka1[[#This Row],[kv.ek.]]=Body!$BZ$35,Body!$BZ$34," "))</f>
        <v>5</v>
      </c>
      <c r="AC145" s="264" t="str">
        <f>IF(AND('Zdroj data'!BF145="T",(OR('Zdroj data'!AZ145=Body!$AW$45,'Zdroj data'!AZ145=Body!$AW$46,'Zdroj data'!AZ145=Body!$AW$47,'Zdroj data'!AZ145=Body!$AW$48))),Body!$AY$22,IF(AND('Zdroj data'!BF145="T",(OR('Zdroj data'!AZ145=$AW$49,'Zdroj data'!AZ145=$AW$50,'Zdroj data'!AZ145=$AW$51,'Zdroj data'!AZ145=$AW$52))),$BZ$22," "))</f>
        <v xml:space="preserve"> </v>
      </c>
      <c r="AD145" s="264">
        <f>IF(AND(OR('Zdroj data'!BF145="VT",'Zdroj data'!BF145="T",'Zdroj data'!BF145="CH"),(OR('Zdroj data'!AZ145=$AW$43,'Zdroj data'!AZ145=$AW$44,))),$BZ$22," ")</f>
        <v>10</v>
      </c>
      <c r="AE145" s="264" t="str">
        <f>IF(AND('Zdroj data'!BF145="CH",(OR('Zdroj data'!AZ145=$AW$49,'Zdroj data'!AZ145=$AW$50,'Zdroj data'!AZ145=$AW$51,'Zdroj data'!AZ145=$AW$52))),$AY$22,IF(AND('Zdroj data'!BF145="CH",(OR('Zdroj data'!AZ145=$AW$45,'Zdroj data'!AZ145=$AW$46,'Zdroj data'!AZ145=$AW$47,'Zdroj data'!AZ145=$AW$48))),$BZ$22," "))</f>
        <v xml:space="preserve"> </v>
      </c>
      <c r="AF145" s="264">
        <f>IF(AND('Zdroj data'!BG145="L",'Zdroj data'!AM145=Body!$AX$15),IF(AND('Zdroj data'!O145&gt;=Body!$AY$15,'Zdroj data'!O145&lt;=Body!$BA$15),Body!AY$6,IF(AND('Zdroj data'!O145&gt;=Body!$BB$15,'Zdroj data'!O145&lt;=Body!$BD$15),Body!BB$6,IF(AND('Zdroj data'!O145&gt;=Body!$BE$15,'Zdroj data'!O145&lt;=Body!$BG$15),Body!BE$6,IF(AND('Zdroj data'!O145&gt;=Body!$BH$15,'Zdroj data'!O145&lt;=Body!$BJ$15),Body!BH$6,IF(AND('Zdroj data'!O145&gt;=Body!$BK$15,'Zdroj data'!O145&lt;=Body!$BM$15),Body!BK$6,IF(AND('Zdroj data'!O145&gt;=Body!$BN$15,'Zdroj data'!O145&lt;=Body!$BP$15),Body!$BN$6,IF(AND('Zdroj data'!O145&gt;=Body!$BQ$15,'Zdroj data'!O145&lt;=Body!$BS$15),Body!$BQ$6,IF(AND('Zdroj data'!O145&gt;=Body!$BT$15,'Zdroj data'!O145&lt;=Body!$BV$15),Body!BT$6,IF(AND('Zdroj data'!O145&gt;=Body!$BW$15,'Zdroj data'!O145&lt;=Body!$BY$15),Body!$BW$6,IF('Zdroj data'!O145&gt;=Body!$CB$15,Body!$BZ$6," ")))))))))),IF(AND('Zdroj data'!BG145="ST",'Zdroj data'!AM145=Body!$AX$16),IF(AND('Zdroj data'!O145&gt;=Body!$AY$16,'Zdroj data'!O145&lt;=Body!$BA$16),Body!$AY$6,IF(AND('Zdroj data'!O145&gt;=Body!$BB$16,'Zdroj data'!O145&lt;=Body!$BD$16),Body!$BB$6,IF(AND('Zdroj data'!O145&gt;=Body!$BE$16,'Zdroj data'!O145&lt;=Body!$BG$16),Body!$BE$6,IF(AND('Zdroj data'!O145&gt;=Body!$BH$16,'Zdroj data'!O145&lt;=Body!$BJ$16),Body!$BH$6,IF(AND('Zdroj data'!O145&gt;=Body!$BK$16,'Zdroj data'!O145&lt;=Body!$BM$16),Body!$BK$6,IF(AND('Zdroj data'!O145&gt;=Body!$BN$16,'Zdroj data'!O145&lt;=Body!$BP$16),Body!$BN$6,IF(AND('Zdroj data'!O145&gt;=Body!$BQ$16,'Zdroj data'!O145&lt;=Body!$BS$16),Body!$BQ$6,IF(AND('Zdroj data'!O145&gt;=Body!$BT$16,'Zdroj data'!O145&lt;=Body!$BV$16),Body!$BT$6,IF(AND('Zdroj data'!O145&gt;=Body!$BW$16,'Zdroj data'!O145&lt;=Body!$BY$16),Body!$BW$6,IF('Zdroj data'!O145&gt;=Body!$CB$16,Body!$BZ$6," ")))))))))),IF(AND('Zdroj data'!BG145="T",'Zdroj data'!AM145=Body!$AX$17),IF(AND('Zdroj data'!O145&gt;=Body!$AY$17,'Zdroj data'!O145&lt;=Body!$BA$17),Body!$AY$6,IF(AND('Zdroj data'!O145&gt;=Body!$BB$17,'Zdroj data'!O145&lt;=Body!$BD$17),Body!$BB$6,IF(AND('Zdroj data'!O145&gt;=Body!$BE$17,'Zdroj data'!O145&lt;=Body!$BG$17),Body!$BE$6,IF(AND('Zdroj data'!O145&gt;=Body!$BH$17,'Zdroj data'!O145&lt;=Body!BJ159),Body!$BH$6,IF(AND('Zdroj data'!O145&gt;=Body!$BK$17,'Zdroj data'!O145&lt;=Body!$BM$17),Body!$BK$6,IF(AND('Zdroj data'!O145&gt;=Body!$BN$17,'Zdroj data'!O145&lt;=Body!$BP$17),Body!$BN$6,IF(AND('Zdroj data'!O145&gt;=Body!$BQ$17,'Zdroj data'!O145&lt;=Body!$BS$17),Body!$BQ$6,IF(AND('Zdroj data'!O145&gt;=Body!$BT$17,'Zdroj data'!O145&lt;=Body!$BV$17),Body!$BT$6,IF(AND('Zdroj data'!O145&gt;=Body!$BW$17,'Zdroj data'!O145&lt;=Body!$BY$17),Body!$BW$6,IF('Zdroj data'!O145&gt;=Body!$CB$17,Body!$BZ$6," "))))))))))," ")))</f>
        <v>2</v>
      </c>
      <c r="AG145" s="264">
        <f>IF(AND('Zdroj data'!$BG145="L",'Zdroj data'!$AM145=Body!$AX$15),IF(AND(Tabulka1[[#This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data'!$BG145="ST",'Zdroj data'!$AM145=Body!$AX$16),IF(AND(Tabulka1[[#This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data'!$BG145="T",'Zdroj data'!$AM145=Body!$AX$17),IF(AND(Tabulka1[[#This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Row],[K2O_60]]&lt;=Body!BJ159),Body!$BH$6,IF(AND(Tabulka1[[#This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2</v>
      </c>
      <c r="AH145" s="264" t="str">
        <f>IF(AND('Zdroj data'!BG145="L",'Zdroj data'!AM145=Body!$AX$18),IF(AND('Zdroj data'!O145&gt;=Body!$AY$18,'Zdroj data'!O145&lt;=Body!$BA$18),Body!AY$6,IF(AND('Zdroj data'!O145&gt;=Body!$BB$18,'Zdroj data'!O145&lt;=Body!$BD$18),Body!BB$6,IF(AND('Zdroj data'!O145&gt;=Body!$BE$18,'Zdroj data'!O145&lt;=Body!$BG$18),Body!BE$6,IF(AND('Zdroj data'!O145&gt;=Body!$BH$18,'Zdroj data'!O145&lt;=Body!$BJ$18),Body!BH$6,IF(AND('Zdroj data'!O145&gt;=Body!$BK$18,'Zdroj data'!O145&lt;=Body!$BM$18),Body!$BK$6,IF(AND('Zdroj data'!O145&gt;=Body!$BN$18,'Zdroj data'!O145&lt;=Body!$BP$18),Body!BN$6,IF(AND('Zdroj data'!O145&gt;=Body!$BQ$18,'Zdroj data'!O145&lt;=Body!$BS$18),Body!$BQ$6,IF(AND('Zdroj data'!O145&gt;=Body!$BT$18,'Zdroj data'!O145&lt;=Body!$BV$18),Body!$BT$6,IF(AND('Zdroj data'!O145&gt;=Body!$BW$18,'Zdroj data'!O145&lt;=Body!$BY$18),Body!$BW$6,IF('Zdroj data'!O145&gt;=Body!$CB$18,Body!$BZ$6," ")))))))))),IF(AND('Zdroj data'!BG145="ST",'Zdroj data'!AM145=Body!$AX$19),IF(AND('Zdroj data'!O145&gt;=Body!$AY$19,'Zdroj data'!O145&lt;=Body!$BA$19),Body!$AY$6,IF(AND('Zdroj data'!O145&gt;=Body!$BB$19,'Zdroj data'!O145&lt;=Body!$BD$19),Body!$BB$6,IF(AND('Zdroj data'!O145&gt;=Body!$BE$19,'Zdroj data'!O145&lt;=Body!$BG$19),Body!$BE$6,IF(AND('Zdroj data'!O145&gt;=Body!$BH$19,'Zdroj data'!O145&lt;=Body!$BJ$19),Body!$BH$6,IF(AND('Zdroj data'!O145&gt;=Body!$BK$19,'Zdroj data'!O145&lt;=Body!$BM$19),Body!$BK$6,IF(AND('Zdroj data'!O145&gt;=Body!$BN$19,'Zdroj data'!O145&lt;=Body!$BP$19),Body!$BN$6,IF(AND('Zdroj data'!O145&gt;=Body!$BQ$19,'Zdroj data'!O145&lt;=Body!$BS$19),Body!$BQ$6,IF(AND('Zdroj data'!O145&gt;=Body!$BT$19,'Zdroj data'!O149&lt;=Body!$BV$19),Body!$BT$6,IF(AND('Zdroj data'!O145&gt;=Body!$BW$19,'Zdroj data'!O145&lt;=Body!$BY$19),Body!$BW$6,IF('Zdroj data'!O145&gt;=Body!$CB$19,Body!$BZ$6," ")))))))))),IF(AND('Zdroj data'!BG145="T",'Zdroj data'!AM145=Body!$AX$20),IF(AND('Zdroj data'!O145&gt;=Body!$AY$20,'Zdroj data'!O145&lt;=Body!$BA$20),Body!$AY$6,IF(AND('Zdroj data'!O145&gt;=Body!$BB$20,'Zdroj data'!O145&lt;=Body!$BD$20),Body!$BB$6,IF(AND('Zdroj data'!O145&gt;=Body!$BE$20,'Zdroj data'!O145&lt;=Body!$BG$20),Body!$BE$6,IF(AND('Zdroj data'!O145&gt;=Body!$BH$20,'Zdroj data'!O145&lt;=Body!$BJ$20),Body!$BH$6,IF(AND('Zdroj data'!O145&gt;=Body!$BK$20,'Zdroj data'!O145&lt;=Body!$BM$20),Body!$BK$6,IF(AND('Zdroj data'!O145&gt;=Body!$BN$20,'Zdroj data'!O145&lt;=Body!$BP$20),Body!$BN$6,IF(AND('Zdroj data'!O145&gt;=Body!$BQ$20,'Zdroj data'!O145&lt;=Body!$BS$20),Body!$BQ$6,IF(AND('Zdroj data'!O145&gt;=Body!$BT$20,'Zdroj data'!O145&lt;=Body!BV162),Body!$BT$6,IF(AND('Zdroj data'!O145&gt;=Body!$BW$20,'Zdroj data'!O145&lt;=Body!$BY$20),Body!$BW$6,IF('Zdroj data'!O145&gt;=Body!$CB$20,Body!$BZ$6," "))))))))))," ")))</f>
        <v xml:space="preserve"> </v>
      </c>
      <c r="AI145" s="264" t="str">
        <f>IF(AND('Zdroj data'!$BG145="L",'Zdroj data'!$AM145=Body!$AX$18),IF(AND(Tabulka1[[#This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data'!$BG145="ST",'Zdroj data'!$AM145=Body!$AX$19),IF(AND(Tabulka1[[#This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data'!$BG145="T",'Zdroj data'!$AM145=Body!$AX$20),IF(AND(Tabulka1[[#This Row],[K2O_60]]&gt;=Body!$AY$20,'Zdroj data'!O145&lt;=Body!$BA$20),Body!$AY$6,IF(AND(Tabulka1[[#This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Row],[K2O_60]]&lt;=Body!BV162),Body!$BT$6,IF(AND(Tabulka1[[#This Row],[K2O_60]]&gt;=Body!$BW$20,Tabulka1[[#This Row],[K2O_60]]&lt;=Body!$BY$20),Body!$BW$6,IF(Tabulka1[[#This Row],[K2O_60]]&gt;=Body!$CB$20,Body!$BZ$6," "))))))))))," ")))</f>
        <v xml:space="preserve"> </v>
      </c>
      <c r="AJ145" s="265">
        <f t="shared" si="26"/>
        <v>5.3333333333333375</v>
      </c>
      <c r="AK145" s="264">
        <f t="shared" si="27"/>
        <v>34.282015782310715</v>
      </c>
      <c r="AL145" s="264">
        <f t="shared" si="28"/>
        <v>32.730181696973467</v>
      </c>
      <c r="AM145" s="264">
        <f t="shared" si="29"/>
        <v>81.864450136623731</v>
      </c>
      <c r="AN145" s="264">
        <f t="shared" si="30"/>
        <v>73.317046557941794</v>
      </c>
      <c r="AO145" s="265">
        <f t="shared" si="33"/>
        <v>116.14646591893444</v>
      </c>
      <c r="AP145" s="265">
        <f t="shared" si="31"/>
        <v>106.04722825491527</v>
      </c>
      <c r="AQ145" s="318"/>
      <c r="AR145" s="338">
        <f t="shared" si="32"/>
        <v>227.52702750718305</v>
      </c>
      <c r="AS145" s="318"/>
      <c r="AT145" s="138"/>
      <c r="AU145" s="138"/>
    </row>
    <row r="146" spans="1:47" ht="15.5" x14ac:dyDescent="0.35">
      <c r="A146" s="270">
        <v>9125</v>
      </c>
      <c r="B146" s="156" t="s">
        <v>654</v>
      </c>
      <c r="C146" s="250" t="str">
        <f>VLOOKUP(B146,'Zdroj hloubka okresy'!$A$2:$D$171,2,FALSE)</f>
        <v>Mlada_Boleslav</v>
      </c>
      <c r="D146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9</v>
      </c>
      <c r="E146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9</v>
      </c>
      <c r="F146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46" s="264">
        <f>IF(AND(Tabulka1[[#This Row],[hum_60]]&gt;AY152,Tabulka1[[#This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46" s="264">
        <f>IF(Tabulka1[[#This Row],[kv.ek.]]=Body!$AX$13,IF(AND('Zdroj data'!M146&gt;=Body!$AY$13,'Zdroj data'!M146&lt;=Body!$BA$13),Body!$AY$6,IF(AND('Zdroj data'!M146&gt;=Body!$BB$13,'Zdroj data'!M146&lt;=Body!$BD$13),Body!$BB$6,IF(AND('Zdroj data'!M146&gt;=Body!$BE$13,'Zdroj data'!M146&lt;=Body!$BG$13),Body!$BE$6,IF(AND('Zdroj data'!M146&gt;=Body!$BH$13,'Zdroj data'!M146&lt;=Body!$BJ$13),Body!$BH$6,IF(AND('Zdroj data'!M146&gt;=Body!$BK$13,'Zdroj data'!M146&lt;=Body!$BM$13),Body!$BK$6,IF(AND('Zdroj data'!M146&gt;=Body!$BN$13,'Zdroj data'!M146&lt;=Body!$BP$13),Body!$BN$6,IF(AND('Zdroj data'!M146&gt;=Body!$BQ$13,'Zdroj data'!M146&lt;=Body!$BS$13),Body!$BQ$6,IF(AND('Zdroj data'!M146&gt;=Body!$BT$13,'Zdroj data'!M146&lt;=Body!$BV$13),Body!$BT$6,IF(AND('Zdroj data'!M146&gt;=Body!$BW$13,'Zdroj data'!M146&lt;=Body!$BY$13),Body!$BW$6,IF('Zdroj data'!M146&gt;=Body!$CB$13,Body!$BZ$6," ")))))))))),IF(Tabulka1[[#This Row],[kv.ek.]]=Body!$AX$14,IF(AND('Zdroj data'!N146&gt;=Body!$AY$14,'Zdroj data'!N146&lt;=Body!$BA$14),Body!$AY$6,IF(AND('Zdroj data'!N146&gt;=Body!$BB$14,'Zdroj data'!N146&lt;=Body!$BD$14),Body!$BB$6,IF(AND('Zdroj data'!N146&gt;=Body!$BE$14,'Zdroj data'!N146&lt;=Body!$BG$14),Body!$BE$6,IF(AND('Zdroj data'!N146&gt;=Body!$BH$14,'Zdroj data'!N146&lt;=Body!$BJ$14),Body!$BH$6,IF(AND('Zdroj data'!N146&gt;=Body!$BK$14,'Zdroj data'!N146&lt;=Body!$BM$14),Body!$BK$6,IF(AND('Zdroj data'!N146&gt;=Body!$BN$14,'Zdroj data'!N146&lt;=Body!$BP$14),Body!$BN$6,IF(AND('Zdroj data'!N146&gt;=Body!$BQ$14,'Zdroj data'!N146&lt;=Body!$BS$14),Body!$BQ$6,IF(AND('Zdroj data'!N146&gt;=Body!$BT$14,'Zdroj data'!N146&lt;=Body!$BV$14),Body!$BT$6,IF(AND('Zdroj data'!N146&gt;=Body!$BW$14,'Zdroj data'!N146&lt;=Body!$BY$14),Body!$BW$6,IF('Zdroj data'!N146&gt;=Body!$CB$14,Body!$BZ$6," "))))))))))," "))</f>
        <v>5</v>
      </c>
      <c r="I146" s="264">
        <f>IF(Tabulka1[[#This Row],[kv.ek.]]=Body!$AX$13,IF(AND('Zdroj data'!N146&gt;=Body!$AY$13,'Zdroj data'!N146&lt;=Body!$BA$13),Body!$AY$6,IF(AND('Zdroj data'!N146&gt;=Body!$BB$13,'Zdroj data'!N146&lt;=Body!$BD$13),Body!$BB$6,IF(AND('Zdroj data'!N146&gt;=Body!$BE$13,'Zdroj data'!N146&lt;=Body!$BG$13),Body!$BE$6,IF(AND('Zdroj data'!N146&gt;=Body!$BH$13,'Zdroj data'!N146&lt;=Body!$BJ$13),Body!$BH$6,IF(AND('Zdroj data'!N146&gt;=Body!$BK$13,'Zdroj data'!N146&lt;=Body!$BM$13),Body!$BK$6,IF(AND('Zdroj data'!N146&gt;=Body!$BN$13,'Zdroj data'!N146&lt;=Body!$BP$13),Body!$BN$6,IF(AND('Zdroj data'!N146&gt;=Body!$BQ$13,'Zdroj data'!N146&lt;=Body!$BS$13),Body!$BQ$6,IF(AND('Zdroj data'!N146&gt;=Body!$BT$13,'Zdroj data'!N146&lt;=Body!$BV$13),Body!$BT$6,IF(AND('Zdroj data'!N146&gt;=Body!$BW$13,'Zdroj data'!N146&lt;=Body!$BY$13),Body!$BW$6,IF('Zdroj data'!N146&gt;=Body!$CB$13,Body!$BZ$6," ")))))))))),IF(Tabulka1[[#This Row],[kv.ek.]]=Body!$AX$14,IF(AND('Zdroj data'!O146&gt;=Body!$AY$14,'Zdroj data'!O146&lt;=Body!$BA$14),Body!$AY$6,IF(AND('Zdroj data'!O146&gt;=Body!$BB$14,'Zdroj data'!O146&lt;=Body!$BD$14),Body!$BB$6,IF(AND('Zdroj data'!O146&gt;=Body!$BE$14,'Zdroj data'!O146&lt;=Body!$BG$14),Body!$BE$6,IF(AND('Zdroj data'!O146&gt;=Body!$BH$14,'Zdroj data'!O146&lt;=Body!$BJ$14),Body!$BH$6,IF(AND('Zdroj data'!O146&gt;=Body!$BK$14,'Zdroj data'!O146&lt;=Body!$BM$14),Body!$BK$6,IF(AND('Zdroj data'!O146&gt;=Body!$BN$14,'Zdroj data'!O146&lt;=Body!$BP$14),Body!$BN$6,IF(AND('Zdroj data'!O146&gt;=Body!$BQ$14,'Zdroj data'!O146&lt;=Body!$BS$14),Body!$BQ$6,IF(AND('Zdroj data'!O146&gt;=Body!$BT$14,'Zdroj data'!O146&lt;=Body!$BV$14),Body!$BT$6,IF(AND('Zdroj data'!O146&gt;=Body!$BW$14,'Zdroj data'!O146&lt;=Body!$BY$14),Body!$BW$6,IF('Zdroj data'!O146&gt;=Body!$CB$14,Body!$BZ$6," "))))))))))," "))</f>
        <v>3</v>
      </c>
      <c r="J146" s="264">
        <f t="shared" si="25"/>
        <v>1</v>
      </c>
      <c r="K146" s="264">
        <f t="shared" si="25"/>
        <v>1</v>
      </c>
      <c r="L146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146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146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9</v>
      </c>
      <c r="O146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146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46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146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146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146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146" s="264">
        <f>IF('Zdroj data'!BB146=Body!$AY$25,Body!$AY$22,IF('Zdroj data'!BB146=Body!$BB$25,Body!$BB$22,IF('Zdroj data'!BB146=Body!$BE$25,Body!$BE$22,IF('Zdroj data'!BB146=Body!$BH$25,Body!$BH$22,IF('Zdroj data'!BB146=Body!BK$25,Body!$BK$22,IF('Zdroj data'!BB146=Body!$BN$25,Body!$BN$22,IF('Zdroj data'!BB146=Body!$BQ$25,Body!$BQ$22,IF('Zdroj data'!BB146=Body!$BT$25,Body!$BT$22,IF('Zdroj data'!BB146=Body!$BW$25,Body!$BW$22,IF('Zdroj data'!BB146=Body!$BZ$25,Body!$BZ$22," "))))))))))</f>
        <v>5</v>
      </c>
      <c r="V146" s="264">
        <f>IF(AND('Zdroj data'!BO146&gt;Body!$AY$27,'Zdroj data'!BO146&lt;=Body!$BA$27),Body!$AY$22,IF(AND('Zdroj data'!BO146&gt;=Body!$BB$27,'Zdroj data'!BO146&lt;=Body!$BD$27),Body!$BB$22,IF(AND('Zdroj data'!BO146&gt;=Body!$BE$27,'Zdroj data'!BO146&lt;=Body!$BG$27),Body!$BE$22,IF(AND('Zdroj data'!BO146&gt;=Body!$BH$27,'Zdroj data'!BO146&lt;=Body!$BJ$27),Body!$BH$22,IF(AND('Zdroj data'!BO146&gt;=Body!$BK$27,'Zdroj data'!BO146&lt;=Body!$BM$27),Body!$BK$22,IF(AND('Zdroj data'!BO146&gt;=Body!$BN$27,'Zdroj data'!BO146&lt;=Body!$BP$27),Body!$BN$22,IF(AND('Zdroj data'!BO146&gt;=Body!$BQ$27,'Zdroj data'!BO146&lt;=Body!$BS$27),Body!$BQ$22,IF(AND('Zdroj data'!BO146&gt;=Body!$BT$27,'Zdroj data'!BO146&lt;=Body!$BV$27),Body!$BT$22,IF(AND('Zdroj data'!BO146&gt;=Body!$BW$27,'Zdroj data'!BO146&lt;=Body!$BY$27),Body!$BW$22,IF('Zdroj data'!BO146&gt;=Body!$CB$27,$BZ$22," "))))))))))</f>
        <v>6</v>
      </c>
      <c r="W146" s="264">
        <f>IF(AND('Zdroj data'!BP146&gt;Body!$AY$27,'Zdroj data'!BP146&lt;=Body!$BA$27),Body!$AY$22,IF(AND('Zdroj data'!BP146&gt;=Body!$BB$27,'Zdroj data'!BP146&lt;=Body!$BD$27),Body!$BB$22,IF(AND('Zdroj data'!BP146&gt;=Body!$BE$27,'Zdroj data'!BP146&lt;=Body!$BG$27),Body!$BE$22,IF(AND('Zdroj data'!BP146&gt;=Body!$BH$27,'Zdroj data'!BP146&lt;=Body!$BJ$27),Body!$BH$22,IF(AND('Zdroj data'!BP146&gt;=Body!$BK$27,'Zdroj data'!BP146&lt;=Body!$BM$27),Body!$BK$22,IF(AND('Zdroj data'!BP146&gt;=Body!$BN$27,'Zdroj data'!BP146&lt;=Body!$BP$27),Body!$BN$22,IF(AND('Zdroj data'!BP146&gt;=Body!$BQ$27,'Zdroj data'!BP146&lt;=Body!$BS$27),Body!$BQ$22,IF(AND('Zdroj data'!BP146&gt;=Body!$BT$27,'Zdroj data'!BP146&lt;=Body!$BV$27),Body!$BT$22,IF(AND('Zdroj data'!BP146&gt;=Body!$BW$27,'Zdroj data'!BP146&lt;=Body!$BY$27),Body!$BW$22,IF('Zdroj data'!BP146&gt;=Body!$CB$27,$BZ$22," "))))))))))</f>
        <v>5</v>
      </c>
      <c r="X146" s="264">
        <f>IF('Zdroj data'!BA146=Body!$BB$28,$BB$22,IF('Zdroj data'!BA146=Body!$BE$28,$BE$22,IF(OR('Zdroj data'!BA146=Body!$BK$28,'Zdroj data'!BA146=Body!$BL$28,'Zdroj data'!BA146=Body!$BM$28),$BK$22,IF(OR('Zdroj data'!BA146=Body!$BT$28,'Zdroj data'!BA146=Body!$BV$28),$BT$22,IF(OR('Zdroj data'!BA146=Body!$BW$28,'Zdroj data'!BA146=Body!$BY$28),$BW$22,IF('Zdroj data'!BA146=Body!$BZ$28,$BZ$22," "))))))</f>
        <v>10</v>
      </c>
      <c r="Y146" s="264">
        <f>IF('Zdroj data'!AZ146=Body!$BZ$29,Body!$BZ$22,IF(OR('Zdroj data'!AZ146=$BT$29,'Zdroj data'!AZ146=$BU$29,'Zdroj data'!AZ146=$BV$29),$BT$22,IF(OR('Zdroj data'!AZ146=$BK$29,'Zdroj data'!AZ146=$BM$29),$BK$22,IF(OR('Zdroj data'!AZ146=$BE$29,'Zdroj data'!AZ146=$BG$29),$BE$22,IF(OR('Zdroj data'!AZ146=$AY$29,'Zdroj data'!AZ146=$BA$29),$AY$22," ")))))</f>
        <v>5</v>
      </c>
      <c r="Z146" s="264">
        <f>IF(AND('Zdroj data'!BF146="T",(OR('Zdroj data'!AZ146=Body!$AW$45,'Zdroj data'!AZ146=Body!$AW$46,'Zdroj data'!AZ146=Body!$AW$47,'Zdroj data'!AZ146=Body!$AW$48))),Body!$AY$22,IF(AND('Zdroj data'!BF146="T",(OR('Zdroj data'!AZ146=$AW$49,'Zdroj data'!AZ146=$AW$50,'Zdroj data'!AZ146=$AW$51,'Zdroj data'!AZ146=$AW$52))),$BZ$22,IF(AND(OR('Zdroj data'!BF146="VT",'Zdroj data'!BF146="T",'Zdroj data'!BF146="CH"),(OR('Zdroj data'!AZ146=$AW$43,'Zdroj data'!AZ146=$AW$44,))),$BZ$22,IF(AND('Zdroj data'!BF146="CH",(OR('Zdroj data'!AZ146=$AW$49,'Zdroj data'!AZ146=$AW$50,'Zdroj data'!AZ146=$AW$51,'Zdroj data'!AZ146=$AW$52))),$AY$22,IF(AND('Zdroj data'!BF146="CH",(OR('Zdroj data'!AZ146=$AW$45,'Zdroj data'!AZ146=$AW$46,'Zdroj data'!AZ146=$AW$47,'Zdroj data'!AZ146=$AW$48))),$BZ$22," ")))))</f>
        <v>10</v>
      </c>
      <c r="AA146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46" s="264">
        <f>IF(Tabulka1[[#This Row],[kv.ek.]]=Body!$BK$35,Body!$BK$34,IF(Tabulka1[[#This Row],[kv.ek.]]=Body!$BZ$35,Body!$BZ$34," "))</f>
        <v>5</v>
      </c>
      <c r="AC146" s="264">
        <f>IF(AND('Zdroj data'!BF146="T",(OR('Zdroj data'!AZ146=Body!$AW$45,'Zdroj data'!AZ146=Body!$AW$46,'Zdroj data'!AZ146=Body!$AW$47,'Zdroj data'!AZ146=Body!$AW$48))),Body!$AY$22,IF(AND('Zdroj data'!BF146="T",(OR('Zdroj data'!AZ146=$AW$49,'Zdroj data'!AZ146=$AW$50,'Zdroj data'!AZ146=$AW$51,'Zdroj data'!AZ146=$AW$52))),$BZ$22," "))</f>
        <v>10</v>
      </c>
      <c r="AD146" s="264" t="str">
        <f>IF(AND(OR('Zdroj data'!BF146="VT",'Zdroj data'!BF146="T",'Zdroj data'!BF146="CH"),(OR('Zdroj data'!AZ146=$AW$43,'Zdroj data'!AZ146=$AW$44,))),$BZ$22," ")</f>
        <v xml:space="preserve"> </v>
      </c>
      <c r="AE146" s="264" t="str">
        <f>IF(AND('Zdroj data'!BF146="CH",(OR('Zdroj data'!AZ146=$AW$49,'Zdroj data'!AZ146=$AW$50,'Zdroj data'!AZ146=$AW$51,'Zdroj data'!AZ146=$AW$52))),$AY$22,IF(AND('Zdroj data'!BF146="CH",(OR('Zdroj data'!AZ146=$AW$45,'Zdroj data'!AZ146=$AW$46,'Zdroj data'!AZ146=$AW$47,'Zdroj data'!AZ146=$AW$48))),$BZ$22," "))</f>
        <v xml:space="preserve"> </v>
      </c>
      <c r="AF146" s="264">
        <f>IF(AND('Zdroj data'!BG146="L",'Zdroj data'!AM146=Body!$AX$15),IF(AND('Zdroj data'!O146&gt;=Body!$AY$15,'Zdroj data'!O146&lt;=Body!$BA$15),Body!AY$6,IF(AND('Zdroj data'!O146&gt;=Body!$BB$15,'Zdroj data'!O146&lt;=Body!$BD$15),Body!BB$6,IF(AND('Zdroj data'!O146&gt;=Body!$BE$15,'Zdroj data'!O146&lt;=Body!$BG$15),Body!BE$6,IF(AND('Zdroj data'!O146&gt;=Body!$BH$15,'Zdroj data'!O146&lt;=Body!$BJ$15),Body!BH$6,IF(AND('Zdroj data'!O146&gt;=Body!$BK$15,'Zdroj data'!O146&lt;=Body!$BM$15),Body!BK$6,IF(AND('Zdroj data'!O146&gt;=Body!$BN$15,'Zdroj data'!O146&lt;=Body!$BP$15),Body!$BN$6,IF(AND('Zdroj data'!O146&gt;=Body!$BQ$15,'Zdroj data'!O146&lt;=Body!$BS$15),Body!$BQ$6,IF(AND('Zdroj data'!O146&gt;=Body!$BT$15,'Zdroj data'!O146&lt;=Body!$BV$15),Body!BT$6,IF(AND('Zdroj data'!O146&gt;=Body!$BW$15,'Zdroj data'!O146&lt;=Body!$BY$15),Body!$BW$6,IF('Zdroj data'!O146&gt;=Body!$CB$15,Body!$BZ$6," ")))))))))),IF(AND('Zdroj data'!BG146="ST",'Zdroj data'!AM146=Body!$AX$16),IF(AND('Zdroj data'!O146&gt;=Body!$AY$16,'Zdroj data'!O146&lt;=Body!$BA$16),Body!$AY$6,IF(AND('Zdroj data'!O146&gt;=Body!$BB$16,'Zdroj data'!O146&lt;=Body!$BD$16),Body!$BB$6,IF(AND('Zdroj data'!O146&gt;=Body!$BE$16,'Zdroj data'!O146&lt;=Body!$BG$16),Body!$BE$6,IF(AND('Zdroj data'!O146&gt;=Body!$BH$16,'Zdroj data'!O146&lt;=Body!$BJ$16),Body!$BH$6,IF(AND('Zdroj data'!O146&gt;=Body!$BK$16,'Zdroj data'!O146&lt;=Body!$BM$16),Body!$BK$6,IF(AND('Zdroj data'!O146&gt;=Body!$BN$16,'Zdroj data'!O146&lt;=Body!$BP$16),Body!$BN$6,IF(AND('Zdroj data'!O146&gt;=Body!$BQ$16,'Zdroj data'!O146&lt;=Body!$BS$16),Body!$BQ$6,IF(AND('Zdroj data'!O146&gt;=Body!$BT$16,'Zdroj data'!O146&lt;=Body!$BV$16),Body!$BT$6,IF(AND('Zdroj data'!O146&gt;=Body!$BW$16,'Zdroj data'!O146&lt;=Body!$BY$16),Body!$BW$6,IF('Zdroj data'!O146&gt;=Body!$CB$16,Body!$BZ$6," ")))))))))),IF(AND('Zdroj data'!BG146="T",'Zdroj data'!AM146=Body!$AX$17),IF(AND('Zdroj data'!O146&gt;=Body!$AY$17,'Zdroj data'!O146&lt;=Body!$BA$17),Body!$AY$6,IF(AND('Zdroj data'!O146&gt;=Body!$BB$17,'Zdroj data'!O146&lt;=Body!$BD$17),Body!$BB$6,IF(AND('Zdroj data'!O146&gt;=Body!$BE$17,'Zdroj data'!O146&lt;=Body!$BG$17),Body!$BE$6,IF(AND('Zdroj data'!O146&gt;=Body!$BH$17,'Zdroj data'!O146&lt;=Body!BJ160),Body!$BH$6,IF(AND('Zdroj data'!O146&gt;=Body!$BK$17,'Zdroj data'!O146&lt;=Body!$BM$17),Body!$BK$6,IF(AND('Zdroj data'!O146&gt;=Body!$BN$17,'Zdroj data'!O146&lt;=Body!$BP$17),Body!$BN$6,IF(AND('Zdroj data'!O146&gt;=Body!$BQ$17,'Zdroj data'!O146&lt;=Body!$BS$17),Body!$BQ$6,IF(AND('Zdroj data'!O146&gt;=Body!$BT$17,'Zdroj data'!O146&lt;=Body!$BV$17),Body!$BT$6,IF(AND('Zdroj data'!O146&gt;=Body!$BW$17,'Zdroj data'!O146&lt;=Body!$BY$17),Body!$BW$6,IF('Zdroj data'!O146&gt;=Body!$CB$17,Body!$BZ$6," "))))))))))," ")))</f>
        <v>1</v>
      </c>
      <c r="AG146" s="264">
        <f>IF(AND('Zdroj data'!$BG146="L",'Zdroj data'!$AM146=Body!$AX$15),IF(AND(Tabulka1[[#This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data'!$BG146="ST",'Zdroj data'!$AM146=Body!$AX$16),IF(AND(Tabulka1[[#This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data'!$BG146="T",'Zdroj data'!$AM146=Body!$AX$17),IF(AND(Tabulka1[[#This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Row],[K2O_60]]&lt;=Body!BJ160),Body!$BH$6,IF(AND(Tabulka1[[#This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46" s="264" t="str">
        <f>IF(AND('Zdroj data'!BG146="L",'Zdroj data'!AM146=Body!$AX$18),IF(AND('Zdroj data'!O146&gt;=Body!$AY$18,'Zdroj data'!O146&lt;=Body!$BA$18),Body!AY$6,IF(AND('Zdroj data'!O146&gt;=Body!$BB$18,'Zdroj data'!O146&lt;=Body!$BD$18),Body!BB$6,IF(AND('Zdroj data'!O146&gt;=Body!$BE$18,'Zdroj data'!O146&lt;=Body!$BG$18),Body!BE$6,IF(AND('Zdroj data'!O146&gt;=Body!$BH$18,'Zdroj data'!O146&lt;=Body!$BJ$18),Body!BH$6,IF(AND('Zdroj data'!O146&gt;=Body!$BK$18,'Zdroj data'!O146&lt;=Body!$BM$18),Body!$BK$6,IF(AND('Zdroj data'!O146&gt;=Body!$BN$18,'Zdroj data'!O146&lt;=Body!$BP$18),Body!BN$6,IF(AND('Zdroj data'!O146&gt;=Body!$BQ$18,'Zdroj data'!O146&lt;=Body!$BS$18),Body!$BQ$6,IF(AND('Zdroj data'!O146&gt;=Body!$BT$18,'Zdroj data'!O146&lt;=Body!$BV$18),Body!$BT$6,IF(AND('Zdroj data'!O146&gt;=Body!$BW$18,'Zdroj data'!O146&lt;=Body!$BY$18),Body!$BW$6,IF('Zdroj data'!O146&gt;=Body!$CB$18,Body!$BZ$6," ")))))))))),IF(AND('Zdroj data'!BG146="ST",'Zdroj data'!AM146=Body!$AX$19),IF(AND('Zdroj data'!O146&gt;=Body!$AY$19,'Zdroj data'!O146&lt;=Body!$BA$19),Body!$AY$6,IF(AND('Zdroj data'!O146&gt;=Body!$BB$19,'Zdroj data'!O146&lt;=Body!$BD$19),Body!$BB$6,IF(AND('Zdroj data'!O146&gt;=Body!$BE$19,'Zdroj data'!O146&lt;=Body!$BG$19),Body!$BE$6,IF(AND('Zdroj data'!O146&gt;=Body!$BH$19,'Zdroj data'!O146&lt;=Body!$BJ$19),Body!$BH$6,IF(AND('Zdroj data'!O146&gt;=Body!$BK$19,'Zdroj data'!O146&lt;=Body!$BM$19),Body!$BK$6,IF(AND('Zdroj data'!O146&gt;=Body!$BN$19,'Zdroj data'!O146&lt;=Body!$BP$19),Body!$BN$6,IF(AND('Zdroj data'!O146&gt;=Body!$BQ$19,'Zdroj data'!O146&lt;=Body!$BS$19),Body!$BQ$6,IF(AND('Zdroj data'!O146&gt;=Body!$BT$19,'Zdroj data'!O150&lt;=Body!$BV$19),Body!$BT$6,IF(AND('Zdroj data'!O146&gt;=Body!$BW$19,'Zdroj data'!O146&lt;=Body!$BY$19),Body!$BW$6,IF('Zdroj data'!O146&gt;=Body!$CB$19,Body!$BZ$6," ")))))))))),IF(AND('Zdroj data'!BG146="T",'Zdroj data'!AM146=Body!$AX$20),IF(AND('Zdroj data'!O146&gt;=Body!$AY$20,'Zdroj data'!O146&lt;=Body!$BA$20),Body!$AY$6,IF(AND('Zdroj data'!O146&gt;=Body!$BB$20,'Zdroj data'!O146&lt;=Body!$BD$20),Body!$BB$6,IF(AND('Zdroj data'!O146&gt;=Body!$BE$20,'Zdroj data'!O146&lt;=Body!$BG$20),Body!$BE$6,IF(AND('Zdroj data'!O146&gt;=Body!$BH$20,'Zdroj data'!O146&lt;=Body!$BJ$20),Body!$BH$6,IF(AND('Zdroj data'!O146&gt;=Body!$BK$20,'Zdroj data'!O146&lt;=Body!$BM$20),Body!$BK$6,IF(AND('Zdroj data'!O146&gt;=Body!$BN$20,'Zdroj data'!O146&lt;=Body!$BP$20),Body!$BN$6,IF(AND('Zdroj data'!O146&gt;=Body!$BQ$20,'Zdroj data'!O146&lt;=Body!$BS$20),Body!$BQ$6,IF(AND('Zdroj data'!O146&gt;=Body!$BT$20,'Zdroj data'!O146&lt;=Body!BV163),Body!$BT$6,IF(AND('Zdroj data'!O146&gt;=Body!$BW$20,'Zdroj data'!O146&lt;=Body!$BY$20),Body!$BW$6,IF('Zdroj data'!O146&gt;=Body!$CB$20,Body!$BZ$6," "))))))))))," ")))</f>
        <v xml:space="preserve"> </v>
      </c>
      <c r="AI146" s="264" t="str">
        <f>IF(AND('Zdroj data'!$BG146="L",'Zdroj data'!$AM146=Body!$AX$18),IF(AND(Tabulka1[[#This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data'!$BG146="ST",'Zdroj data'!$AM146=Body!$AX$19),IF(AND(Tabulka1[[#This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data'!$BG146="T",'Zdroj data'!$AM146=Body!$AX$20),IF(AND(Tabulka1[[#This Row],[K2O_60]]&gt;=Body!$AY$20,'Zdroj data'!O146&lt;=Body!$BA$20),Body!$AY$6,IF(AND(Tabulka1[[#This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Row],[K2O_60]]&lt;=Body!BV163),Body!$BT$6,IF(AND(Tabulka1[[#This Row],[K2O_60]]&gt;=Body!$BW$20,Tabulka1[[#This Row],[K2O_60]]&lt;=Body!$BY$20),Body!$BW$6,IF(Tabulka1[[#This Row],[K2O_60]]&gt;=Body!$CB$20,Body!$BZ$6," "))))))))))," ")))</f>
        <v xml:space="preserve"> </v>
      </c>
      <c r="AJ146" s="265">
        <f t="shared" si="26"/>
        <v>8.0000000000000071</v>
      </c>
      <c r="AK146" s="264">
        <f t="shared" si="27"/>
        <v>29.387050485378687</v>
      </c>
      <c r="AL146" s="264">
        <f t="shared" si="28"/>
        <v>28.11404001615816</v>
      </c>
      <c r="AM146" s="264">
        <f t="shared" si="29"/>
        <v>72.317648620564469</v>
      </c>
      <c r="AN146" s="264">
        <f t="shared" si="30"/>
        <v>70.773055413362485</v>
      </c>
      <c r="AO146" s="265">
        <f t="shared" si="33"/>
        <v>101.70469910594315</v>
      </c>
      <c r="AP146" s="265">
        <f t="shared" si="31"/>
        <v>98.887095429520642</v>
      </c>
      <c r="AQ146" s="318"/>
      <c r="AR146" s="338">
        <f t="shared" si="32"/>
        <v>208.59179453546381</v>
      </c>
      <c r="AS146" s="318"/>
      <c r="AT146" s="138"/>
      <c r="AU146" s="138"/>
    </row>
    <row r="147" spans="1:47" ht="15.5" x14ac:dyDescent="0.35">
      <c r="A147" s="270">
        <v>9128</v>
      </c>
      <c r="B147" s="156" t="s">
        <v>671</v>
      </c>
      <c r="C147" s="250" t="str">
        <f>VLOOKUP(B147,'Zdroj hloubka okresy'!$A$2:$D$171,2,FALSE)</f>
        <v>Mlada_Boleslav</v>
      </c>
      <c r="D147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147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147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47" s="264">
        <f>IF(AND(Tabulka1[[#This Row],[hum_60]]&gt;AY153,Tabulka1[[#This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47" s="264">
        <f>IF(Tabulka1[[#This Row],[kv.ek.]]=Body!$AX$13,IF(AND('Zdroj data'!M147&gt;=Body!$AY$13,'Zdroj data'!M147&lt;=Body!$BA$13),Body!$AY$6,IF(AND('Zdroj data'!M147&gt;=Body!$BB$13,'Zdroj data'!M147&lt;=Body!$BD$13),Body!$BB$6,IF(AND('Zdroj data'!M147&gt;=Body!$BE$13,'Zdroj data'!M147&lt;=Body!$BG$13),Body!$BE$6,IF(AND('Zdroj data'!M147&gt;=Body!$BH$13,'Zdroj data'!M147&lt;=Body!$BJ$13),Body!$BH$6,IF(AND('Zdroj data'!M147&gt;=Body!$BK$13,'Zdroj data'!M147&lt;=Body!$BM$13),Body!$BK$6,IF(AND('Zdroj data'!M147&gt;=Body!$BN$13,'Zdroj data'!M147&lt;=Body!$BP$13),Body!$BN$6,IF(AND('Zdroj data'!M147&gt;=Body!$BQ$13,'Zdroj data'!M147&lt;=Body!$BS$13),Body!$BQ$6,IF(AND('Zdroj data'!M147&gt;=Body!$BT$13,'Zdroj data'!M147&lt;=Body!$BV$13),Body!$BT$6,IF(AND('Zdroj data'!M147&gt;=Body!$BW$13,'Zdroj data'!M147&lt;=Body!$BY$13),Body!$BW$6,IF('Zdroj data'!M147&gt;=Body!$CB$13,Body!$BZ$6," ")))))))))),IF(Tabulka1[[#This Row],[kv.ek.]]=Body!$AX$14,IF(AND('Zdroj data'!N147&gt;=Body!$AY$14,'Zdroj data'!N147&lt;=Body!$BA$14),Body!$AY$6,IF(AND('Zdroj data'!N147&gt;=Body!$BB$14,'Zdroj data'!N147&lt;=Body!$BD$14),Body!$BB$6,IF(AND('Zdroj data'!N147&gt;=Body!$BE$14,'Zdroj data'!N147&lt;=Body!$BG$14),Body!$BE$6,IF(AND('Zdroj data'!N147&gt;=Body!$BH$14,'Zdroj data'!N147&lt;=Body!$BJ$14),Body!$BH$6,IF(AND('Zdroj data'!N147&gt;=Body!$BK$14,'Zdroj data'!N147&lt;=Body!$BM$14),Body!$BK$6,IF(AND('Zdroj data'!N147&gt;=Body!$BN$14,'Zdroj data'!N147&lt;=Body!$BP$14),Body!$BN$6,IF(AND('Zdroj data'!N147&gt;=Body!$BQ$14,'Zdroj data'!N147&lt;=Body!$BS$14),Body!$BQ$6,IF(AND('Zdroj data'!N147&gt;=Body!$BT$14,'Zdroj data'!N147&lt;=Body!$BV$14),Body!$BT$6,IF(AND('Zdroj data'!N147&gt;=Body!$BW$14,'Zdroj data'!N147&lt;=Body!$BY$14),Body!$BW$6,IF('Zdroj data'!N147&gt;=Body!$CB$14,Body!$BZ$6," "))))))))))," "))</f>
        <v>1</v>
      </c>
      <c r="I147" s="264">
        <f>IF(Tabulka1[[#This Row],[kv.ek.]]=Body!$AX$13,IF(AND('Zdroj data'!N147&gt;=Body!$AY$13,'Zdroj data'!N147&lt;=Body!$BA$13),Body!$AY$6,IF(AND('Zdroj data'!N147&gt;=Body!$BB$13,'Zdroj data'!N147&lt;=Body!$BD$13),Body!$BB$6,IF(AND('Zdroj data'!N147&gt;=Body!$BE$13,'Zdroj data'!N147&lt;=Body!$BG$13),Body!$BE$6,IF(AND('Zdroj data'!N147&gt;=Body!$BH$13,'Zdroj data'!N147&lt;=Body!$BJ$13),Body!$BH$6,IF(AND('Zdroj data'!N147&gt;=Body!$BK$13,'Zdroj data'!N147&lt;=Body!$BM$13),Body!$BK$6,IF(AND('Zdroj data'!N147&gt;=Body!$BN$13,'Zdroj data'!N147&lt;=Body!$BP$13),Body!$BN$6,IF(AND('Zdroj data'!N147&gt;=Body!$BQ$13,'Zdroj data'!N147&lt;=Body!$BS$13),Body!$BQ$6,IF(AND('Zdroj data'!N147&gt;=Body!$BT$13,'Zdroj data'!N147&lt;=Body!$BV$13),Body!$BT$6,IF(AND('Zdroj data'!N147&gt;=Body!$BW$13,'Zdroj data'!N147&lt;=Body!$BY$13),Body!$BW$6,IF('Zdroj data'!N147&gt;=Body!$CB$13,Body!$BZ$6," ")))))))))),IF(Tabulka1[[#This Row],[kv.ek.]]=Body!$AX$14,IF(AND('Zdroj data'!O147&gt;=Body!$AY$14,'Zdroj data'!O147&lt;=Body!$BA$14),Body!$AY$6,IF(AND('Zdroj data'!O147&gt;=Body!$BB$14,'Zdroj data'!O147&lt;=Body!$BD$14),Body!$BB$6,IF(AND('Zdroj data'!O147&gt;=Body!$BE$14,'Zdroj data'!O147&lt;=Body!$BG$14),Body!$BE$6,IF(AND('Zdroj data'!O147&gt;=Body!$BH$14,'Zdroj data'!O147&lt;=Body!$BJ$14),Body!$BH$6,IF(AND('Zdroj data'!O147&gt;=Body!$BK$14,'Zdroj data'!O147&lt;=Body!$BM$14),Body!$BK$6,IF(AND('Zdroj data'!O147&gt;=Body!$BN$14,'Zdroj data'!O147&lt;=Body!$BP$14),Body!$BN$6,IF(AND('Zdroj data'!O147&gt;=Body!$BQ$14,'Zdroj data'!O147&lt;=Body!$BS$14),Body!$BQ$6,IF(AND('Zdroj data'!O147&gt;=Body!$BT$14,'Zdroj data'!O147&lt;=Body!$BV$14),Body!$BT$6,IF(AND('Zdroj data'!O147&gt;=Body!$BW$14,'Zdroj data'!O147&lt;=Body!$BY$14),Body!$BW$6,IF('Zdroj data'!O147&gt;=Body!$CB$14,Body!$BZ$6," "))))))))))," "))</f>
        <v>1</v>
      </c>
      <c r="J147" s="264">
        <f t="shared" si="25"/>
        <v>1</v>
      </c>
      <c r="K147" s="264">
        <f t="shared" si="25"/>
        <v>1</v>
      </c>
      <c r="L147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147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147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147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147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47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147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147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147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147" s="264">
        <f>IF('Zdroj data'!BB147=Body!$AY$25,Body!$AY$22,IF('Zdroj data'!BB147=Body!$BB$25,Body!$BB$22,IF('Zdroj data'!BB147=Body!$BE$25,Body!$BE$22,IF('Zdroj data'!BB147=Body!$BH$25,Body!$BH$22,IF('Zdroj data'!BB147=Body!BK$25,Body!$BK$22,IF('Zdroj data'!BB147=Body!$BN$25,Body!$BN$22,IF('Zdroj data'!BB147=Body!$BQ$25,Body!$BQ$22,IF('Zdroj data'!BB147=Body!$BT$25,Body!$BT$22,IF('Zdroj data'!BB147=Body!$BW$25,Body!$BW$22,IF('Zdroj data'!BB147=Body!$BZ$25,Body!$BZ$22," "))))))))))</f>
        <v>5</v>
      </c>
      <c r="V147" s="264">
        <f>IF(AND('Zdroj data'!BO147&gt;Body!$AY$27,'Zdroj data'!BO147&lt;=Body!$BA$27),Body!$AY$22,IF(AND('Zdroj data'!BO147&gt;=Body!$BB$27,'Zdroj data'!BO147&lt;=Body!$BD$27),Body!$BB$22,IF(AND('Zdroj data'!BO147&gt;=Body!$BE$27,'Zdroj data'!BO147&lt;=Body!$BG$27),Body!$BE$22,IF(AND('Zdroj data'!BO147&gt;=Body!$BH$27,'Zdroj data'!BO147&lt;=Body!$BJ$27),Body!$BH$22,IF(AND('Zdroj data'!BO147&gt;=Body!$BK$27,'Zdroj data'!BO147&lt;=Body!$BM$27),Body!$BK$22,IF(AND('Zdroj data'!BO147&gt;=Body!$BN$27,'Zdroj data'!BO147&lt;=Body!$BP$27),Body!$BN$22,IF(AND('Zdroj data'!BO147&gt;=Body!$BQ$27,'Zdroj data'!BO147&lt;=Body!$BS$27),Body!$BQ$22,IF(AND('Zdroj data'!BO147&gt;=Body!$BT$27,'Zdroj data'!BO147&lt;=Body!$BV$27),Body!$BT$22,IF(AND('Zdroj data'!BO147&gt;=Body!$BW$27,'Zdroj data'!BO147&lt;=Body!$BY$27),Body!$BW$22,IF('Zdroj data'!BO147&gt;=Body!$CB$27,$BZ$22," "))))))))))</f>
        <v>6</v>
      </c>
      <c r="W147" s="264">
        <f>IF(AND('Zdroj data'!BP147&gt;Body!$AY$27,'Zdroj data'!BP147&lt;=Body!$BA$27),Body!$AY$22,IF(AND('Zdroj data'!BP147&gt;=Body!$BB$27,'Zdroj data'!BP147&lt;=Body!$BD$27),Body!$BB$22,IF(AND('Zdroj data'!BP147&gt;=Body!$BE$27,'Zdroj data'!BP147&lt;=Body!$BG$27),Body!$BE$22,IF(AND('Zdroj data'!BP147&gt;=Body!$BH$27,'Zdroj data'!BP147&lt;=Body!$BJ$27),Body!$BH$22,IF(AND('Zdroj data'!BP147&gt;=Body!$BK$27,'Zdroj data'!BP147&lt;=Body!$BM$27),Body!$BK$22,IF(AND('Zdroj data'!BP147&gt;=Body!$BN$27,'Zdroj data'!BP147&lt;=Body!$BP$27),Body!$BN$22,IF(AND('Zdroj data'!BP147&gt;=Body!$BQ$27,'Zdroj data'!BP147&lt;=Body!$BS$27),Body!$BQ$22,IF(AND('Zdroj data'!BP147&gt;=Body!$BT$27,'Zdroj data'!BP147&lt;=Body!$BV$27),Body!$BT$22,IF(AND('Zdroj data'!BP147&gt;=Body!$BW$27,'Zdroj data'!BP147&lt;=Body!$BY$27),Body!$BW$22,IF('Zdroj data'!BP147&gt;=Body!$CB$27,$BZ$22," "))))))))))</f>
        <v>6</v>
      </c>
      <c r="X147" s="264">
        <f>IF('Zdroj data'!BA147=Body!$BB$28,$BB$22,IF('Zdroj data'!BA147=Body!$BE$28,$BE$22,IF(OR('Zdroj data'!BA147=Body!$BK$28,'Zdroj data'!BA147=Body!$BL$28,'Zdroj data'!BA147=Body!$BM$28),$BK$22,IF(OR('Zdroj data'!BA147=Body!$BT$28,'Zdroj data'!BA147=Body!$BV$28),$BT$22,IF(OR('Zdroj data'!BA147=Body!$BW$28,'Zdroj data'!BA147=Body!$BY$28),$BW$22,IF('Zdroj data'!BA147=Body!$BZ$28,$BZ$22," "))))))</f>
        <v>10</v>
      </c>
      <c r="Y147" s="264">
        <f>IF('Zdroj data'!AZ147=Body!$BZ$29,Body!$BZ$22,IF(OR('Zdroj data'!AZ147=$BT$29,'Zdroj data'!AZ147=$BU$29,'Zdroj data'!AZ147=$BV$29),$BT$22,IF(OR('Zdroj data'!AZ147=$BK$29,'Zdroj data'!AZ147=$BM$29),$BK$22,IF(OR('Zdroj data'!AZ147=$BE$29,'Zdroj data'!AZ147=$BG$29),$BE$22,IF(OR('Zdroj data'!AZ147=$AY$29,'Zdroj data'!AZ147=$BA$29),$AY$22," ")))))</f>
        <v>8</v>
      </c>
      <c r="Z147" s="264">
        <f>IF(AND('Zdroj data'!BF147="T",(OR('Zdroj data'!AZ147=Body!$AW$45,'Zdroj data'!AZ147=Body!$AW$46,'Zdroj data'!AZ147=Body!$AW$47,'Zdroj data'!AZ147=Body!$AW$48))),Body!$AY$22,IF(AND('Zdroj data'!BF147="T",(OR('Zdroj data'!AZ147=$AW$49,'Zdroj data'!AZ147=$AW$50,'Zdroj data'!AZ147=$AW$51,'Zdroj data'!AZ147=$AW$52))),$BZ$22,IF(AND(OR('Zdroj data'!BF147="VT",'Zdroj data'!BF147="T",'Zdroj data'!BF147="CH"),(OR('Zdroj data'!AZ147=$AW$43,'Zdroj data'!AZ147=$AW$44,))),$BZ$22,IF(AND('Zdroj data'!BF147="CH",(OR('Zdroj data'!AZ147=$AW$49,'Zdroj data'!AZ147=$AW$50,'Zdroj data'!AZ147=$AW$51,'Zdroj data'!AZ147=$AW$52))),$AY$22,IF(AND('Zdroj data'!BF147="CH",(OR('Zdroj data'!AZ147=$AW$45,'Zdroj data'!AZ147=$AW$46,'Zdroj data'!AZ147=$AW$47,'Zdroj data'!AZ147=$AW$48))),$BZ$22," ")))))</f>
        <v>10</v>
      </c>
      <c r="AA147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47" s="264">
        <f>IF(Tabulka1[[#This Row],[kv.ek.]]=Body!$BK$35,Body!$BK$34,IF(Tabulka1[[#This Row],[kv.ek.]]=Body!$BZ$35,Body!$BZ$34," "))</f>
        <v>5</v>
      </c>
      <c r="AC147" s="264" t="str">
        <f>IF(AND('Zdroj data'!BF147="T",(OR('Zdroj data'!AZ147=Body!$AW$45,'Zdroj data'!AZ147=Body!$AW$46,'Zdroj data'!AZ147=Body!$AW$47,'Zdroj data'!AZ147=Body!$AW$48))),Body!$AY$22,IF(AND('Zdroj data'!BF147="T",(OR('Zdroj data'!AZ147=$AW$49,'Zdroj data'!AZ147=$AW$50,'Zdroj data'!AZ147=$AW$51,'Zdroj data'!AZ147=$AW$52))),$BZ$22," "))</f>
        <v xml:space="preserve"> </v>
      </c>
      <c r="AD147" s="264">
        <f>IF(AND(OR('Zdroj data'!BF147="VT",'Zdroj data'!BF147="T",'Zdroj data'!BF147="CH"),(OR('Zdroj data'!AZ147=$AW$43,'Zdroj data'!AZ147=$AW$44,))),$BZ$22," ")</f>
        <v>10</v>
      </c>
      <c r="AE147" s="264" t="str">
        <f>IF(AND('Zdroj data'!BF147="CH",(OR('Zdroj data'!AZ147=$AW$49,'Zdroj data'!AZ147=$AW$50,'Zdroj data'!AZ147=$AW$51,'Zdroj data'!AZ147=$AW$52))),$AY$22,IF(AND('Zdroj data'!BF147="CH",(OR('Zdroj data'!AZ147=$AW$45,'Zdroj data'!AZ147=$AW$46,'Zdroj data'!AZ147=$AW$47,'Zdroj data'!AZ147=$AW$48))),$BZ$22," "))</f>
        <v xml:space="preserve"> </v>
      </c>
      <c r="AF147" s="264">
        <f>IF(AND('Zdroj data'!BG147="L",'Zdroj data'!AM147=Body!$AX$15),IF(AND('Zdroj data'!O147&gt;=Body!$AY$15,'Zdroj data'!O147&lt;=Body!$BA$15),Body!AY$6,IF(AND('Zdroj data'!O147&gt;=Body!$BB$15,'Zdroj data'!O147&lt;=Body!$BD$15),Body!BB$6,IF(AND('Zdroj data'!O147&gt;=Body!$BE$15,'Zdroj data'!O147&lt;=Body!$BG$15),Body!BE$6,IF(AND('Zdroj data'!O147&gt;=Body!$BH$15,'Zdroj data'!O147&lt;=Body!$BJ$15),Body!BH$6,IF(AND('Zdroj data'!O147&gt;=Body!$BK$15,'Zdroj data'!O147&lt;=Body!$BM$15),Body!BK$6,IF(AND('Zdroj data'!O147&gt;=Body!$BN$15,'Zdroj data'!O147&lt;=Body!$BP$15),Body!$BN$6,IF(AND('Zdroj data'!O147&gt;=Body!$BQ$15,'Zdroj data'!O147&lt;=Body!$BS$15),Body!$BQ$6,IF(AND('Zdroj data'!O147&gt;=Body!$BT$15,'Zdroj data'!O147&lt;=Body!$BV$15),Body!BT$6,IF(AND('Zdroj data'!O147&gt;=Body!$BW$15,'Zdroj data'!O147&lt;=Body!$BY$15),Body!$BW$6,IF('Zdroj data'!O147&gt;=Body!$CB$15,Body!$BZ$6," ")))))))))),IF(AND('Zdroj data'!BG147="ST",'Zdroj data'!AM147=Body!$AX$16),IF(AND('Zdroj data'!O147&gt;=Body!$AY$16,'Zdroj data'!O147&lt;=Body!$BA$16),Body!$AY$6,IF(AND('Zdroj data'!O147&gt;=Body!$BB$16,'Zdroj data'!O147&lt;=Body!$BD$16),Body!$BB$6,IF(AND('Zdroj data'!O147&gt;=Body!$BE$16,'Zdroj data'!O147&lt;=Body!$BG$16),Body!$BE$6,IF(AND('Zdroj data'!O147&gt;=Body!$BH$16,'Zdroj data'!O147&lt;=Body!$BJ$16),Body!$BH$6,IF(AND('Zdroj data'!O147&gt;=Body!$BK$16,'Zdroj data'!O147&lt;=Body!$BM$16),Body!$BK$6,IF(AND('Zdroj data'!O147&gt;=Body!$BN$16,'Zdroj data'!O147&lt;=Body!$BP$16),Body!$BN$6,IF(AND('Zdroj data'!O147&gt;=Body!$BQ$16,'Zdroj data'!O147&lt;=Body!$BS$16),Body!$BQ$6,IF(AND('Zdroj data'!O147&gt;=Body!$BT$16,'Zdroj data'!O147&lt;=Body!$BV$16),Body!$BT$6,IF(AND('Zdroj data'!O147&gt;=Body!$BW$16,'Zdroj data'!O147&lt;=Body!$BY$16),Body!$BW$6,IF('Zdroj data'!O147&gt;=Body!$CB$16,Body!$BZ$6," ")))))))))),IF(AND('Zdroj data'!BG147="T",'Zdroj data'!AM147=Body!$AX$17),IF(AND('Zdroj data'!O147&gt;=Body!$AY$17,'Zdroj data'!O147&lt;=Body!$BA$17),Body!$AY$6,IF(AND('Zdroj data'!O147&gt;=Body!$BB$17,'Zdroj data'!O147&lt;=Body!$BD$17),Body!$BB$6,IF(AND('Zdroj data'!O147&gt;=Body!$BE$17,'Zdroj data'!O147&lt;=Body!$BG$17),Body!$BE$6,IF(AND('Zdroj data'!O147&gt;=Body!$BH$17,'Zdroj data'!O147&lt;=Body!BJ161),Body!$BH$6,IF(AND('Zdroj data'!O147&gt;=Body!$BK$17,'Zdroj data'!O147&lt;=Body!$BM$17),Body!$BK$6,IF(AND('Zdroj data'!O147&gt;=Body!$BN$17,'Zdroj data'!O147&lt;=Body!$BP$17),Body!$BN$6,IF(AND('Zdroj data'!O147&gt;=Body!$BQ$17,'Zdroj data'!O147&lt;=Body!$BS$17),Body!$BQ$6,IF(AND('Zdroj data'!O147&gt;=Body!$BT$17,'Zdroj data'!O147&lt;=Body!$BV$17),Body!$BT$6,IF(AND('Zdroj data'!O147&gt;=Body!$BW$17,'Zdroj data'!O147&lt;=Body!$BY$17),Body!$BW$6,IF('Zdroj data'!O147&gt;=Body!$CB$17,Body!$BZ$6," "))))))))))," ")))</f>
        <v>1</v>
      </c>
      <c r="AG147" s="264">
        <f>IF(AND('Zdroj data'!$BG147="L",'Zdroj data'!$AM147=Body!$AX$15),IF(AND(Tabulka1[[#This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data'!$BG147="ST",'Zdroj data'!$AM147=Body!$AX$16),IF(AND(Tabulka1[[#This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data'!$BG147="T",'Zdroj data'!$AM147=Body!$AX$17),IF(AND(Tabulka1[[#This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Row],[K2O_60]]&lt;=Body!BJ161),Body!$BH$6,IF(AND(Tabulka1[[#This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47" s="264" t="str">
        <f>IF(AND('Zdroj data'!BG147="L",'Zdroj data'!AM147=Body!$AX$18),IF(AND('Zdroj data'!O147&gt;=Body!$AY$18,'Zdroj data'!O147&lt;=Body!$BA$18),Body!AY$6,IF(AND('Zdroj data'!O147&gt;=Body!$BB$18,'Zdroj data'!O147&lt;=Body!$BD$18),Body!BB$6,IF(AND('Zdroj data'!O147&gt;=Body!$BE$18,'Zdroj data'!O147&lt;=Body!$BG$18),Body!BE$6,IF(AND('Zdroj data'!O147&gt;=Body!$BH$18,'Zdroj data'!O147&lt;=Body!$BJ$18),Body!BH$6,IF(AND('Zdroj data'!O147&gt;=Body!$BK$18,'Zdroj data'!O147&lt;=Body!$BM$18),Body!$BK$6,IF(AND('Zdroj data'!O147&gt;=Body!$BN$18,'Zdroj data'!O147&lt;=Body!$BP$18),Body!BN$6,IF(AND('Zdroj data'!O147&gt;=Body!$BQ$18,'Zdroj data'!O147&lt;=Body!$BS$18),Body!$BQ$6,IF(AND('Zdroj data'!O147&gt;=Body!$BT$18,'Zdroj data'!O147&lt;=Body!$BV$18),Body!$BT$6,IF(AND('Zdroj data'!O147&gt;=Body!$BW$18,'Zdroj data'!O147&lt;=Body!$BY$18),Body!$BW$6,IF('Zdroj data'!O147&gt;=Body!$CB$18,Body!$BZ$6," ")))))))))),IF(AND('Zdroj data'!BG147="ST",'Zdroj data'!AM147=Body!$AX$19),IF(AND('Zdroj data'!O147&gt;=Body!$AY$19,'Zdroj data'!O147&lt;=Body!$BA$19),Body!$AY$6,IF(AND('Zdroj data'!O147&gt;=Body!$BB$19,'Zdroj data'!O147&lt;=Body!$BD$19),Body!$BB$6,IF(AND('Zdroj data'!O147&gt;=Body!$BE$19,'Zdroj data'!O147&lt;=Body!$BG$19),Body!$BE$6,IF(AND('Zdroj data'!O147&gt;=Body!$BH$19,'Zdroj data'!O147&lt;=Body!$BJ$19),Body!$BH$6,IF(AND('Zdroj data'!O147&gt;=Body!$BK$19,'Zdroj data'!O147&lt;=Body!$BM$19),Body!$BK$6,IF(AND('Zdroj data'!O147&gt;=Body!$BN$19,'Zdroj data'!O147&lt;=Body!$BP$19),Body!$BN$6,IF(AND('Zdroj data'!O147&gt;=Body!$BQ$19,'Zdroj data'!O147&lt;=Body!$BS$19),Body!$BQ$6,IF(AND('Zdroj data'!O147&gt;=Body!$BT$19,'Zdroj data'!O151&lt;=Body!$BV$19),Body!$BT$6,IF(AND('Zdroj data'!O147&gt;=Body!$BW$19,'Zdroj data'!O147&lt;=Body!$BY$19),Body!$BW$6,IF('Zdroj data'!O147&gt;=Body!$CB$19,Body!$BZ$6," ")))))))))),IF(AND('Zdroj data'!BG147="T",'Zdroj data'!AM147=Body!$AX$20),IF(AND('Zdroj data'!O147&gt;=Body!$AY$20,'Zdroj data'!O147&lt;=Body!$BA$20),Body!$AY$6,IF(AND('Zdroj data'!O147&gt;=Body!$BB$20,'Zdroj data'!O147&lt;=Body!$BD$20),Body!$BB$6,IF(AND('Zdroj data'!O147&gt;=Body!$BE$20,'Zdroj data'!O147&lt;=Body!$BG$20),Body!$BE$6,IF(AND('Zdroj data'!O147&gt;=Body!$BH$20,'Zdroj data'!O147&lt;=Body!$BJ$20),Body!$BH$6,IF(AND('Zdroj data'!O147&gt;=Body!$BK$20,'Zdroj data'!O147&lt;=Body!$BM$20),Body!$BK$6,IF(AND('Zdroj data'!O147&gt;=Body!$BN$20,'Zdroj data'!O147&lt;=Body!$BP$20),Body!$BN$6,IF(AND('Zdroj data'!O147&gt;=Body!$BQ$20,'Zdroj data'!O147&lt;=Body!$BS$20),Body!$BQ$6,IF(AND('Zdroj data'!O147&gt;=Body!$BT$20,'Zdroj data'!O147&lt;=Body!BV164),Body!$BT$6,IF(AND('Zdroj data'!O147&gt;=Body!$BW$20,'Zdroj data'!O147&lt;=Body!$BY$20),Body!$BW$6,IF('Zdroj data'!O147&gt;=Body!$CB$20,Body!$BZ$6," "))))))))))," ")))</f>
        <v xml:space="preserve"> </v>
      </c>
      <c r="AI147" s="264" t="str">
        <f>IF(AND('Zdroj data'!$BG147="L",'Zdroj data'!$AM147=Body!$AX$18),IF(AND(Tabulka1[[#This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data'!$BG147="ST",'Zdroj data'!$AM147=Body!$AX$19),IF(AND(Tabulka1[[#This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data'!$BG147="T",'Zdroj data'!$AM147=Body!$AX$20),IF(AND(Tabulka1[[#This Row],[K2O_60]]&gt;=Body!$AY$20,'Zdroj data'!O147&lt;=Body!$BA$20),Body!$AY$6,IF(AND(Tabulka1[[#This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Row],[K2O_60]]&lt;=Body!BV164),Body!$BT$6,IF(AND(Tabulka1[[#This Row],[K2O_60]]&gt;=Body!$BW$20,Tabulka1[[#This Row],[K2O_60]]&lt;=Body!$BY$20),Body!$BW$6,IF(Tabulka1[[#This Row],[K2O_60]]&gt;=Body!$CB$20,Body!$BZ$6," "))))))))))," ")))</f>
        <v xml:space="preserve"> </v>
      </c>
      <c r="AJ147" s="265">
        <f t="shared" si="26"/>
        <v>5.3333333333333375</v>
      </c>
      <c r="AK147" s="264">
        <f t="shared" si="27"/>
        <v>25.733020158699947</v>
      </c>
      <c r="AL147" s="264">
        <f t="shared" si="28"/>
        <v>25.200898151310682</v>
      </c>
      <c r="AM147" s="264">
        <f t="shared" si="29"/>
        <v>65.86642438781675</v>
      </c>
      <c r="AN147" s="264">
        <f t="shared" si="30"/>
        <v>73.693672301968732</v>
      </c>
      <c r="AO147" s="265">
        <f t="shared" si="33"/>
        <v>91.599444546516693</v>
      </c>
      <c r="AP147" s="265">
        <f t="shared" si="31"/>
        <v>98.894570453279414</v>
      </c>
      <c r="AQ147" s="318"/>
      <c r="AR147" s="338">
        <f t="shared" si="32"/>
        <v>195.82734833312944</v>
      </c>
      <c r="AS147" s="318"/>
      <c r="AT147" s="138"/>
      <c r="AU147" s="138"/>
    </row>
    <row r="148" spans="1:47" ht="15.5" x14ac:dyDescent="0.35">
      <c r="A148" s="270">
        <v>9131</v>
      </c>
      <c r="B148" s="156" t="s">
        <v>595</v>
      </c>
      <c r="C148" s="250" t="str">
        <f>VLOOKUP(B148,'Zdroj hloubka okresy'!$A$2:$D$171,2,FALSE)</f>
        <v>Mlada_Boleslav</v>
      </c>
      <c r="D148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148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7</v>
      </c>
      <c r="F148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48" s="264">
        <f>IF(AND(Tabulka1[[#This Row],[hum_60]]&gt;AY154,Tabulka1[[#This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48" s="264">
        <f>IF(Tabulka1[[#This Row],[kv.ek.]]=Body!$AX$13,IF(AND('Zdroj data'!M148&gt;=Body!$AY$13,'Zdroj data'!M148&lt;=Body!$BA$13),Body!$AY$6,IF(AND('Zdroj data'!M148&gt;=Body!$BB$13,'Zdroj data'!M148&lt;=Body!$BD$13),Body!$BB$6,IF(AND('Zdroj data'!M148&gt;=Body!$BE$13,'Zdroj data'!M148&lt;=Body!$BG$13),Body!$BE$6,IF(AND('Zdroj data'!M148&gt;=Body!$BH$13,'Zdroj data'!M148&lt;=Body!$BJ$13),Body!$BH$6,IF(AND('Zdroj data'!M148&gt;=Body!$BK$13,'Zdroj data'!M148&lt;=Body!$BM$13),Body!$BK$6,IF(AND('Zdroj data'!M148&gt;=Body!$BN$13,'Zdroj data'!M148&lt;=Body!$BP$13),Body!$BN$6,IF(AND('Zdroj data'!M148&gt;=Body!$BQ$13,'Zdroj data'!M148&lt;=Body!$BS$13),Body!$BQ$6,IF(AND('Zdroj data'!M148&gt;=Body!$BT$13,'Zdroj data'!M148&lt;=Body!$BV$13),Body!$BT$6,IF(AND('Zdroj data'!M148&gt;=Body!$BW$13,'Zdroj data'!M148&lt;=Body!$BY$13),Body!$BW$6,IF('Zdroj data'!M148&gt;=Body!$CB$13,Body!$BZ$6," ")))))))))),IF(Tabulka1[[#This Row],[kv.ek.]]=Body!$AX$14,IF(AND('Zdroj data'!N148&gt;=Body!$AY$14,'Zdroj data'!N148&lt;=Body!$BA$14),Body!$AY$6,IF(AND('Zdroj data'!N148&gt;=Body!$BB$14,'Zdroj data'!N148&lt;=Body!$BD$14),Body!$BB$6,IF(AND('Zdroj data'!N148&gt;=Body!$BE$14,'Zdroj data'!N148&lt;=Body!$BG$14),Body!$BE$6,IF(AND('Zdroj data'!N148&gt;=Body!$BH$14,'Zdroj data'!N148&lt;=Body!$BJ$14),Body!$BH$6,IF(AND('Zdroj data'!N148&gt;=Body!$BK$14,'Zdroj data'!N148&lt;=Body!$BM$14),Body!$BK$6,IF(AND('Zdroj data'!N148&gt;=Body!$BN$14,'Zdroj data'!N148&lt;=Body!$BP$14),Body!$BN$6,IF(AND('Zdroj data'!N148&gt;=Body!$BQ$14,'Zdroj data'!N148&lt;=Body!$BS$14),Body!$BQ$6,IF(AND('Zdroj data'!N148&gt;=Body!$BT$14,'Zdroj data'!N148&lt;=Body!$BV$14),Body!$BT$6,IF(AND('Zdroj data'!N148&gt;=Body!$BW$14,'Zdroj data'!N148&lt;=Body!$BY$14),Body!$BW$6,IF('Zdroj data'!N148&gt;=Body!$CB$14,Body!$BZ$6," "))))))))))," "))</f>
        <v>10</v>
      </c>
      <c r="I148" s="264">
        <f>IF(Tabulka1[[#This Row],[kv.ek.]]=Body!$AX$13,IF(AND('Zdroj data'!N148&gt;=Body!$AY$13,'Zdroj data'!N148&lt;=Body!$BA$13),Body!$AY$6,IF(AND('Zdroj data'!N148&gt;=Body!$BB$13,'Zdroj data'!N148&lt;=Body!$BD$13),Body!$BB$6,IF(AND('Zdroj data'!N148&gt;=Body!$BE$13,'Zdroj data'!N148&lt;=Body!$BG$13),Body!$BE$6,IF(AND('Zdroj data'!N148&gt;=Body!$BH$13,'Zdroj data'!N148&lt;=Body!$BJ$13),Body!$BH$6,IF(AND('Zdroj data'!N148&gt;=Body!$BK$13,'Zdroj data'!N148&lt;=Body!$BM$13),Body!$BK$6,IF(AND('Zdroj data'!N148&gt;=Body!$BN$13,'Zdroj data'!N148&lt;=Body!$BP$13),Body!$BN$6,IF(AND('Zdroj data'!N148&gt;=Body!$BQ$13,'Zdroj data'!N148&lt;=Body!$BS$13),Body!$BQ$6,IF(AND('Zdroj data'!N148&gt;=Body!$BT$13,'Zdroj data'!N148&lt;=Body!$BV$13),Body!$BT$6,IF(AND('Zdroj data'!N148&gt;=Body!$BW$13,'Zdroj data'!N148&lt;=Body!$BY$13),Body!$BW$6,IF('Zdroj data'!N148&gt;=Body!$CB$13,Body!$BZ$6," ")))))))))),IF(Tabulka1[[#This Row],[kv.ek.]]=Body!$AX$14,IF(AND('Zdroj data'!O148&gt;=Body!$AY$14,'Zdroj data'!O148&lt;=Body!$BA$14),Body!$AY$6,IF(AND('Zdroj data'!O148&gt;=Body!$BB$14,'Zdroj data'!O148&lt;=Body!$BD$14),Body!$BB$6,IF(AND('Zdroj data'!O148&gt;=Body!$BE$14,'Zdroj data'!O148&lt;=Body!$BG$14),Body!$BE$6,IF(AND('Zdroj data'!O148&gt;=Body!$BH$14,'Zdroj data'!O148&lt;=Body!$BJ$14),Body!$BH$6,IF(AND('Zdroj data'!O148&gt;=Body!$BK$14,'Zdroj data'!O148&lt;=Body!$BM$14),Body!$BK$6,IF(AND('Zdroj data'!O148&gt;=Body!$BN$14,'Zdroj data'!O148&lt;=Body!$BP$14),Body!$BN$6,IF(AND('Zdroj data'!O148&gt;=Body!$BQ$14,'Zdroj data'!O148&lt;=Body!$BS$14),Body!$BQ$6,IF(AND('Zdroj data'!O148&gt;=Body!$BT$14,'Zdroj data'!O148&lt;=Body!$BV$14),Body!$BT$6,IF(AND('Zdroj data'!O148&gt;=Body!$BW$14,'Zdroj data'!O148&lt;=Body!$BY$14),Body!$BW$6,IF('Zdroj data'!O148&gt;=Body!$CB$14,Body!$BZ$6," "))))))))))," "))</f>
        <v>6</v>
      </c>
      <c r="J148" s="264">
        <f t="shared" si="25"/>
        <v>3</v>
      </c>
      <c r="K148" s="264">
        <f t="shared" si="25"/>
        <v>2</v>
      </c>
      <c r="L148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148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148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148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148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48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148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148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148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148" s="264">
        <f>IF('Zdroj data'!BB148=Body!$AY$25,Body!$AY$22,IF('Zdroj data'!BB148=Body!$BB$25,Body!$BB$22,IF('Zdroj data'!BB148=Body!$BE$25,Body!$BE$22,IF('Zdroj data'!BB148=Body!$BH$25,Body!$BH$22,IF('Zdroj data'!BB148=Body!BK$25,Body!$BK$22,IF('Zdroj data'!BB148=Body!$BN$25,Body!$BN$22,IF('Zdroj data'!BB148=Body!$BQ$25,Body!$BQ$22,IF('Zdroj data'!BB148=Body!$BT$25,Body!$BT$22,IF('Zdroj data'!BB148=Body!$BW$25,Body!$BW$22,IF('Zdroj data'!BB148=Body!$BZ$25,Body!$BZ$22," "))))))))))</f>
        <v>7</v>
      </c>
      <c r="V148" s="264">
        <f>IF(AND('Zdroj data'!BO148&gt;Body!$AY$27,'Zdroj data'!BO148&lt;=Body!$BA$27),Body!$AY$22,IF(AND('Zdroj data'!BO148&gt;=Body!$BB$27,'Zdroj data'!BO148&lt;=Body!$BD$27),Body!$BB$22,IF(AND('Zdroj data'!BO148&gt;=Body!$BE$27,'Zdroj data'!BO148&lt;=Body!$BG$27),Body!$BE$22,IF(AND('Zdroj data'!BO148&gt;=Body!$BH$27,'Zdroj data'!BO148&lt;=Body!$BJ$27),Body!$BH$22,IF(AND('Zdroj data'!BO148&gt;=Body!$BK$27,'Zdroj data'!BO148&lt;=Body!$BM$27),Body!$BK$22,IF(AND('Zdroj data'!BO148&gt;=Body!$BN$27,'Zdroj data'!BO148&lt;=Body!$BP$27),Body!$BN$22,IF(AND('Zdroj data'!BO148&gt;=Body!$BQ$27,'Zdroj data'!BO148&lt;=Body!$BS$27),Body!$BQ$22,IF(AND('Zdroj data'!BO148&gt;=Body!$BT$27,'Zdroj data'!BO148&lt;=Body!$BV$27),Body!$BT$22,IF(AND('Zdroj data'!BO148&gt;=Body!$BW$27,'Zdroj data'!BO148&lt;=Body!$BY$27),Body!$BW$22,IF('Zdroj data'!BO148&gt;=Body!$CB$27,$BZ$22," "))))))))))</f>
        <v>7</v>
      </c>
      <c r="W148" s="264">
        <f>IF(AND('Zdroj data'!BP148&gt;Body!$AY$27,'Zdroj data'!BP148&lt;=Body!$BA$27),Body!$AY$22,IF(AND('Zdroj data'!BP148&gt;=Body!$BB$27,'Zdroj data'!BP148&lt;=Body!$BD$27),Body!$BB$22,IF(AND('Zdroj data'!BP148&gt;=Body!$BE$27,'Zdroj data'!BP148&lt;=Body!$BG$27),Body!$BE$22,IF(AND('Zdroj data'!BP148&gt;=Body!$BH$27,'Zdroj data'!BP148&lt;=Body!$BJ$27),Body!$BH$22,IF(AND('Zdroj data'!BP148&gt;=Body!$BK$27,'Zdroj data'!BP148&lt;=Body!$BM$27),Body!$BK$22,IF(AND('Zdroj data'!BP148&gt;=Body!$BN$27,'Zdroj data'!BP148&lt;=Body!$BP$27),Body!$BN$22,IF(AND('Zdroj data'!BP148&gt;=Body!$BQ$27,'Zdroj data'!BP148&lt;=Body!$BS$27),Body!$BQ$22,IF(AND('Zdroj data'!BP148&gt;=Body!$BT$27,'Zdroj data'!BP148&lt;=Body!$BV$27),Body!$BT$22,IF(AND('Zdroj data'!BP148&gt;=Body!$BW$27,'Zdroj data'!BP148&lt;=Body!$BY$27),Body!$BW$22,IF('Zdroj data'!BP148&gt;=Body!$CB$27,$BZ$22," "))))))))))</f>
        <v>6</v>
      </c>
      <c r="X148" s="264">
        <f>IF('Zdroj data'!BA148=Body!$BB$28,$BB$22,IF('Zdroj data'!BA148=Body!$BE$28,$BE$22,IF(OR('Zdroj data'!BA148=Body!$BK$28,'Zdroj data'!BA148=Body!$BL$28,'Zdroj data'!BA148=Body!$BM$28),$BK$22,IF(OR('Zdroj data'!BA148=Body!$BT$28,'Zdroj data'!BA148=Body!$BV$28),$BT$22,IF(OR('Zdroj data'!BA148=Body!$BW$28,'Zdroj data'!BA148=Body!$BY$28),$BW$22,IF('Zdroj data'!BA148=Body!$BZ$28,$BZ$22," "))))))</f>
        <v>10</v>
      </c>
      <c r="Y148" s="264">
        <f>IF('Zdroj data'!AZ148=Body!$BZ$29,Body!$BZ$22,IF(OR('Zdroj data'!AZ148=$BT$29,'Zdroj data'!AZ148=$BU$29,'Zdroj data'!AZ148=$BV$29),$BT$22,IF(OR('Zdroj data'!AZ148=$BK$29,'Zdroj data'!AZ148=$BM$29),$BK$22,IF(OR('Zdroj data'!AZ148=$BE$29,'Zdroj data'!AZ148=$BG$29),$BE$22,IF(OR('Zdroj data'!AZ148=$AY$29,'Zdroj data'!AZ148=$BA$29),$AY$22," ")))))</f>
        <v>10</v>
      </c>
      <c r="Z148" s="264">
        <f>IF(AND('Zdroj data'!BF148="T",(OR('Zdroj data'!AZ148=Body!$AW$45,'Zdroj data'!AZ148=Body!$AW$46,'Zdroj data'!AZ148=Body!$AW$47,'Zdroj data'!AZ148=Body!$AW$48))),Body!$AY$22,IF(AND('Zdroj data'!BF148="T",(OR('Zdroj data'!AZ148=$AW$49,'Zdroj data'!AZ148=$AW$50,'Zdroj data'!AZ148=$AW$51,'Zdroj data'!AZ148=$AW$52))),$BZ$22,IF(AND(OR('Zdroj data'!BF148="VT",'Zdroj data'!BF148="T",'Zdroj data'!BF148="CH"),(OR('Zdroj data'!AZ148=$AW$43,'Zdroj data'!AZ148=$AW$44,))),$BZ$22,IF(AND('Zdroj data'!BF148="CH",(OR('Zdroj data'!AZ148=$AW$49,'Zdroj data'!AZ148=$AW$50,'Zdroj data'!AZ148=$AW$51,'Zdroj data'!AZ148=$AW$52))),$AY$22,IF(AND('Zdroj data'!BF148="CH",(OR('Zdroj data'!AZ148=$AW$45,'Zdroj data'!AZ148=$AW$46,'Zdroj data'!AZ148=$AW$47,'Zdroj data'!AZ148=$AW$48))),$BZ$22," ")))))</f>
        <v>10</v>
      </c>
      <c r="AA148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48" s="264">
        <f>IF(Tabulka1[[#This Row],[kv.ek.]]=Body!$BK$35,Body!$BK$34,IF(Tabulka1[[#This Row],[kv.ek.]]=Body!$BZ$35,Body!$BZ$34," "))</f>
        <v>5</v>
      </c>
      <c r="AC148" s="264" t="str">
        <f>IF(AND('Zdroj data'!BF148="T",(OR('Zdroj data'!AZ148=Body!$AW$45,'Zdroj data'!AZ148=Body!$AW$46,'Zdroj data'!AZ148=Body!$AW$47,'Zdroj data'!AZ148=Body!$AW$48))),Body!$AY$22,IF(AND('Zdroj data'!BF148="T",(OR('Zdroj data'!AZ148=$AW$49,'Zdroj data'!AZ148=$AW$50,'Zdroj data'!AZ148=$AW$51,'Zdroj data'!AZ148=$AW$52))),$BZ$22," "))</f>
        <v xml:space="preserve"> </v>
      </c>
      <c r="AD148" s="264">
        <f>IF(AND(OR('Zdroj data'!BF148="VT",'Zdroj data'!BF148="T",'Zdroj data'!BF148="CH"),(OR('Zdroj data'!AZ148=$AW$43,'Zdroj data'!AZ148=$AW$44,))),$BZ$22," ")</f>
        <v>10</v>
      </c>
      <c r="AE148" s="264" t="str">
        <f>IF(AND('Zdroj data'!BF148="CH",(OR('Zdroj data'!AZ148=$AW$49,'Zdroj data'!AZ148=$AW$50,'Zdroj data'!AZ148=$AW$51,'Zdroj data'!AZ148=$AW$52))),$AY$22,IF(AND('Zdroj data'!BF148="CH",(OR('Zdroj data'!AZ148=$AW$45,'Zdroj data'!AZ148=$AW$46,'Zdroj data'!AZ148=$AW$47,'Zdroj data'!AZ148=$AW$48))),$BZ$22," "))</f>
        <v xml:space="preserve"> </v>
      </c>
      <c r="AF148" s="264">
        <f>IF(AND('Zdroj data'!BG148="L",'Zdroj data'!AM148=Body!$AX$15),IF(AND('Zdroj data'!O148&gt;=Body!$AY$15,'Zdroj data'!O148&lt;=Body!$BA$15),Body!AY$6,IF(AND('Zdroj data'!O148&gt;=Body!$BB$15,'Zdroj data'!O148&lt;=Body!$BD$15),Body!BB$6,IF(AND('Zdroj data'!O148&gt;=Body!$BE$15,'Zdroj data'!O148&lt;=Body!$BG$15),Body!BE$6,IF(AND('Zdroj data'!O148&gt;=Body!$BH$15,'Zdroj data'!O148&lt;=Body!$BJ$15),Body!BH$6,IF(AND('Zdroj data'!O148&gt;=Body!$BK$15,'Zdroj data'!O148&lt;=Body!$BM$15),Body!BK$6,IF(AND('Zdroj data'!O148&gt;=Body!$BN$15,'Zdroj data'!O148&lt;=Body!$BP$15),Body!$BN$6,IF(AND('Zdroj data'!O148&gt;=Body!$BQ$15,'Zdroj data'!O148&lt;=Body!$BS$15),Body!$BQ$6,IF(AND('Zdroj data'!O148&gt;=Body!$BT$15,'Zdroj data'!O148&lt;=Body!$BV$15),Body!BT$6,IF(AND('Zdroj data'!O148&gt;=Body!$BW$15,'Zdroj data'!O148&lt;=Body!$BY$15),Body!$BW$6,IF('Zdroj data'!O148&gt;=Body!$CB$15,Body!$BZ$6," ")))))))))),IF(AND('Zdroj data'!BG148="ST",'Zdroj data'!AM148=Body!$AX$16),IF(AND('Zdroj data'!O148&gt;=Body!$AY$16,'Zdroj data'!O148&lt;=Body!$BA$16),Body!$AY$6,IF(AND('Zdroj data'!O148&gt;=Body!$BB$16,'Zdroj data'!O148&lt;=Body!$BD$16),Body!$BB$6,IF(AND('Zdroj data'!O148&gt;=Body!$BE$16,'Zdroj data'!O148&lt;=Body!$BG$16),Body!$BE$6,IF(AND('Zdroj data'!O148&gt;=Body!$BH$16,'Zdroj data'!O148&lt;=Body!$BJ$16),Body!$BH$6,IF(AND('Zdroj data'!O148&gt;=Body!$BK$16,'Zdroj data'!O148&lt;=Body!$BM$16),Body!$BK$6,IF(AND('Zdroj data'!O148&gt;=Body!$BN$16,'Zdroj data'!O148&lt;=Body!$BP$16),Body!$BN$6,IF(AND('Zdroj data'!O148&gt;=Body!$BQ$16,'Zdroj data'!O148&lt;=Body!$BS$16),Body!$BQ$6,IF(AND('Zdroj data'!O148&gt;=Body!$BT$16,'Zdroj data'!O148&lt;=Body!$BV$16),Body!$BT$6,IF(AND('Zdroj data'!O148&gt;=Body!$BW$16,'Zdroj data'!O148&lt;=Body!$BY$16),Body!$BW$6,IF('Zdroj data'!O148&gt;=Body!$CB$16,Body!$BZ$6," ")))))))))),IF(AND('Zdroj data'!BG148="T",'Zdroj data'!AM148=Body!$AX$17),IF(AND('Zdroj data'!O148&gt;=Body!$AY$17,'Zdroj data'!O148&lt;=Body!$BA$17),Body!$AY$6,IF(AND('Zdroj data'!O148&gt;=Body!$BB$17,'Zdroj data'!O148&lt;=Body!$BD$17),Body!$BB$6,IF(AND('Zdroj data'!O148&gt;=Body!$BE$17,'Zdroj data'!O148&lt;=Body!$BG$17),Body!$BE$6,IF(AND('Zdroj data'!O148&gt;=Body!$BH$17,'Zdroj data'!O148&lt;=Body!BJ162),Body!$BH$6,IF(AND('Zdroj data'!O148&gt;=Body!$BK$17,'Zdroj data'!O148&lt;=Body!$BM$17),Body!$BK$6,IF(AND('Zdroj data'!O148&gt;=Body!$BN$17,'Zdroj data'!O148&lt;=Body!$BP$17),Body!$BN$6,IF(AND('Zdroj data'!O148&gt;=Body!$BQ$17,'Zdroj data'!O148&lt;=Body!$BS$17),Body!$BQ$6,IF(AND('Zdroj data'!O148&gt;=Body!$BT$17,'Zdroj data'!O148&lt;=Body!$BV$17),Body!$BT$6,IF(AND('Zdroj data'!O148&gt;=Body!$BW$17,'Zdroj data'!O148&lt;=Body!$BY$17),Body!$BW$6,IF('Zdroj data'!O148&gt;=Body!$CB$17,Body!$BZ$6," "))))))))))," ")))</f>
        <v>3</v>
      </c>
      <c r="AG148" s="264">
        <f>IF(AND('Zdroj data'!$BG148="L",'Zdroj data'!$AM148=Body!$AX$15),IF(AND(Tabulka1[[#This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data'!$BG148="ST",'Zdroj data'!$AM148=Body!$AX$16),IF(AND(Tabulka1[[#This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data'!$BG148="T",'Zdroj data'!$AM148=Body!$AX$17),IF(AND(Tabulka1[[#This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Row],[K2O_60]]&lt;=Body!BJ162),Body!$BH$6,IF(AND(Tabulka1[[#This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2</v>
      </c>
      <c r="AH148" s="264" t="str">
        <f>IF(AND('Zdroj data'!BG148="L",'Zdroj data'!AM148=Body!$AX$18),IF(AND('Zdroj data'!O148&gt;=Body!$AY$18,'Zdroj data'!O148&lt;=Body!$BA$18),Body!AY$6,IF(AND('Zdroj data'!O148&gt;=Body!$BB$18,'Zdroj data'!O148&lt;=Body!$BD$18),Body!BB$6,IF(AND('Zdroj data'!O148&gt;=Body!$BE$18,'Zdroj data'!O148&lt;=Body!$BG$18),Body!BE$6,IF(AND('Zdroj data'!O148&gt;=Body!$BH$18,'Zdroj data'!O148&lt;=Body!$BJ$18),Body!BH$6,IF(AND('Zdroj data'!O148&gt;=Body!$BK$18,'Zdroj data'!O148&lt;=Body!$BM$18),Body!$BK$6,IF(AND('Zdroj data'!O148&gt;=Body!$BN$18,'Zdroj data'!O148&lt;=Body!$BP$18),Body!BN$6,IF(AND('Zdroj data'!O148&gt;=Body!$BQ$18,'Zdroj data'!O148&lt;=Body!$BS$18),Body!$BQ$6,IF(AND('Zdroj data'!O148&gt;=Body!$BT$18,'Zdroj data'!O148&lt;=Body!$BV$18),Body!$BT$6,IF(AND('Zdroj data'!O148&gt;=Body!$BW$18,'Zdroj data'!O148&lt;=Body!$BY$18),Body!$BW$6,IF('Zdroj data'!O148&gt;=Body!$CB$18,Body!$BZ$6," ")))))))))),IF(AND('Zdroj data'!BG148="ST",'Zdroj data'!AM148=Body!$AX$19),IF(AND('Zdroj data'!O148&gt;=Body!$AY$19,'Zdroj data'!O148&lt;=Body!$BA$19),Body!$AY$6,IF(AND('Zdroj data'!O148&gt;=Body!$BB$19,'Zdroj data'!O148&lt;=Body!$BD$19),Body!$BB$6,IF(AND('Zdroj data'!O148&gt;=Body!$BE$19,'Zdroj data'!O148&lt;=Body!$BG$19),Body!$BE$6,IF(AND('Zdroj data'!O148&gt;=Body!$BH$19,'Zdroj data'!O148&lt;=Body!$BJ$19),Body!$BH$6,IF(AND('Zdroj data'!O148&gt;=Body!$BK$19,'Zdroj data'!O148&lt;=Body!$BM$19),Body!$BK$6,IF(AND('Zdroj data'!O148&gt;=Body!$BN$19,'Zdroj data'!O148&lt;=Body!$BP$19),Body!$BN$6,IF(AND('Zdroj data'!O148&gt;=Body!$BQ$19,'Zdroj data'!O148&lt;=Body!$BS$19),Body!$BQ$6,IF(AND('Zdroj data'!O148&gt;=Body!$BT$19,'Zdroj data'!O152&lt;=Body!$BV$19),Body!$BT$6,IF(AND('Zdroj data'!O148&gt;=Body!$BW$19,'Zdroj data'!O148&lt;=Body!$BY$19),Body!$BW$6,IF('Zdroj data'!O148&gt;=Body!$CB$19,Body!$BZ$6," ")))))))))),IF(AND('Zdroj data'!BG148="T",'Zdroj data'!AM148=Body!$AX$20),IF(AND('Zdroj data'!O148&gt;=Body!$AY$20,'Zdroj data'!O148&lt;=Body!$BA$20),Body!$AY$6,IF(AND('Zdroj data'!O148&gt;=Body!$BB$20,'Zdroj data'!O148&lt;=Body!$BD$20),Body!$BB$6,IF(AND('Zdroj data'!O148&gt;=Body!$BE$20,'Zdroj data'!O148&lt;=Body!$BG$20),Body!$BE$6,IF(AND('Zdroj data'!O148&gt;=Body!$BH$20,'Zdroj data'!O148&lt;=Body!$BJ$20),Body!$BH$6,IF(AND('Zdroj data'!O148&gt;=Body!$BK$20,'Zdroj data'!O148&lt;=Body!$BM$20),Body!$BK$6,IF(AND('Zdroj data'!O148&gt;=Body!$BN$20,'Zdroj data'!O148&lt;=Body!$BP$20),Body!$BN$6,IF(AND('Zdroj data'!O148&gt;=Body!$BQ$20,'Zdroj data'!O148&lt;=Body!$BS$20),Body!$BQ$6,IF(AND('Zdroj data'!O148&gt;=Body!$BT$20,'Zdroj data'!O148&lt;=Body!BV165),Body!$BT$6,IF(AND('Zdroj data'!O148&gt;=Body!$BW$20,'Zdroj data'!O148&lt;=Body!$BY$20),Body!$BW$6,IF('Zdroj data'!O148&gt;=Body!$CB$20,Body!$BZ$6," "))))))))))," ")))</f>
        <v xml:space="preserve"> </v>
      </c>
      <c r="AI148" s="264" t="str">
        <f>IF(AND('Zdroj data'!$BG148="L",'Zdroj data'!$AM148=Body!$AX$18),IF(AND(Tabulka1[[#This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data'!$BG148="ST",'Zdroj data'!$AM148=Body!$AX$19),IF(AND(Tabulka1[[#This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data'!$BG148="T",'Zdroj data'!$AM148=Body!$AX$20),IF(AND(Tabulka1[[#This Row],[K2O_60]]&gt;=Body!$AY$20,'Zdroj data'!O148&lt;=Body!$BA$20),Body!$AY$6,IF(AND(Tabulka1[[#This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Row],[K2O_60]]&lt;=Body!BV165),Body!$BT$6,IF(AND(Tabulka1[[#This Row],[K2O_60]]&gt;=Body!$BW$20,Tabulka1[[#This Row],[K2O_60]]&lt;=Body!$BY$20),Body!$BW$6,IF(Tabulka1[[#This Row],[K2O_60]]&gt;=Body!$CB$20,Body!$BZ$6," "))))))))))," ")))</f>
        <v xml:space="preserve"> </v>
      </c>
      <c r="AJ148" s="265">
        <f t="shared" si="26"/>
        <v>5.3333333333333375</v>
      </c>
      <c r="AK148" s="264">
        <f t="shared" si="27"/>
        <v>25.372107012614993</v>
      </c>
      <c r="AL148" s="264">
        <f t="shared" si="28"/>
        <v>24.612706612691813</v>
      </c>
      <c r="AM148" s="264">
        <f t="shared" si="29"/>
        <v>72.492609015269778</v>
      </c>
      <c r="AN148" s="264">
        <f t="shared" si="30"/>
        <v>70.948015808067794</v>
      </c>
      <c r="AO148" s="265">
        <f t="shared" si="33"/>
        <v>97.864716027884768</v>
      </c>
      <c r="AP148" s="265">
        <f t="shared" si="31"/>
        <v>95.560722420759603</v>
      </c>
      <c r="AQ148" s="318"/>
      <c r="AR148" s="338">
        <f t="shared" si="32"/>
        <v>198.75877178197771</v>
      </c>
      <c r="AS148" s="318"/>
      <c r="AT148" s="138"/>
      <c r="AU148" s="138"/>
    </row>
    <row r="149" spans="1:47" ht="15.5" x14ac:dyDescent="0.35">
      <c r="A149" s="270">
        <v>9134</v>
      </c>
      <c r="B149" s="156" t="s">
        <v>633</v>
      </c>
      <c r="C149" s="250" t="str">
        <f>VLOOKUP(B149,'Zdroj hloubka okresy'!$A$2:$D$171,2,FALSE)</f>
        <v>Mlada_Boleslav</v>
      </c>
      <c r="D149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149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149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49" s="264">
        <f>IF(AND(Tabulka1[[#This Row],[hum_60]]&gt;AY155,Tabulka1[[#This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49" s="264">
        <f>IF(Tabulka1[[#This Row],[kv.ek.]]=Body!$AX$13,IF(AND('Zdroj data'!M149&gt;=Body!$AY$13,'Zdroj data'!M149&lt;=Body!$BA$13),Body!$AY$6,IF(AND('Zdroj data'!M149&gt;=Body!$BB$13,'Zdroj data'!M149&lt;=Body!$BD$13),Body!$BB$6,IF(AND('Zdroj data'!M149&gt;=Body!$BE$13,'Zdroj data'!M149&lt;=Body!$BG$13),Body!$BE$6,IF(AND('Zdroj data'!M149&gt;=Body!$BH$13,'Zdroj data'!M149&lt;=Body!$BJ$13),Body!$BH$6,IF(AND('Zdroj data'!M149&gt;=Body!$BK$13,'Zdroj data'!M149&lt;=Body!$BM$13),Body!$BK$6,IF(AND('Zdroj data'!M149&gt;=Body!$BN$13,'Zdroj data'!M149&lt;=Body!$BP$13),Body!$BN$6,IF(AND('Zdroj data'!M149&gt;=Body!$BQ$13,'Zdroj data'!M149&lt;=Body!$BS$13),Body!$BQ$6,IF(AND('Zdroj data'!M149&gt;=Body!$BT$13,'Zdroj data'!M149&lt;=Body!$BV$13),Body!$BT$6,IF(AND('Zdroj data'!M149&gt;=Body!$BW$13,'Zdroj data'!M149&lt;=Body!$BY$13),Body!$BW$6,IF('Zdroj data'!M149&gt;=Body!$CB$13,Body!$BZ$6," ")))))))))),IF(Tabulka1[[#This Row],[kv.ek.]]=Body!$AX$14,IF(AND('Zdroj data'!N149&gt;=Body!$AY$14,'Zdroj data'!N149&lt;=Body!$BA$14),Body!$AY$6,IF(AND('Zdroj data'!N149&gt;=Body!$BB$14,'Zdroj data'!N149&lt;=Body!$BD$14),Body!$BB$6,IF(AND('Zdroj data'!N149&gt;=Body!$BE$14,'Zdroj data'!N149&lt;=Body!$BG$14),Body!$BE$6,IF(AND('Zdroj data'!N149&gt;=Body!$BH$14,'Zdroj data'!N149&lt;=Body!$BJ$14),Body!$BH$6,IF(AND('Zdroj data'!N149&gt;=Body!$BK$14,'Zdroj data'!N149&lt;=Body!$BM$14),Body!$BK$6,IF(AND('Zdroj data'!N149&gt;=Body!$BN$14,'Zdroj data'!N149&lt;=Body!$BP$14),Body!$BN$6,IF(AND('Zdroj data'!N149&gt;=Body!$BQ$14,'Zdroj data'!N149&lt;=Body!$BS$14),Body!$BQ$6,IF(AND('Zdroj data'!N149&gt;=Body!$BT$14,'Zdroj data'!N149&lt;=Body!$BV$14),Body!$BT$6,IF(AND('Zdroj data'!N149&gt;=Body!$BW$14,'Zdroj data'!N149&lt;=Body!$BY$14),Body!$BW$6,IF('Zdroj data'!N149&gt;=Body!$CB$14,Body!$BZ$6," "))))))))))," "))</f>
        <v>3</v>
      </c>
      <c r="I149" s="264">
        <f>IF(Tabulka1[[#This Row],[kv.ek.]]=Body!$AX$13,IF(AND('Zdroj data'!N149&gt;=Body!$AY$13,'Zdroj data'!N149&lt;=Body!$BA$13),Body!$AY$6,IF(AND('Zdroj data'!N149&gt;=Body!$BB$13,'Zdroj data'!N149&lt;=Body!$BD$13),Body!$BB$6,IF(AND('Zdroj data'!N149&gt;=Body!$BE$13,'Zdroj data'!N149&lt;=Body!$BG$13),Body!$BE$6,IF(AND('Zdroj data'!N149&gt;=Body!$BH$13,'Zdroj data'!N149&lt;=Body!$BJ$13),Body!$BH$6,IF(AND('Zdroj data'!N149&gt;=Body!$BK$13,'Zdroj data'!N149&lt;=Body!$BM$13),Body!$BK$6,IF(AND('Zdroj data'!N149&gt;=Body!$BN$13,'Zdroj data'!N149&lt;=Body!$BP$13),Body!$BN$6,IF(AND('Zdroj data'!N149&gt;=Body!$BQ$13,'Zdroj data'!N149&lt;=Body!$BS$13),Body!$BQ$6,IF(AND('Zdroj data'!N149&gt;=Body!$BT$13,'Zdroj data'!N149&lt;=Body!$BV$13),Body!$BT$6,IF(AND('Zdroj data'!N149&gt;=Body!$BW$13,'Zdroj data'!N149&lt;=Body!$BY$13),Body!$BW$6,IF('Zdroj data'!N149&gt;=Body!$CB$13,Body!$BZ$6," ")))))))))),IF(Tabulka1[[#This Row],[kv.ek.]]=Body!$AX$14,IF(AND('Zdroj data'!O149&gt;=Body!$AY$14,'Zdroj data'!O149&lt;=Body!$BA$14),Body!$AY$6,IF(AND('Zdroj data'!O149&gt;=Body!$BB$14,'Zdroj data'!O149&lt;=Body!$BD$14),Body!$BB$6,IF(AND('Zdroj data'!O149&gt;=Body!$BE$14,'Zdroj data'!O149&lt;=Body!$BG$14),Body!$BE$6,IF(AND('Zdroj data'!O149&gt;=Body!$BH$14,'Zdroj data'!O149&lt;=Body!$BJ$14),Body!$BH$6,IF(AND('Zdroj data'!O149&gt;=Body!$BK$14,'Zdroj data'!O149&lt;=Body!$BM$14),Body!$BK$6,IF(AND('Zdroj data'!O149&gt;=Body!$BN$14,'Zdroj data'!O149&lt;=Body!$BP$14),Body!$BN$6,IF(AND('Zdroj data'!O149&gt;=Body!$BQ$14,'Zdroj data'!O149&lt;=Body!$BS$14),Body!$BQ$6,IF(AND('Zdroj data'!O149&gt;=Body!$BT$14,'Zdroj data'!O149&lt;=Body!$BV$14),Body!$BT$6,IF(AND('Zdroj data'!O149&gt;=Body!$BW$14,'Zdroj data'!O149&lt;=Body!$BY$14),Body!$BW$6,IF('Zdroj data'!O149&gt;=Body!$CB$14,Body!$BZ$6," "))))))))))," "))</f>
        <v>2</v>
      </c>
      <c r="J149" s="264">
        <f t="shared" si="25"/>
        <v>1</v>
      </c>
      <c r="K149" s="264">
        <f t="shared" si="25"/>
        <v>1</v>
      </c>
      <c r="L149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149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149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149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149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49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149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149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149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149" s="264">
        <f>IF('Zdroj data'!BB149=Body!$AY$25,Body!$AY$22,IF('Zdroj data'!BB149=Body!$BB$25,Body!$BB$22,IF('Zdroj data'!BB149=Body!$BE$25,Body!$BE$22,IF('Zdroj data'!BB149=Body!$BH$25,Body!$BH$22,IF('Zdroj data'!BB149=Body!BK$25,Body!$BK$22,IF('Zdroj data'!BB149=Body!$BN$25,Body!$BN$22,IF('Zdroj data'!BB149=Body!$BQ$25,Body!$BQ$22,IF('Zdroj data'!BB149=Body!$BT$25,Body!$BT$22,IF('Zdroj data'!BB149=Body!$BW$25,Body!$BW$22,IF('Zdroj data'!BB149=Body!$BZ$25,Body!$BZ$22," "))))))))))</f>
        <v>7</v>
      </c>
      <c r="V149" s="264">
        <f>IF(AND('Zdroj data'!BO149&gt;Body!$AY$27,'Zdroj data'!BO149&lt;=Body!$BA$27),Body!$AY$22,IF(AND('Zdroj data'!BO149&gt;=Body!$BB$27,'Zdroj data'!BO149&lt;=Body!$BD$27),Body!$BB$22,IF(AND('Zdroj data'!BO149&gt;=Body!$BE$27,'Zdroj data'!BO149&lt;=Body!$BG$27),Body!$BE$22,IF(AND('Zdroj data'!BO149&gt;=Body!$BH$27,'Zdroj data'!BO149&lt;=Body!$BJ$27),Body!$BH$22,IF(AND('Zdroj data'!BO149&gt;=Body!$BK$27,'Zdroj data'!BO149&lt;=Body!$BM$27),Body!$BK$22,IF(AND('Zdroj data'!BO149&gt;=Body!$BN$27,'Zdroj data'!BO149&lt;=Body!$BP$27),Body!$BN$22,IF(AND('Zdroj data'!BO149&gt;=Body!$BQ$27,'Zdroj data'!BO149&lt;=Body!$BS$27),Body!$BQ$22,IF(AND('Zdroj data'!BO149&gt;=Body!$BT$27,'Zdroj data'!BO149&lt;=Body!$BV$27),Body!$BT$22,IF(AND('Zdroj data'!BO149&gt;=Body!$BW$27,'Zdroj data'!BO149&lt;=Body!$BY$27),Body!$BW$22,IF('Zdroj data'!BO149&gt;=Body!$CB$27,$BZ$22," "))))))))))</f>
        <v>8</v>
      </c>
      <c r="W149" s="264">
        <f>IF(AND('Zdroj data'!BP149&gt;Body!$AY$27,'Zdroj data'!BP149&lt;=Body!$BA$27),Body!$AY$22,IF(AND('Zdroj data'!BP149&gt;=Body!$BB$27,'Zdroj data'!BP149&lt;=Body!$BD$27),Body!$BB$22,IF(AND('Zdroj data'!BP149&gt;=Body!$BE$27,'Zdroj data'!BP149&lt;=Body!$BG$27),Body!$BE$22,IF(AND('Zdroj data'!BP149&gt;=Body!$BH$27,'Zdroj data'!BP149&lt;=Body!$BJ$27),Body!$BH$22,IF(AND('Zdroj data'!BP149&gt;=Body!$BK$27,'Zdroj data'!BP149&lt;=Body!$BM$27),Body!$BK$22,IF(AND('Zdroj data'!BP149&gt;=Body!$BN$27,'Zdroj data'!BP149&lt;=Body!$BP$27),Body!$BN$22,IF(AND('Zdroj data'!BP149&gt;=Body!$BQ$27,'Zdroj data'!BP149&lt;=Body!$BS$27),Body!$BQ$22,IF(AND('Zdroj data'!BP149&gt;=Body!$BT$27,'Zdroj data'!BP149&lt;=Body!$BV$27),Body!$BT$22,IF(AND('Zdroj data'!BP149&gt;=Body!$BW$27,'Zdroj data'!BP149&lt;=Body!$BY$27),Body!$BW$22,IF('Zdroj data'!BP149&gt;=Body!$CB$27,$BZ$22," "))))))))))</f>
        <v>5</v>
      </c>
      <c r="X149" s="264">
        <f>IF('Zdroj data'!BA149=Body!$BB$28,$BB$22,IF('Zdroj data'!BA149=Body!$BE$28,$BE$22,IF(OR('Zdroj data'!BA149=Body!$BK$28,'Zdroj data'!BA149=Body!$BL$28,'Zdroj data'!BA149=Body!$BM$28),$BK$22,IF(OR('Zdroj data'!BA149=Body!$BT$28,'Zdroj data'!BA149=Body!$BV$28),$BT$22,IF(OR('Zdroj data'!BA149=Body!$BW$28,'Zdroj data'!BA149=Body!$BY$28),$BW$22,IF('Zdroj data'!BA149=Body!$BZ$28,$BZ$22," "))))))</f>
        <v>10</v>
      </c>
      <c r="Y149" s="264">
        <f>IF('Zdroj data'!AZ149=Body!$BZ$29,Body!$BZ$22,IF(OR('Zdroj data'!AZ149=$BT$29,'Zdroj data'!AZ149=$BU$29,'Zdroj data'!AZ149=$BV$29),$BT$22,IF(OR('Zdroj data'!AZ149=$BK$29,'Zdroj data'!AZ149=$BM$29),$BK$22,IF(OR('Zdroj data'!AZ149=$BE$29,'Zdroj data'!AZ149=$BG$29),$BE$22,IF(OR('Zdroj data'!AZ149=$AY$29,'Zdroj data'!AZ149=$BA$29),$AY$22," ")))))</f>
        <v>10</v>
      </c>
      <c r="Z149" s="264">
        <f>IF(AND('Zdroj data'!BF149="T",(OR('Zdroj data'!AZ149=Body!$AW$45,'Zdroj data'!AZ149=Body!$AW$46,'Zdroj data'!AZ149=Body!$AW$47,'Zdroj data'!AZ149=Body!$AW$48))),Body!$AY$22,IF(AND('Zdroj data'!BF149="T",(OR('Zdroj data'!AZ149=$AW$49,'Zdroj data'!AZ149=$AW$50,'Zdroj data'!AZ149=$AW$51,'Zdroj data'!AZ149=$AW$52))),$BZ$22,IF(AND(OR('Zdroj data'!BF149="VT",'Zdroj data'!BF149="T",'Zdroj data'!BF149="CH"),(OR('Zdroj data'!AZ149=$AW$43,'Zdroj data'!AZ149=$AW$44,))),$BZ$22,IF(AND('Zdroj data'!BF149="CH",(OR('Zdroj data'!AZ149=$AW$49,'Zdroj data'!AZ149=$AW$50,'Zdroj data'!AZ149=$AW$51,'Zdroj data'!AZ149=$AW$52))),$AY$22,IF(AND('Zdroj data'!BF149="CH",(OR('Zdroj data'!AZ149=$AW$45,'Zdroj data'!AZ149=$AW$46,'Zdroj data'!AZ149=$AW$47,'Zdroj data'!AZ149=$AW$48))),$BZ$22," ")))))</f>
        <v>10</v>
      </c>
      <c r="AA149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49" s="264">
        <f>IF(Tabulka1[[#This Row],[kv.ek.]]=Body!$BK$35,Body!$BK$34,IF(Tabulka1[[#This Row],[kv.ek.]]=Body!$BZ$35,Body!$BZ$34," "))</f>
        <v>5</v>
      </c>
      <c r="AC149" s="264" t="str">
        <f>IF(AND('Zdroj data'!BF149="T",(OR('Zdroj data'!AZ149=Body!$AW$45,'Zdroj data'!AZ149=Body!$AW$46,'Zdroj data'!AZ149=Body!$AW$47,'Zdroj data'!AZ149=Body!$AW$48))),Body!$AY$22,IF(AND('Zdroj data'!BF149="T",(OR('Zdroj data'!AZ149=$AW$49,'Zdroj data'!AZ149=$AW$50,'Zdroj data'!AZ149=$AW$51,'Zdroj data'!AZ149=$AW$52))),$BZ$22," "))</f>
        <v xml:space="preserve"> </v>
      </c>
      <c r="AD149" s="264">
        <f>IF(AND(OR('Zdroj data'!BF149="VT",'Zdroj data'!BF149="T",'Zdroj data'!BF149="CH"),(OR('Zdroj data'!AZ149=$AW$43,'Zdroj data'!AZ149=$AW$44,))),$BZ$22," ")</f>
        <v>10</v>
      </c>
      <c r="AE149" s="264" t="str">
        <f>IF(AND('Zdroj data'!BF149="CH",(OR('Zdroj data'!AZ149=$AW$49,'Zdroj data'!AZ149=$AW$50,'Zdroj data'!AZ149=$AW$51,'Zdroj data'!AZ149=$AW$52))),$AY$22,IF(AND('Zdroj data'!BF149="CH",(OR('Zdroj data'!AZ149=$AW$45,'Zdroj data'!AZ149=$AW$46,'Zdroj data'!AZ149=$AW$47,'Zdroj data'!AZ149=$AW$48))),$BZ$22," "))</f>
        <v xml:space="preserve"> </v>
      </c>
      <c r="AF149" s="264">
        <f>IF(AND('Zdroj data'!BG149="L",'Zdroj data'!AM149=Body!$AX$15),IF(AND('Zdroj data'!O149&gt;=Body!$AY$15,'Zdroj data'!O149&lt;=Body!$BA$15),Body!AY$6,IF(AND('Zdroj data'!O149&gt;=Body!$BB$15,'Zdroj data'!O149&lt;=Body!$BD$15),Body!BB$6,IF(AND('Zdroj data'!O149&gt;=Body!$BE$15,'Zdroj data'!O149&lt;=Body!$BG$15),Body!BE$6,IF(AND('Zdroj data'!O149&gt;=Body!$BH$15,'Zdroj data'!O149&lt;=Body!$BJ$15),Body!BH$6,IF(AND('Zdroj data'!O149&gt;=Body!$BK$15,'Zdroj data'!O149&lt;=Body!$BM$15),Body!BK$6,IF(AND('Zdroj data'!O149&gt;=Body!$BN$15,'Zdroj data'!O149&lt;=Body!$BP$15),Body!$BN$6,IF(AND('Zdroj data'!O149&gt;=Body!$BQ$15,'Zdroj data'!O149&lt;=Body!$BS$15),Body!$BQ$6,IF(AND('Zdroj data'!O149&gt;=Body!$BT$15,'Zdroj data'!O149&lt;=Body!$BV$15),Body!BT$6,IF(AND('Zdroj data'!O149&gt;=Body!$BW$15,'Zdroj data'!O149&lt;=Body!$BY$15),Body!$BW$6,IF('Zdroj data'!O149&gt;=Body!$CB$15,Body!$BZ$6," ")))))))))),IF(AND('Zdroj data'!BG149="ST",'Zdroj data'!AM149=Body!$AX$16),IF(AND('Zdroj data'!O149&gt;=Body!$AY$16,'Zdroj data'!O149&lt;=Body!$BA$16),Body!$AY$6,IF(AND('Zdroj data'!O149&gt;=Body!$BB$16,'Zdroj data'!O149&lt;=Body!$BD$16),Body!$BB$6,IF(AND('Zdroj data'!O149&gt;=Body!$BE$16,'Zdroj data'!O149&lt;=Body!$BG$16),Body!$BE$6,IF(AND('Zdroj data'!O149&gt;=Body!$BH$16,'Zdroj data'!O149&lt;=Body!$BJ$16),Body!$BH$6,IF(AND('Zdroj data'!O149&gt;=Body!$BK$16,'Zdroj data'!O149&lt;=Body!$BM$16),Body!$BK$6,IF(AND('Zdroj data'!O149&gt;=Body!$BN$16,'Zdroj data'!O149&lt;=Body!$BP$16),Body!$BN$6,IF(AND('Zdroj data'!O149&gt;=Body!$BQ$16,'Zdroj data'!O149&lt;=Body!$BS$16),Body!$BQ$6,IF(AND('Zdroj data'!O149&gt;=Body!$BT$16,'Zdroj data'!O149&lt;=Body!$BV$16),Body!$BT$6,IF(AND('Zdroj data'!O149&gt;=Body!$BW$16,'Zdroj data'!O149&lt;=Body!$BY$16),Body!$BW$6,IF('Zdroj data'!O149&gt;=Body!$CB$16,Body!$BZ$6," ")))))))))),IF(AND('Zdroj data'!BG149="T",'Zdroj data'!AM149=Body!$AX$17),IF(AND('Zdroj data'!O149&gt;=Body!$AY$17,'Zdroj data'!O149&lt;=Body!$BA$17),Body!$AY$6,IF(AND('Zdroj data'!O149&gt;=Body!$BB$17,'Zdroj data'!O149&lt;=Body!$BD$17),Body!$BB$6,IF(AND('Zdroj data'!O149&gt;=Body!$BE$17,'Zdroj data'!O149&lt;=Body!$BG$17),Body!$BE$6,IF(AND('Zdroj data'!O149&gt;=Body!$BH$17,'Zdroj data'!O149&lt;=Body!BJ163),Body!$BH$6,IF(AND('Zdroj data'!O149&gt;=Body!$BK$17,'Zdroj data'!O149&lt;=Body!$BM$17),Body!$BK$6,IF(AND('Zdroj data'!O149&gt;=Body!$BN$17,'Zdroj data'!O149&lt;=Body!$BP$17),Body!$BN$6,IF(AND('Zdroj data'!O149&gt;=Body!$BQ$17,'Zdroj data'!O149&lt;=Body!$BS$17),Body!$BQ$6,IF(AND('Zdroj data'!O149&gt;=Body!$BT$17,'Zdroj data'!O149&lt;=Body!$BV$17),Body!$BT$6,IF(AND('Zdroj data'!O149&gt;=Body!$BW$17,'Zdroj data'!O149&lt;=Body!$BY$17),Body!$BW$6,IF('Zdroj data'!O149&gt;=Body!$CB$17,Body!$BZ$6," "))))))))))," ")))</f>
        <v>1</v>
      </c>
      <c r="AG149" s="264">
        <f>IF(AND('Zdroj data'!$BG149="L",'Zdroj data'!$AM149=Body!$AX$15),IF(AND(Tabulka1[[#This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data'!$BG149="ST",'Zdroj data'!$AM149=Body!$AX$16),IF(AND(Tabulka1[[#This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data'!$BG149="T",'Zdroj data'!$AM149=Body!$AX$17),IF(AND(Tabulka1[[#This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Row],[K2O_60]]&lt;=Body!BJ163),Body!$BH$6,IF(AND(Tabulka1[[#This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49" s="264" t="str">
        <f>IF(AND('Zdroj data'!BG149="L",'Zdroj data'!AM149=Body!$AX$18),IF(AND('Zdroj data'!O149&gt;=Body!$AY$18,'Zdroj data'!O149&lt;=Body!$BA$18),Body!AY$6,IF(AND('Zdroj data'!O149&gt;=Body!$BB$18,'Zdroj data'!O149&lt;=Body!$BD$18),Body!BB$6,IF(AND('Zdroj data'!O149&gt;=Body!$BE$18,'Zdroj data'!O149&lt;=Body!$BG$18),Body!BE$6,IF(AND('Zdroj data'!O149&gt;=Body!$BH$18,'Zdroj data'!O149&lt;=Body!$BJ$18),Body!BH$6,IF(AND('Zdroj data'!O149&gt;=Body!$BK$18,'Zdroj data'!O149&lt;=Body!$BM$18),Body!$BK$6,IF(AND('Zdroj data'!O149&gt;=Body!$BN$18,'Zdroj data'!O149&lt;=Body!$BP$18),Body!BN$6,IF(AND('Zdroj data'!O149&gt;=Body!$BQ$18,'Zdroj data'!O149&lt;=Body!$BS$18),Body!$BQ$6,IF(AND('Zdroj data'!O149&gt;=Body!$BT$18,'Zdroj data'!O149&lt;=Body!$BV$18),Body!$BT$6,IF(AND('Zdroj data'!O149&gt;=Body!$BW$18,'Zdroj data'!O149&lt;=Body!$BY$18),Body!$BW$6,IF('Zdroj data'!O149&gt;=Body!$CB$18,Body!$BZ$6," ")))))))))),IF(AND('Zdroj data'!BG149="ST",'Zdroj data'!AM149=Body!$AX$19),IF(AND('Zdroj data'!O149&gt;=Body!$AY$19,'Zdroj data'!O149&lt;=Body!$BA$19),Body!$AY$6,IF(AND('Zdroj data'!O149&gt;=Body!$BB$19,'Zdroj data'!O149&lt;=Body!$BD$19),Body!$BB$6,IF(AND('Zdroj data'!O149&gt;=Body!$BE$19,'Zdroj data'!O149&lt;=Body!$BG$19),Body!$BE$6,IF(AND('Zdroj data'!O149&gt;=Body!$BH$19,'Zdroj data'!O149&lt;=Body!$BJ$19),Body!$BH$6,IF(AND('Zdroj data'!O149&gt;=Body!$BK$19,'Zdroj data'!O149&lt;=Body!$BM$19),Body!$BK$6,IF(AND('Zdroj data'!O149&gt;=Body!$BN$19,'Zdroj data'!O149&lt;=Body!$BP$19),Body!$BN$6,IF(AND('Zdroj data'!O149&gt;=Body!$BQ$19,'Zdroj data'!O149&lt;=Body!$BS$19),Body!$BQ$6,IF(AND('Zdroj data'!O149&gt;=Body!$BT$19,'Zdroj data'!O153&lt;=Body!$BV$19),Body!$BT$6,IF(AND('Zdroj data'!O149&gt;=Body!$BW$19,'Zdroj data'!O149&lt;=Body!$BY$19),Body!$BW$6,IF('Zdroj data'!O149&gt;=Body!$CB$19,Body!$BZ$6," ")))))))))),IF(AND('Zdroj data'!BG149="T",'Zdroj data'!AM149=Body!$AX$20),IF(AND('Zdroj data'!O149&gt;=Body!$AY$20,'Zdroj data'!O149&lt;=Body!$BA$20),Body!$AY$6,IF(AND('Zdroj data'!O149&gt;=Body!$BB$20,'Zdroj data'!O149&lt;=Body!$BD$20),Body!$BB$6,IF(AND('Zdroj data'!O149&gt;=Body!$BE$20,'Zdroj data'!O149&lt;=Body!$BG$20),Body!$BE$6,IF(AND('Zdroj data'!O149&gt;=Body!$BH$20,'Zdroj data'!O149&lt;=Body!$BJ$20),Body!$BH$6,IF(AND('Zdroj data'!O149&gt;=Body!$BK$20,'Zdroj data'!O149&lt;=Body!$BM$20),Body!$BK$6,IF(AND('Zdroj data'!O149&gt;=Body!$BN$20,'Zdroj data'!O149&lt;=Body!$BP$20),Body!$BN$6,IF(AND('Zdroj data'!O149&gt;=Body!$BQ$20,'Zdroj data'!O149&lt;=Body!$BS$20),Body!$BQ$6,IF(AND('Zdroj data'!O149&gt;=Body!$BT$20,'Zdroj data'!O149&lt;=Body!BV166),Body!$BT$6,IF(AND('Zdroj data'!O149&gt;=Body!$BW$20,'Zdroj data'!O149&lt;=Body!$BY$20),Body!$BW$6,IF('Zdroj data'!O149&gt;=Body!$CB$20,Body!$BZ$6," "))))))))))," ")))</f>
        <v xml:space="preserve"> </v>
      </c>
      <c r="AI149" s="264" t="str">
        <f>IF(AND('Zdroj data'!$BG149="L",'Zdroj data'!$AM149=Body!$AX$18),IF(AND(Tabulka1[[#This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data'!$BG149="ST",'Zdroj data'!$AM149=Body!$AX$19),IF(AND(Tabulka1[[#This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data'!$BG149="T",'Zdroj data'!$AM149=Body!$AX$20),IF(AND(Tabulka1[[#This Row],[K2O_60]]&gt;=Body!$AY$20,'Zdroj data'!O149&lt;=Body!$BA$20),Body!$AY$6,IF(AND(Tabulka1[[#This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Row],[K2O_60]]&lt;=Body!BV166),Body!$BT$6,IF(AND(Tabulka1[[#This Row],[K2O_60]]&gt;=Body!$BW$20,Tabulka1[[#This Row],[K2O_60]]&lt;=Body!$BY$20),Body!$BW$6,IF(Tabulka1[[#This Row],[K2O_60]]&gt;=Body!$CB$20,Body!$BZ$6," "))))))))))," ")))</f>
        <v xml:space="preserve"> </v>
      </c>
      <c r="AJ149" s="265">
        <f t="shared" si="26"/>
        <v>5.3333333333333375</v>
      </c>
      <c r="AK149" s="264">
        <f t="shared" si="27"/>
        <v>25.269063014647763</v>
      </c>
      <c r="AL149" s="264">
        <f t="shared" si="28"/>
        <v>24.375668287627288</v>
      </c>
      <c r="AM149" s="264">
        <f t="shared" si="29"/>
        <v>74.037202222471763</v>
      </c>
      <c r="AN149" s="264">
        <f t="shared" si="30"/>
        <v>69.403422600865809</v>
      </c>
      <c r="AO149" s="265">
        <f t="shared" si="33"/>
        <v>99.306265237119533</v>
      </c>
      <c r="AP149" s="265">
        <f t="shared" si="31"/>
        <v>93.779090888493101</v>
      </c>
      <c r="AQ149" s="318"/>
      <c r="AR149" s="338">
        <f t="shared" si="32"/>
        <v>198.41868945894598</v>
      </c>
      <c r="AS149" s="318"/>
      <c r="AT149" s="138"/>
      <c r="AU149" s="138"/>
    </row>
    <row r="150" spans="1:47" ht="15.5" x14ac:dyDescent="0.35">
      <c r="A150" s="270">
        <v>9137</v>
      </c>
      <c r="B150" s="156" t="s">
        <v>652</v>
      </c>
      <c r="C150" s="250" t="str">
        <f>VLOOKUP(B150,'Zdroj hloubka okresy'!$A$2:$D$171,2,FALSE)</f>
        <v>Mlada_Boleslav</v>
      </c>
      <c r="D150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7</v>
      </c>
      <c r="E150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9</v>
      </c>
      <c r="F150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50" s="264">
        <f>IF(AND(Tabulka1[[#This Row],[hum_60]]&gt;AY156,Tabulka1[[#This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50" s="264">
        <f>IF(Tabulka1[[#This Row],[kv.ek.]]=Body!$AX$13,IF(AND('Zdroj data'!M150&gt;=Body!$AY$13,'Zdroj data'!M150&lt;=Body!$BA$13),Body!$AY$6,IF(AND('Zdroj data'!M150&gt;=Body!$BB$13,'Zdroj data'!M150&lt;=Body!$BD$13),Body!$BB$6,IF(AND('Zdroj data'!M150&gt;=Body!$BE$13,'Zdroj data'!M150&lt;=Body!$BG$13),Body!$BE$6,IF(AND('Zdroj data'!M150&gt;=Body!$BH$13,'Zdroj data'!M150&lt;=Body!$BJ$13),Body!$BH$6,IF(AND('Zdroj data'!M150&gt;=Body!$BK$13,'Zdroj data'!M150&lt;=Body!$BM$13),Body!$BK$6,IF(AND('Zdroj data'!M150&gt;=Body!$BN$13,'Zdroj data'!M150&lt;=Body!$BP$13),Body!$BN$6,IF(AND('Zdroj data'!M150&gt;=Body!$BQ$13,'Zdroj data'!M150&lt;=Body!$BS$13),Body!$BQ$6,IF(AND('Zdroj data'!M150&gt;=Body!$BT$13,'Zdroj data'!M150&lt;=Body!$BV$13),Body!$BT$6,IF(AND('Zdroj data'!M150&gt;=Body!$BW$13,'Zdroj data'!M150&lt;=Body!$BY$13),Body!$BW$6,IF('Zdroj data'!M150&gt;=Body!$CB$13,Body!$BZ$6," ")))))))))),IF(Tabulka1[[#This Row],[kv.ek.]]=Body!$AX$14,IF(AND('Zdroj data'!N150&gt;=Body!$AY$14,'Zdroj data'!N150&lt;=Body!$BA$14),Body!$AY$6,IF(AND('Zdroj data'!N150&gt;=Body!$BB$14,'Zdroj data'!N150&lt;=Body!$BD$14),Body!$BB$6,IF(AND('Zdroj data'!N150&gt;=Body!$BE$14,'Zdroj data'!N150&lt;=Body!$BG$14),Body!$BE$6,IF(AND('Zdroj data'!N150&gt;=Body!$BH$14,'Zdroj data'!N150&lt;=Body!$BJ$14),Body!$BH$6,IF(AND('Zdroj data'!N150&gt;=Body!$BK$14,'Zdroj data'!N150&lt;=Body!$BM$14),Body!$BK$6,IF(AND('Zdroj data'!N150&gt;=Body!$BN$14,'Zdroj data'!N150&lt;=Body!$BP$14),Body!$BN$6,IF(AND('Zdroj data'!N150&gt;=Body!$BQ$14,'Zdroj data'!N150&lt;=Body!$BS$14),Body!$BQ$6,IF(AND('Zdroj data'!N150&gt;=Body!$BT$14,'Zdroj data'!N150&lt;=Body!$BV$14),Body!$BT$6,IF(AND('Zdroj data'!N150&gt;=Body!$BW$14,'Zdroj data'!N150&lt;=Body!$BY$14),Body!$BW$6,IF('Zdroj data'!N150&gt;=Body!$CB$14,Body!$BZ$6," "))))))))))," "))</f>
        <v>1</v>
      </c>
      <c r="I150" s="264">
        <f>IF(Tabulka1[[#This Row],[kv.ek.]]=Body!$AX$13,IF(AND('Zdroj data'!N150&gt;=Body!$AY$13,'Zdroj data'!N150&lt;=Body!$BA$13),Body!$AY$6,IF(AND('Zdroj data'!N150&gt;=Body!$BB$13,'Zdroj data'!N150&lt;=Body!$BD$13),Body!$BB$6,IF(AND('Zdroj data'!N150&gt;=Body!$BE$13,'Zdroj data'!N150&lt;=Body!$BG$13),Body!$BE$6,IF(AND('Zdroj data'!N150&gt;=Body!$BH$13,'Zdroj data'!N150&lt;=Body!$BJ$13),Body!$BH$6,IF(AND('Zdroj data'!N150&gt;=Body!$BK$13,'Zdroj data'!N150&lt;=Body!$BM$13),Body!$BK$6,IF(AND('Zdroj data'!N150&gt;=Body!$BN$13,'Zdroj data'!N150&lt;=Body!$BP$13),Body!$BN$6,IF(AND('Zdroj data'!N150&gt;=Body!$BQ$13,'Zdroj data'!N150&lt;=Body!$BS$13),Body!$BQ$6,IF(AND('Zdroj data'!N150&gt;=Body!$BT$13,'Zdroj data'!N150&lt;=Body!$BV$13),Body!$BT$6,IF(AND('Zdroj data'!N150&gt;=Body!$BW$13,'Zdroj data'!N150&lt;=Body!$BY$13),Body!$BW$6,IF('Zdroj data'!N150&gt;=Body!$CB$13,Body!$BZ$6," ")))))))))),IF(Tabulka1[[#This Row],[kv.ek.]]=Body!$AX$14,IF(AND('Zdroj data'!O150&gt;=Body!$AY$14,'Zdroj data'!O150&lt;=Body!$BA$14),Body!$AY$6,IF(AND('Zdroj data'!O150&gt;=Body!$BB$14,'Zdroj data'!O150&lt;=Body!$BD$14),Body!$BB$6,IF(AND('Zdroj data'!O150&gt;=Body!$BE$14,'Zdroj data'!O150&lt;=Body!$BG$14),Body!$BE$6,IF(AND('Zdroj data'!O150&gt;=Body!$BH$14,'Zdroj data'!O150&lt;=Body!$BJ$14),Body!$BH$6,IF(AND('Zdroj data'!O150&gt;=Body!$BK$14,'Zdroj data'!O150&lt;=Body!$BM$14),Body!$BK$6,IF(AND('Zdroj data'!O150&gt;=Body!$BN$14,'Zdroj data'!O150&lt;=Body!$BP$14),Body!$BN$6,IF(AND('Zdroj data'!O150&gt;=Body!$BQ$14,'Zdroj data'!O150&lt;=Body!$BS$14),Body!$BQ$6,IF(AND('Zdroj data'!O150&gt;=Body!$BT$14,'Zdroj data'!O150&lt;=Body!$BV$14),Body!$BT$6,IF(AND('Zdroj data'!O150&gt;=Body!$BW$14,'Zdroj data'!O150&lt;=Body!$BY$14),Body!$BW$6,IF('Zdroj data'!O150&gt;=Body!$CB$14,Body!$BZ$6," "))))))))))," "))</f>
        <v>1</v>
      </c>
      <c r="J150" s="264">
        <f t="shared" si="25"/>
        <v>1</v>
      </c>
      <c r="K150" s="264">
        <f t="shared" si="25"/>
        <v>1</v>
      </c>
      <c r="L150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150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150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150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150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50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150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6</v>
      </c>
      <c r="S150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150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150" s="264">
        <f>IF('Zdroj data'!BB150=Body!$AY$25,Body!$AY$22,IF('Zdroj data'!BB150=Body!$BB$25,Body!$BB$22,IF('Zdroj data'!BB150=Body!$BE$25,Body!$BE$22,IF('Zdroj data'!BB150=Body!$BH$25,Body!$BH$22,IF('Zdroj data'!BB150=Body!BK$25,Body!$BK$22,IF('Zdroj data'!BB150=Body!$BN$25,Body!$BN$22,IF('Zdroj data'!BB150=Body!$BQ$25,Body!$BQ$22,IF('Zdroj data'!BB150=Body!$BT$25,Body!$BT$22,IF('Zdroj data'!BB150=Body!$BW$25,Body!$BW$22,IF('Zdroj data'!BB150=Body!$BZ$25,Body!$BZ$22," "))))))))))</f>
        <v>7</v>
      </c>
      <c r="V150" s="264">
        <f>IF(AND('Zdroj data'!BO150&gt;Body!$AY$27,'Zdroj data'!BO150&lt;=Body!$BA$27),Body!$AY$22,IF(AND('Zdroj data'!BO150&gt;=Body!$BB$27,'Zdroj data'!BO150&lt;=Body!$BD$27),Body!$BB$22,IF(AND('Zdroj data'!BO150&gt;=Body!$BE$27,'Zdroj data'!BO150&lt;=Body!$BG$27),Body!$BE$22,IF(AND('Zdroj data'!BO150&gt;=Body!$BH$27,'Zdroj data'!BO150&lt;=Body!$BJ$27),Body!$BH$22,IF(AND('Zdroj data'!BO150&gt;=Body!$BK$27,'Zdroj data'!BO150&lt;=Body!$BM$27),Body!$BK$22,IF(AND('Zdroj data'!BO150&gt;=Body!$BN$27,'Zdroj data'!BO150&lt;=Body!$BP$27),Body!$BN$22,IF(AND('Zdroj data'!BO150&gt;=Body!$BQ$27,'Zdroj data'!BO150&lt;=Body!$BS$27),Body!$BQ$22,IF(AND('Zdroj data'!BO150&gt;=Body!$BT$27,'Zdroj data'!BO150&lt;=Body!$BV$27),Body!$BT$22,IF(AND('Zdroj data'!BO150&gt;=Body!$BW$27,'Zdroj data'!BO150&lt;=Body!$BY$27),Body!$BW$22,IF('Zdroj data'!BO150&gt;=Body!$CB$27,$BZ$22," "))))))))))</f>
        <v>7</v>
      </c>
      <c r="W150" s="264">
        <f>IF(AND('Zdroj data'!BP150&gt;Body!$AY$27,'Zdroj data'!BP150&lt;=Body!$BA$27),Body!$AY$22,IF(AND('Zdroj data'!BP150&gt;=Body!$BB$27,'Zdroj data'!BP150&lt;=Body!$BD$27),Body!$BB$22,IF(AND('Zdroj data'!BP150&gt;=Body!$BE$27,'Zdroj data'!BP150&lt;=Body!$BG$27),Body!$BE$22,IF(AND('Zdroj data'!BP150&gt;=Body!$BH$27,'Zdroj data'!BP150&lt;=Body!$BJ$27),Body!$BH$22,IF(AND('Zdroj data'!BP150&gt;=Body!$BK$27,'Zdroj data'!BP150&lt;=Body!$BM$27),Body!$BK$22,IF(AND('Zdroj data'!BP150&gt;=Body!$BN$27,'Zdroj data'!BP150&lt;=Body!$BP$27),Body!$BN$22,IF(AND('Zdroj data'!BP150&gt;=Body!$BQ$27,'Zdroj data'!BP150&lt;=Body!$BS$27),Body!$BQ$22,IF(AND('Zdroj data'!BP150&gt;=Body!$BT$27,'Zdroj data'!BP150&lt;=Body!$BV$27),Body!$BT$22,IF(AND('Zdroj data'!BP150&gt;=Body!$BW$27,'Zdroj data'!BP150&lt;=Body!$BY$27),Body!$BW$22,IF('Zdroj data'!BP150&gt;=Body!$CB$27,$BZ$22," "))))))))))</f>
        <v>6</v>
      </c>
      <c r="X150" s="264">
        <f>IF('Zdroj data'!BA150=Body!$BB$28,$BB$22,IF('Zdroj data'!BA150=Body!$BE$28,$BE$22,IF(OR('Zdroj data'!BA150=Body!$BK$28,'Zdroj data'!BA150=Body!$BL$28,'Zdroj data'!BA150=Body!$BM$28),$BK$22,IF(OR('Zdroj data'!BA150=Body!$BT$28,'Zdroj data'!BA150=Body!$BV$28),$BT$22,IF(OR('Zdroj data'!BA150=Body!$BW$28,'Zdroj data'!BA150=Body!$BY$28),$BW$22,IF('Zdroj data'!BA150=Body!$BZ$28,$BZ$22," "))))))</f>
        <v>10</v>
      </c>
      <c r="Y150" s="264">
        <f>IF('Zdroj data'!AZ150=Body!$BZ$29,Body!$BZ$22,IF(OR('Zdroj data'!AZ150=$BT$29,'Zdroj data'!AZ150=$BU$29,'Zdroj data'!AZ150=$BV$29),$BT$22,IF(OR('Zdroj data'!AZ150=$BK$29,'Zdroj data'!AZ150=$BM$29),$BK$22,IF(OR('Zdroj data'!AZ150=$BE$29,'Zdroj data'!AZ150=$BG$29),$BE$22,IF(OR('Zdroj data'!AZ150=$AY$29,'Zdroj data'!AZ150=$BA$29),$AY$22," ")))))</f>
        <v>10</v>
      </c>
      <c r="Z150" s="264">
        <f>IF(AND('Zdroj data'!BF150="T",(OR('Zdroj data'!AZ150=Body!$AW$45,'Zdroj data'!AZ150=Body!$AW$46,'Zdroj data'!AZ150=Body!$AW$47,'Zdroj data'!AZ150=Body!$AW$48))),Body!$AY$22,IF(AND('Zdroj data'!BF150="T",(OR('Zdroj data'!AZ150=$AW$49,'Zdroj data'!AZ150=$AW$50,'Zdroj data'!AZ150=$AW$51,'Zdroj data'!AZ150=$AW$52))),$BZ$22,IF(AND(OR('Zdroj data'!BF150="VT",'Zdroj data'!BF150="T",'Zdroj data'!BF150="CH"),(OR('Zdroj data'!AZ150=$AW$43,'Zdroj data'!AZ150=$AW$44,))),$BZ$22,IF(AND('Zdroj data'!BF150="CH",(OR('Zdroj data'!AZ150=$AW$49,'Zdroj data'!AZ150=$AW$50,'Zdroj data'!AZ150=$AW$51,'Zdroj data'!AZ150=$AW$52))),$AY$22,IF(AND('Zdroj data'!BF150="CH",(OR('Zdroj data'!AZ150=$AW$45,'Zdroj data'!AZ150=$AW$46,'Zdroj data'!AZ150=$AW$47,'Zdroj data'!AZ150=$AW$48))),$BZ$22," ")))))</f>
        <v>10</v>
      </c>
      <c r="AA150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50" s="264">
        <f>IF(Tabulka1[[#This Row],[kv.ek.]]=Body!$BK$35,Body!$BK$34,IF(Tabulka1[[#This Row],[kv.ek.]]=Body!$BZ$35,Body!$BZ$34," "))</f>
        <v>5</v>
      </c>
      <c r="AC150" s="264" t="str">
        <f>IF(AND('Zdroj data'!BF150="T",(OR('Zdroj data'!AZ150=Body!$AW$45,'Zdroj data'!AZ150=Body!$AW$46,'Zdroj data'!AZ150=Body!$AW$47,'Zdroj data'!AZ150=Body!$AW$48))),Body!$AY$22,IF(AND('Zdroj data'!BF150="T",(OR('Zdroj data'!AZ150=$AW$49,'Zdroj data'!AZ150=$AW$50,'Zdroj data'!AZ150=$AW$51,'Zdroj data'!AZ150=$AW$52))),$BZ$22," "))</f>
        <v xml:space="preserve"> </v>
      </c>
      <c r="AD150" s="264">
        <f>IF(AND(OR('Zdroj data'!BF150="VT",'Zdroj data'!BF150="T",'Zdroj data'!BF150="CH"),(OR('Zdroj data'!AZ150=$AW$43,'Zdroj data'!AZ150=$AW$44,))),$BZ$22," ")</f>
        <v>10</v>
      </c>
      <c r="AE150" s="264" t="str">
        <f>IF(AND('Zdroj data'!BF150="CH",(OR('Zdroj data'!AZ150=$AW$49,'Zdroj data'!AZ150=$AW$50,'Zdroj data'!AZ150=$AW$51,'Zdroj data'!AZ150=$AW$52))),$AY$22,IF(AND('Zdroj data'!BF150="CH",(OR('Zdroj data'!AZ150=$AW$45,'Zdroj data'!AZ150=$AW$46,'Zdroj data'!AZ150=$AW$47,'Zdroj data'!AZ150=$AW$48))),$BZ$22," "))</f>
        <v xml:space="preserve"> </v>
      </c>
      <c r="AF150" s="264">
        <f>IF(AND('Zdroj data'!BG150="L",'Zdroj data'!AM150=Body!$AX$15),IF(AND('Zdroj data'!O150&gt;=Body!$AY$15,'Zdroj data'!O150&lt;=Body!$BA$15),Body!AY$6,IF(AND('Zdroj data'!O150&gt;=Body!$BB$15,'Zdroj data'!O150&lt;=Body!$BD$15),Body!BB$6,IF(AND('Zdroj data'!O150&gt;=Body!$BE$15,'Zdroj data'!O150&lt;=Body!$BG$15),Body!BE$6,IF(AND('Zdroj data'!O150&gt;=Body!$BH$15,'Zdroj data'!O150&lt;=Body!$BJ$15),Body!BH$6,IF(AND('Zdroj data'!O150&gt;=Body!$BK$15,'Zdroj data'!O150&lt;=Body!$BM$15),Body!BK$6,IF(AND('Zdroj data'!O150&gt;=Body!$BN$15,'Zdroj data'!O150&lt;=Body!$BP$15),Body!$BN$6,IF(AND('Zdroj data'!O150&gt;=Body!$BQ$15,'Zdroj data'!O150&lt;=Body!$BS$15),Body!$BQ$6,IF(AND('Zdroj data'!O150&gt;=Body!$BT$15,'Zdroj data'!O150&lt;=Body!$BV$15),Body!BT$6,IF(AND('Zdroj data'!O150&gt;=Body!$BW$15,'Zdroj data'!O150&lt;=Body!$BY$15),Body!$BW$6,IF('Zdroj data'!O150&gt;=Body!$CB$15,Body!$BZ$6," ")))))))))),IF(AND('Zdroj data'!BG150="ST",'Zdroj data'!AM150=Body!$AX$16),IF(AND('Zdroj data'!O150&gt;=Body!$AY$16,'Zdroj data'!O150&lt;=Body!$BA$16),Body!$AY$6,IF(AND('Zdroj data'!O150&gt;=Body!$BB$16,'Zdroj data'!O150&lt;=Body!$BD$16),Body!$BB$6,IF(AND('Zdroj data'!O150&gt;=Body!$BE$16,'Zdroj data'!O150&lt;=Body!$BG$16),Body!$BE$6,IF(AND('Zdroj data'!O150&gt;=Body!$BH$16,'Zdroj data'!O150&lt;=Body!$BJ$16),Body!$BH$6,IF(AND('Zdroj data'!O150&gt;=Body!$BK$16,'Zdroj data'!O150&lt;=Body!$BM$16),Body!$BK$6,IF(AND('Zdroj data'!O150&gt;=Body!$BN$16,'Zdroj data'!O150&lt;=Body!$BP$16),Body!$BN$6,IF(AND('Zdroj data'!O150&gt;=Body!$BQ$16,'Zdroj data'!O150&lt;=Body!$BS$16),Body!$BQ$6,IF(AND('Zdroj data'!O150&gt;=Body!$BT$16,'Zdroj data'!O150&lt;=Body!$BV$16),Body!$BT$6,IF(AND('Zdroj data'!O150&gt;=Body!$BW$16,'Zdroj data'!O150&lt;=Body!$BY$16),Body!$BW$6,IF('Zdroj data'!O150&gt;=Body!$CB$16,Body!$BZ$6," ")))))))))),IF(AND('Zdroj data'!BG150="T",'Zdroj data'!AM150=Body!$AX$17),IF(AND('Zdroj data'!O150&gt;=Body!$AY$17,'Zdroj data'!O150&lt;=Body!$BA$17),Body!$AY$6,IF(AND('Zdroj data'!O150&gt;=Body!$BB$17,'Zdroj data'!O150&lt;=Body!$BD$17),Body!$BB$6,IF(AND('Zdroj data'!O150&gt;=Body!$BE$17,'Zdroj data'!O150&lt;=Body!$BG$17),Body!$BE$6,IF(AND('Zdroj data'!O150&gt;=Body!$BH$17,'Zdroj data'!O150&lt;=Body!BJ164),Body!$BH$6,IF(AND('Zdroj data'!O150&gt;=Body!$BK$17,'Zdroj data'!O150&lt;=Body!$BM$17),Body!$BK$6,IF(AND('Zdroj data'!O150&gt;=Body!$BN$17,'Zdroj data'!O150&lt;=Body!$BP$17),Body!$BN$6,IF(AND('Zdroj data'!O150&gt;=Body!$BQ$17,'Zdroj data'!O150&lt;=Body!$BS$17),Body!$BQ$6,IF(AND('Zdroj data'!O150&gt;=Body!$BT$17,'Zdroj data'!O150&lt;=Body!$BV$17),Body!$BT$6,IF(AND('Zdroj data'!O150&gt;=Body!$BW$17,'Zdroj data'!O150&lt;=Body!$BY$17),Body!$BW$6,IF('Zdroj data'!O150&gt;=Body!$CB$17,Body!$BZ$6," "))))))))))," ")))</f>
        <v>1</v>
      </c>
      <c r="AG150" s="264">
        <f>IF(AND('Zdroj data'!$BG150="L",'Zdroj data'!$AM150=Body!$AX$15),IF(AND(Tabulka1[[#This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data'!$BG150="ST",'Zdroj data'!$AM150=Body!$AX$16),IF(AND(Tabulka1[[#This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data'!$BG150="T",'Zdroj data'!$AM150=Body!$AX$17),IF(AND(Tabulka1[[#This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Row],[K2O_60]]&lt;=Body!BJ164),Body!$BH$6,IF(AND(Tabulka1[[#This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50" s="264" t="str">
        <f>IF(AND('Zdroj data'!BG150="L",'Zdroj data'!AM150=Body!$AX$18),IF(AND('Zdroj data'!O150&gt;=Body!$AY$18,'Zdroj data'!O150&lt;=Body!$BA$18),Body!AY$6,IF(AND('Zdroj data'!O150&gt;=Body!$BB$18,'Zdroj data'!O150&lt;=Body!$BD$18),Body!BB$6,IF(AND('Zdroj data'!O150&gt;=Body!$BE$18,'Zdroj data'!O150&lt;=Body!$BG$18),Body!BE$6,IF(AND('Zdroj data'!O150&gt;=Body!$BH$18,'Zdroj data'!O150&lt;=Body!$BJ$18),Body!BH$6,IF(AND('Zdroj data'!O150&gt;=Body!$BK$18,'Zdroj data'!O150&lt;=Body!$BM$18),Body!$BK$6,IF(AND('Zdroj data'!O150&gt;=Body!$BN$18,'Zdroj data'!O150&lt;=Body!$BP$18),Body!BN$6,IF(AND('Zdroj data'!O150&gt;=Body!$BQ$18,'Zdroj data'!O150&lt;=Body!$BS$18),Body!$BQ$6,IF(AND('Zdroj data'!O150&gt;=Body!$BT$18,'Zdroj data'!O150&lt;=Body!$BV$18),Body!$BT$6,IF(AND('Zdroj data'!O150&gt;=Body!$BW$18,'Zdroj data'!O150&lt;=Body!$BY$18),Body!$BW$6,IF('Zdroj data'!O150&gt;=Body!$CB$18,Body!$BZ$6," ")))))))))),IF(AND('Zdroj data'!BG150="ST",'Zdroj data'!AM150=Body!$AX$19),IF(AND('Zdroj data'!O150&gt;=Body!$AY$19,'Zdroj data'!O150&lt;=Body!$BA$19),Body!$AY$6,IF(AND('Zdroj data'!O150&gt;=Body!$BB$19,'Zdroj data'!O150&lt;=Body!$BD$19),Body!$BB$6,IF(AND('Zdroj data'!O150&gt;=Body!$BE$19,'Zdroj data'!O150&lt;=Body!$BG$19),Body!$BE$6,IF(AND('Zdroj data'!O150&gt;=Body!$BH$19,'Zdroj data'!O150&lt;=Body!$BJ$19),Body!$BH$6,IF(AND('Zdroj data'!O150&gt;=Body!$BK$19,'Zdroj data'!O150&lt;=Body!$BM$19),Body!$BK$6,IF(AND('Zdroj data'!O150&gt;=Body!$BN$19,'Zdroj data'!O150&lt;=Body!$BP$19),Body!$BN$6,IF(AND('Zdroj data'!O150&gt;=Body!$BQ$19,'Zdroj data'!O150&lt;=Body!$BS$19),Body!$BQ$6,IF(AND('Zdroj data'!O150&gt;=Body!$BT$19,'Zdroj data'!O154&lt;=Body!$BV$19),Body!$BT$6,IF(AND('Zdroj data'!O150&gt;=Body!$BW$19,'Zdroj data'!O150&lt;=Body!$BY$19),Body!$BW$6,IF('Zdroj data'!O150&gt;=Body!$CB$19,Body!$BZ$6," ")))))))))),IF(AND('Zdroj data'!BG150="T",'Zdroj data'!AM150=Body!$AX$20),IF(AND('Zdroj data'!O150&gt;=Body!$AY$20,'Zdroj data'!O150&lt;=Body!$BA$20),Body!$AY$6,IF(AND('Zdroj data'!O150&gt;=Body!$BB$20,'Zdroj data'!O150&lt;=Body!$BD$20),Body!$BB$6,IF(AND('Zdroj data'!O150&gt;=Body!$BE$20,'Zdroj data'!O150&lt;=Body!$BG$20),Body!$BE$6,IF(AND('Zdroj data'!O150&gt;=Body!$BH$20,'Zdroj data'!O150&lt;=Body!$BJ$20),Body!$BH$6,IF(AND('Zdroj data'!O150&gt;=Body!$BK$20,'Zdroj data'!O150&lt;=Body!$BM$20),Body!$BK$6,IF(AND('Zdroj data'!O150&gt;=Body!$BN$20,'Zdroj data'!O150&lt;=Body!$BP$20),Body!$BN$6,IF(AND('Zdroj data'!O150&gt;=Body!$BQ$20,'Zdroj data'!O150&lt;=Body!$BS$20),Body!$BQ$6,IF(AND('Zdroj data'!O150&gt;=Body!$BT$20,'Zdroj data'!O150&lt;=Body!BV167),Body!$BT$6,IF(AND('Zdroj data'!O150&gt;=Body!$BW$20,'Zdroj data'!O150&lt;=Body!$BY$20),Body!$BW$6,IF('Zdroj data'!O150&gt;=Body!$CB$20,Body!$BZ$6," "))))))))))," ")))</f>
        <v xml:space="preserve"> </v>
      </c>
      <c r="AI150" s="264" t="str">
        <f>IF(AND('Zdroj data'!$BG150="L",'Zdroj data'!$AM150=Body!$AX$18),IF(AND(Tabulka1[[#This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data'!$BG150="ST",'Zdroj data'!$AM150=Body!$AX$19),IF(AND(Tabulka1[[#This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data'!$BG150="T",'Zdroj data'!$AM150=Body!$AX$20),IF(AND(Tabulka1[[#This Row],[K2O_60]]&gt;=Body!$AY$20,'Zdroj data'!O150&lt;=Body!$BA$20),Body!$AY$6,IF(AND(Tabulka1[[#This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Row],[K2O_60]]&lt;=Body!BV167),Body!$BT$6,IF(AND(Tabulka1[[#This Row],[K2O_60]]&gt;=Body!$BW$20,Tabulka1[[#This Row],[K2O_60]]&lt;=Body!$BY$20),Body!$BW$6,IF(Tabulka1[[#This Row],[K2O_60]]&gt;=Body!$CB$20,Body!$BZ$6," "))))))))))," ")))</f>
        <v xml:space="preserve"> </v>
      </c>
      <c r="AJ150" s="265">
        <f t="shared" si="26"/>
        <v>5.3333333333333375</v>
      </c>
      <c r="AK150" s="264">
        <f t="shared" si="27"/>
        <v>27.668572951310857</v>
      </c>
      <c r="AL150" s="264">
        <f t="shared" si="28"/>
        <v>27.029625060109783</v>
      </c>
      <c r="AM150" s="264">
        <f t="shared" si="29"/>
        <v>80.319856929421761</v>
      </c>
      <c r="AN150" s="264">
        <f t="shared" si="30"/>
        <v>78.775263722219762</v>
      </c>
      <c r="AO150" s="265">
        <f t="shared" si="33"/>
        <v>107.98842988073261</v>
      </c>
      <c r="AP150" s="265">
        <f t="shared" si="31"/>
        <v>105.80488878232954</v>
      </c>
      <c r="AQ150" s="318"/>
      <c r="AR150" s="338">
        <f t="shared" si="32"/>
        <v>219.12665199639551</v>
      </c>
      <c r="AS150" s="318"/>
      <c r="AT150" s="138"/>
      <c r="AU150" s="138"/>
    </row>
    <row r="151" spans="1:47" ht="15.5" x14ac:dyDescent="0.35">
      <c r="A151" s="270">
        <v>9140</v>
      </c>
      <c r="B151" s="156" t="s">
        <v>672</v>
      </c>
      <c r="C151" s="250" t="str">
        <f>VLOOKUP(B151,'Zdroj hloubka okresy'!$A$2:$D$171,2,FALSE)</f>
        <v>Mlada_Boleslav</v>
      </c>
      <c r="D151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151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151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2</v>
      </c>
      <c r="G151" s="264">
        <f>IF(AND(Tabulka1[[#This Row],[hum_60]]&gt;AY157,Tabulka1[[#This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51" s="264">
        <f>IF(Tabulka1[[#This Row],[kv.ek.]]=Body!$AX$13,IF(AND('Zdroj data'!M151&gt;=Body!$AY$13,'Zdroj data'!M151&lt;=Body!$BA$13),Body!$AY$6,IF(AND('Zdroj data'!M151&gt;=Body!$BB$13,'Zdroj data'!M151&lt;=Body!$BD$13),Body!$BB$6,IF(AND('Zdroj data'!M151&gt;=Body!$BE$13,'Zdroj data'!M151&lt;=Body!$BG$13),Body!$BE$6,IF(AND('Zdroj data'!M151&gt;=Body!$BH$13,'Zdroj data'!M151&lt;=Body!$BJ$13),Body!$BH$6,IF(AND('Zdroj data'!M151&gt;=Body!$BK$13,'Zdroj data'!M151&lt;=Body!$BM$13),Body!$BK$6,IF(AND('Zdroj data'!M151&gt;=Body!$BN$13,'Zdroj data'!M151&lt;=Body!$BP$13),Body!$BN$6,IF(AND('Zdroj data'!M151&gt;=Body!$BQ$13,'Zdroj data'!M151&lt;=Body!$BS$13),Body!$BQ$6,IF(AND('Zdroj data'!M151&gt;=Body!$BT$13,'Zdroj data'!M151&lt;=Body!$BV$13),Body!$BT$6,IF(AND('Zdroj data'!M151&gt;=Body!$BW$13,'Zdroj data'!M151&lt;=Body!$BY$13),Body!$BW$6,IF('Zdroj data'!M151&gt;=Body!$CB$13,Body!$BZ$6," ")))))))))),IF(Tabulka1[[#This Row],[kv.ek.]]=Body!$AX$14,IF(AND('Zdroj data'!N151&gt;=Body!$AY$14,'Zdroj data'!N151&lt;=Body!$BA$14),Body!$AY$6,IF(AND('Zdroj data'!N151&gt;=Body!$BB$14,'Zdroj data'!N151&lt;=Body!$BD$14),Body!$BB$6,IF(AND('Zdroj data'!N151&gt;=Body!$BE$14,'Zdroj data'!N151&lt;=Body!$BG$14),Body!$BE$6,IF(AND('Zdroj data'!N151&gt;=Body!$BH$14,'Zdroj data'!N151&lt;=Body!$BJ$14),Body!$BH$6,IF(AND('Zdroj data'!N151&gt;=Body!$BK$14,'Zdroj data'!N151&lt;=Body!$BM$14),Body!$BK$6,IF(AND('Zdroj data'!N151&gt;=Body!$BN$14,'Zdroj data'!N151&lt;=Body!$BP$14),Body!$BN$6,IF(AND('Zdroj data'!N151&gt;=Body!$BQ$14,'Zdroj data'!N151&lt;=Body!$BS$14),Body!$BQ$6,IF(AND('Zdroj data'!N151&gt;=Body!$BT$14,'Zdroj data'!N151&lt;=Body!$BV$14),Body!$BT$6,IF(AND('Zdroj data'!N151&gt;=Body!$BW$14,'Zdroj data'!N151&lt;=Body!$BY$14),Body!$BW$6,IF('Zdroj data'!N151&gt;=Body!$CB$14,Body!$BZ$6," "))))))))))," "))</f>
        <v>1</v>
      </c>
      <c r="I151" s="264">
        <f>IF(Tabulka1[[#This Row],[kv.ek.]]=Body!$AX$13,IF(AND('Zdroj data'!N151&gt;=Body!$AY$13,'Zdroj data'!N151&lt;=Body!$BA$13),Body!$AY$6,IF(AND('Zdroj data'!N151&gt;=Body!$BB$13,'Zdroj data'!N151&lt;=Body!$BD$13),Body!$BB$6,IF(AND('Zdroj data'!N151&gt;=Body!$BE$13,'Zdroj data'!N151&lt;=Body!$BG$13),Body!$BE$6,IF(AND('Zdroj data'!N151&gt;=Body!$BH$13,'Zdroj data'!N151&lt;=Body!$BJ$13),Body!$BH$6,IF(AND('Zdroj data'!N151&gt;=Body!$BK$13,'Zdroj data'!N151&lt;=Body!$BM$13),Body!$BK$6,IF(AND('Zdroj data'!N151&gt;=Body!$BN$13,'Zdroj data'!N151&lt;=Body!$BP$13),Body!$BN$6,IF(AND('Zdroj data'!N151&gt;=Body!$BQ$13,'Zdroj data'!N151&lt;=Body!$BS$13),Body!$BQ$6,IF(AND('Zdroj data'!N151&gt;=Body!$BT$13,'Zdroj data'!N151&lt;=Body!$BV$13),Body!$BT$6,IF(AND('Zdroj data'!N151&gt;=Body!$BW$13,'Zdroj data'!N151&lt;=Body!$BY$13),Body!$BW$6,IF('Zdroj data'!N151&gt;=Body!$CB$13,Body!$BZ$6," ")))))))))),IF(Tabulka1[[#This Row],[kv.ek.]]=Body!$AX$14,IF(AND('Zdroj data'!O151&gt;=Body!$AY$14,'Zdroj data'!O151&lt;=Body!$BA$14),Body!$AY$6,IF(AND('Zdroj data'!O151&gt;=Body!$BB$14,'Zdroj data'!O151&lt;=Body!$BD$14),Body!$BB$6,IF(AND('Zdroj data'!O151&gt;=Body!$BE$14,'Zdroj data'!O151&lt;=Body!$BG$14),Body!$BE$6,IF(AND('Zdroj data'!O151&gt;=Body!$BH$14,'Zdroj data'!O151&lt;=Body!$BJ$14),Body!$BH$6,IF(AND('Zdroj data'!O151&gt;=Body!$BK$14,'Zdroj data'!O151&lt;=Body!$BM$14),Body!$BK$6,IF(AND('Zdroj data'!O151&gt;=Body!$BN$14,'Zdroj data'!O151&lt;=Body!$BP$14),Body!$BN$6,IF(AND('Zdroj data'!O151&gt;=Body!$BQ$14,'Zdroj data'!O151&lt;=Body!$BS$14),Body!$BQ$6,IF(AND('Zdroj data'!O151&gt;=Body!$BT$14,'Zdroj data'!O151&lt;=Body!$BV$14),Body!$BT$6,IF(AND('Zdroj data'!O151&gt;=Body!$BW$14,'Zdroj data'!O151&lt;=Body!$BY$14),Body!$BW$6,IF('Zdroj data'!O151&gt;=Body!$CB$14,Body!$BZ$6," "))))))))))," "))</f>
        <v>1</v>
      </c>
      <c r="J151" s="264">
        <f t="shared" si="25"/>
        <v>1</v>
      </c>
      <c r="K151" s="264">
        <f t="shared" si="25"/>
        <v>1</v>
      </c>
      <c r="L151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3</v>
      </c>
      <c r="M151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3</v>
      </c>
      <c r="N151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5</v>
      </c>
      <c r="O151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5</v>
      </c>
      <c r="P151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51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151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151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151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151" s="264">
        <f>IF('Zdroj data'!BB151=Body!$AY$25,Body!$AY$22,IF('Zdroj data'!BB151=Body!$BB$25,Body!$BB$22,IF('Zdroj data'!BB151=Body!$BE$25,Body!$BE$22,IF('Zdroj data'!BB151=Body!$BH$25,Body!$BH$22,IF('Zdroj data'!BB151=Body!BK$25,Body!$BK$22,IF('Zdroj data'!BB151=Body!$BN$25,Body!$BN$22,IF('Zdroj data'!BB151=Body!$BQ$25,Body!$BQ$22,IF('Zdroj data'!BB151=Body!$BT$25,Body!$BT$22,IF('Zdroj data'!BB151=Body!$BW$25,Body!$BW$22,IF('Zdroj data'!BB151=Body!$BZ$25,Body!$BZ$22," "))))))))))</f>
        <v>5</v>
      </c>
      <c r="V151" s="264">
        <f>IF(AND('Zdroj data'!BO151&gt;Body!$AY$27,'Zdroj data'!BO151&lt;=Body!$BA$27),Body!$AY$22,IF(AND('Zdroj data'!BO151&gt;=Body!$BB$27,'Zdroj data'!BO151&lt;=Body!$BD$27),Body!$BB$22,IF(AND('Zdroj data'!BO151&gt;=Body!$BE$27,'Zdroj data'!BO151&lt;=Body!$BG$27),Body!$BE$22,IF(AND('Zdroj data'!BO151&gt;=Body!$BH$27,'Zdroj data'!BO151&lt;=Body!$BJ$27),Body!$BH$22,IF(AND('Zdroj data'!BO151&gt;=Body!$BK$27,'Zdroj data'!BO151&lt;=Body!$BM$27),Body!$BK$22,IF(AND('Zdroj data'!BO151&gt;=Body!$BN$27,'Zdroj data'!BO151&lt;=Body!$BP$27),Body!$BN$22,IF(AND('Zdroj data'!BO151&gt;=Body!$BQ$27,'Zdroj data'!BO151&lt;=Body!$BS$27),Body!$BQ$22,IF(AND('Zdroj data'!BO151&gt;=Body!$BT$27,'Zdroj data'!BO151&lt;=Body!$BV$27),Body!$BT$22,IF(AND('Zdroj data'!BO151&gt;=Body!$BW$27,'Zdroj data'!BO151&lt;=Body!$BY$27),Body!$BW$22,IF('Zdroj data'!BO151&gt;=Body!$CB$27,$BZ$22," "))))))))))</f>
        <v>7</v>
      </c>
      <c r="W151" s="264">
        <f>IF(AND('Zdroj data'!BP151&gt;Body!$AY$27,'Zdroj data'!BP151&lt;=Body!$BA$27),Body!$AY$22,IF(AND('Zdroj data'!BP151&gt;=Body!$BB$27,'Zdroj data'!BP151&lt;=Body!$BD$27),Body!$BB$22,IF(AND('Zdroj data'!BP151&gt;=Body!$BE$27,'Zdroj data'!BP151&lt;=Body!$BG$27),Body!$BE$22,IF(AND('Zdroj data'!BP151&gt;=Body!$BH$27,'Zdroj data'!BP151&lt;=Body!$BJ$27),Body!$BH$22,IF(AND('Zdroj data'!BP151&gt;=Body!$BK$27,'Zdroj data'!BP151&lt;=Body!$BM$27),Body!$BK$22,IF(AND('Zdroj data'!BP151&gt;=Body!$BN$27,'Zdroj data'!BP151&lt;=Body!$BP$27),Body!$BN$22,IF(AND('Zdroj data'!BP151&gt;=Body!$BQ$27,'Zdroj data'!BP151&lt;=Body!$BS$27),Body!$BQ$22,IF(AND('Zdroj data'!BP151&gt;=Body!$BT$27,'Zdroj data'!BP151&lt;=Body!$BV$27),Body!$BT$22,IF(AND('Zdroj data'!BP151&gt;=Body!$BW$27,'Zdroj data'!BP151&lt;=Body!$BY$27),Body!$BW$22,IF('Zdroj data'!BP151&gt;=Body!$CB$27,$BZ$22," "))))))))))</f>
        <v>5</v>
      </c>
      <c r="X151" s="264">
        <f>IF('Zdroj data'!BA151=Body!$BB$28,$BB$22,IF('Zdroj data'!BA151=Body!$BE$28,$BE$22,IF(OR('Zdroj data'!BA151=Body!$BK$28,'Zdroj data'!BA151=Body!$BL$28,'Zdroj data'!BA151=Body!$BM$28),$BK$22,IF(OR('Zdroj data'!BA151=Body!$BT$28,'Zdroj data'!BA151=Body!$BV$28),$BT$22,IF(OR('Zdroj data'!BA151=Body!$BW$28,'Zdroj data'!BA151=Body!$BY$28),$BW$22,IF('Zdroj data'!BA151=Body!$BZ$28,$BZ$22," "))))))</f>
        <v>10</v>
      </c>
      <c r="Y151" s="264">
        <f>IF('Zdroj data'!AZ151=Body!$BZ$29,Body!$BZ$22,IF(OR('Zdroj data'!AZ151=$BT$29,'Zdroj data'!AZ151=$BU$29,'Zdroj data'!AZ151=$BV$29),$BT$22,IF(OR('Zdroj data'!AZ151=$BK$29,'Zdroj data'!AZ151=$BM$29),$BK$22,IF(OR('Zdroj data'!AZ151=$BE$29,'Zdroj data'!AZ151=$BG$29),$BE$22,IF(OR('Zdroj data'!AZ151=$AY$29,'Zdroj data'!AZ151=$BA$29),$AY$22," ")))))</f>
        <v>10</v>
      </c>
      <c r="Z151" s="264">
        <f>IF(AND('Zdroj data'!BF151="T",(OR('Zdroj data'!AZ151=Body!$AW$45,'Zdroj data'!AZ151=Body!$AW$46,'Zdroj data'!AZ151=Body!$AW$47,'Zdroj data'!AZ151=Body!$AW$48))),Body!$AY$22,IF(AND('Zdroj data'!BF151="T",(OR('Zdroj data'!AZ151=$AW$49,'Zdroj data'!AZ151=$AW$50,'Zdroj data'!AZ151=$AW$51,'Zdroj data'!AZ151=$AW$52))),$BZ$22,IF(AND(OR('Zdroj data'!BF151="VT",'Zdroj data'!BF151="T",'Zdroj data'!BF151="CH"),(OR('Zdroj data'!AZ151=$AW$43,'Zdroj data'!AZ151=$AW$44,))),$BZ$22,IF(AND('Zdroj data'!BF151="CH",(OR('Zdroj data'!AZ151=$AW$49,'Zdroj data'!AZ151=$AW$50,'Zdroj data'!AZ151=$AW$51,'Zdroj data'!AZ151=$AW$52))),$AY$22,IF(AND('Zdroj data'!BF151="CH",(OR('Zdroj data'!AZ151=$AW$45,'Zdroj data'!AZ151=$AW$46,'Zdroj data'!AZ151=$AW$47,'Zdroj data'!AZ151=$AW$48))),$BZ$22," ")))))</f>
        <v>10</v>
      </c>
      <c r="AA151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51" s="264">
        <f>IF(Tabulka1[[#This Row],[kv.ek.]]=Body!$BK$35,Body!$BK$34,IF(Tabulka1[[#This Row],[kv.ek.]]=Body!$BZ$35,Body!$BZ$34," "))</f>
        <v>5</v>
      </c>
      <c r="AC151" s="264" t="str">
        <f>IF(AND('Zdroj data'!BF151="T",(OR('Zdroj data'!AZ151=Body!$AW$45,'Zdroj data'!AZ151=Body!$AW$46,'Zdroj data'!AZ151=Body!$AW$47,'Zdroj data'!AZ151=Body!$AW$48))),Body!$AY$22,IF(AND('Zdroj data'!BF151="T",(OR('Zdroj data'!AZ151=$AW$49,'Zdroj data'!AZ151=$AW$50,'Zdroj data'!AZ151=$AW$51,'Zdroj data'!AZ151=$AW$52))),$BZ$22," "))</f>
        <v xml:space="preserve"> </v>
      </c>
      <c r="AD151" s="264">
        <f>IF(AND(OR('Zdroj data'!BF151="VT",'Zdroj data'!BF151="T",'Zdroj data'!BF151="CH"),(OR('Zdroj data'!AZ151=$AW$43,'Zdroj data'!AZ151=$AW$44,))),$BZ$22," ")</f>
        <v>10</v>
      </c>
      <c r="AE151" s="264" t="str">
        <f>IF(AND('Zdroj data'!BF151="CH",(OR('Zdroj data'!AZ151=$AW$49,'Zdroj data'!AZ151=$AW$50,'Zdroj data'!AZ151=$AW$51,'Zdroj data'!AZ151=$AW$52))),$AY$22,IF(AND('Zdroj data'!BF151="CH",(OR('Zdroj data'!AZ151=$AW$45,'Zdroj data'!AZ151=$AW$46,'Zdroj data'!AZ151=$AW$47,'Zdroj data'!AZ151=$AW$48))),$BZ$22," "))</f>
        <v xml:space="preserve"> </v>
      </c>
      <c r="AF151" s="264">
        <f>IF(AND('Zdroj data'!BG151="L",'Zdroj data'!AM151=Body!$AX$15),IF(AND('Zdroj data'!O151&gt;=Body!$AY$15,'Zdroj data'!O151&lt;=Body!$BA$15),Body!AY$6,IF(AND('Zdroj data'!O151&gt;=Body!$BB$15,'Zdroj data'!O151&lt;=Body!$BD$15),Body!BB$6,IF(AND('Zdroj data'!O151&gt;=Body!$BE$15,'Zdroj data'!O151&lt;=Body!$BG$15),Body!BE$6,IF(AND('Zdroj data'!O151&gt;=Body!$BH$15,'Zdroj data'!O151&lt;=Body!$BJ$15),Body!BH$6,IF(AND('Zdroj data'!O151&gt;=Body!$BK$15,'Zdroj data'!O151&lt;=Body!$BM$15),Body!BK$6,IF(AND('Zdroj data'!O151&gt;=Body!$BN$15,'Zdroj data'!O151&lt;=Body!$BP$15),Body!$BN$6,IF(AND('Zdroj data'!O151&gt;=Body!$BQ$15,'Zdroj data'!O151&lt;=Body!$BS$15),Body!$BQ$6,IF(AND('Zdroj data'!O151&gt;=Body!$BT$15,'Zdroj data'!O151&lt;=Body!$BV$15),Body!BT$6,IF(AND('Zdroj data'!O151&gt;=Body!$BW$15,'Zdroj data'!O151&lt;=Body!$BY$15),Body!$BW$6,IF('Zdroj data'!O151&gt;=Body!$CB$15,Body!$BZ$6," ")))))))))),IF(AND('Zdroj data'!BG151="ST",'Zdroj data'!AM151=Body!$AX$16),IF(AND('Zdroj data'!O151&gt;=Body!$AY$16,'Zdroj data'!O151&lt;=Body!$BA$16),Body!$AY$6,IF(AND('Zdroj data'!O151&gt;=Body!$BB$16,'Zdroj data'!O151&lt;=Body!$BD$16),Body!$BB$6,IF(AND('Zdroj data'!O151&gt;=Body!$BE$16,'Zdroj data'!O151&lt;=Body!$BG$16),Body!$BE$6,IF(AND('Zdroj data'!O151&gt;=Body!$BH$16,'Zdroj data'!O151&lt;=Body!$BJ$16),Body!$BH$6,IF(AND('Zdroj data'!O151&gt;=Body!$BK$16,'Zdroj data'!O151&lt;=Body!$BM$16),Body!$BK$6,IF(AND('Zdroj data'!O151&gt;=Body!$BN$16,'Zdroj data'!O151&lt;=Body!$BP$16),Body!$BN$6,IF(AND('Zdroj data'!O151&gt;=Body!$BQ$16,'Zdroj data'!O151&lt;=Body!$BS$16),Body!$BQ$6,IF(AND('Zdroj data'!O151&gt;=Body!$BT$16,'Zdroj data'!O151&lt;=Body!$BV$16),Body!$BT$6,IF(AND('Zdroj data'!O151&gt;=Body!$BW$16,'Zdroj data'!O151&lt;=Body!$BY$16),Body!$BW$6,IF('Zdroj data'!O151&gt;=Body!$CB$16,Body!$BZ$6," ")))))))))),IF(AND('Zdroj data'!BG151="T",'Zdroj data'!AM151=Body!$AX$17),IF(AND('Zdroj data'!O151&gt;=Body!$AY$17,'Zdroj data'!O151&lt;=Body!$BA$17),Body!$AY$6,IF(AND('Zdroj data'!O151&gt;=Body!$BB$17,'Zdroj data'!O151&lt;=Body!$BD$17),Body!$BB$6,IF(AND('Zdroj data'!O151&gt;=Body!$BE$17,'Zdroj data'!O151&lt;=Body!$BG$17),Body!$BE$6,IF(AND('Zdroj data'!O151&gt;=Body!$BH$17,'Zdroj data'!O151&lt;=Body!BJ165),Body!$BH$6,IF(AND('Zdroj data'!O151&gt;=Body!$BK$17,'Zdroj data'!O151&lt;=Body!$BM$17),Body!$BK$6,IF(AND('Zdroj data'!O151&gt;=Body!$BN$17,'Zdroj data'!O151&lt;=Body!$BP$17),Body!$BN$6,IF(AND('Zdroj data'!O151&gt;=Body!$BQ$17,'Zdroj data'!O151&lt;=Body!$BS$17),Body!$BQ$6,IF(AND('Zdroj data'!O151&gt;=Body!$BT$17,'Zdroj data'!O151&lt;=Body!$BV$17),Body!$BT$6,IF(AND('Zdroj data'!O151&gt;=Body!$BW$17,'Zdroj data'!O151&lt;=Body!$BY$17),Body!$BW$6,IF('Zdroj data'!O151&gt;=Body!$CB$17,Body!$BZ$6," "))))))))))," ")))</f>
        <v>1</v>
      </c>
      <c r="AG151" s="264">
        <f>IF(AND('Zdroj data'!$BG151="L",'Zdroj data'!$AM151=Body!$AX$15),IF(AND(Tabulka1[[#This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data'!$BG151="ST",'Zdroj data'!$AM151=Body!$AX$16),IF(AND(Tabulka1[[#This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data'!$BG151="T",'Zdroj data'!$AM151=Body!$AX$17),IF(AND(Tabulka1[[#This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Row],[K2O_60]]&lt;=Body!BJ165),Body!$BH$6,IF(AND(Tabulka1[[#This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51" s="264" t="str">
        <f>IF(AND('Zdroj data'!BG151="L",'Zdroj data'!AM151=Body!$AX$18),IF(AND('Zdroj data'!O151&gt;=Body!$AY$18,'Zdroj data'!O151&lt;=Body!$BA$18),Body!AY$6,IF(AND('Zdroj data'!O151&gt;=Body!$BB$18,'Zdroj data'!O151&lt;=Body!$BD$18),Body!BB$6,IF(AND('Zdroj data'!O151&gt;=Body!$BE$18,'Zdroj data'!O151&lt;=Body!$BG$18),Body!BE$6,IF(AND('Zdroj data'!O151&gt;=Body!$BH$18,'Zdroj data'!O151&lt;=Body!$BJ$18),Body!BH$6,IF(AND('Zdroj data'!O151&gt;=Body!$BK$18,'Zdroj data'!O151&lt;=Body!$BM$18),Body!$BK$6,IF(AND('Zdroj data'!O151&gt;=Body!$BN$18,'Zdroj data'!O151&lt;=Body!$BP$18),Body!BN$6,IF(AND('Zdroj data'!O151&gt;=Body!$BQ$18,'Zdroj data'!O151&lt;=Body!$BS$18),Body!$BQ$6,IF(AND('Zdroj data'!O151&gt;=Body!$BT$18,'Zdroj data'!O151&lt;=Body!$BV$18),Body!$BT$6,IF(AND('Zdroj data'!O151&gt;=Body!$BW$18,'Zdroj data'!O151&lt;=Body!$BY$18),Body!$BW$6,IF('Zdroj data'!O151&gt;=Body!$CB$18,Body!$BZ$6," ")))))))))),IF(AND('Zdroj data'!BG151="ST",'Zdroj data'!AM151=Body!$AX$19),IF(AND('Zdroj data'!O151&gt;=Body!$AY$19,'Zdroj data'!O151&lt;=Body!$BA$19),Body!$AY$6,IF(AND('Zdroj data'!O151&gt;=Body!$BB$19,'Zdroj data'!O151&lt;=Body!$BD$19),Body!$BB$6,IF(AND('Zdroj data'!O151&gt;=Body!$BE$19,'Zdroj data'!O151&lt;=Body!$BG$19),Body!$BE$6,IF(AND('Zdroj data'!O151&gt;=Body!$BH$19,'Zdroj data'!O151&lt;=Body!$BJ$19),Body!$BH$6,IF(AND('Zdroj data'!O151&gt;=Body!$BK$19,'Zdroj data'!O151&lt;=Body!$BM$19),Body!$BK$6,IF(AND('Zdroj data'!O151&gt;=Body!$BN$19,'Zdroj data'!O151&lt;=Body!$BP$19),Body!$BN$6,IF(AND('Zdroj data'!O151&gt;=Body!$BQ$19,'Zdroj data'!O151&lt;=Body!$BS$19),Body!$BQ$6,IF(AND('Zdroj data'!O151&gt;=Body!$BT$19,'Zdroj data'!O155&lt;=Body!$BV$19),Body!$BT$6,IF(AND('Zdroj data'!O151&gt;=Body!$BW$19,'Zdroj data'!O151&lt;=Body!$BY$19),Body!$BW$6,IF('Zdroj data'!O151&gt;=Body!$CB$19,Body!$BZ$6," ")))))))))),IF(AND('Zdroj data'!BG151="T",'Zdroj data'!AM151=Body!$AX$20),IF(AND('Zdroj data'!O151&gt;=Body!$AY$20,'Zdroj data'!O151&lt;=Body!$BA$20),Body!$AY$6,IF(AND('Zdroj data'!O151&gt;=Body!$BB$20,'Zdroj data'!O151&lt;=Body!$BD$20),Body!$BB$6,IF(AND('Zdroj data'!O151&gt;=Body!$BE$20,'Zdroj data'!O151&lt;=Body!$BG$20),Body!$BE$6,IF(AND('Zdroj data'!O151&gt;=Body!$BH$20,'Zdroj data'!O151&lt;=Body!$BJ$20),Body!$BH$6,IF(AND('Zdroj data'!O151&gt;=Body!$BK$20,'Zdroj data'!O151&lt;=Body!$BM$20),Body!$BK$6,IF(AND('Zdroj data'!O151&gt;=Body!$BN$20,'Zdroj data'!O151&lt;=Body!$BP$20),Body!$BN$6,IF(AND('Zdroj data'!O151&gt;=Body!$BQ$20,'Zdroj data'!O151&lt;=Body!$BS$20),Body!$BQ$6,IF(AND('Zdroj data'!O151&gt;=Body!$BT$20,'Zdroj data'!O151&lt;=Body!BV168),Body!$BT$6,IF(AND('Zdroj data'!O151&gt;=Body!$BW$20,'Zdroj data'!O151&lt;=Body!$BY$20),Body!$BW$6,IF('Zdroj data'!O151&gt;=Body!$CB$20,Body!$BZ$6," "))))))))))," ")))</f>
        <v xml:space="preserve"> </v>
      </c>
      <c r="AI151" s="264" t="str">
        <f>IF(AND('Zdroj data'!$BG151="L",'Zdroj data'!$AM151=Body!$AX$18),IF(AND(Tabulka1[[#This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data'!$BG151="ST",'Zdroj data'!$AM151=Body!$AX$19),IF(AND(Tabulka1[[#This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data'!$BG151="T",'Zdroj data'!$AM151=Body!$AX$20),IF(AND(Tabulka1[[#This Row],[K2O_60]]&gt;=Body!$AY$20,'Zdroj data'!O151&lt;=Body!$BA$20),Body!$AY$6,IF(AND(Tabulka1[[#This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Row],[K2O_60]]&lt;=Body!BV168),Body!$BT$6,IF(AND(Tabulka1[[#This Row],[K2O_60]]&gt;=Body!$BW$20,Tabulka1[[#This Row],[K2O_60]]&lt;=Body!$BY$20),Body!$BW$6,IF(Tabulka1[[#This Row],[K2O_60]]&gt;=Body!$CB$20,Body!$BZ$6," "))))))))))," ")))</f>
        <v xml:space="preserve"> </v>
      </c>
      <c r="AJ151" s="265">
        <f t="shared" si="26"/>
        <v>5.3333333333333375</v>
      </c>
      <c r="AK151" s="264">
        <f t="shared" si="27"/>
        <v>20.545351712616764</v>
      </c>
      <c r="AL151" s="264">
        <f t="shared" si="28"/>
        <v>20.545351712616764</v>
      </c>
      <c r="AM151" s="264">
        <f t="shared" si="29"/>
        <v>64.414742758878944</v>
      </c>
      <c r="AN151" s="264">
        <f t="shared" si="30"/>
        <v>65.239180301550959</v>
      </c>
      <c r="AO151" s="265">
        <f t="shared" si="33"/>
        <v>84.960094471495708</v>
      </c>
      <c r="AP151" s="265">
        <f t="shared" si="31"/>
        <v>85.784532014167723</v>
      </c>
      <c r="AQ151" s="318"/>
      <c r="AR151" s="338">
        <f t="shared" si="32"/>
        <v>176.07795981899679</v>
      </c>
      <c r="AS151" s="318"/>
      <c r="AT151" s="138"/>
      <c r="AU151" s="138"/>
    </row>
    <row r="152" spans="1:47" ht="15.5" x14ac:dyDescent="0.35">
      <c r="A152" s="270">
        <v>9143</v>
      </c>
      <c r="B152" s="156" t="s">
        <v>585</v>
      </c>
      <c r="C152" s="250" t="str">
        <f>VLOOKUP(B152,'Zdroj hloubka okresy'!$A$2:$D$171,2,FALSE)</f>
        <v>Mlada_Boleslav</v>
      </c>
      <c r="D152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152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152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52" s="264">
        <f>IF(AND(Tabulka1[[#This Row],[hum_60]]&gt;AY158,Tabulka1[[#This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52" s="264">
        <f>IF(Tabulka1[[#This Row],[kv.ek.]]=Body!$AX$13,IF(AND('Zdroj data'!M152&gt;=Body!$AY$13,'Zdroj data'!M152&lt;=Body!$BA$13),Body!$AY$6,IF(AND('Zdroj data'!M152&gt;=Body!$BB$13,'Zdroj data'!M152&lt;=Body!$BD$13),Body!$BB$6,IF(AND('Zdroj data'!M152&gt;=Body!$BE$13,'Zdroj data'!M152&lt;=Body!$BG$13),Body!$BE$6,IF(AND('Zdroj data'!M152&gt;=Body!$BH$13,'Zdroj data'!M152&lt;=Body!$BJ$13),Body!$BH$6,IF(AND('Zdroj data'!M152&gt;=Body!$BK$13,'Zdroj data'!M152&lt;=Body!$BM$13),Body!$BK$6,IF(AND('Zdroj data'!M152&gt;=Body!$BN$13,'Zdroj data'!M152&lt;=Body!$BP$13),Body!$BN$6,IF(AND('Zdroj data'!M152&gt;=Body!$BQ$13,'Zdroj data'!M152&lt;=Body!$BS$13),Body!$BQ$6,IF(AND('Zdroj data'!M152&gt;=Body!$BT$13,'Zdroj data'!M152&lt;=Body!$BV$13),Body!$BT$6,IF(AND('Zdroj data'!M152&gt;=Body!$BW$13,'Zdroj data'!M152&lt;=Body!$BY$13),Body!$BW$6,IF('Zdroj data'!M152&gt;=Body!$CB$13,Body!$BZ$6," ")))))))))),IF(Tabulka1[[#This Row],[kv.ek.]]=Body!$AX$14,IF(AND('Zdroj data'!N152&gt;=Body!$AY$14,'Zdroj data'!N152&lt;=Body!$BA$14),Body!$AY$6,IF(AND('Zdroj data'!N152&gt;=Body!$BB$14,'Zdroj data'!N152&lt;=Body!$BD$14),Body!$BB$6,IF(AND('Zdroj data'!N152&gt;=Body!$BE$14,'Zdroj data'!N152&lt;=Body!$BG$14),Body!$BE$6,IF(AND('Zdroj data'!N152&gt;=Body!$BH$14,'Zdroj data'!N152&lt;=Body!$BJ$14),Body!$BH$6,IF(AND('Zdroj data'!N152&gt;=Body!$BK$14,'Zdroj data'!N152&lt;=Body!$BM$14),Body!$BK$6,IF(AND('Zdroj data'!N152&gt;=Body!$BN$14,'Zdroj data'!N152&lt;=Body!$BP$14),Body!$BN$6,IF(AND('Zdroj data'!N152&gt;=Body!$BQ$14,'Zdroj data'!N152&lt;=Body!$BS$14),Body!$BQ$6,IF(AND('Zdroj data'!N152&gt;=Body!$BT$14,'Zdroj data'!N152&lt;=Body!$BV$14),Body!$BT$6,IF(AND('Zdroj data'!N152&gt;=Body!$BW$14,'Zdroj data'!N152&lt;=Body!$BY$14),Body!$BW$6,IF('Zdroj data'!N152&gt;=Body!$CB$14,Body!$BZ$6," "))))))))))," "))</f>
        <v>1</v>
      </c>
      <c r="I152" s="264">
        <f>IF(Tabulka1[[#This Row],[kv.ek.]]=Body!$AX$13,IF(AND('Zdroj data'!N152&gt;=Body!$AY$13,'Zdroj data'!N152&lt;=Body!$BA$13),Body!$AY$6,IF(AND('Zdroj data'!N152&gt;=Body!$BB$13,'Zdroj data'!N152&lt;=Body!$BD$13),Body!$BB$6,IF(AND('Zdroj data'!N152&gt;=Body!$BE$13,'Zdroj data'!N152&lt;=Body!$BG$13),Body!$BE$6,IF(AND('Zdroj data'!N152&gt;=Body!$BH$13,'Zdroj data'!N152&lt;=Body!$BJ$13),Body!$BH$6,IF(AND('Zdroj data'!N152&gt;=Body!$BK$13,'Zdroj data'!N152&lt;=Body!$BM$13),Body!$BK$6,IF(AND('Zdroj data'!N152&gt;=Body!$BN$13,'Zdroj data'!N152&lt;=Body!$BP$13),Body!$BN$6,IF(AND('Zdroj data'!N152&gt;=Body!$BQ$13,'Zdroj data'!N152&lt;=Body!$BS$13),Body!$BQ$6,IF(AND('Zdroj data'!N152&gt;=Body!$BT$13,'Zdroj data'!N152&lt;=Body!$BV$13),Body!$BT$6,IF(AND('Zdroj data'!N152&gt;=Body!$BW$13,'Zdroj data'!N152&lt;=Body!$BY$13),Body!$BW$6,IF('Zdroj data'!N152&gt;=Body!$CB$13,Body!$BZ$6," ")))))))))),IF(Tabulka1[[#This Row],[kv.ek.]]=Body!$AX$14,IF(AND('Zdroj data'!O152&gt;=Body!$AY$14,'Zdroj data'!O152&lt;=Body!$BA$14),Body!$AY$6,IF(AND('Zdroj data'!O152&gt;=Body!$BB$14,'Zdroj data'!O152&lt;=Body!$BD$14),Body!$BB$6,IF(AND('Zdroj data'!O152&gt;=Body!$BE$14,'Zdroj data'!O152&lt;=Body!$BG$14),Body!$BE$6,IF(AND('Zdroj data'!O152&gt;=Body!$BH$14,'Zdroj data'!O152&lt;=Body!$BJ$14),Body!$BH$6,IF(AND('Zdroj data'!O152&gt;=Body!$BK$14,'Zdroj data'!O152&lt;=Body!$BM$14),Body!$BK$6,IF(AND('Zdroj data'!O152&gt;=Body!$BN$14,'Zdroj data'!O152&lt;=Body!$BP$14),Body!$BN$6,IF(AND('Zdroj data'!O152&gt;=Body!$BQ$14,'Zdroj data'!O152&lt;=Body!$BS$14),Body!$BQ$6,IF(AND('Zdroj data'!O152&gt;=Body!$BT$14,'Zdroj data'!O152&lt;=Body!$BV$14),Body!$BT$6,IF(AND('Zdroj data'!O152&gt;=Body!$BW$14,'Zdroj data'!O152&lt;=Body!$BY$14),Body!$BW$6,IF('Zdroj data'!O152&gt;=Body!$CB$14,Body!$BZ$6," "))))))))))," "))</f>
        <v>1</v>
      </c>
      <c r="J152" s="264">
        <f t="shared" si="25"/>
        <v>1</v>
      </c>
      <c r="K152" s="264">
        <f t="shared" si="25"/>
        <v>1</v>
      </c>
      <c r="L152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1</v>
      </c>
      <c r="M152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1</v>
      </c>
      <c r="N152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4</v>
      </c>
      <c r="O152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5</v>
      </c>
      <c r="P152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152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152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152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4</v>
      </c>
      <c r="T152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6</v>
      </c>
      <c r="U152" s="264">
        <f>IF('Zdroj data'!BB152=Body!$AY$25,Body!$AY$22,IF('Zdroj data'!BB152=Body!$BB$25,Body!$BB$22,IF('Zdroj data'!BB152=Body!$BE$25,Body!$BE$22,IF('Zdroj data'!BB152=Body!$BH$25,Body!$BH$22,IF('Zdroj data'!BB152=Body!BK$25,Body!$BK$22,IF('Zdroj data'!BB152=Body!$BN$25,Body!$BN$22,IF('Zdroj data'!BB152=Body!$BQ$25,Body!$BQ$22,IF('Zdroj data'!BB152=Body!$BT$25,Body!$BT$22,IF('Zdroj data'!BB152=Body!$BW$25,Body!$BW$22,IF('Zdroj data'!BB152=Body!$BZ$25,Body!$BZ$22," "))))))))))</f>
        <v>7</v>
      </c>
      <c r="V152" s="264">
        <f>IF(AND('Zdroj data'!BO152&gt;Body!$AY$27,'Zdroj data'!BO152&lt;=Body!$BA$27),Body!$AY$22,IF(AND('Zdroj data'!BO152&gt;=Body!$BB$27,'Zdroj data'!BO152&lt;=Body!$BD$27),Body!$BB$22,IF(AND('Zdroj data'!BO152&gt;=Body!$BE$27,'Zdroj data'!BO152&lt;=Body!$BG$27),Body!$BE$22,IF(AND('Zdroj data'!BO152&gt;=Body!$BH$27,'Zdroj data'!BO152&lt;=Body!$BJ$27),Body!$BH$22,IF(AND('Zdroj data'!BO152&gt;=Body!$BK$27,'Zdroj data'!BO152&lt;=Body!$BM$27),Body!$BK$22,IF(AND('Zdroj data'!BO152&gt;=Body!$BN$27,'Zdroj data'!BO152&lt;=Body!$BP$27),Body!$BN$22,IF(AND('Zdroj data'!BO152&gt;=Body!$BQ$27,'Zdroj data'!BO152&lt;=Body!$BS$27),Body!$BQ$22,IF(AND('Zdroj data'!BO152&gt;=Body!$BT$27,'Zdroj data'!BO152&lt;=Body!$BV$27),Body!$BT$22,IF(AND('Zdroj data'!BO152&gt;=Body!$BW$27,'Zdroj data'!BO152&lt;=Body!$BY$27),Body!$BW$22,IF('Zdroj data'!BO152&gt;=Body!$CB$27,$BZ$22," "))))))))))</f>
        <v>6</v>
      </c>
      <c r="W152" s="264">
        <f>IF(AND('Zdroj data'!BP152&gt;Body!$AY$27,'Zdroj data'!BP152&lt;=Body!$BA$27),Body!$AY$22,IF(AND('Zdroj data'!BP152&gt;=Body!$BB$27,'Zdroj data'!BP152&lt;=Body!$BD$27),Body!$BB$22,IF(AND('Zdroj data'!BP152&gt;=Body!$BE$27,'Zdroj data'!BP152&lt;=Body!$BG$27),Body!$BE$22,IF(AND('Zdroj data'!BP152&gt;=Body!$BH$27,'Zdroj data'!BP152&lt;=Body!$BJ$27),Body!$BH$22,IF(AND('Zdroj data'!BP152&gt;=Body!$BK$27,'Zdroj data'!BP152&lt;=Body!$BM$27),Body!$BK$22,IF(AND('Zdroj data'!BP152&gt;=Body!$BN$27,'Zdroj data'!BP152&lt;=Body!$BP$27),Body!$BN$22,IF(AND('Zdroj data'!BP152&gt;=Body!$BQ$27,'Zdroj data'!BP152&lt;=Body!$BS$27),Body!$BQ$22,IF(AND('Zdroj data'!BP152&gt;=Body!$BT$27,'Zdroj data'!BP152&lt;=Body!$BV$27),Body!$BT$22,IF(AND('Zdroj data'!BP152&gt;=Body!$BW$27,'Zdroj data'!BP152&lt;=Body!$BY$27),Body!$BW$22,IF('Zdroj data'!BP152&gt;=Body!$CB$27,$BZ$22," "))))))))))</f>
        <v>4</v>
      </c>
      <c r="X152" s="264">
        <f>IF('Zdroj data'!BA152=Body!$BB$28,$BB$22,IF('Zdroj data'!BA152=Body!$BE$28,$BE$22,IF(OR('Zdroj data'!BA152=Body!$BK$28,'Zdroj data'!BA152=Body!$BL$28,'Zdroj data'!BA152=Body!$BM$28),$BK$22,IF(OR('Zdroj data'!BA152=Body!$BT$28,'Zdroj data'!BA152=Body!$BV$28),$BT$22,IF(OR('Zdroj data'!BA152=Body!$BW$28,'Zdroj data'!BA152=Body!$BY$28),$BW$22,IF('Zdroj data'!BA152=Body!$BZ$28,$BZ$22," "))))))</f>
        <v>10</v>
      </c>
      <c r="Y152" s="264">
        <f>IF('Zdroj data'!AZ152=Body!$BZ$29,Body!$BZ$22,IF(OR('Zdroj data'!AZ152=$BT$29,'Zdroj data'!AZ152=$BU$29,'Zdroj data'!AZ152=$BV$29),$BT$22,IF(OR('Zdroj data'!AZ152=$BK$29,'Zdroj data'!AZ152=$BM$29),$BK$22,IF(OR('Zdroj data'!AZ152=$BE$29,'Zdroj data'!AZ152=$BG$29),$BE$22,IF(OR('Zdroj data'!AZ152=$AY$29,'Zdroj data'!AZ152=$BA$29),$AY$22," ")))))</f>
        <v>10</v>
      </c>
      <c r="Z152" s="264">
        <f>IF(AND('Zdroj data'!BF152="T",(OR('Zdroj data'!AZ152=Body!$AW$45,'Zdroj data'!AZ152=Body!$AW$46,'Zdroj data'!AZ152=Body!$AW$47,'Zdroj data'!AZ152=Body!$AW$48))),Body!$AY$22,IF(AND('Zdroj data'!BF152="T",(OR('Zdroj data'!AZ152=$AW$49,'Zdroj data'!AZ152=$AW$50,'Zdroj data'!AZ152=$AW$51,'Zdroj data'!AZ152=$AW$52))),$BZ$22,IF(AND(OR('Zdroj data'!BF152="VT",'Zdroj data'!BF152="T",'Zdroj data'!BF152="CH"),(OR('Zdroj data'!AZ152=$AW$43,'Zdroj data'!AZ152=$AW$44,))),$BZ$22,IF(AND('Zdroj data'!BF152="CH",(OR('Zdroj data'!AZ152=$AW$49,'Zdroj data'!AZ152=$AW$50,'Zdroj data'!AZ152=$AW$51,'Zdroj data'!AZ152=$AW$52))),$AY$22,IF(AND('Zdroj data'!BF152="CH",(OR('Zdroj data'!AZ152=$AW$45,'Zdroj data'!AZ152=$AW$46,'Zdroj data'!AZ152=$AW$47,'Zdroj data'!AZ152=$AW$48))),$BZ$22," ")))))</f>
        <v>10</v>
      </c>
      <c r="AA152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152" s="264">
        <f>IF(Tabulka1[[#This Row],[kv.ek.]]=Body!$BK$35,Body!$BK$34,IF(Tabulka1[[#This Row],[kv.ek.]]=Body!$BZ$35,Body!$BZ$34," "))</f>
        <v>5</v>
      </c>
      <c r="AC152" s="264" t="str">
        <f>IF(AND('Zdroj data'!BF152="T",(OR('Zdroj data'!AZ152=Body!$AW$45,'Zdroj data'!AZ152=Body!$AW$46,'Zdroj data'!AZ152=Body!$AW$47,'Zdroj data'!AZ152=Body!$AW$48))),Body!$AY$22,IF(AND('Zdroj data'!BF152="T",(OR('Zdroj data'!AZ152=$AW$49,'Zdroj data'!AZ152=$AW$50,'Zdroj data'!AZ152=$AW$51,'Zdroj data'!AZ152=$AW$52))),$BZ$22," "))</f>
        <v xml:space="preserve"> </v>
      </c>
      <c r="AD152" s="264">
        <f>IF(AND(OR('Zdroj data'!BF152="VT",'Zdroj data'!BF152="T",'Zdroj data'!BF152="CH"),(OR('Zdroj data'!AZ152=$AW$43,'Zdroj data'!AZ152=$AW$44,))),$BZ$22," ")</f>
        <v>10</v>
      </c>
      <c r="AE152" s="264" t="str">
        <f>IF(AND('Zdroj data'!BF152="CH",(OR('Zdroj data'!AZ152=$AW$49,'Zdroj data'!AZ152=$AW$50,'Zdroj data'!AZ152=$AW$51,'Zdroj data'!AZ152=$AW$52))),$AY$22,IF(AND('Zdroj data'!BF152="CH",(OR('Zdroj data'!AZ152=$AW$45,'Zdroj data'!AZ152=$AW$46,'Zdroj data'!AZ152=$AW$47,'Zdroj data'!AZ152=$AW$48))),$BZ$22," "))</f>
        <v xml:space="preserve"> </v>
      </c>
      <c r="AF152" s="264">
        <f>IF(AND('Zdroj data'!BG152="L",'Zdroj data'!AM152=Body!$AX$15),IF(AND('Zdroj data'!O152&gt;=Body!$AY$15,'Zdroj data'!O152&lt;=Body!$BA$15),Body!AY$6,IF(AND('Zdroj data'!O152&gt;=Body!$BB$15,'Zdroj data'!O152&lt;=Body!$BD$15),Body!BB$6,IF(AND('Zdroj data'!O152&gt;=Body!$BE$15,'Zdroj data'!O152&lt;=Body!$BG$15),Body!BE$6,IF(AND('Zdroj data'!O152&gt;=Body!$BH$15,'Zdroj data'!O152&lt;=Body!$BJ$15),Body!BH$6,IF(AND('Zdroj data'!O152&gt;=Body!$BK$15,'Zdroj data'!O152&lt;=Body!$BM$15),Body!BK$6,IF(AND('Zdroj data'!O152&gt;=Body!$BN$15,'Zdroj data'!O152&lt;=Body!$BP$15),Body!$BN$6,IF(AND('Zdroj data'!O152&gt;=Body!$BQ$15,'Zdroj data'!O152&lt;=Body!$BS$15),Body!$BQ$6,IF(AND('Zdroj data'!O152&gt;=Body!$BT$15,'Zdroj data'!O152&lt;=Body!$BV$15),Body!BT$6,IF(AND('Zdroj data'!O152&gt;=Body!$BW$15,'Zdroj data'!O152&lt;=Body!$BY$15),Body!$BW$6,IF('Zdroj data'!O152&gt;=Body!$CB$15,Body!$BZ$6," ")))))))))),IF(AND('Zdroj data'!BG152="ST",'Zdroj data'!AM152=Body!$AX$16),IF(AND('Zdroj data'!O152&gt;=Body!$AY$16,'Zdroj data'!O152&lt;=Body!$BA$16),Body!$AY$6,IF(AND('Zdroj data'!O152&gt;=Body!$BB$16,'Zdroj data'!O152&lt;=Body!$BD$16),Body!$BB$6,IF(AND('Zdroj data'!O152&gt;=Body!$BE$16,'Zdroj data'!O152&lt;=Body!$BG$16),Body!$BE$6,IF(AND('Zdroj data'!O152&gt;=Body!$BH$16,'Zdroj data'!O152&lt;=Body!$BJ$16),Body!$BH$6,IF(AND('Zdroj data'!O152&gt;=Body!$BK$16,'Zdroj data'!O152&lt;=Body!$BM$16),Body!$BK$6,IF(AND('Zdroj data'!O152&gt;=Body!$BN$16,'Zdroj data'!O152&lt;=Body!$BP$16),Body!$BN$6,IF(AND('Zdroj data'!O152&gt;=Body!$BQ$16,'Zdroj data'!O152&lt;=Body!$BS$16),Body!$BQ$6,IF(AND('Zdroj data'!O152&gt;=Body!$BT$16,'Zdroj data'!O152&lt;=Body!$BV$16),Body!$BT$6,IF(AND('Zdroj data'!O152&gt;=Body!$BW$16,'Zdroj data'!O152&lt;=Body!$BY$16),Body!$BW$6,IF('Zdroj data'!O152&gt;=Body!$CB$16,Body!$BZ$6," ")))))))))),IF(AND('Zdroj data'!BG152="T",'Zdroj data'!AM152=Body!$AX$17),IF(AND('Zdroj data'!O152&gt;=Body!$AY$17,'Zdroj data'!O152&lt;=Body!$BA$17),Body!$AY$6,IF(AND('Zdroj data'!O152&gt;=Body!$BB$17,'Zdroj data'!O152&lt;=Body!$BD$17),Body!$BB$6,IF(AND('Zdroj data'!O152&gt;=Body!$BE$17,'Zdroj data'!O152&lt;=Body!$BG$17),Body!$BE$6,IF(AND('Zdroj data'!O152&gt;=Body!$BH$17,'Zdroj data'!O152&lt;=Body!BJ166),Body!$BH$6,IF(AND('Zdroj data'!O152&gt;=Body!$BK$17,'Zdroj data'!O152&lt;=Body!$BM$17),Body!$BK$6,IF(AND('Zdroj data'!O152&gt;=Body!$BN$17,'Zdroj data'!O152&lt;=Body!$BP$17),Body!$BN$6,IF(AND('Zdroj data'!O152&gt;=Body!$BQ$17,'Zdroj data'!O152&lt;=Body!$BS$17),Body!$BQ$6,IF(AND('Zdroj data'!O152&gt;=Body!$BT$17,'Zdroj data'!O152&lt;=Body!$BV$17),Body!$BT$6,IF(AND('Zdroj data'!O152&gt;=Body!$BW$17,'Zdroj data'!O152&lt;=Body!$BY$17),Body!$BW$6,IF('Zdroj data'!O152&gt;=Body!$CB$17,Body!$BZ$6," "))))))))))," ")))</f>
        <v>1</v>
      </c>
      <c r="AG152" s="264">
        <f>IF(AND('Zdroj data'!$BG152="L",'Zdroj data'!$AM152=Body!$AX$15),IF(AND(Tabulka1[[#This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data'!$BG152="ST",'Zdroj data'!$AM152=Body!$AX$16),IF(AND(Tabulka1[[#This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data'!$BG152="T",'Zdroj data'!$AM152=Body!$AX$17),IF(AND(Tabulka1[[#This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Row],[K2O_60]]&lt;=Body!BJ166),Body!$BH$6,IF(AND(Tabulka1[[#This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52" s="264" t="str">
        <f>IF(AND('Zdroj data'!BG152="L",'Zdroj data'!AM152=Body!$AX$18),IF(AND('Zdroj data'!O152&gt;=Body!$AY$18,'Zdroj data'!O152&lt;=Body!$BA$18),Body!AY$6,IF(AND('Zdroj data'!O152&gt;=Body!$BB$18,'Zdroj data'!O152&lt;=Body!$BD$18),Body!BB$6,IF(AND('Zdroj data'!O152&gt;=Body!$BE$18,'Zdroj data'!O152&lt;=Body!$BG$18),Body!BE$6,IF(AND('Zdroj data'!O152&gt;=Body!$BH$18,'Zdroj data'!O152&lt;=Body!$BJ$18),Body!BH$6,IF(AND('Zdroj data'!O152&gt;=Body!$BK$18,'Zdroj data'!O152&lt;=Body!$BM$18),Body!$BK$6,IF(AND('Zdroj data'!O152&gt;=Body!$BN$18,'Zdroj data'!O152&lt;=Body!$BP$18),Body!BN$6,IF(AND('Zdroj data'!O152&gt;=Body!$BQ$18,'Zdroj data'!O152&lt;=Body!$BS$18),Body!$BQ$6,IF(AND('Zdroj data'!O152&gt;=Body!$BT$18,'Zdroj data'!O152&lt;=Body!$BV$18),Body!$BT$6,IF(AND('Zdroj data'!O152&gt;=Body!$BW$18,'Zdroj data'!O152&lt;=Body!$BY$18),Body!$BW$6,IF('Zdroj data'!O152&gt;=Body!$CB$18,Body!$BZ$6," ")))))))))),IF(AND('Zdroj data'!BG152="ST",'Zdroj data'!AM152=Body!$AX$19),IF(AND('Zdroj data'!O152&gt;=Body!$AY$19,'Zdroj data'!O152&lt;=Body!$BA$19),Body!$AY$6,IF(AND('Zdroj data'!O152&gt;=Body!$BB$19,'Zdroj data'!O152&lt;=Body!$BD$19),Body!$BB$6,IF(AND('Zdroj data'!O152&gt;=Body!$BE$19,'Zdroj data'!O152&lt;=Body!$BG$19),Body!$BE$6,IF(AND('Zdroj data'!O152&gt;=Body!$BH$19,'Zdroj data'!O152&lt;=Body!$BJ$19),Body!$BH$6,IF(AND('Zdroj data'!O152&gt;=Body!$BK$19,'Zdroj data'!O152&lt;=Body!$BM$19),Body!$BK$6,IF(AND('Zdroj data'!O152&gt;=Body!$BN$19,'Zdroj data'!O152&lt;=Body!$BP$19),Body!$BN$6,IF(AND('Zdroj data'!O152&gt;=Body!$BQ$19,'Zdroj data'!O152&lt;=Body!$BS$19),Body!$BQ$6,IF(AND('Zdroj data'!O152&gt;=Body!$BT$19,'Zdroj data'!O156&lt;=Body!$BV$19),Body!$BT$6,IF(AND('Zdroj data'!O152&gt;=Body!$BW$19,'Zdroj data'!O152&lt;=Body!$BY$19),Body!$BW$6,IF('Zdroj data'!O152&gt;=Body!$CB$19,Body!$BZ$6," ")))))))))),IF(AND('Zdroj data'!BG152="T",'Zdroj data'!AM152=Body!$AX$20),IF(AND('Zdroj data'!O152&gt;=Body!$AY$20,'Zdroj data'!O152&lt;=Body!$BA$20),Body!$AY$6,IF(AND('Zdroj data'!O152&gt;=Body!$BB$20,'Zdroj data'!O152&lt;=Body!$BD$20),Body!$BB$6,IF(AND('Zdroj data'!O152&gt;=Body!$BE$20,'Zdroj data'!O152&lt;=Body!$BG$20),Body!$BE$6,IF(AND('Zdroj data'!O152&gt;=Body!$BH$20,'Zdroj data'!O152&lt;=Body!$BJ$20),Body!$BH$6,IF(AND('Zdroj data'!O152&gt;=Body!$BK$20,'Zdroj data'!O152&lt;=Body!$BM$20),Body!$BK$6,IF(AND('Zdroj data'!O152&gt;=Body!$BN$20,'Zdroj data'!O152&lt;=Body!$BP$20),Body!$BN$6,IF(AND('Zdroj data'!O152&gt;=Body!$BQ$20,'Zdroj data'!O152&lt;=Body!$BS$20),Body!$BQ$6,IF(AND('Zdroj data'!O152&gt;=Body!$BT$20,'Zdroj data'!O152&lt;=Body!BV169),Body!$BT$6,IF(AND('Zdroj data'!O152&gt;=Body!$BW$20,'Zdroj data'!O152&lt;=Body!$BY$20),Body!$BW$6,IF('Zdroj data'!O152&gt;=Body!$CB$20,Body!$BZ$6," "))))))))))," ")))</f>
        <v xml:space="preserve"> </v>
      </c>
      <c r="AI152" s="264" t="str">
        <f>IF(AND('Zdroj data'!$BG152="L",'Zdroj data'!$AM152=Body!$AX$18),IF(AND(Tabulka1[[#This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data'!$BG152="ST",'Zdroj data'!$AM152=Body!$AX$19),IF(AND(Tabulka1[[#This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data'!$BG152="T",'Zdroj data'!$AM152=Body!$AX$20),IF(AND(Tabulka1[[#This Row],[K2O_60]]&gt;=Body!$AY$20,'Zdroj data'!O152&lt;=Body!$BA$20),Body!$AY$6,IF(AND(Tabulka1[[#This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Row],[K2O_60]]&lt;=Body!BV169),Body!$BT$6,IF(AND(Tabulka1[[#This Row],[K2O_60]]&gt;=Body!$BW$20,Tabulka1[[#This Row],[K2O_60]]&lt;=Body!$BY$20),Body!$BW$6,IF(Tabulka1[[#This Row],[K2O_60]]&gt;=Body!$CB$20,Body!$BZ$6," "))))))))))," ")))</f>
        <v xml:space="preserve"> </v>
      </c>
      <c r="AJ152" s="265">
        <f t="shared" si="26"/>
        <v>14.666666666666682</v>
      </c>
      <c r="AK152" s="264">
        <f t="shared" si="27"/>
        <v>20.31001349565712</v>
      </c>
      <c r="AL152" s="264">
        <f t="shared" si="28"/>
        <v>19.238734335239293</v>
      </c>
      <c r="AM152" s="264">
        <f t="shared" si="29"/>
        <v>55.293519979763829</v>
      </c>
      <c r="AN152" s="264">
        <f t="shared" si="30"/>
        <v>60.031581479511843</v>
      </c>
      <c r="AO152" s="265">
        <f t="shared" si="33"/>
        <v>75.603533475420946</v>
      </c>
      <c r="AP152" s="265">
        <f t="shared" si="31"/>
        <v>79.270315814751143</v>
      </c>
      <c r="AQ152" s="318"/>
      <c r="AR152" s="338">
        <f t="shared" si="32"/>
        <v>169.54051595683876</v>
      </c>
      <c r="AS152" s="318"/>
      <c r="AT152" s="138"/>
      <c r="AU152" s="138"/>
    </row>
    <row r="153" spans="1:47" ht="15.5" x14ac:dyDescent="0.35">
      <c r="A153" s="270">
        <v>9146</v>
      </c>
      <c r="B153" s="156" t="s">
        <v>583</v>
      </c>
      <c r="C153" s="250" t="str">
        <f>VLOOKUP(B153,'Zdroj hloubka okresy'!$A$2:$D$171,2,FALSE)</f>
        <v>Mlada_Boleslav</v>
      </c>
      <c r="D153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6</v>
      </c>
      <c r="E153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153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53" s="264">
        <f>IF(AND(Tabulka1[[#This Row],[hum_60]]&gt;AY159,Tabulka1[[#This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53" s="264">
        <f>IF(Tabulka1[[#This Row],[kv.ek.]]=Body!$AX$13,IF(AND('Zdroj data'!M153&gt;=Body!$AY$13,'Zdroj data'!M153&lt;=Body!$BA$13),Body!$AY$6,IF(AND('Zdroj data'!M153&gt;=Body!$BB$13,'Zdroj data'!M153&lt;=Body!$BD$13),Body!$BB$6,IF(AND('Zdroj data'!M153&gt;=Body!$BE$13,'Zdroj data'!M153&lt;=Body!$BG$13),Body!$BE$6,IF(AND('Zdroj data'!M153&gt;=Body!$BH$13,'Zdroj data'!M153&lt;=Body!$BJ$13),Body!$BH$6,IF(AND('Zdroj data'!M153&gt;=Body!$BK$13,'Zdroj data'!M153&lt;=Body!$BM$13),Body!$BK$6,IF(AND('Zdroj data'!M153&gt;=Body!$BN$13,'Zdroj data'!M153&lt;=Body!$BP$13),Body!$BN$6,IF(AND('Zdroj data'!M153&gt;=Body!$BQ$13,'Zdroj data'!M153&lt;=Body!$BS$13),Body!$BQ$6,IF(AND('Zdroj data'!M153&gt;=Body!$BT$13,'Zdroj data'!M153&lt;=Body!$BV$13),Body!$BT$6,IF(AND('Zdroj data'!M153&gt;=Body!$BW$13,'Zdroj data'!M153&lt;=Body!$BY$13),Body!$BW$6,IF('Zdroj data'!M153&gt;=Body!$CB$13,Body!$BZ$6," ")))))))))),IF(Tabulka1[[#This Row],[kv.ek.]]=Body!$AX$14,IF(AND('Zdroj data'!N153&gt;=Body!$AY$14,'Zdroj data'!N153&lt;=Body!$BA$14),Body!$AY$6,IF(AND('Zdroj data'!N153&gt;=Body!$BB$14,'Zdroj data'!N153&lt;=Body!$BD$14),Body!$BB$6,IF(AND('Zdroj data'!N153&gt;=Body!$BE$14,'Zdroj data'!N153&lt;=Body!$BG$14),Body!$BE$6,IF(AND('Zdroj data'!N153&gt;=Body!$BH$14,'Zdroj data'!N153&lt;=Body!$BJ$14),Body!$BH$6,IF(AND('Zdroj data'!N153&gt;=Body!$BK$14,'Zdroj data'!N153&lt;=Body!$BM$14),Body!$BK$6,IF(AND('Zdroj data'!N153&gt;=Body!$BN$14,'Zdroj data'!N153&lt;=Body!$BP$14),Body!$BN$6,IF(AND('Zdroj data'!N153&gt;=Body!$BQ$14,'Zdroj data'!N153&lt;=Body!$BS$14),Body!$BQ$6,IF(AND('Zdroj data'!N153&gt;=Body!$BT$14,'Zdroj data'!N153&lt;=Body!$BV$14),Body!$BT$6,IF(AND('Zdroj data'!N153&gt;=Body!$BW$14,'Zdroj data'!N153&lt;=Body!$BY$14),Body!$BW$6,IF('Zdroj data'!N153&gt;=Body!$CB$14,Body!$BZ$6," "))))))))))," "))</f>
        <v>1</v>
      </c>
      <c r="I153" s="264">
        <f>IF(Tabulka1[[#This Row],[kv.ek.]]=Body!$AX$13,IF(AND('Zdroj data'!N153&gt;=Body!$AY$13,'Zdroj data'!N153&lt;=Body!$BA$13),Body!$AY$6,IF(AND('Zdroj data'!N153&gt;=Body!$BB$13,'Zdroj data'!N153&lt;=Body!$BD$13),Body!$BB$6,IF(AND('Zdroj data'!N153&gt;=Body!$BE$13,'Zdroj data'!N153&lt;=Body!$BG$13),Body!$BE$6,IF(AND('Zdroj data'!N153&gt;=Body!$BH$13,'Zdroj data'!N153&lt;=Body!$BJ$13),Body!$BH$6,IF(AND('Zdroj data'!N153&gt;=Body!$BK$13,'Zdroj data'!N153&lt;=Body!$BM$13),Body!$BK$6,IF(AND('Zdroj data'!N153&gt;=Body!$BN$13,'Zdroj data'!N153&lt;=Body!$BP$13),Body!$BN$6,IF(AND('Zdroj data'!N153&gt;=Body!$BQ$13,'Zdroj data'!N153&lt;=Body!$BS$13),Body!$BQ$6,IF(AND('Zdroj data'!N153&gt;=Body!$BT$13,'Zdroj data'!N153&lt;=Body!$BV$13),Body!$BT$6,IF(AND('Zdroj data'!N153&gt;=Body!$BW$13,'Zdroj data'!N153&lt;=Body!$BY$13),Body!$BW$6,IF('Zdroj data'!N153&gt;=Body!$CB$13,Body!$BZ$6," ")))))))))),IF(Tabulka1[[#This Row],[kv.ek.]]=Body!$AX$14,IF(AND('Zdroj data'!O153&gt;=Body!$AY$14,'Zdroj data'!O153&lt;=Body!$BA$14),Body!$AY$6,IF(AND('Zdroj data'!O153&gt;=Body!$BB$14,'Zdroj data'!O153&lt;=Body!$BD$14),Body!$BB$6,IF(AND('Zdroj data'!O153&gt;=Body!$BE$14,'Zdroj data'!O153&lt;=Body!$BG$14),Body!$BE$6,IF(AND('Zdroj data'!O153&gt;=Body!$BH$14,'Zdroj data'!O153&lt;=Body!$BJ$14),Body!$BH$6,IF(AND('Zdroj data'!O153&gt;=Body!$BK$14,'Zdroj data'!O153&lt;=Body!$BM$14),Body!$BK$6,IF(AND('Zdroj data'!O153&gt;=Body!$BN$14,'Zdroj data'!O153&lt;=Body!$BP$14),Body!$BN$6,IF(AND('Zdroj data'!O153&gt;=Body!$BQ$14,'Zdroj data'!O153&lt;=Body!$BS$14),Body!$BQ$6,IF(AND('Zdroj data'!O153&gt;=Body!$BT$14,'Zdroj data'!O153&lt;=Body!$BV$14),Body!$BT$6,IF(AND('Zdroj data'!O153&gt;=Body!$BW$14,'Zdroj data'!O153&lt;=Body!$BY$14),Body!$BW$6,IF('Zdroj data'!O153&gt;=Body!$CB$14,Body!$BZ$6," "))))))))))," "))</f>
        <v>1</v>
      </c>
      <c r="J153" s="264">
        <f t="shared" si="25"/>
        <v>1</v>
      </c>
      <c r="K153" s="264">
        <f t="shared" si="25"/>
        <v>1</v>
      </c>
      <c r="L153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1</v>
      </c>
      <c r="M153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1</v>
      </c>
      <c r="N153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3</v>
      </c>
      <c r="O153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3</v>
      </c>
      <c r="P153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153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153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153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6</v>
      </c>
      <c r="T153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6</v>
      </c>
      <c r="U153" s="264">
        <f>IF('Zdroj data'!BB153=Body!$AY$25,Body!$AY$22,IF('Zdroj data'!BB153=Body!$BB$25,Body!$BB$22,IF('Zdroj data'!BB153=Body!$BE$25,Body!$BE$22,IF('Zdroj data'!BB153=Body!$BH$25,Body!$BH$22,IF('Zdroj data'!BB153=Body!BK$25,Body!$BK$22,IF('Zdroj data'!BB153=Body!$BN$25,Body!$BN$22,IF('Zdroj data'!BB153=Body!$BQ$25,Body!$BQ$22,IF('Zdroj data'!BB153=Body!$BT$25,Body!$BT$22,IF('Zdroj data'!BB153=Body!$BW$25,Body!$BW$22,IF('Zdroj data'!BB153=Body!$BZ$25,Body!$BZ$22," "))))))))))</f>
        <v>7</v>
      </c>
      <c r="V153" s="264">
        <f>IF(AND('Zdroj data'!BO153&gt;Body!$AY$27,'Zdroj data'!BO153&lt;=Body!$BA$27),Body!$AY$22,IF(AND('Zdroj data'!BO153&gt;=Body!$BB$27,'Zdroj data'!BO153&lt;=Body!$BD$27),Body!$BB$22,IF(AND('Zdroj data'!BO153&gt;=Body!$BE$27,'Zdroj data'!BO153&lt;=Body!$BG$27),Body!$BE$22,IF(AND('Zdroj data'!BO153&gt;=Body!$BH$27,'Zdroj data'!BO153&lt;=Body!$BJ$27),Body!$BH$22,IF(AND('Zdroj data'!BO153&gt;=Body!$BK$27,'Zdroj data'!BO153&lt;=Body!$BM$27),Body!$BK$22,IF(AND('Zdroj data'!BO153&gt;=Body!$BN$27,'Zdroj data'!BO153&lt;=Body!$BP$27),Body!$BN$22,IF(AND('Zdroj data'!BO153&gt;=Body!$BQ$27,'Zdroj data'!BO153&lt;=Body!$BS$27),Body!$BQ$22,IF(AND('Zdroj data'!BO153&gt;=Body!$BT$27,'Zdroj data'!BO153&lt;=Body!$BV$27),Body!$BT$22,IF(AND('Zdroj data'!BO153&gt;=Body!$BW$27,'Zdroj data'!BO153&lt;=Body!$BY$27),Body!$BW$22,IF('Zdroj data'!BO153&gt;=Body!$CB$27,$BZ$22," "))))))))))</f>
        <v>8</v>
      </c>
      <c r="W153" s="264">
        <f>IF(AND('Zdroj data'!BP153&gt;Body!$AY$27,'Zdroj data'!BP153&lt;=Body!$BA$27),Body!$AY$22,IF(AND('Zdroj data'!BP153&gt;=Body!$BB$27,'Zdroj data'!BP153&lt;=Body!$BD$27),Body!$BB$22,IF(AND('Zdroj data'!BP153&gt;=Body!$BE$27,'Zdroj data'!BP153&lt;=Body!$BG$27),Body!$BE$22,IF(AND('Zdroj data'!BP153&gt;=Body!$BH$27,'Zdroj data'!BP153&lt;=Body!$BJ$27),Body!$BH$22,IF(AND('Zdroj data'!BP153&gt;=Body!$BK$27,'Zdroj data'!BP153&lt;=Body!$BM$27),Body!$BK$22,IF(AND('Zdroj data'!BP153&gt;=Body!$BN$27,'Zdroj data'!BP153&lt;=Body!$BP$27),Body!$BN$22,IF(AND('Zdroj data'!BP153&gt;=Body!$BQ$27,'Zdroj data'!BP153&lt;=Body!$BS$27),Body!$BQ$22,IF(AND('Zdroj data'!BP153&gt;=Body!$BT$27,'Zdroj data'!BP153&lt;=Body!$BV$27),Body!$BT$22,IF(AND('Zdroj data'!BP153&gt;=Body!$BW$27,'Zdroj data'!BP153&lt;=Body!$BY$27),Body!$BW$22,IF('Zdroj data'!BP153&gt;=Body!$CB$27,$BZ$22," "))))))))))</f>
        <v>7</v>
      </c>
      <c r="X153" s="264">
        <f>IF('Zdroj data'!BA153=Body!$BB$28,$BB$22,IF('Zdroj data'!BA153=Body!$BE$28,$BE$22,IF(OR('Zdroj data'!BA153=Body!$BK$28,'Zdroj data'!BA153=Body!$BL$28,'Zdroj data'!BA153=Body!$BM$28),$BK$22,IF(OR('Zdroj data'!BA153=Body!$BT$28,'Zdroj data'!BA153=Body!$BV$28),$BT$22,IF(OR('Zdroj data'!BA153=Body!$BW$28,'Zdroj data'!BA153=Body!$BY$28),$BW$22,IF('Zdroj data'!BA153=Body!$BZ$28,$BZ$22," "))))))</f>
        <v>10</v>
      </c>
      <c r="Y153" s="264">
        <f>IF('Zdroj data'!AZ153=Body!$BZ$29,Body!$BZ$22,IF(OR('Zdroj data'!AZ153=$BT$29,'Zdroj data'!AZ153=$BU$29,'Zdroj data'!AZ153=$BV$29),$BT$22,IF(OR('Zdroj data'!AZ153=$BK$29,'Zdroj data'!AZ153=$BM$29),$BK$22,IF(OR('Zdroj data'!AZ153=$BE$29,'Zdroj data'!AZ153=$BG$29),$BE$22,IF(OR('Zdroj data'!AZ153=$AY$29,'Zdroj data'!AZ153=$BA$29),$AY$22," ")))))</f>
        <v>8</v>
      </c>
      <c r="Z153" s="264">
        <f>IF(AND('Zdroj data'!BF153="T",(OR('Zdroj data'!AZ153=Body!$AW$45,'Zdroj data'!AZ153=Body!$AW$46,'Zdroj data'!AZ153=Body!$AW$47,'Zdroj data'!AZ153=Body!$AW$48))),Body!$AY$22,IF(AND('Zdroj data'!BF153="T",(OR('Zdroj data'!AZ153=$AW$49,'Zdroj data'!AZ153=$AW$50,'Zdroj data'!AZ153=$AW$51,'Zdroj data'!AZ153=$AW$52))),$BZ$22,IF(AND(OR('Zdroj data'!BF153="VT",'Zdroj data'!BF153="T",'Zdroj data'!BF153="CH"),(OR('Zdroj data'!AZ153=$AW$43,'Zdroj data'!AZ153=$AW$44,))),$BZ$22,IF(AND('Zdroj data'!BF153="CH",(OR('Zdroj data'!AZ153=$AW$49,'Zdroj data'!AZ153=$AW$50,'Zdroj data'!AZ153=$AW$51,'Zdroj data'!AZ153=$AW$52))),$AY$22,IF(AND('Zdroj data'!BF153="CH",(OR('Zdroj data'!AZ153=$AW$45,'Zdroj data'!AZ153=$AW$46,'Zdroj data'!AZ153=$AW$47,'Zdroj data'!AZ153=$AW$48))),$BZ$22," ")))))</f>
        <v>10</v>
      </c>
      <c r="AA153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153" s="264">
        <f>IF(Tabulka1[[#This Row],[kv.ek.]]=Body!$BK$35,Body!$BK$34,IF(Tabulka1[[#This Row],[kv.ek.]]=Body!$BZ$35,Body!$BZ$34," "))</f>
        <v>5</v>
      </c>
      <c r="AC153" s="264" t="str">
        <f>IF(AND('Zdroj data'!BF153="T",(OR('Zdroj data'!AZ153=Body!$AW$45,'Zdroj data'!AZ153=Body!$AW$46,'Zdroj data'!AZ153=Body!$AW$47,'Zdroj data'!AZ153=Body!$AW$48))),Body!$AY$22,IF(AND('Zdroj data'!BF153="T",(OR('Zdroj data'!AZ153=$AW$49,'Zdroj data'!AZ153=$AW$50,'Zdroj data'!AZ153=$AW$51,'Zdroj data'!AZ153=$AW$52))),$BZ$22," "))</f>
        <v xml:space="preserve"> </v>
      </c>
      <c r="AD153" s="264">
        <f>IF(AND(OR('Zdroj data'!BF153="VT",'Zdroj data'!BF153="T",'Zdroj data'!BF153="CH"),(OR('Zdroj data'!AZ153=$AW$43,'Zdroj data'!AZ153=$AW$44,))),$BZ$22," ")</f>
        <v>10</v>
      </c>
      <c r="AE153" s="264" t="str">
        <f>IF(AND('Zdroj data'!BF153="CH",(OR('Zdroj data'!AZ153=$AW$49,'Zdroj data'!AZ153=$AW$50,'Zdroj data'!AZ153=$AW$51,'Zdroj data'!AZ153=$AW$52))),$AY$22,IF(AND('Zdroj data'!BF153="CH",(OR('Zdroj data'!AZ153=$AW$45,'Zdroj data'!AZ153=$AW$46,'Zdroj data'!AZ153=$AW$47,'Zdroj data'!AZ153=$AW$48))),$BZ$22," "))</f>
        <v xml:space="preserve"> </v>
      </c>
      <c r="AF153" s="264">
        <f>IF(AND('Zdroj data'!BG153="L",'Zdroj data'!AM153=Body!$AX$15),IF(AND('Zdroj data'!O153&gt;=Body!$AY$15,'Zdroj data'!O153&lt;=Body!$BA$15),Body!AY$6,IF(AND('Zdroj data'!O153&gt;=Body!$BB$15,'Zdroj data'!O153&lt;=Body!$BD$15),Body!BB$6,IF(AND('Zdroj data'!O153&gt;=Body!$BE$15,'Zdroj data'!O153&lt;=Body!$BG$15),Body!BE$6,IF(AND('Zdroj data'!O153&gt;=Body!$BH$15,'Zdroj data'!O153&lt;=Body!$BJ$15),Body!BH$6,IF(AND('Zdroj data'!O153&gt;=Body!$BK$15,'Zdroj data'!O153&lt;=Body!$BM$15),Body!BK$6,IF(AND('Zdroj data'!O153&gt;=Body!$BN$15,'Zdroj data'!O153&lt;=Body!$BP$15),Body!$BN$6,IF(AND('Zdroj data'!O153&gt;=Body!$BQ$15,'Zdroj data'!O153&lt;=Body!$BS$15),Body!$BQ$6,IF(AND('Zdroj data'!O153&gt;=Body!$BT$15,'Zdroj data'!O153&lt;=Body!$BV$15),Body!BT$6,IF(AND('Zdroj data'!O153&gt;=Body!$BW$15,'Zdroj data'!O153&lt;=Body!$BY$15),Body!$BW$6,IF('Zdroj data'!O153&gt;=Body!$CB$15,Body!$BZ$6," ")))))))))),IF(AND('Zdroj data'!BG153="ST",'Zdroj data'!AM153=Body!$AX$16),IF(AND('Zdroj data'!O153&gt;=Body!$AY$16,'Zdroj data'!O153&lt;=Body!$BA$16),Body!$AY$6,IF(AND('Zdroj data'!O153&gt;=Body!$BB$16,'Zdroj data'!O153&lt;=Body!$BD$16),Body!$BB$6,IF(AND('Zdroj data'!O153&gt;=Body!$BE$16,'Zdroj data'!O153&lt;=Body!$BG$16),Body!$BE$6,IF(AND('Zdroj data'!O153&gt;=Body!$BH$16,'Zdroj data'!O153&lt;=Body!$BJ$16),Body!$BH$6,IF(AND('Zdroj data'!O153&gt;=Body!$BK$16,'Zdroj data'!O153&lt;=Body!$BM$16),Body!$BK$6,IF(AND('Zdroj data'!O153&gt;=Body!$BN$16,'Zdroj data'!O153&lt;=Body!$BP$16),Body!$BN$6,IF(AND('Zdroj data'!O153&gt;=Body!$BQ$16,'Zdroj data'!O153&lt;=Body!$BS$16),Body!$BQ$6,IF(AND('Zdroj data'!O153&gt;=Body!$BT$16,'Zdroj data'!O153&lt;=Body!$BV$16),Body!$BT$6,IF(AND('Zdroj data'!O153&gt;=Body!$BW$16,'Zdroj data'!O153&lt;=Body!$BY$16),Body!$BW$6,IF('Zdroj data'!O153&gt;=Body!$CB$16,Body!$BZ$6," ")))))))))),IF(AND('Zdroj data'!BG153="T",'Zdroj data'!AM153=Body!$AX$17),IF(AND('Zdroj data'!O153&gt;=Body!$AY$17,'Zdroj data'!O153&lt;=Body!$BA$17),Body!$AY$6,IF(AND('Zdroj data'!O153&gt;=Body!$BB$17,'Zdroj data'!O153&lt;=Body!$BD$17),Body!$BB$6,IF(AND('Zdroj data'!O153&gt;=Body!$BE$17,'Zdroj data'!O153&lt;=Body!$BG$17),Body!$BE$6,IF(AND('Zdroj data'!O153&gt;=Body!$BH$17,'Zdroj data'!O153&lt;=Body!BJ167),Body!$BH$6,IF(AND('Zdroj data'!O153&gt;=Body!$BK$17,'Zdroj data'!O153&lt;=Body!$BM$17),Body!$BK$6,IF(AND('Zdroj data'!O153&gt;=Body!$BN$17,'Zdroj data'!O153&lt;=Body!$BP$17),Body!$BN$6,IF(AND('Zdroj data'!O153&gt;=Body!$BQ$17,'Zdroj data'!O153&lt;=Body!$BS$17),Body!$BQ$6,IF(AND('Zdroj data'!O153&gt;=Body!$BT$17,'Zdroj data'!O153&lt;=Body!$BV$17),Body!$BT$6,IF(AND('Zdroj data'!O153&gt;=Body!$BW$17,'Zdroj data'!O153&lt;=Body!$BY$17),Body!$BW$6,IF('Zdroj data'!O153&gt;=Body!$CB$17,Body!$BZ$6," "))))))))))," ")))</f>
        <v>1</v>
      </c>
      <c r="AG153" s="264">
        <f>IF(AND('Zdroj data'!$BG153="L",'Zdroj data'!$AM153=Body!$AX$15),IF(AND(Tabulka1[[#This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data'!$BG153="ST",'Zdroj data'!$AM153=Body!$AX$16),IF(AND(Tabulka1[[#This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data'!$BG153="T",'Zdroj data'!$AM153=Body!$AX$17),IF(AND(Tabulka1[[#This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Row],[K2O_60]]&lt;=Body!BJ167),Body!$BH$6,IF(AND(Tabulka1[[#This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53" s="264" t="str">
        <f>IF(AND('Zdroj data'!BG153="L",'Zdroj data'!AM153=Body!$AX$18),IF(AND('Zdroj data'!O153&gt;=Body!$AY$18,'Zdroj data'!O153&lt;=Body!$BA$18),Body!AY$6,IF(AND('Zdroj data'!O153&gt;=Body!$BB$18,'Zdroj data'!O153&lt;=Body!$BD$18),Body!BB$6,IF(AND('Zdroj data'!O153&gt;=Body!$BE$18,'Zdroj data'!O153&lt;=Body!$BG$18),Body!BE$6,IF(AND('Zdroj data'!O153&gt;=Body!$BH$18,'Zdroj data'!O153&lt;=Body!$BJ$18),Body!BH$6,IF(AND('Zdroj data'!O153&gt;=Body!$BK$18,'Zdroj data'!O153&lt;=Body!$BM$18),Body!$BK$6,IF(AND('Zdroj data'!O153&gt;=Body!$BN$18,'Zdroj data'!O153&lt;=Body!$BP$18),Body!BN$6,IF(AND('Zdroj data'!O153&gt;=Body!$BQ$18,'Zdroj data'!O153&lt;=Body!$BS$18),Body!$BQ$6,IF(AND('Zdroj data'!O153&gt;=Body!$BT$18,'Zdroj data'!O153&lt;=Body!$BV$18),Body!$BT$6,IF(AND('Zdroj data'!O153&gt;=Body!$BW$18,'Zdroj data'!O153&lt;=Body!$BY$18),Body!$BW$6,IF('Zdroj data'!O153&gt;=Body!$CB$18,Body!$BZ$6," ")))))))))),IF(AND('Zdroj data'!BG153="ST",'Zdroj data'!AM153=Body!$AX$19),IF(AND('Zdroj data'!O153&gt;=Body!$AY$19,'Zdroj data'!O153&lt;=Body!$BA$19),Body!$AY$6,IF(AND('Zdroj data'!O153&gt;=Body!$BB$19,'Zdroj data'!O153&lt;=Body!$BD$19),Body!$BB$6,IF(AND('Zdroj data'!O153&gt;=Body!$BE$19,'Zdroj data'!O153&lt;=Body!$BG$19),Body!$BE$6,IF(AND('Zdroj data'!O153&gt;=Body!$BH$19,'Zdroj data'!O153&lt;=Body!$BJ$19),Body!$BH$6,IF(AND('Zdroj data'!O153&gt;=Body!$BK$19,'Zdroj data'!O153&lt;=Body!$BM$19),Body!$BK$6,IF(AND('Zdroj data'!O153&gt;=Body!$BN$19,'Zdroj data'!O153&lt;=Body!$BP$19),Body!$BN$6,IF(AND('Zdroj data'!O153&gt;=Body!$BQ$19,'Zdroj data'!O153&lt;=Body!$BS$19),Body!$BQ$6,IF(AND('Zdroj data'!O153&gt;=Body!$BT$19,'Zdroj data'!O157&lt;=Body!$BV$19),Body!$BT$6,IF(AND('Zdroj data'!O153&gt;=Body!$BW$19,'Zdroj data'!O153&lt;=Body!$BY$19),Body!$BW$6,IF('Zdroj data'!O153&gt;=Body!$CB$19,Body!$BZ$6," ")))))))))),IF(AND('Zdroj data'!BG153="T",'Zdroj data'!AM153=Body!$AX$20),IF(AND('Zdroj data'!O153&gt;=Body!$AY$20,'Zdroj data'!O153&lt;=Body!$BA$20),Body!$AY$6,IF(AND('Zdroj data'!O153&gt;=Body!$BB$20,'Zdroj data'!O153&lt;=Body!$BD$20),Body!$BB$6,IF(AND('Zdroj data'!O153&gt;=Body!$BE$20,'Zdroj data'!O153&lt;=Body!$BG$20),Body!$BE$6,IF(AND('Zdroj data'!O153&gt;=Body!$BH$20,'Zdroj data'!O153&lt;=Body!$BJ$20),Body!$BH$6,IF(AND('Zdroj data'!O153&gt;=Body!$BK$20,'Zdroj data'!O153&lt;=Body!$BM$20),Body!$BK$6,IF(AND('Zdroj data'!O153&gt;=Body!$BN$20,'Zdroj data'!O153&lt;=Body!$BP$20),Body!$BN$6,IF(AND('Zdroj data'!O153&gt;=Body!$BQ$20,'Zdroj data'!O153&lt;=Body!$BS$20),Body!$BQ$6,IF(AND('Zdroj data'!O153&gt;=Body!$BT$20,'Zdroj data'!O153&lt;=Body!BV170),Body!$BT$6,IF(AND('Zdroj data'!O153&gt;=Body!$BW$20,'Zdroj data'!O153&lt;=Body!$BY$20),Body!$BW$6,IF('Zdroj data'!O153&gt;=Body!$CB$20,Body!$BZ$6," "))))))))))," ")))</f>
        <v xml:space="preserve"> </v>
      </c>
      <c r="AI153" s="264" t="str">
        <f>IF(AND('Zdroj data'!$BG153="L",'Zdroj data'!$AM153=Body!$AX$18),IF(AND(Tabulka1[[#This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data'!$BG153="ST",'Zdroj data'!$AM153=Body!$AX$19),IF(AND(Tabulka1[[#This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data'!$BG153="T",'Zdroj data'!$AM153=Body!$AX$20),IF(AND(Tabulka1[[#This Row],[K2O_60]]&gt;=Body!$AY$20,'Zdroj data'!O153&lt;=Body!$BA$20),Body!$AY$6,IF(AND(Tabulka1[[#This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Row],[K2O_60]]&lt;=Body!BV170),Body!$BT$6,IF(AND(Tabulka1[[#This Row],[K2O_60]]&gt;=Body!$BW$20,Tabulka1[[#This Row],[K2O_60]]&lt;=Body!$BY$20),Body!$BW$6,IF(Tabulka1[[#This Row],[K2O_60]]&gt;=Body!$CB$20,Body!$BZ$6," "))))))))))," ")))</f>
        <v xml:space="preserve"> </v>
      </c>
      <c r="AJ153" s="265">
        <f t="shared" si="26"/>
        <v>14.666666666666682</v>
      </c>
      <c r="AK153" s="264">
        <f t="shared" si="27"/>
        <v>19.510758597336622</v>
      </c>
      <c r="AL153" s="264">
        <f t="shared" si="28"/>
        <v>17.640224538598297</v>
      </c>
      <c r="AM153" s="264">
        <f t="shared" si="29"/>
        <v>65.292605187383614</v>
      </c>
      <c r="AN153" s="264">
        <f t="shared" si="30"/>
        <v>63.748011980181623</v>
      </c>
      <c r="AO153" s="265">
        <f t="shared" si="33"/>
        <v>84.803363784720233</v>
      </c>
      <c r="AP153" s="265">
        <f t="shared" si="31"/>
        <v>81.388236518779919</v>
      </c>
      <c r="AQ153" s="318"/>
      <c r="AR153" s="338">
        <f t="shared" si="32"/>
        <v>180.85826697016682</v>
      </c>
      <c r="AS153" s="318"/>
      <c r="AT153" s="138"/>
      <c r="AU153" s="138"/>
    </row>
    <row r="154" spans="1:47" ht="15.5" x14ac:dyDescent="0.35">
      <c r="A154" s="270">
        <v>9149</v>
      </c>
      <c r="B154" s="156" t="s">
        <v>641</v>
      </c>
      <c r="C154" s="250" t="str">
        <f>VLOOKUP(B154,'Zdroj hloubka okresy'!$A$2:$D$171,2,FALSE)</f>
        <v>Mlada_Boleslav</v>
      </c>
      <c r="D154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7</v>
      </c>
      <c r="E154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9</v>
      </c>
      <c r="F154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54" s="264">
        <f>IF(AND(Tabulka1[[#This Row],[hum_60]]&gt;AY160,Tabulka1[[#This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54" s="264">
        <f>IF(Tabulka1[[#This Row],[kv.ek.]]=Body!$AX$13,IF(AND('Zdroj data'!M154&gt;=Body!$AY$13,'Zdroj data'!M154&lt;=Body!$BA$13),Body!$AY$6,IF(AND('Zdroj data'!M154&gt;=Body!$BB$13,'Zdroj data'!M154&lt;=Body!$BD$13),Body!$BB$6,IF(AND('Zdroj data'!M154&gt;=Body!$BE$13,'Zdroj data'!M154&lt;=Body!$BG$13),Body!$BE$6,IF(AND('Zdroj data'!M154&gt;=Body!$BH$13,'Zdroj data'!M154&lt;=Body!$BJ$13),Body!$BH$6,IF(AND('Zdroj data'!M154&gt;=Body!$BK$13,'Zdroj data'!M154&lt;=Body!$BM$13),Body!$BK$6,IF(AND('Zdroj data'!M154&gt;=Body!$BN$13,'Zdroj data'!M154&lt;=Body!$BP$13),Body!$BN$6,IF(AND('Zdroj data'!M154&gt;=Body!$BQ$13,'Zdroj data'!M154&lt;=Body!$BS$13),Body!$BQ$6,IF(AND('Zdroj data'!M154&gt;=Body!$BT$13,'Zdroj data'!M154&lt;=Body!$BV$13),Body!$BT$6,IF(AND('Zdroj data'!M154&gt;=Body!$BW$13,'Zdroj data'!M154&lt;=Body!$BY$13),Body!$BW$6,IF('Zdroj data'!M154&gt;=Body!$CB$13,Body!$BZ$6," ")))))))))),IF(Tabulka1[[#This Row],[kv.ek.]]=Body!$AX$14,IF(AND('Zdroj data'!N154&gt;=Body!$AY$14,'Zdroj data'!N154&lt;=Body!$BA$14),Body!$AY$6,IF(AND('Zdroj data'!N154&gt;=Body!$BB$14,'Zdroj data'!N154&lt;=Body!$BD$14),Body!$BB$6,IF(AND('Zdroj data'!N154&gt;=Body!$BE$14,'Zdroj data'!N154&lt;=Body!$BG$14),Body!$BE$6,IF(AND('Zdroj data'!N154&gt;=Body!$BH$14,'Zdroj data'!N154&lt;=Body!$BJ$14),Body!$BH$6,IF(AND('Zdroj data'!N154&gt;=Body!$BK$14,'Zdroj data'!N154&lt;=Body!$BM$14),Body!$BK$6,IF(AND('Zdroj data'!N154&gt;=Body!$BN$14,'Zdroj data'!N154&lt;=Body!$BP$14),Body!$BN$6,IF(AND('Zdroj data'!N154&gt;=Body!$BQ$14,'Zdroj data'!N154&lt;=Body!$BS$14),Body!$BQ$6,IF(AND('Zdroj data'!N154&gt;=Body!$BT$14,'Zdroj data'!N154&lt;=Body!$BV$14),Body!$BT$6,IF(AND('Zdroj data'!N154&gt;=Body!$BW$14,'Zdroj data'!N154&lt;=Body!$BY$14),Body!$BW$6,IF('Zdroj data'!N154&gt;=Body!$CB$14,Body!$BZ$6," "))))))))))," "))</f>
        <v>1</v>
      </c>
      <c r="I154" s="264">
        <f>IF(Tabulka1[[#This Row],[kv.ek.]]=Body!$AX$13,IF(AND('Zdroj data'!N154&gt;=Body!$AY$13,'Zdroj data'!N154&lt;=Body!$BA$13),Body!$AY$6,IF(AND('Zdroj data'!N154&gt;=Body!$BB$13,'Zdroj data'!N154&lt;=Body!$BD$13),Body!$BB$6,IF(AND('Zdroj data'!N154&gt;=Body!$BE$13,'Zdroj data'!N154&lt;=Body!$BG$13),Body!$BE$6,IF(AND('Zdroj data'!N154&gt;=Body!$BH$13,'Zdroj data'!N154&lt;=Body!$BJ$13),Body!$BH$6,IF(AND('Zdroj data'!N154&gt;=Body!$BK$13,'Zdroj data'!N154&lt;=Body!$BM$13),Body!$BK$6,IF(AND('Zdroj data'!N154&gt;=Body!$BN$13,'Zdroj data'!N154&lt;=Body!$BP$13),Body!$BN$6,IF(AND('Zdroj data'!N154&gt;=Body!$BQ$13,'Zdroj data'!N154&lt;=Body!$BS$13),Body!$BQ$6,IF(AND('Zdroj data'!N154&gt;=Body!$BT$13,'Zdroj data'!N154&lt;=Body!$BV$13),Body!$BT$6,IF(AND('Zdroj data'!N154&gt;=Body!$BW$13,'Zdroj data'!N154&lt;=Body!$BY$13),Body!$BW$6,IF('Zdroj data'!N154&gt;=Body!$CB$13,Body!$BZ$6," ")))))))))),IF(Tabulka1[[#This Row],[kv.ek.]]=Body!$AX$14,IF(AND('Zdroj data'!O154&gt;=Body!$AY$14,'Zdroj data'!O154&lt;=Body!$BA$14),Body!$AY$6,IF(AND('Zdroj data'!O154&gt;=Body!$BB$14,'Zdroj data'!O154&lt;=Body!$BD$14),Body!$BB$6,IF(AND('Zdroj data'!O154&gt;=Body!$BE$14,'Zdroj data'!O154&lt;=Body!$BG$14),Body!$BE$6,IF(AND('Zdroj data'!O154&gt;=Body!$BH$14,'Zdroj data'!O154&lt;=Body!$BJ$14),Body!$BH$6,IF(AND('Zdroj data'!O154&gt;=Body!$BK$14,'Zdroj data'!O154&lt;=Body!$BM$14),Body!$BK$6,IF(AND('Zdroj data'!O154&gt;=Body!$BN$14,'Zdroj data'!O154&lt;=Body!$BP$14),Body!$BN$6,IF(AND('Zdroj data'!O154&gt;=Body!$BQ$14,'Zdroj data'!O154&lt;=Body!$BS$14),Body!$BQ$6,IF(AND('Zdroj data'!O154&gt;=Body!$BT$14,'Zdroj data'!O154&lt;=Body!$BV$14),Body!$BT$6,IF(AND('Zdroj data'!O154&gt;=Body!$BW$14,'Zdroj data'!O154&lt;=Body!$BY$14),Body!$BW$6,IF('Zdroj data'!O154&gt;=Body!$CB$14,Body!$BZ$6," "))))))))))," "))</f>
        <v>1</v>
      </c>
      <c r="J154" s="264">
        <f t="shared" si="25"/>
        <v>2</v>
      </c>
      <c r="K154" s="264">
        <f t="shared" si="25"/>
        <v>1</v>
      </c>
      <c r="L154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1</v>
      </c>
      <c r="M154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1</v>
      </c>
      <c r="N154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154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154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154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154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2</v>
      </c>
      <c r="S154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4</v>
      </c>
      <c r="T154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4</v>
      </c>
      <c r="U154" s="264">
        <f>IF('Zdroj data'!BB154=Body!$AY$25,Body!$AY$22,IF('Zdroj data'!BB154=Body!$BB$25,Body!$BB$22,IF('Zdroj data'!BB154=Body!$BE$25,Body!$BE$22,IF('Zdroj data'!BB154=Body!$BH$25,Body!$BH$22,IF('Zdroj data'!BB154=Body!BK$25,Body!$BK$22,IF('Zdroj data'!BB154=Body!$BN$25,Body!$BN$22,IF('Zdroj data'!BB154=Body!$BQ$25,Body!$BQ$22,IF('Zdroj data'!BB154=Body!$BT$25,Body!$BT$22,IF('Zdroj data'!BB154=Body!$BW$25,Body!$BW$22,IF('Zdroj data'!BB154=Body!$BZ$25,Body!$BZ$22," "))))))))))</f>
        <v>7</v>
      </c>
      <c r="V154" s="264">
        <f>IF(AND('Zdroj data'!BO154&gt;Body!$AY$27,'Zdroj data'!BO154&lt;=Body!$BA$27),Body!$AY$22,IF(AND('Zdroj data'!BO154&gt;=Body!$BB$27,'Zdroj data'!BO154&lt;=Body!$BD$27),Body!$BB$22,IF(AND('Zdroj data'!BO154&gt;=Body!$BE$27,'Zdroj data'!BO154&lt;=Body!$BG$27),Body!$BE$22,IF(AND('Zdroj data'!BO154&gt;=Body!$BH$27,'Zdroj data'!BO154&lt;=Body!$BJ$27),Body!$BH$22,IF(AND('Zdroj data'!BO154&gt;=Body!$BK$27,'Zdroj data'!BO154&lt;=Body!$BM$27),Body!$BK$22,IF(AND('Zdroj data'!BO154&gt;=Body!$BN$27,'Zdroj data'!BO154&lt;=Body!$BP$27),Body!$BN$22,IF(AND('Zdroj data'!BO154&gt;=Body!$BQ$27,'Zdroj data'!BO154&lt;=Body!$BS$27),Body!$BQ$22,IF(AND('Zdroj data'!BO154&gt;=Body!$BT$27,'Zdroj data'!BO154&lt;=Body!$BV$27),Body!$BT$22,IF(AND('Zdroj data'!BO154&gt;=Body!$BW$27,'Zdroj data'!BO154&lt;=Body!$BY$27),Body!$BW$22,IF('Zdroj data'!BO154&gt;=Body!$CB$27,$BZ$22," "))))))))))</f>
        <v>6</v>
      </c>
      <c r="W154" s="264">
        <f>IF(AND('Zdroj data'!BP154&gt;Body!$AY$27,'Zdroj data'!BP154&lt;=Body!$BA$27),Body!$AY$22,IF(AND('Zdroj data'!BP154&gt;=Body!$BB$27,'Zdroj data'!BP154&lt;=Body!$BD$27),Body!$BB$22,IF(AND('Zdroj data'!BP154&gt;=Body!$BE$27,'Zdroj data'!BP154&lt;=Body!$BG$27),Body!$BE$22,IF(AND('Zdroj data'!BP154&gt;=Body!$BH$27,'Zdroj data'!BP154&lt;=Body!$BJ$27),Body!$BH$22,IF(AND('Zdroj data'!BP154&gt;=Body!$BK$27,'Zdroj data'!BP154&lt;=Body!$BM$27),Body!$BK$22,IF(AND('Zdroj data'!BP154&gt;=Body!$BN$27,'Zdroj data'!BP154&lt;=Body!$BP$27),Body!$BN$22,IF(AND('Zdroj data'!BP154&gt;=Body!$BQ$27,'Zdroj data'!BP154&lt;=Body!$BS$27),Body!$BQ$22,IF(AND('Zdroj data'!BP154&gt;=Body!$BT$27,'Zdroj data'!BP154&lt;=Body!$BV$27),Body!$BT$22,IF(AND('Zdroj data'!BP154&gt;=Body!$BW$27,'Zdroj data'!BP154&lt;=Body!$BY$27),Body!$BW$22,IF('Zdroj data'!BP154&gt;=Body!$CB$27,$BZ$22," "))))))))))</f>
        <v>4</v>
      </c>
      <c r="X154" s="264">
        <f>IF('Zdroj data'!BA154=Body!$BB$28,$BB$22,IF('Zdroj data'!BA154=Body!$BE$28,$BE$22,IF(OR('Zdroj data'!BA154=Body!$BK$28,'Zdroj data'!BA154=Body!$BL$28,'Zdroj data'!BA154=Body!$BM$28),$BK$22,IF(OR('Zdroj data'!BA154=Body!$BT$28,'Zdroj data'!BA154=Body!$BV$28),$BT$22,IF(OR('Zdroj data'!BA154=Body!$BW$28,'Zdroj data'!BA154=Body!$BY$28),$BW$22,IF('Zdroj data'!BA154=Body!$BZ$28,$BZ$22," "))))))</f>
        <v>9</v>
      </c>
      <c r="Y154" s="264">
        <f>IF('Zdroj data'!AZ154=Body!$BZ$29,Body!$BZ$22,IF(OR('Zdroj data'!AZ154=$BT$29,'Zdroj data'!AZ154=$BU$29,'Zdroj data'!AZ154=$BV$29),$BT$22,IF(OR('Zdroj data'!AZ154=$BK$29,'Zdroj data'!AZ154=$BM$29),$BK$22,IF(OR('Zdroj data'!AZ154=$BE$29,'Zdroj data'!AZ154=$BG$29),$BE$22,IF(OR('Zdroj data'!AZ154=$AY$29,'Zdroj data'!AZ154=$BA$29),$AY$22," ")))))</f>
        <v>10</v>
      </c>
      <c r="Z154" s="264">
        <f>IF(AND('Zdroj data'!BF154="T",(OR('Zdroj data'!AZ154=Body!$AW$45,'Zdroj data'!AZ154=Body!$AW$46,'Zdroj data'!AZ154=Body!$AW$47,'Zdroj data'!AZ154=Body!$AW$48))),Body!$AY$22,IF(AND('Zdroj data'!BF154="T",(OR('Zdroj data'!AZ154=$AW$49,'Zdroj data'!AZ154=$AW$50,'Zdroj data'!AZ154=$AW$51,'Zdroj data'!AZ154=$AW$52))),$BZ$22,IF(AND(OR('Zdroj data'!BF154="VT",'Zdroj data'!BF154="T",'Zdroj data'!BF154="CH"),(OR('Zdroj data'!AZ154=$AW$43,'Zdroj data'!AZ154=$AW$44,))),$BZ$22,IF(AND('Zdroj data'!BF154="CH",(OR('Zdroj data'!AZ154=$AW$49,'Zdroj data'!AZ154=$AW$50,'Zdroj data'!AZ154=$AW$51,'Zdroj data'!AZ154=$AW$52))),$AY$22,IF(AND('Zdroj data'!BF154="CH",(OR('Zdroj data'!AZ154=$AW$45,'Zdroj data'!AZ154=$AW$46,'Zdroj data'!AZ154=$AW$47,'Zdroj data'!AZ154=$AW$48))),$BZ$22," ")))))</f>
        <v>10</v>
      </c>
      <c r="AA154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154" s="264">
        <f>IF(Tabulka1[[#This Row],[kv.ek.]]=Body!$BK$35,Body!$BK$34,IF(Tabulka1[[#This Row],[kv.ek.]]=Body!$BZ$35,Body!$BZ$34," "))</f>
        <v>5</v>
      </c>
      <c r="AC154" s="264" t="str">
        <f>IF(AND('Zdroj data'!BF154="T",(OR('Zdroj data'!AZ154=Body!$AW$45,'Zdroj data'!AZ154=Body!$AW$46,'Zdroj data'!AZ154=Body!$AW$47,'Zdroj data'!AZ154=Body!$AW$48))),Body!$AY$22,IF(AND('Zdroj data'!BF154="T",(OR('Zdroj data'!AZ154=$AW$49,'Zdroj data'!AZ154=$AW$50,'Zdroj data'!AZ154=$AW$51,'Zdroj data'!AZ154=$AW$52))),$BZ$22," "))</f>
        <v xml:space="preserve"> </v>
      </c>
      <c r="AD154" s="264">
        <f>IF(AND(OR('Zdroj data'!BF154="VT",'Zdroj data'!BF154="T",'Zdroj data'!BF154="CH"),(OR('Zdroj data'!AZ154=$AW$43,'Zdroj data'!AZ154=$AW$44,))),$BZ$22," ")</f>
        <v>10</v>
      </c>
      <c r="AE154" s="264" t="str">
        <f>IF(AND('Zdroj data'!BF154="CH",(OR('Zdroj data'!AZ154=$AW$49,'Zdroj data'!AZ154=$AW$50,'Zdroj data'!AZ154=$AW$51,'Zdroj data'!AZ154=$AW$52))),$AY$22,IF(AND('Zdroj data'!BF154="CH",(OR('Zdroj data'!AZ154=$AW$45,'Zdroj data'!AZ154=$AW$46,'Zdroj data'!AZ154=$AW$47,'Zdroj data'!AZ154=$AW$48))),$BZ$22," "))</f>
        <v xml:space="preserve"> </v>
      </c>
      <c r="AF154" s="264">
        <f>IF(AND('Zdroj data'!BG154="L",'Zdroj data'!AM154=Body!$AX$15),IF(AND('Zdroj data'!O154&gt;=Body!$AY$15,'Zdroj data'!O154&lt;=Body!$BA$15),Body!AY$6,IF(AND('Zdroj data'!O154&gt;=Body!$BB$15,'Zdroj data'!O154&lt;=Body!$BD$15),Body!BB$6,IF(AND('Zdroj data'!O154&gt;=Body!$BE$15,'Zdroj data'!O154&lt;=Body!$BG$15),Body!BE$6,IF(AND('Zdroj data'!O154&gt;=Body!$BH$15,'Zdroj data'!O154&lt;=Body!$BJ$15),Body!BH$6,IF(AND('Zdroj data'!O154&gt;=Body!$BK$15,'Zdroj data'!O154&lt;=Body!$BM$15),Body!BK$6,IF(AND('Zdroj data'!O154&gt;=Body!$BN$15,'Zdroj data'!O154&lt;=Body!$BP$15),Body!$BN$6,IF(AND('Zdroj data'!O154&gt;=Body!$BQ$15,'Zdroj data'!O154&lt;=Body!$BS$15),Body!$BQ$6,IF(AND('Zdroj data'!O154&gt;=Body!$BT$15,'Zdroj data'!O154&lt;=Body!$BV$15),Body!BT$6,IF(AND('Zdroj data'!O154&gt;=Body!$BW$15,'Zdroj data'!O154&lt;=Body!$BY$15),Body!$BW$6,IF('Zdroj data'!O154&gt;=Body!$CB$15,Body!$BZ$6," ")))))))))),IF(AND('Zdroj data'!BG154="ST",'Zdroj data'!AM154=Body!$AX$16),IF(AND('Zdroj data'!O154&gt;=Body!$AY$16,'Zdroj data'!O154&lt;=Body!$BA$16),Body!$AY$6,IF(AND('Zdroj data'!O154&gt;=Body!$BB$16,'Zdroj data'!O154&lt;=Body!$BD$16),Body!$BB$6,IF(AND('Zdroj data'!O154&gt;=Body!$BE$16,'Zdroj data'!O154&lt;=Body!$BG$16),Body!$BE$6,IF(AND('Zdroj data'!O154&gt;=Body!$BH$16,'Zdroj data'!O154&lt;=Body!$BJ$16),Body!$BH$6,IF(AND('Zdroj data'!O154&gt;=Body!$BK$16,'Zdroj data'!O154&lt;=Body!$BM$16),Body!$BK$6,IF(AND('Zdroj data'!O154&gt;=Body!$BN$16,'Zdroj data'!O154&lt;=Body!$BP$16),Body!$BN$6,IF(AND('Zdroj data'!O154&gt;=Body!$BQ$16,'Zdroj data'!O154&lt;=Body!$BS$16),Body!$BQ$6,IF(AND('Zdroj data'!O154&gt;=Body!$BT$16,'Zdroj data'!O154&lt;=Body!$BV$16),Body!$BT$6,IF(AND('Zdroj data'!O154&gt;=Body!$BW$16,'Zdroj data'!O154&lt;=Body!$BY$16),Body!$BW$6,IF('Zdroj data'!O154&gt;=Body!$CB$16,Body!$BZ$6," ")))))))))),IF(AND('Zdroj data'!BG154="T",'Zdroj data'!AM154=Body!$AX$17),IF(AND('Zdroj data'!O154&gt;=Body!$AY$17,'Zdroj data'!O154&lt;=Body!$BA$17),Body!$AY$6,IF(AND('Zdroj data'!O154&gt;=Body!$BB$17,'Zdroj data'!O154&lt;=Body!$BD$17),Body!$BB$6,IF(AND('Zdroj data'!O154&gt;=Body!$BE$17,'Zdroj data'!O154&lt;=Body!$BG$17),Body!$BE$6,IF(AND('Zdroj data'!O154&gt;=Body!$BH$17,'Zdroj data'!O154&lt;=Body!BJ168),Body!$BH$6,IF(AND('Zdroj data'!O154&gt;=Body!$BK$17,'Zdroj data'!O154&lt;=Body!$BM$17),Body!$BK$6,IF(AND('Zdroj data'!O154&gt;=Body!$BN$17,'Zdroj data'!O154&lt;=Body!$BP$17),Body!$BN$6,IF(AND('Zdroj data'!O154&gt;=Body!$BQ$17,'Zdroj data'!O154&lt;=Body!$BS$17),Body!$BQ$6,IF(AND('Zdroj data'!O154&gt;=Body!$BT$17,'Zdroj data'!O154&lt;=Body!$BV$17),Body!$BT$6,IF(AND('Zdroj data'!O154&gt;=Body!$BW$17,'Zdroj data'!O154&lt;=Body!$BY$17),Body!$BW$6,IF('Zdroj data'!O154&gt;=Body!$CB$17,Body!$BZ$6," "))))))))))," ")))</f>
        <v>2</v>
      </c>
      <c r="AG154" s="264">
        <f>IF(AND('Zdroj data'!$BG154="L",'Zdroj data'!$AM154=Body!$AX$15),IF(AND(Tabulka1[[#This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data'!$BG154="ST",'Zdroj data'!$AM154=Body!$AX$16),IF(AND(Tabulka1[[#This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data'!$BG154="T",'Zdroj data'!$AM154=Body!$AX$17),IF(AND(Tabulka1[[#This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Row],[K2O_60]]&lt;=Body!BJ168),Body!$BH$6,IF(AND(Tabulka1[[#This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54" s="264" t="str">
        <f>IF(AND('Zdroj data'!BG154="L",'Zdroj data'!AM154=Body!$AX$18),IF(AND('Zdroj data'!O154&gt;=Body!$AY$18,'Zdroj data'!O154&lt;=Body!$BA$18),Body!AY$6,IF(AND('Zdroj data'!O154&gt;=Body!$BB$18,'Zdroj data'!O154&lt;=Body!$BD$18),Body!BB$6,IF(AND('Zdroj data'!O154&gt;=Body!$BE$18,'Zdroj data'!O154&lt;=Body!$BG$18),Body!BE$6,IF(AND('Zdroj data'!O154&gt;=Body!$BH$18,'Zdroj data'!O154&lt;=Body!$BJ$18),Body!BH$6,IF(AND('Zdroj data'!O154&gt;=Body!$BK$18,'Zdroj data'!O154&lt;=Body!$BM$18),Body!$BK$6,IF(AND('Zdroj data'!O154&gt;=Body!$BN$18,'Zdroj data'!O154&lt;=Body!$BP$18),Body!BN$6,IF(AND('Zdroj data'!O154&gt;=Body!$BQ$18,'Zdroj data'!O154&lt;=Body!$BS$18),Body!$BQ$6,IF(AND('Zdroj data'!O154&gt;=Body!$BT$18,'Zdroj data'!O154&lt;=Body!$BV$18),Body!$BT$6,IF(AND('Zdroj data'!O154&gt;=Body!$BW$18,'Zdroj data'!O154&lt;=Body!$BY$18),Body!$BW$6,IF('Zdroj data'!O154&gt;=Body!$CB$18,Body!$BZ$6," ")))))))))),IF(AND('Zdroj data'!BG154="ST",'Zdroj data'!AM154=Body!$AX$19),IF(AND('Zdroj data'!O154&gt;=Body!$AY$19,'Zdroj data'!O154&lt;=Body!$BA$19),Body!$AY$6,IF(AND('Zdroj data'!O154&gt;=Body!$BB$19,'Zdroj data'!O154&lt;=Body!$BD$19),Body!$BB$6,IF(AND('Zdroj data'!O154&gt;=Body!$BE$19,'Zdroj data'!O154&lt;=Body!$BG$19),Body!$BE$6,IF(AND('Zdroj data'!O154&gt;=Body!$BH$19,'Zdroj data'!O154&lt;=Body!$BJ$19),Body!$BH$6,IF(AND('Zdroj data'!O154&gt;=Body!$BK$19,'Zdroj data'!O154&lt;=Body!$BM$19),Body!$BK$6,IF(AND('Zdroj data'!O154&gt;=Body!$BN$19,'Zdroj data'!O154&lt;=Body!$BP$19),Body!$BN$6,IF(AND('Zdroj data'!O154&gt;=Body!$BQ$19,'Zdroj data'!O154&lt;=Body!$BS$19),Body!$BQ$6,IF(AND('Zdroj data'!O154&gt;=Body!$BT$19,'Zdroj data'!O158&lt;=Body!$BV$19),Body!$BT$6,IF(AND('Zdroj data'!O154&gt;=Body!$BW$19,'Zdroj data'!O154&lt;=Body!$BY$19),Body!$BW$6,IF('Zdroj data'!O154&gt;=Body!$CB$19,Body!$BZ$6," ")))))))))),IF(AND('Zdroj data'!BG154="T",'Zdroj data'!AM154=Body!$AX$20),IF(AND('Zdroj data'!O154&gt;=Body!$AY$20,'Zdroj data'!O154&lt;=Body!$BA$20),Body!$AY$6,IF(AND('Zdroj data'!O154&gt;=Body!$BB$20,'Zdroj data'!O154&lt;=Body!$BD$20),Body!$BB$6,IF(AND('Zdroj data'!O154&gt;=Body!$BE$20,'Zdroj data'!O154&lt;=Body!$BG$20),Body!$BE$6,IF(AND('Zdroj data'!O154&gt;=Body!$BH$20,'Zdroj data'!O154&lt;=Body!$BJ$20),Body!$BH$6,IF(AND('Zdroj data'!O154&gt;=Body!$BK$20,'Zdroj data'!O154&lt;=Body!$BM$20),Body!$BK$6,IF(AND('Zdroj data'!O154&gt;=Body!$BN$20,'Zdroj data'!O154&lt;=Body!$BP$20),Body!$BN$6,IF(AND('Zdroj data'!O154&gt;=Body!$BQ$20,'Zdroj data'!O154&lt;=Body!$BS$20),Body!$BQ$6,IF(AND('Zdroj data'!O154&gt;=Body!$BT$20,'Zdroj data'!O154&lt;=Body!BV171),Body!$BT$6,IF(AND('Zdroj data'!O154&gt;=Body!$BW$20,'Zdroj data'!O154&lt;=Body!$BY$20),Body!$BW$6,IF('Zdroj data'!O154&gt;=Body!$CB$20,Body!$BZ$6," "))))))))))," ")))</f>
        <v xml:space="preserve"> </v>
      </c>
      <c r="AI154" s="264" t="str">
        <f>IF(AND('Zdroj data'!$BG154="L",'Zdroj data'!$AM154=Body!$AX$18),IF(AND(Tabulka1[[#This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data'!$BG154="ST",'Zdroj data'!$AM154=Body!$AX$19),IF(AND(Tabulka1[[#This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data'!$BG154="T",'Zdroj data'!$AM154=Body!$AX$20),IF(AND(Tabulka1[[#This Row],[K2O_60]]&gt;=Body!$AY$20,'Zdroj data'!O154&lt;=Body!$BA$20),Body!$AY$6,IF(AND(Tabulka1[[#This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Row],[K2O_60]]&lt;=Body!BV171),Body!$BT$6,IF(AND(Tabulka1[[#This Row],[K2O_60]]&gt;=Body!$BW$20,Tabulka1[[#This Row],[K2O_60]]&lt;=Body!$BY$20),Body!$BW$6,IF(Tabulka1[[#This Row],[K2O_60]]&gt;=Body!$CB$20,Body!$BZ$6," "))))))))))," ")))</f>
        <v xml:space="preserve"> </v>
      </c>
      <c r="AJ154" s="265">
        <f t="shared" si="26"/>
        <v>14.666666666666682</v>
      </c>
      <c r="AK154" s="264">
        <f t="shared" si="27"/>
        <v>23.238837024904221</v>
      </c>
      <c r="AL154" s="264">
        <f t="shared" si="28"/>
        <v>20.643527513906605</v>
      </c>
      <c r="AM154" s="264">
        <f t="shared" si="29"/>
        <v>54.554463444687684</v>
      </c>
      <c r="AN154" s="264">
        <f t="shared" si="30"/>
        <v>51.465277030283708</v>
      </c>
      <c r="AO154" s="265">
        <f t="shared" si="33"/>
        <v>77.793300469591912</v>
      </c>
      <c r="AP154" s="265">
        <f t="shared" si="31"/>
        <v>72.10880454419032</v>
      </c>
      <c r="AQ154" s="318"/>
      <c r="AR154" s="338">
        <f t="shared" si="32"/>
        <v>164.56877168044892</v>
      </c>
      <c r="AS154" s="318"/>
      <c r="AT154" s="138"/>
      <c r="AU154" s="138"/>
    </row>
    <row r="155" spans="1:47" ht="15.5" x14ac:dyDescent="0.35">
      <c r="A155" s="270">
        <v>9152</v>
      </c>
      <c r="B155" s="156" t="s">
        <v>601</v>
      </c>
      <c r="C155" s="250" t="str">
        <f>VLOOKUP(B155,'Zdroj hloubka okresy'!$A$2:$D$171,2,FALSE)</f>
        <v>Mlada_Boleslav</v>
      </c>
      <c r="D155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9</v>
      </c>
      <c r="E155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10</v>
      </c>
      <c r="F155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55" s="264">
        <f>IF(AND(Tabulka1[[#This Row],[hum_60]]&gt;AY161,Tabulka1[[#This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55" s="264">
        <f>IF(Tabulka1[[#This Row],[kv.ek.]]=Body!$AX$13,IF(AND('Zdroj data'!M155&gt;=Body!$AY$13,'Zdroj data'!M155&lt;=Body!$BA$13),Body!$AY$6,IF(AND('Zdroj data'!M155&gt;=Body!$BB$13,'Zdroj data'!M155&lt;=Body!$BD$13),Body!$BB$6,IF(AND('Zdroj data'!M155&gt;=Body!$BE$13,'Zdroj data'!M155&lt;=Body!$BG$13),Body!$BE$6,IF(AND('Zdroj data'!M155&gt;=Body!$BH$13,'Zdroj data'!M155&lt;=Body!$BJ$13),Body!$BH$6,IF(AND('Zdroj data'!M155&gt;=Body!$BK$13,'Zdroj data'!M155&lt;=Body!$BM$13),Body!$BK$6,IF(AND('Zdroj data'!M155&gt;=Body!$BN$13,'Zdroj data'!M155&lt;=Body!$BP$13),Body!$BN$6,IF(AND('Zdroj data'!M155&gt;=Body!$BQ$13,'Zdroj data'!M155&lt;=Body!$BS$13),Body!$BQ$6,IF(AND('Zdroj data'!M155&gt;=Body!$BT$13,'Zdroj data'!M155&lt;=Body!$BV$13),Body!$BT$6,IF(AND('Zdroj data'!M155&gt;=Body!$BW$13,'Zdroj data'!M155&lt;=Body!$BY$13),Body!$BW$6,IF('Zdroj data'!M155&gt;=Body!$CB$13,Body!$BZ$6," ")))))))))),IF(Tabulka1[[#This Row],[kv.ek.]]=Body!$AX$14,IF(AND('Zdroj data'!N155&gt;=Body!$AY$14,'Zdroj data'!N155&lt;=Body!$BA$14),Body!$AY$6,IF(AND('Zdroj data'!N155&gt;=Body!$BB$14,'Zdroj data'!N155&lt;=Body!$BD$14),Body!$BB$6,IF(AND('Zdroj data'!N155&gt;=Body!$BE$14,'Zdroj data'!N155&lt;=Body!$BG$14),Body!$BE$6,IF(AND('Zdroj data'!N155&gt;=Body!$BH$14,'Zdroj data'!N155&lt;=Body!$BJ$14),Body!$BH$6,IF(AND('Zdroj data'!N155&gt;=Body!$BK$14,'Zdroj data'!N155&lt;=Body!$BM$14),Body!$BK$6,IF(AND('Zdroj data'!N155&gt;=Body!$BN$14,'Zdroj data'!N155&lt;=Body!$BP$14),Body!$BN$6,IF(AND('Zdroj data'!N155&gt;=Body!$BQ$14,'Zdroj data'!N155&lt;=Body!$BS$14),Body!$BQ$6,IF(AND('Zdroj data'!N155&gt;=Body!$BT$14,'Zdroj data'!N155&lt;=Body!$BV$14),Body!$BT$6,IF(AND('Zdroj data'!N155&gt;=Body!$BW$14,'Zdroj data'!N155&lt;=Body!$BY$14),Body!$BW$6,IF('Zdroj data'!N155&gt;=Body!$CB$14,Body!$BZ$6," "))))))))))," "))</f>
        <v>1</v>
      </c>
      <c r="I155" s="264">
        <f>IF(Tabulka1[[#This Row],[kv.ek.]]=Body!$AX$13,IF(AND('Zdroj data'!N155&gt;=Body!$AY$13,'Zdroj data'!N155&lt;=Body!$BA$13),Body!$AY$6,IF(AND('Zdroj data'!N155&gt;=Body!$BB$13,'Zdroj data'!N155&lt;=Body!$BD$13),Body!$BB$6,IF(AND('Zdroj data'!N155&gt;=Body!$BE$13,'Zdroj data'!N155&lt;=Body!$BG$13),Body!$BE$6,IF(AND('Zdroj data'!N155&gt;=Body!$BH$13,'Zdroj data'!N155&lt;=Body!$BJ$13),Body!$BH$6,IF(AND('Zdroj data'!N155&gt;=Body!$BK$13,'Zdroj data'!N155&lt;=Body!$BM$13),Body!$BK$6,IF(AND('Zdroj data'!N155&gt;=Body!$BN$13,'Zdroj data'!N155&lt;=Body!$BP$13),Body!$BN$6,IF(AND('Zdroj data'!N155&gt;=Body!$BQ$13,'Zdroj data'!N155&lt;=Body!$BS$13),Body!$BQ$6,IF(AND('Zdroj data'!N155&gt;=Body!$BT$13,'Zdroj data'!N155&lt;=Body!$BV$13),Body!$BT$6,IF(AND('Zdroj data'!N155&gt;=Body!$BW$13,'Zdroj data'!N155&lt;=Body!$BY$13),Body!$BW$6,IF('Zdroj data'!N155&gt;=Body!$CB$13,Body!$BZ$6," ")))))))))),IF(Tabulka1[[#This Row],[kv.ek.]]=Body!$AX$14,IF(AND('Zdroj data'!O155&gt;=Body!$AY$14,'Zdroj data'!O155&lt;=Body!$BA$14),Body!$AY$6,IF(AND('Zdroj data'!O155&gt;=Body!$BB$14,'Zdroj data'!O155&lt;=Body!$BD$14),Body!$BB$6,IF(AND('Zdroj data'!O155&gt;=Body!$BE$14,'Zdroj data'!O155&lt;=Body!$BG$14),Body!$BE$6,IF(AND('Zdroj data'!O155&gt;=Body!$BH$14,'Zdroj data'!O155&lt;=Body!$BJ$14),Body!$BH$6,IF(AND('Zdroj data'!O155&gt;=Body!$BK$14,'Zdroj data'!O155&lt;=Body!$BM$14),Body!$BK$6,IF(AND('Zdroj data'!O155&gt;=Body!$BN$14,'Zdroj data'!O155&lt;=Body!$BP$14),Body!$BN$6,IF(AND('Zdroj data'!O155&gt;=Body!$BQ$14,'Zdroj data'!O155&lt;=Body!$BS$14),Body!$BQ$6,IF(AND('Zdroj data'!O155&gt;=Body!$BT$14,'Zdroj data'!O155&lt;=Body!$BV$14),Body!$BT$6,IF(AND('Zdroj data'!O155&gt;=Body!$BW$14,'Zdroj data'!O155&lt;=Body!$BY$14),Body!$BW$6,IF('Zdroj data'!O155&gt;=Body!$CB$14,Body!$BZ$6," "))))))))))," "))</f>
        <v>1</v>
      </c>
      <c r="J155" s="264">
        <f>IF(AF155=" ",AH155,AF155)</f>
        <v>3</v>
      </c>
      <c r="K155" s="264">
        <f t="shared" si="25"/>
        <v>2</v>
      </c>
      <c r="L155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2</v>
      </c>
      <c r="M155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2</v>
      </c>
      <c r="N155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155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155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55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155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155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6</v>
      </c>
      <c r="T155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155" s="264">
        <f>IF('Zdroj data'!BB155=Body!$AY$25,Body!$AY$22,IF('Zdroj data'!BB155=Body!$BB$25,Body!$BB$22,IF('Zdroj data'!BB155=Body!$BE$25,Body!$BE$22,IF('Zdroj data'!BB155=Body!$BH$25,Body!$BH$22,IF('Zdroj data'!BB155=Body!BK$25,Body!$BK$22,IF('Zdroj data'!BB155=Body!$BN$25,Body!$BN$22,IF('Zdroj data'!BB155=Body!$BQ$25,Body!$BQ$22,IF('Zdroj data'!BB155=Body!$BT$25,Body!$BT$22,IF('Zdroj data'!BB155=Body!$BW$25,Body!$BW$22,IF('Zdroj data'!BB155=Body!$BZ$25,Body!$BZ$22," "))))))))))</f>
        <v>7</v>
      </c>
      <c r="V155" s="264">
        <f>IF(AND('Zdroj data'!BO155&gt;Body!$AY$27,'Zdroj data'!BO155&lt;=Body!$BA$27),Body!$AY$22,IF(AND('Zdroj data'!BO155&gt;=Body!$BB$27,'Zdroj data'!BO155&lt;=Body!$BD$27),Body!$BB$22,IF(AND('Zdroj data'!BO155&gt;=Body!$BE$27,'Zdroj data'!BO155&lt;=Body!$BG$27),Body!$BE$22,IF(AND('Zdroj data'!BO155&gt;=Body!$BH$27,'Zdroj data'!BO155&lt;=Body!$BJ$27),Body!$BH$22,IF(AND('Zdroj data'!BO155&gt;=Body!$BK$27,'Zdroj data'!BO155&lt;=Body!$BM$27),Body!$BK$22,IF(AND('Zdroj data'!BO155&gt;=Body!$BN$27,'Zdroj data'!BO155&lt;=Body!$BP$27),Body!$BN$22,IF(AND('Zdroj data'!BO155&gt;=Body!$BQ$27,'Zdroj data'!BO155&lt;=Body!$BS$27),Body!$BQ$22,IF(AND('Zdroj data'!BO155&gt;=Body!$BT$27,'Zdroj data'!BO155&lt;=Body!$BV$27),Body!$BT$22,IF(AND('Zdroj data'!BO155&gt;=Body!$BW$27,'Zdroj data'!BO155&lt;=Body!$BY$27),Body!$BW$22,IF('Zdroj data'!BO155&gt;=Body!$CB$27,$BZ$22," "))))))))))</f>
        <v>7</v>
      </c>
      <c r="W155" s="264">
        <f>IF(AND('Zdroj data'!BP155&gt;Body!$AY$27,'Zdroj data'!BP155&lt;=Body!$BA$27),Body!$AY$22,IF(AND('Zdroj data'!BP155&gt;=Body!$BB$27,'Zdroj data'!BP155&lt;=Body!$BD$27),Body!$BB$22,IF(AND('Zdroj data'!BP155&gt;=Body!$BE$27,'Zdroj data'!BP155&lt;=Body!$BG$27),Body!$BE$22,IF(AND('Zdroj data'!BP155&gt;=Body!$BH$27,'Zdroj data'!BP155&lt;=Body!$BJ$27),Body!$BH$22,IF(AND('Zdroj data'!BP155&gt;=Body!$BK$27,'Zdroj data'!BP155&lt;=Body!$BM$27),Body!$BK$22,IF(AND('Zdroj data'!BP155&gt;=Body!$BN$27,'Zdroj data'!BP155&lt;=Body!$BP$27),Body!$BN$22,IF(AND('Zdroj data'!BP155&gt;=Body!$BQ$27,'Zdroj data'!BP155&lt;=Body!$BS$27),Body!$BQ$22,IF(AND('Zdroj data'!BP155&gt;=Body!$BT$27,'Zdroj data'!BP155&lt;=Body!$BV$27),Body!$BT$22,IF(AND('Zdroj data'!BP155&gt;=Body!$BW$27,'Zdroj data'!BP155&lt;=Body!$BY$27),Body!$BW$22,IF('Zdroj data'!BP155&gt;=Body!$CB$27,$BZ$22," "))))))))))</f>
        <v>5</v>
      </c>
      <c r="X155" s="264">
        <f>IF('Zdroj data'!BA155=Body!$BB$28,$BB$22,IF('Zdroj data'!BA155=Body!$BE$28,$BE$22,IF(OR('Zdroj data'!BA155=Body!$BK$28,'Zdroj data'!BA155=Body!$BL$28,'Zdroj data'!BA155=Body!$BM$28),$BK$22,IF(OR('Zdroj data'!BA155=Body!$BT$28,'Zdroj data'!BA155=Body!$BV$28),$BT$22,IF(OR('Zdroj data'!BA155=Body!$BW$28,'Zdroj data'!BA155=Body!$BY$28),$BW$22,IF('Zdroj data'!BA155=Body!$BZ$28,$BZ$22," "))))))</f>
        <v>10</v>
      </c>
      <c r="Y155" s="264">
        <f>IF('Zdroj data'!AZ155=Body!$BZ$29,Body!$BZ$22,IF(OR('Zdroj data'!AZ155=$BT$29,'Zdroj data'!AZ155=$BU$29,'Zdroj data'!AZ155=$BV$29),$BT$22,IF(OR('Zdroj data'!AZ155=$BK$29,'Zdroj data'!AZ155=$BM$29),$BK$22,IF(OR('Zdroj data'!AZ155=$BE$29,'Zdroj data'!AZ155=$BG$29),$BE$22,IF(OR('Zdroj data'!AZ155=$AY$29,'Zdroj data'!AZ155=$BA$29),$AY$22," ")))))</f>
        <v>8</v>
      </c>
      <c r="Z155" s="264">
        <f>IF(AND('Zdroj data'!BF155="T",(OR('Zdroj data'!AZ155=Body!$AW$45,'Zdroj data'!AZ155=Body!$AW$46,'Zdroj data'!AZ155=Body!$AW$47,'Zdroj data'!AZ155=Body!$AW$48))),Body!$AY$22,IF(AND('Zdroj data'!BF155="T",(OR('Zdroj data'!AZ155=$AW$49,'Zdroj data'!AZ155=$AW$50,'Zdroj data'!AZ155=$AW$51,'Zdroj data'!AZ155=$AW$52))),$BZ$22,IF(AND(OR('Zdroj data'!BF155="VT",'Zdroj data'!BF155="T",'Zdroj data'!BF155="CH"),(OR('Zdroj data'!AZ155=$AW$43,'Zdroj data'!AZ155=$AW$44,))),$BZ$22,IF(AND('Zdroj data'!BF155="CH",(OR('Zdroj data'!AZ155=$AW$49,'Zdroj data'!AZ155=$AW$50,'Zdroj data'!AZ155=$AW$51,'Zdroj data'!AZ155=$AW$52))),$AY$22,IF(AND('Zdroj data'!BF155="CH",(OR('Zdroj data'!AZ155=$AW$45,'Zdroj data'!AZ155=$AW$46,'Zdroj data'!AZ155=$AW$47,'Zdroj data'!AZ155=$AW$48))),$BZ$22," ")))))</f>
        <v>10</v>
      </c>
      <c r="AA155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55" s="264">
        <f>IF(Tabulka1[[#This Row],[kv.ek.]]=Body!$BK$35,Body!$BK$34,IF(Tabulka1[[#This Row],[kv.ek.]]=Body!$BZ$35,Body!$BZ$34," "))</f>
        <v>5</v>
      </c>
      <c r="AC155" s="264" t="str">
        <f>IF(AND('Zdroj data'!BF155="T",(OR('Zdroj data'!AZ155=Body!$AW$45,'Zdroj data'!AZ155=Body!$AW$46,'Zdroj data'!AZ155=Body!$AW$47,'Zdroj data'!AZ155=Body!$AW$48))),Body!$AY$22,IF(AND('Zdroj data'!BF155="T",(OR('Zdroj data'!AZ155=$AW$49,'Zdroj data'!AZ155=$AW$50,'Zdroj data'!AZ155=$AW$51,'Zdroj data'!AZ155=$AW$52))),$BZ$22," "))</f>
        <v xml:space="preserve"> </v>
      </c>
      <c r="AD155" s="264">
        <f>IF(AND(OR('Zdroj data'!BF155="VT",'Zdroj data'!BF155="T",'Zdroj data'!BF155="CH"),(OR('Zdroj data'!AZ155=$AW$43,'Zdroj data'!AZ155=$AW$44,))),$BZ$22," ")</f>
        <v>10</v>
      </c>
      <c r="AE155" s="264" t="str">
        <f>IF(AND('Zdroj data'!BF155="CH",(OR('Zdroj data'!AZ155=$AW$49,'Zdroj data'!AZ155=$AW$50,'Zdroj data'!AZ155=$AW$51,'Zdroj data'!AZ155=$AW$52))),$AY$22,IF(AND('Zdroj data'!BF155="CH",(OR('Zdroj data'!AZ155=$AW$45,'Zdroj data'!AZ155=$AW$46,'Zdroj data'!AZ155=$AW$47,'Zdroj data'!AZ155=$AW$48))),$BZ$22," "))</f>
        <v xml:space="preserve"> </v>
      </c>
      <c r="AF155" s="264">
        <f>IF(AND('Zdroj data'!BG155="L",'Zdroj data'!AM155=Body!$AX$15),IF(AND('Zdroj data'!O155&gt;=Body!$AY$15,'Zdroj data'!O155&lt;=Body!$BA$15),Body!AY$6,IF(AND('Zdroj data'!O155&gt;=Body!$BB$15,'Zdroj data'!O155&lt;=Body!$BD$15),Body!BB$6,IF(AND('Zdroj data'!O155&gt;=Body!$BE$15,'Zdroj data'!O155&lt;=Body!$BG$15),Body!BE$6,IF(AND('Zdroj data'!O155&gt;=Body!$BH$15,'Zdroj data'!O155&lt;=Body!$BJ$15),Body!BH$6,IF(AND('Zdroj data'!O155&gt;=Body!$BK$15,'Zdroj data'!O155&lt;=Body!$BM$15),Body!BK$6,IF(AND('Zdroj data'!O155&gt;=Body!$BN$15,'Zdroj data'!O155&lt;=Body!$BP$15),Body!$BN$6,IF(AND('Zdroj data'!O155&gt;=Body!$BQ$15,'Zdroj data'!O155&lt;=Body!$BS$15),Body!$BQ$6,IF(AND('Zdroj data'!O155&gt;=Body!$BT$15,'Zdroj data'!O155&lt;=Body!$BV$15),Body!BT$6,IF(AND('Zdroj data'!O155&gt;=Body!$BW$15,'Zdroj data'!O155&lt;=Body!$BY$15),Body!$BW$6,IF('Zdroj data'!O155&gt;=Body!$CB$15,Body!$BZ$6," ")))))))))),IF(AND('Zdroj data'!BG155="ST",'Zdroj data'!AM155=Body!$AX$16),IF(AND('Zdroj data'!O155&gt;=Body!$AY$16,'Zdroj data'!O155&lt;=Body!$BA$16),Body!$AY$6,IF(AND('Zdroj data'!O155&gt;=Body!$BB$16,'Zdroj data'!O155&lt;=Body!$BD$16),Body!$BB$6,IF(AND('Zdroj data'!O155&gt;=Body!$BE$16,'Zdroj data'!O155&lt;=Body!$BG$16),Body!$BE$6,IF(AND('Zdroj data'!O155&gt;=Body!$BH$16,'Zdroj data'!O155&lt;=Body!$BJ$16),Body!$BH$6,IF(AND('Zdroj data'!O155&gt;=Body!$BK$16,'Zdroj data'!O155&lt;=Body!$BM$16),Body!$BK$6,IF(AND('Zdroj data'!O155&gt;=Body!$BN$16,'Zdroj data'!O155&lt;=Body!$BP$16),Body!$BN$6,IF(AND('Zdroj data'!O155&gt;=Body!$BQ$16,'Zdroj data'!O155&lt;=Body!$BS$16),Body!$BQ$6,IF(AND('Zdroj data'!O155&gt;=Body!$BT$16,'Zdroj data'!O155&lt;=Body!$BV$16),Body!$BT$6,IF(AND('Zdroj data'!O155&gt;=Body!$BW$16,'Zdroj data'!O155&lt;=Body!$BY$16),Body!$BW$6,IF('Zdroj data'!O155&gt;=Body!$CB$16,Body!$BZ$6," ")))))))))),IF(AND('Zdroj data'!BG155="T",'Zdroj data'!AM155=Body!$AX$17),IF(AND('Zdroj data'!O155&gt;=Body!$AY$17,'Zdroj data'!O155&lt;=Body!$BA$17),Body!$AY$6,IF(AND('Zdroj data'!O155&gt;=Body!$BB$17,'Zdroj data'!O155&lt;=Body!$BD$17),Body!$BB$6,IF(AND('Zdroj data'!O155&gt;=Body!$BE$17,'Zdroj data'!O155&lt;=Body!$BG$17),Body!$BE$6,IF(AND('Zdroj data'!O155&gt;=Body!$BH$17,'Zdroj data'!O155&lt;=Body!BJ169),Body!$BH$6,IF(AND('Zdroj data'!O155&gt;=Body!$BK$17,'Zdroj data'!O155&lt;=Body!$BM$17),Body!$BK$6,IF(AND('Zdroj data'!O155&gt;=Body!$BN$17,'Zdroj data'!O155&lt;=Body!$BP$17),Body!$BN$6,IF(AND('Zdroj data'!O155&gt;=Body!$BQ$17,'Zdroj data'!O155&lt;=Body!$BS$17),Body!$BQ$6,IF(AND('Zdroj data'!O155&gt;=Body!$BT$17,'Zdroj data'!O155&lt;=Body!$BV$17),Body!$BT$6,IF(AND('Zdroj data'!O155&gt;=Body!$BW$17,'Zdroj data'!O155&lt;=Body!$BY$17),Body!$BW$6,IF('Zdroj data'!O155&gt;=Body!$CB$17,Body!$BZ$6," "))))))))))," ")))</f>
        <v>3</v>
      </c>
      <c r="AG155" s="264">
        <f>IF(AND('Zdroj data'!$BG155="L",'Zdroj data'!$AM155=Body!$AX$15),IF(AND(Tabulka1[[#This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data'!$BG155="ST",'Zdroj data'!$AM155=Body!$AX$16),IF(AND(Tabulka1[[#This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data'!$BG155="T",'Zdroj data'!$AM155=Body!$AX$17),IF(AND(Tabulka1[[#This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Row],[K2O_60]]&lt;=Body!BJ169),Body!$BH$6,IF(AND(Tabulka1[[#This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2</v>
      </c>
      <c r="AH155" s="264" t="str">
        <f>IF(AND('Zdroj data'!BG155="L",'Zdroj data'!AM155=Body!$AX$18),IF(AND('Zdroj data'!O155&gt;=Body!$AY$18,'Zdroj data'!O155&lt;=Body!$BA$18),Body!AY$6,IF(AND('Zdroj data'!O155&gt;=Body!$BB$18,'Zdroj data'!O155&lt;=Body!$BD$18),Body!BB$6,IF(AND('Zdroj data'!O155&gt;=Body!$BE$18,'Zdroj data'!O155&lt;=Body!$BG$18),Body!BE$6,IF(AND('Zdroj data'!O155&gt;=Body!$BH$18,'Zdroj data'!O155&lt;=Body!$BJ$18),Body!BH$6,IF(AND('Zdroj data'!O155&gt;=Body!$BK$18,'Zdroj data'!O155&lt;=Body!$BM$18),Body!$BK$6,IF(AND('Zdroj data'!O155&gt;=Body!$BN$18,'Zdroj data'!O155&lt;=Body!$BP$18),Body!BN$6,IF(AND('Zdroj data'!O155&gt;=Body!$BQ$18,'Zdroj data'!O155&lt;=Body!$BS$18),Body!$BQ$6,IF(AND('Zdroj data'!O155&gt;=Body!$BT$18,'Zdroj data'!O155&lt;=Body!$BV$18),Body!$BT$6,IF(AND('Zdroj data'!O155&gt;=Body!$BW$18,'Zdroj data'!O155&lt;=Body!$BY$18),Body!$BW$6,IF('Zdroj data'!O155&gt;=Body!$CB$18,Body!$BZ$6," ")))))))))),IF(AND('Zdroj data'!BG155="ST",'Zdroj data'!AM155=Body!$AX$19),IF(AND('Zdroj data'!O155&gt;=Body!$AY$19,'Zdroj data'!O155&lt;=Body!$BA$19),Body!$AY$6,IF(AND('Zdroj data'!O155&gt;=Body!$BB$19,'Zdroj data'!O155&lt;=Body!$BD$19),Body!$BB$6,IF(AND('Zdroj data'!O155&gt;=Body!$BE$19,'Zdroj data'!O155&lt;=Body!$BG$19),Body!$BE$6,IF(AND('Zdroj data'!O155&gt;=Body!$BH$19,'Zdroj data'!O155&lt;=Body!$BJ$19),Body!$BH$6,IF(AND('Zdroj data'!O155&gt;=Body!$BK$19,'Zdroj data'!O155&lt;=Body!$BM$19),Body!$BK$6,IF(AND('Zdroj data'!O155&gt;=Body!$BN$19,'Zdroj data'!O155&lt;=Body!$BP$19),Body!$BN$6,IF(AND('Zdroj data'!O155&gt;=Body!$BQ$19,'Zdroj data'!O155&lt;=Body!$BS$19),Body!$BQ$6,IF(AND('Zdroj data'!O155&gt;=Body!$BT$19,'Zdroj data'!O159&lt;=Body!$BV$19),Body!$BT$6,IF(AND('Zdroj data'!O155&gt;=Body!$BW$19,'Zdroj data'!O155&lt;=Body!$BY$19),Body!$BW$6,IF('Zdroj data'!O155&gt;=Body!$CB$19,Body!$BZ$6," ")))))))))),IF(AND('Zdroj data'!BG155="T",'Zdroj data'!AM155=Body!$AX$20),IF(AND('Zdroj data'!O155&gt;=Body!$AY$20,'Zdroj data'!O155&lt;=Body!$BA$20),Body!$AY$6,IF(AND('Zdroj data'!O155&gt;=Body!$BB$20,'Zdroj data'!O155&lt;=Body!$BD$20),Body!$BB$6,IF(AND('Zdroj data'!O155&gt;=Body!$BE$20,'Zdroj data'!O155&lt;=Body!$BG$20),Body!$BE$6,IF(AND('Zdroj data'!O155&gt;=Body!$BH$20,'Zdroj data'!O155&lt;=Body!$BJ$20),Body!$BH$6,IF(AND('Zdroj data'!O155&gt;=Body!$BK$20,'Zdroj data'!O155&lt;=Body!$BM$20),Body!$BK$6,IF(AND('Zdroj data'!O155&gt;=Body!$BN$20,'Zdroj data'!O155&lt;=Body!$BP$20),Body!$BN$6,IF(AND('Zdroj data'!O155&gt;=Body!$BQ$20,'Zdroj data'!O155&lt;=Body!$BS$20),Body!$BQ$6,IF(AND('Zdroj data'!O155&gt;=Body!$BT$20,'Zdroj data'!O155&lt;=Body!BV172),Body!$BT$6,IF(AND('Zdroj data'!O155&gt;=Body!$BW$20,'Zdroj data'!O155&lt;=Body!$BY$20),Body!$BW$6,IF('Zdroj data'!O155&gt;=Body!$CB$20,Body!$BZ$6," "))))))))))," ")))</f>
        <v xml:space="preserve"> </v>
      </c>
      <c r="AI155" s="264" t="str">
        <f>IF(AND('Zdroj data'!$BG155="L",'Zdroj data'!$AM155=Body!$AX$18),IF(AND(Tabulka1[[#This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data'!$BG155="ST",'Zdroj data'!$AM155=Body!$AX$19),IF(AND(Tabulka1[[#This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data'!$BG155="T",'Zdroj data'!$AM155=Body!$AX$20),IF(AND(Tabulka1[[#This Row],[K2O_60]]&gt;=Body!$AY$20,'Zdroj data'!O155&lt;=Body!$BA$20),Body!$AY$6,IF(AND(Tabulka1[[#This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Row],[K2O_60]]&lt;=Body!BV172),Body!$BT$6,IF(AND(Tabulka1[[#This Row],[K2O_60]]&gt;=Body!$BW$20,Tabulka1[[#This Row],[K2O_60]]&lt;=Body!$BY$20),Body!$BW$6,IF(Tabulka1[[#This Row],[K2O_60]]&gt;=Body!$CB$20,Body!$BZ$6," "))))))))))," ")))</f>
        <v xml:space="preserve"> </v>
      </c>
      <c r="AJ155" s="265">
        <f t="shared" si="26"/>
        <v>8.0000000000000071</v>
      </c>
      <c r="AK155" s="264">
        <f t="shared" si="27"/>
        <v>22.356519590484297</v>
      </c>
      <c r="AL155" s="264">
        <f t="shared" si="28"/>
        <v>22.633113193604146</v>
      </c>
      <c r="AM155" s="264">
        <f t="shared" si="29"/>
        <v>63.748011980181623</v>
      </c>
      <c r="AN155" s="264">
        <f t="shared" si="30"/>
        <v>64.572449522853631</v>
      </c>
      <c r="AO155" s="265">
        <f t="shared" si="33"/>
        <v>86.104531570665927</v>
      </c>
      <c r="AP155" s="265">
        <f t="shared" si="31"/>
        <v>87.205562716457777</v>
      </c>
      <c r="AQ155" s="318"/>
      <c r="AR155" s="338">
        <f t="shared" si="32"/>
        <v>181.31009428712372</v>
      </c>
      <c r="AS155" s="318"/>
      <c r="AT155" s="138"/>
      <c r="AU155" s="138"/>
    </row>
    <row r="156" spans="1:47" ht="15.5" x14ac:dyDescent="0.35">
      <c r="A156" s="270">
        <v>9155</v>
      </c>
      <c r="B156" s="156" t="s">
        <v>603</v>
      </c>
      <c r="C156" s="250" t="str">
        <f>VLOOKUP(B156,'Zdroj hloubka okresy'!$A$2:$D$171,2,FALSE)</f>
        <v>Mlada_Boleslav</v>
      </c>
      <c r="D156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10</v>
      </c>
      <c r="E156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10</v>
      </c>
      <c r="F156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156" s="264">
        <f>IF(AND(Tabulka1[[#This Row],[hum_60]]&gt;AY162,Tabulka1[[#This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4</v>
      </c>
      <c r="H156" s="264">
        <f>IF(Tabulka1[[#This Row],[kv.ek.]]=Body!$AX$13,IF(AND('Zdroj data'!M156&gt;=Body!$AY$13,'Zdroj data'!M156&lt;=Body!$BA$13),Body!$AY$6,IF(AND('Zdroj data'!M156&gt;=Body!$BB$13,'Zdroj data'!M156&lt;=Body!$BD$13),Body!$BB$6,IF(AND('Zdroj data'!M156&gt;=Body!$BE$13,'Zdroj data'!M156&lt;=Body!$BG$13),Body!$BE$6,IF(AND('Zdroj data'!M156&gt;=Body!$BH$13,'Zdroj data'!M156&lt;=Body!$BJ$13),Body!$BH$6,IF(AND('Zdroj data'!M156&gt;=Body!$BK$13,'Zdroj data'!M156&lt;=Body!$BM$13),Body!$BK$6,IF(AND('Zdroj data'!M156&gt;=Body!$BN$13,'Zdroj data'!M156&lt;=Body!$BP$13),Body!$BN$6,IF(AND('Zdroj data'!M156&gt;=Body!$BQ$13,'Zdroj data'!M156&lt;=Body!$BS$13),Body!$BQ$6,IF(AND('Zdroj data'!M156&gt;=Body!$BT$13,'Zdroj data'!M156&lt;=Body!$BV$13),Body!$BT$6,IF(AND('Zdroj data'!M156&gt;=Body!$BW$13,'Zdroj data'!M156&lt;=Body!$BY$13),Body!$BW$6,IF('Zdroj data'!M156&gt;=Body!$CB$13,Body!$BZ$6," ")))))))))),IF(Tabulka1[[#This Row],[kv.ek.]]=Body!$AX$14,IF(AND('Zdroj data'!N156&gt;=Body!$AY$14,'Zdroj data'!N156&lt;=Body!$BA$14),Body!$AY$6,IF(AND('Zdroj data'!N156&gt;=Body!$BB$14,'Zdroj data'!N156&lt;=Body!$BD$14),Body!$BB$6,IF(AND('Zdroj data'!N156&gt;=Body!$BE$14,'Zdroj data'!N156&lt;=Body!$BG$14),Body!$BE$6,IF(AND('Zdroj data'!N156&gt;=Body!$BH$14,'Zdroj data'!N156&lt;=Body!$BJ$14),Body!$BH$6,IF(AND('Zdroj data'!N156&gt;=Body!$BK$14,'Zdroj data'!N156&lt;=Body!$BM$14),Body!$BK$6,IF(AND('Zdroj data'!N156&gt;=Body!$BN$14,'Zdroj data'!N156&lt;=Body!$BP$14),Body!$BN$6,IF(AND('Zdroj data'!N156&gt;=Body!$BQ$14,'Zdroj data'!N156&lt;=Body!$BS$14),Body!$BQ$6,IF(AND('Zdroj data'!N156&gt;=Body!$BT$14,'Zdroj data'!N156&lt;=Body!$BV$14),Body!$BT$6,IF(AND('Zdroj data'!N156&gt;=Body!$BW$14,'Zdroj data'!N156&lt;=Body!$BY$14),Body!$BW$6,IF('Zdroj data'!N156&gt;=Body!$CB$14,Body!$BZ$6," "))))))))))," "))</f>
        <v>1</v>
      </c>
      <c r="I156" s="264">
        <f>IF(Tabulka1[[#This Row],[kv.ek.]]=Body!$AX$13,IF(AND('Zdroj data'!N156&gt;=Body!$AY$13,'Zdroj data'!N156&lt;=Body!$BA$13),Body!$AY$6,IF(AND('Zdroj data'!N156&gt;=Body!$BB$13,'Zdroj data'!N156&lt;=Body!$BD$13),Body!$BB$6,IF(AND('Zdroj data'!N156&gt;=Body!$BE$13,'Zdroj data'!N156&lt;=Body!$BG$13),Body!$BE$6,IF(AND('Zdroj data'!N156&gt;=Body!$BH$13,'Zdroj data'!N156&lt;=Body!$BJ$13),Body!$BH$6,IF(AND('Zdroj data'!N156&gt;=Body!$BK$13,'Zdroj data'!N156&lt;=Body!$BM$13),Body!$BK$6,IF(AND('Zdroj data'!N156&gt;=Body!$BN$13,'Zdroj data'!N156&lt;=Body!$BP$13),Body!$BN$6,IF(AND('Zdroj data'!N156&gt;=Body!$BQ$13,'Zdroj data'!N156&lt;=Body!$BS$13),Body!$BQ$6,IF(AND('Zdroj data'!N156&gt;=Body!$BT$13,'Zdroj data'!N156&lt;=Body!$BV$13),Body!$BT$6,IF(AND('Zdroj data'!N156&gt;=Body!$BW$13,'Zdroj data'!N156&lt;=Body!$BY$13),Body!$BW$6,IF('Zdroj data'!N156&gt;=Body!$CB$13,Body!$BZ$6," ")))))))))),IF(Tabulka1[[#This Row],[kv.ek.]]=Body!$AX$14,IF(AND('Zdroj data'!O156&gt;=Body!$AY$14,'Zdroj data'!O156&lt;=Body!$BA$14),Body!$AY$6,IF(AND('Zdroj data'!O156&gt;=Body!$BB$14,'Zdroj data'!O156&lt;=Body!$BD$14),Body!$BB$6,IF(AND('Zdroj data'!O156&gt;=Body!$BE$14,'Zdroj data'!O156&lt;=Body!$BG$14),Body!$BE$6,IF(AND('Zdroj data'!O156&gt;=Body!$BH$14,'Zdroj data'!O156&lt;=Body!$BJ$14),Body!$BH$6,IF(AND('Zdroj data'!O156&gt;=Body!$BK$14,'Zdroj data'!O156&lt;=Body!$BM$14),Body!$BK$6,IF(AND('Zdroj data'!O156&gt;=Body!$BN$14,'Zdroj data'!O156&lt;=Body!$BP$14),Body!$BN$6,IF(AND('Zdroj data'!O156&gt;=Body!$BQ$14,'Zdroj data'!O156&lt;=Body!$BS$14),Body!$BQ$6,IF(AND('Zdroj data'!O156&gt;=Body!$BT$14,'Zdroj data'!O156&lt;=Body!$BV$14),Body!$BT$6,IF(AND('Zdroj data'!O156&gt;=Body!$BW$14,'Zdroj data'!O156&lt;=Body!$BY$14),Body!$BW$6,IF('Zdroj data'!O156&gt;=Body!$CB$14,Body!$BZ$6," "))))))))))," "))</f>
        <v>1</v>
      </c>
      <c r="J156" s="264">
        <f t="shared" si="25"/>
        <v>2</v>
      </c>
      <c r="K156" s="264">
        <f t="shared" si="25"/>
        <v>2</v>
      </c>
      <c r="L156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8</v>
      </c>
      <c r="M156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10</v>
      </c>
      <c r="N156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156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9</v>
      </c>
      <c r="P156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56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8</v>
      </c>
      <c r="R156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9</v>
      </c>
      <c r="S156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5</v>
      </c>
      <c r="T156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3</v>
      </c>
      <c r="U156" s="264">
        <f>IF('Zdroj data'!BB156=Body!$AY$25,Body!$AY$22,IF('Zdroj data'!BB156=Body!$BB$25,Body!$BB$22,IF('Zdroj data'!BB156=Body!$BE$25,Body!$BE$22,IF('Zdroj data'!BB156=Body!$BH$25,Body!$BH$22,IF('Zdroj data'!BB156=Body!BK$25,Body!$BK$22,IF('Zdroj data'!BB156=Body!$BN$25,Body!$BN$22,IF('Zdroj data'!BB156=Body!$BQ$25,Body!$BQ$22,IF('Zdroj data'!BB156=Body!$BT$25,Body!$BT$22,IF('Zdroj data'!BB156=Body!$BW$25,Body!$BW$22,IF('Zdroj data'!BB156=Body!$BZ$25,Body!$BZ$22," "))))))))))</f>
        <v>7</v>
      </c>
      <c r="V156" s="264">
        <f>IF(AND('Zdroj data'!BO156&gt;Body!$AY$27,'Zdroj data'!BO156&lt;=Body!$BA$27),Body!$AY$22,IF(AND('Zdroj data'!BO156&gt;=Body!$BB$27,'Zdroj data'!BO156&lt;=Body!$BD$27),Body!$BB$22,IF(AND('Zdroj data'!BO156&gt;=Body!$BE$27,'Zdroj data'!BO156&lt;=Body!$BG$27),Body!$BE$22,IF(AND('Zdroj data'!BO156&gt;=Body!$BH$27,'Zdroj data'!BO156&lt;=Body!$BJ$27),Body!$BH$22,IF(AND('Zdroj data'!BO156&gt;=Body!$BK$27,'Zdroj data'!BO156&lt;=Body!$BM$27),Body!$BK$22,IF(AND('Zdroj data'!BO156&gt;=Body!$BN$27,'Zdroj data'!BO156&lt;=Body!$BP$27),Body!$BN$22,IF(AND('Zdroj data'!BO156&gt;=Body!$BQ$27,'Zdroj data'!BO156&lt;=Body!$BS$27),Body!$BQ$22,IF(AND('Zdroj data'!BO156&gt;=Body!$BT$27,'Zdroj data'!BO156&lt;=Body!$BV$27),Body!$BT$22,IF(AND('Zdroj data'!BO156&gt;=Body!$BW$27,'Zdroj data'!BO156&lt;=Body!$BY$27),Body!$BW$22,IF('Zdroj data'!BO156&gt;=Body!$CB$27,$BZ$22," "))))))))))</f>
        <v>7</v>
      </c>
      <c r="W156" s="264">
        <f>IF(AND('Zdroj data'!BP156&gt;Body!$AY$27,'Zdroj data'!BP156&lt;=Body!$BA$27),Body!$AY$22,IF(AND('Zdroj data'!BP156&gt;=Body!$BB$27,'Zdroj data'!BP156&lt;=Body!$BD$27),Body!$BB$22,IF(AND('Zdroj data'!BP156&gt;=Body!$BE$27,'Zdroj data'!BP156&lt;=Body!$BG$27),Body!$BE$22,IF(AND('Zdroj data'!BP156&gt;=Body!$BH$27,'Zdroj data'!BP156&lt;=Body!$BJ$27),Body!$BH$22,IF(AND('Zdroj data'!BP156&gt;=Body!$BK$27,'Zdroj data'!BP156&lt;=Body!$BM$27),Body!$BK$22,IF(AND('Zdroj data'!BP156&gt;=Body!$BN$27,'Zdroj data'!BP156&lt;=Body!$BP$27),Body!$BN$22,IF(AND('Zdroj data'!BP156&gt;=Body!$BQ$27,'Zdroj data'!BP156&lt;=Body!$BS$27),Body!$BQ$22,IF(AND('Zdroj data'!BP156&gt;=Body!$BT$27,'Zdroj data'!BP156&lt;=Body!$BV$27),Body!$BT$22,IF(AND('Zdroj data'!BP156&gt;=Body!$BW$27,'Zdroj data'!BP156&lt;=Body!$BY$27),Body!$BW$22,IF('Zdroj data'!BP156&gt;=Body!$CB$27,$BZ$22," "))))))))))</f>
        <v>10</v>
      </c>
      <c r="X156" s="264">
        <f>IF('Zdroj data'!BA156=Body!$BB$28,$BB$22,IF('Zdroj data'!BA156=Body!$BE$28,$BE$22,IF(OR('Zdroj data'!BA156=Body!$BK$28,'Zdroj data'!BA156=Body!$BL$28,'Zdroj data'!BA156=Body!$BM$28),$BK$22,IF(OR('Zdroj data'!BA156=Body!$BT$28,'Zdroj data'!BA156=Body!$BV$28),$BT$22,IF(OR('Zdroj data'!BA156=Body!$BW$28,'Zdroj data'!BA156=Body!$BY$28),$BW$22,IF('Zdroj data'!BA156=Body!$BZ$28,$BZ$22," "))))))</f>
        <v>10</v>
      </c>
      <c r="Y156" s="264">
        <f>IF('Zdroj data'!AZ156=Body!$BZ$29,Body!$BZ$22,IF(OR('Zdroj data'!AZ156=$BT$29,'Zdroj data'!AZ156=$BU$29,'Zdroj data'!AZ156=$BV$29),$BT$22,IF(OR('Zdroj data'!AZ156=$BK$29,'Zdroj data'!AZ156=$BM$29),$BK$22,IF(OR('Zdroj data'!AZ156=$BE$29,'Zdroj data'!AZ156=$BG$29),$BE$22,IF(OR('Zdroj data'!AZ156=$AY$29,'Zdroj data'!AZ156=$BA$29),$AY$22," ")))))</f>
        <v>10</v>
      </c>
      <c r="Z156" s="264">
        <f>IF(AND('Zdroj data'!BF156="T",(OR('Zdroj data'!AZ156=Body!$AW$45,'Zdroj data'!AZ156=Body!$AW$46,'Zdroj data'!AZ156=Body!$AW$47,'Zdroj data'!AZ156=Body!$AW$48))),Body!$AY$22,IF(AND('Zdroj data'!BF156="T",(OR('Zdroj data'!AZ156=$AW$49,'Zdroj data'!AZ156=$AW$50,'Zdroj data'!AZ156=$AW$51,'Zdroj data'!AZ156=$AW$52))),$BZ$22,IF(AND(OR('Zdroj data'!BF156="VT",'Zdroj data'!BF156="T",'Zdroj data'!BF156="CH"),(OR('Zdroj data'!AZ156=$AW$43,'Zdroj data'!AZ156=$AW$44,))),$BZ$22,IF(AND('Zdroj data'!BF156="CH",(OR('Zdroj data'!AZ156=$AW$49,'Zdroj data'!AZ156=$AW$50,'Zdroj data'!AZ156=$AW$51,'Zdroj data'!AZ156=$AW$52))),$AY$22,IF(AND('Zdroj data'!BF156="CH",(OR('Zdroj data'!AZ156=$AW$45,'Zdroj data'!AZ156=$AW$46,'Zdroj data'!AZ156=$AW$47,'Zdroj data'!AZ156=$AW$48))),$BZ$22," ")))))</f>
        <v>10</v>
      </c>
      <c r="AA156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56" s="264">
        <f>IF(Tabulka1[[#This Row],[kv.ek.]]=Body!$BK$35,Body!$BK$34,IF(Tabulka1[[#This Row],[kv.ek.]]=Body!$BZ$35,Body!$BZ$34," "))</f>
        <v>5</v>
      </c>
      <c r="AC156" s="264" t="str">
        <f>IF(AND('Zdroj data'!BF156="T",(OR('Zdroj data'!AZ156=Body!$AW$45,'Zdroj data'!AZ156=Body!$AW$46,'Zdroj data'!AZ156=Body!$AW$47,'Zdroj data'!AZ156=Body!$AW$48))),Body!$AY$22,IF(AND('Zdroj data'!BF156="T",(OR('Zdroj data'!AZ156=$AW$49,'Zdroj data'!AZ156=$AW$50,'Zdroj data'!AZ156=$AW$51,'Zdroj data'!AZ156=$AW$52))),$BZ$22," "))</f>
        <v xml:space="preserve"> </v>
      </c>
      <c r="AD156" s="264">
        <f>IF(AND(OR('Zdroj data'!BF156="VT",'Zdroj data'!BF156="T",'Zdroj data'!BF156="CH"),(OR('Zdroj data'!AZ156=$AW$43,'Zdroj data'!AZ156=$AW$44,))),$BZ$22," ")</f>
        <v>10</v>
      </c>
      <c r="AE156" s="264" t="str">
        <f>IF(AND('Zdroj data'!BF156="CH",(OR('Zdroj data'!AZ156=$AW$49,'Zdroj data'!AZ156=$AW$50,'Zdroj data'!AZ156=$AW$51,'Zdroj data'!AZ156=$AW$52))),$AY$22,IF(AND('Zdroj data'!BF156="CH",(OR('Zdroj data'!AZ156=$AW$45,'Zdroj data'!AZ156=$AW$46,'Zdroj data'!AZ156=$AW$47,'Zdroj data'!AZ156=$AW$48))),$BZ$22," "))</f>
        <v xml:space="preserve"> </v>
      </c>
      <c r="AF156" s="264">
        <f>IF(AND('Zdroj data'!BG156="L",'Zdroj data'!AM156=Body!$AX$15),IF(AND('Zdroj data'!O156&gt;=Body!$AY$15,'Zdroj data'!O156&lt;=Body!$BA$15),Body!AY$6,IF(AND('Zdroj data'!O156&gt;=Body!$BB$15,'Zdroj data'!O156&lt;=Body!$BD$15),Body!BB$6,IF(AND('Zdroj data'!O156&gt;=Body!$BE$15,'Zdroj data'!O156&lt;=Body!$BG$15),Body!BE$6,IF(AND('Zdroj data'!O156&gt;=Body!$BH$15,'Zdroj data'!O156&lt;=Body!$BJ$15),Body!BH$6,IF(AND('Zdroj data'!O156&gt;=Body!$BK$15,'Zdroj data'!O156&lt;=Body!$BM$15),Body!BK$6,IF(AND('Zdroj data'!O156&gt;=Body!$BN$15,'Zdroj data'!O156&lt;=Body!$BP$15),Body!$BN$6,IF(AND('Zdroj data'!O156&gt;=Body!$BQ$15,'Zdroj data'!O156&lt;=Body!$BS$15),Body!$BQ$6,IF(AND('Zdroj data'!O156&gt;=Body!$BT$15,'Zdroj data'!O156&lt;=Body!$BV$15),Body!BT$6,IF(AND('Zdroj data'!O156&gt;=Body!$BW$15,'Zdroj data'!O156&lt;=Body!$BY$15),Body!$BW$6,IF('Zdroj data'!O156&gt;=Body!$CB$15,Body!$BZ$6," ")))))))))),IF(AND('Zdroj data'!BG156="ST",'Zdroj data'!AM156=Body!$AX$16),IF(AND('Zdroj data'!O156&gt;=Body!$AY$16,'Zdroj data'!O156&lt;=Body!$BA$16),Body!$AY$6,IF(AND('Zdroj data'!O156&gt;=Body!$BB$16,'Zdroj data'!O156&lt;=Body!$BD$16),Body!$BB$6,IF(AND('Zdroj data'!O156&gt;=Body!$BE$16,'Zdroj data'!O156&lt;=Body!$BG$16),Body!$BE$6,IF(AND('Zdroj data'!O156&gt;=Body!$BH$16,'Zdroj data'!O156&lt;=Body!$BJ$16),Body!$BH$6,IF(AND('Zdroj data'!O156&gt;=Body!$BK$16,'Zdroj data'!O156&lt;=Body!$BM$16),Body!$BK$6,IF(AND('Zdroj data'!O156&gt;=Body!$BN$16,'Zdroj data'!O156&lt;=Body!$BP$16),Body!$BN$6,IF(AND('Zdroj data'!O156&gt;=Body!$BQ$16,'Zdroj data'!O156&lt;=Body!$BS$16),Body!$BQ$6,IF(AND('Zdroj data'!O156&gt;=Body!$BT$16,'Zdroj data'!O156&lt;=Body!$BV$16),Body!$BT$6,IF(AND('Zdroj data'!O156&gt;=Body!$BW$16,'Zdroj data'!O156&lt;=Body!$BY$16),Body!$BW$6,IF('Zdroj data'!O156&gt;=Body!$CB$16,Body!$BZ$6," ")))))))))),IF(AND('Zdroj data'!BG156="T",'Zdroj data'!AM156=Body!$AX$17),IF(AND('Zdroj data'!O156&gt;=Body!$AY$17,'Zdroj data'!O156&lt;=Body!$BA$17),Body!$AY$6,IF(AND('Zdroj data'!O156&gt;=Body!$BB$17,'Zdroj data'!O156&lt;=Body!$BD$17),Body!$BB$6,IF(AND('Zdroj data'!O156&gt;=Body!$BE$17,'Zdroj data'!O156&lt;=Body!$BG$17),Body!$BE$6,IF(AND('Zdroj data'!O156&gt;=Body!$BH$17,'Zdroj data'!O156&lt;=Body!BJ170),Body!$BH$6,IF(AND('Zdroj data'!O156&gt;=Body!$BK$17,'Zdroj data'!O156&lt;=Body!$BM$17),Body!$BK$6,IF(AND('Zdroj data'!O156&gt;=Body!$BN$17,'Zdroj data'!O156&lt;=Body!$BP$17),Body!$BN$6,IF(AND('Zdroj data'!O156&gt;=Body!$BQ$17,'Zdroj data'!O156&lt;=Body!$BS$17),Body!$BQ$6,IF(AND('Zdroj data'!O156&gt;=Body!$BT$17,'Zdroj data'!O156&lt;=Body!$BV$17),Body!$BT$6,IF(AND('Zdroj data'!O156&gt;=Body!$BW$17,'Zdroj data'!O156&lt;=Body!$BY$17),Body!$BW$6,IF('Zdroj data'!O156&gt;=Body!$CB$17,Body!$BZ$6," "))))))))))," ")))</f>
        <v>2</v>
      </c>
      <c r="AG156" s="264">
        <f>IF(AND('Zdroj data'!$BG156="L",'Zdroj data'!$AM156=Body!$AX$15),IF(AND(Tabulka1[[#This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data'!$BG156="ST",'Zdroj data'!$AM156=Body!$AX$16),IF(AND(Tabulka1[[#This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data'!$BG156="T",'Zdroj data'!$AM156=Body!$AX$17),IF(AND(Tabulka1[[#This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Row],[K2O_60]]&lt;=Body!BJ170),Body!$BH$6,IF(AND(Tabulka1[[#This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2</v>
      </c>
      <c r="AH156" s="264" t="str">
        <f>IF(AND('Zdroj data'!BG156="L",'Zdroj data'!AM156=Body!$AX$18),IF(AND('Zdroj data'!O156&gt;=Body!$AY$18,'Zdroj data'!O156&lt;=Body!$BA$18),Body!AY$6,IF(AND('Zdroj data'!O156&gt;=Body!$BB$18,'Zdroj data'!O156&lt;=Body!$BD$18),Body!BB$6,IF(AND('Zdroj data'!O156&gt;=Body!$BE$18,'Zdroj data'!O156&lt;=Body!$BG$18),Body!BE$6,IF(AND('Zdroj data'!O156&gt;=Body!$BH$18,'Zdroj data'!O156&lt;=Body!$BJ$18),Body!BH$6,IF(AND('Zdroj data'!O156&gt;=Body!$BK$18,'Zdroj data'!O156&lt;=Body!$BM$18),Body!$BK$6,IF(AND('Zdroj data'!O156&gt;=Body!$BN$18,'Zdroj data'!O156&lt;=Body!$BP$18),Body!BN$6,IF(AND('Zdroj data'!O156&gt;=Body!$BQ$18,'Zdroj data'!O156&lt;=Body!$BS$18),Body!$BQ$6,IF(AND('Zdroj data'!O156&gt;=Body!$BT$18,'Zdroj data'!O156&lt;=Body!$BV$18),Body!$BT$6,IF(AND('Zdroj data'!O156&gt;=Body!$BW$18,'Zdroj data'!O156&lt;=Body!$BY$18),Body!$BW$6,IF('Zdroj data'!O156&gt;=Body!$CB$18,Body!$BZ$6," ")))))))))),IF(AND('Zdroj data'!BG156="ST",'Zdroj data'!AM156=Body!$AX$19),IF(AND('Zdroj data'!O156&gt;=Body!$AY$19,'Zdroj data'!O156&lt;=Body!$BA$19),Body!$AY$6,IF(AND('Zdroj data'!O156&gt;=Body!$BB$19,'Zdroj data'!O156&lt;=Body!$BD$19),Body!$BB$6,IF(AND('Zdroj data'!O156&gt;=Body!$BE$19,'Zdroj data'!O156&lt;=Body!$BG$19),Body!$BE$6,IF(AND('Zdroj data'!O156&gt;=Body!$BH$19,'Zdroj data'!O156&lt;=Body!$BJ$19),Body!$BH$6,IF(AND('Zdroj data'!O156&gt;=Body!$BK$19,'Zdroj data'!O156&lt;=Body!$BM$19),Body!$BK$6,IF(AND('Zdroj data'!O156&gt;=Body!$BN$19,'Zdroj data'!O156&lt;=Body!$BP$19),Body!$BN$6,IF(AND('Zdroj data'!O156&gt;=Body!$BQ$19,'Zdroj data'!O156&lt;=Body!$BS$19),Body!$BQ$6,IF(AND('Zdroj data'!O156&gt;=Body!$BT$19,'Zdroj data'!O160&lt;=Body!$BV$19),Body!$BT$6,IF(AND('Zdroj data'!O156&gt;=Body!$BW$19,'Zdroj data'!O156&lt;=Body!$BY$19),Body!$BW$6,IF('Zdroj data'!O156&gt;=Body!$CB$19,Body!$BZ$6," ")))))))))),IF(AND('Zdroj data'!BG156="T",'Zdroj data'!AM156=Body!$AX$20),IF(AND('Zdroj data'!O156&gt;=Body!$AY$20,'Zdroj data'!O156&lt;=Body!$BA$20),Body!$AY$6,IF(AND('Zdroj data'!O156&gt;=Body!$BB$20,'Zdroj data'!O156&lt;=Body!$BD$20),Body!$BB$6,IF(AND('Zdroj data'!O156&gt;=Body!$BE$20,'Zdroj data'!O156&lt;=Body!$BG$20),Body!$BE$6,IF(AND('Zdroj data'!O156&gt;=Body!$BH$20,'Zdroj data'!O156&lt;=Body!$BJ$20),Body!$BH$6,IF(AND('Zdroj data'!O156&gt;=Body!$BK$20,'Zdroj data'!O156&lt;=Body!$BM$20),Body!$BK$6,IF(AND('Zdroj data'!O156&gt;=Body!$BN$20,'Zdroj data'!O156&lt;=Body!$BP$20),Body!$BN$6,IF(AND('Zdroj data'!O156&gt;=Body!$BQ$20,'Zdroj data'!O156&lt;=Body!$BS$20),Body!$BQ$6,IF(AND('Zdroj data'!O156&gt;=Body!$BT$20,'Zdroj data'!O156&lt;=Body!#REF!),Body!$BT$6,IF(AND('Zdroj data'!O156&gt;=Body!$BW$20,'Zdroj data'!O156&lt;=Body!$BY$20),Body!$BW$6,IF('Zdroj data'!O156&gt;=Body!$CB$20,Body!$BZ$6," "))))))))))," ")))</f>
        <v xml:space="preserve"> </v>
      </c>
      <c r="AI156" s="264" t="str">
        <f>IF(AND('Zdroj data'!$BG156="L",'Zdroj data'!$AM156=Body!$AX$18),IF(AND(Tabulka1[[#This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data'!$BG156="ST",'Zdroj data'!$AM156=Body!$AX$19),IF(AND(Tabulka1[[#This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data'!$BG156="T",'Zdroj data'!$AM156=Body!$AX$20),IF(AND(Tabulka1[[#This Row],[K2O_60]]&gt;=Body!$AY$20,'Zdroj data'!O156&lt;=Body!$BA$20),Body!$AY$6,IF(AND(Tabulka1[[#This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56" s="265">
        <f t="shared" si="26"/>
        <v>5.3333333333333375</v>
      </c>
      <c r="AK156" s="264">
        <f t="shared" si="27"/>
        <v>36.948170375069111</v>
      </c>
      <c r="AL156" s="264">
        <f t="shared" si="28"/>
        <v>38.37642768110679</v>
      </c>
      <c r="AM156" s="264">
        <f t="shared" si="29"/>
        <v>60.751737144041805</v>
      </c>
      <c r="AN156" s="264">
        <f t="shared" si="30"/>
        <v>57.558268851495782</v>
      </c>
      <c r="AO156" s="265">
        <f t="shared" si="33"/>
        <v>97.699907519110923</v>
      </c>
      <c r="AP156" s="265">
        <f t="shared" si="31"/>
        <v>95.934696532602572</v>
      </c>
      <c r="AQ156" s="318"/>
      <c r="AR156" s="338">
        <f t="shared" si="32"/>
        <v>198.96793738504684</v>
      </c>
      <c r="AS156" s="318"/>
      <c r="AT156" s="138"/>
      <c r="AU156" s="138"/>
    </row>
    <row r="157" spans="1:47" ht="15.5" x14ac:dyDescent="0.35">
      <c r="A157" s="270">
        <v>9158</v>
      </c>
      <c r="B157" s="156" t="s">
        <v>594</v>
      </c>
      <c r="C157" s="250" t="str">
        <f>VLOOKUP(B157,'Zdroj hloubka okresy'!$A$2:$D$171,2,FALSE)</f>
        <v>Mlada_Boleslav</v>
      </c>
      <c r="D157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7</v>
      </c>
      <c r="E157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9</v>
      </c>
      <c r="F157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7</v>
      </c>
      <c r="G157" s="264">
        <f>IF(AND(Tabulka1[[#This Row],[hum_60]]&gt;AY163,Tabulka1[[#This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5</v>
      </c>
      <c r="H157" s="264">
        <f>IF(Tabulka1[[#This Row],[kv.ek.]]=Body!$AX$13,IF(AND('Zdroj data'!M157&gt;=Body!$AY$13,'Zdroj data'!M157&lt;=Body!$BA$13),Body!$AY$6,IF(AND('Zdroj data'!M157&gt;=Body!$BB$13,'Zdroj data'!M157&lt;=Body!$BD$13),Body!$BB$6,IF(AND('Zdroj data'!M157&gt;=Body!$BE$13,'Zdroj data'!M157&lt;=Body!$BG$13),Body!$BE$6,IF(AND('Zdroj data'!M157&gt;=Body!$BH$13,'Zdroj data'!M157&lt;=Body!$BJ$13),Body!$BH$6,IF(AND('Zdroj data'!M157&gt;=Body!$BK$13,'Zdroj data'!M157&lt;=Body!$BM$13),Body!$BK$6,IF(AND('Zdroj data'!M157&gt;=Body!$BN$13,'Zdroj data'!M157&lt;=Body!$BP$13),Body!$BN$6,IF(AND('Zdroj data'!M157&gt;=Body!$BQ$13,'Zdroj data'!M157&lt;=Body!$BS$13),Body!$BQ$6,IF(AND('Zdroj data'!M157&gt;=Body!$BT$13,'Zdroj data'!M157&lt;=Body!$BV$13),Body!$BT$6,IF(AND('Zdroj data'!M157&gt;=Body!$BW$13,'Zdroj data'!M157&lt;=Body!$BY$13),Body!$BW$6,IF('Zdroj data'!M157&gt;=Body!$CB$13,Body!$BZ$6," ")))))))))),IF(Tabulka1[[#This Row],[kv.ek.]]=Body!$AX$14,IF(AND('Zdroj data'!N157&gt;=Body!$AY$14,'Zdroj data'!N157&lt;=Body!$BA$14),Body!$AY$6,IF(AND('Zdroj data'!N157&gt;=Body!$BB$14,'Zdroj data'!N157&lt;=Body!$BD$14),Body!$BB$6,IF(AND('Zdroj data'!N157&gt;=Body!$BE$14,'Zdroj data'!N157&lt;=Body!$BG$14),Body!$BE$6,IF(AND('Zdroj data'!N157&gt;=Body!$BH$14,'Zdroj data'!N157&lt;=Body!$BJ$14),Body!$BH$6,IF(AND('Zdroj data'!N157&gt;=Body!$BK$14,'Zdroj data'!N157&lt;=Body!$BM$14),Body!$BK$6,IF(AND('Zdroj data'!N157&gt;=Body!$BN$14,'Zdroj data'!N157&lt;=Body!$BP$14),Body!$BN$6,IF(AND('Zdroj data'!N157&gt;=Body!$BQ$14,'Zdroj data'!N157&lt;=Body!$BS$14),Body!$BQ$6,IF(AND('Zdroj data'!N157&gt;=Body!$BT$14,'Zdroj data'!N157&lt;=Body!$BV$14),Body!$BT$6,IF(AND('Zdroj data'!N157&gt;=Body!$BW$14,'Zdroj data'!N157&lt;=Body!$BY$14),Body!$BW$6,IF('Zdroj data'!N157&gt;=Body!$CB$14,Body!$BZ$6," "))))))))))," "))</f>
        <v>3</v>
      </c>
      <c r="I157" s="264">
        <f>IF(Tabulka1[[#This Row],[kv.ek.]]=Body!$AX$13,IF(AND('Zdroj data'!N157&gt;=Body!$AY$13,'Zdroj data'!N157&lt;=Body!$BA$13),Body!$AY$6,IF(AND('Zdroj data'!N157&gt;=Body!$BB$13,'Zdroj data'!N157&lt;=Body!$BD$13),Body!$BB$6,IF(AND('Zdroj data'!N157&gt;=Body!$BE$13,'Zdroj data'!N157&lt;=Body!$BG$13),Body!$BE$6,IF(AND('Zdroj data'!N157&gt;=Body!$BH$13,'Zdroj data'!N157&lt;=Body!$BJ$13),Body!$BH$6,IF(AND('Zdroj data'!N157&gt;=Body!$BK$13,'Zdroj data'!N157&lt;=Body!$BM$13),Body!$BK$6,IF(AND('Zdroj data'!N157&gt;=Body!$BN$13,'Zdroj data'!N157&lt;=Body!$BP$13),Body!$BN$6,IF(AND('Zdroj data'!N157&gt;=Body!$BQ$13,'Zdroj data'!N157&lt;=Body!$BS$13),Body!$BQ$6,IF(AND('Zdroj data'!N157&gt;=Body!$BT$13,'Zdroj data'!N157&lt;=Body!$BV$13),Body!$BT$6,IF(AND('Zdroj data'!N157&gt;=Body!$BW$13,'Zdroj data'!N157&lt;=Body!$BY$13),Body!$BW$6,IF('Zdroj data'!N157&gt;=Body!$CB$13,Body!$BZ$6," ")))))))))),IF(Tabulka1[[#This Row],[kv.ek.]]=Body!$AX$14,IF(AND('Zdroj data'!O157&gt;=Body!$AY$14,'Zdroj data'!O157&lt;=Body!$BA$14),Body!$AY$6,IF(AND('Zdroj data'!O157&gt;=Body!$BB$14,'Zdroj data'!O157&lt;=Body!$BD$14),Body!$BB$6,IF(AND('Zdroj data'!O157&gt;=Body!$BE$14,'Zdroj data'!O157&lt;=Body!$BG$14),Body!$BE$6,IF(AND('Zdroj data'!O157&gt;=Body!$BH$14,'Zdroj data'!O157&lt;=Body!$BJ$14),Body!$BH$6,IF(AND('Zdroj data'!O157&gt;=Body!$BK$14,'Zdroj data'!O157&lt;=Body!$BM$14),Body!$BK$6,IF(AND('Zdroj data'!O157&gt;=Body!$BN$14,'Zdroj data'!O157&lt;=Body!$BP$14),Body!$BN$6,IF(AND('Zdroj data'!O157&gt;=Body!$BQ$14,'Zdroj data'!O157&lt;=Body!$BS$14),Body!$BQ$6,IF(AND('Zdroj data'!O157&gt;=Body!$BT$14,'Zdroj data'!O157&lt;=Body!$BV$14),Body!$BT$6,IF(AND('Zdroj data'!O157&gt;=Body!$BW$14,'Zdroj data'!O157&lt;=Body!$BY$14),Body!$BW$6,IF('Zdroj data'!O157&gt;=Body!$CB$14,Body!$BZ$6," "))))))))))," "))</f>
        <v>2</v>
      </c>
      <c r="J157" s="264">
        <f t="shared" si="25"/>
        <v>10</v>
      </c>
      <c r="K157" s="264">
        <f t="shared" si="25"/>
        <v>10</v>
      </c>
      <c r="L157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10</v>
      </c>
      <c r="M157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10</v>
      </c>
      <c r="N157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157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157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57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5</v>
      </c>
      <c r="R157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157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157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157" s="264">
        <f>IF('Zdroj data'!BB157=Body!$AY$25,Body!$AY$22,IF('Zdroj data'!BB157=Body!$BB$25,Body!$BB$22,IF('Zdroj data'!BB157=Body!$BE$25,Body!$BE$22,IF('Zdroj data'!BB157=Body!$BH$25,Body!$BH$22,IF('Zdroj data'!BB157=Body!BK$25,Body!$BK$22,IF('Zdroj data'!BB157=Body!$BN$25,Body!$BN$22,IF('Zdroj data'!BB157=Body!$BQ$25,Body!$BQ$22,IF('Zdroj data'!BB157=Body!$BT$25,Body!$BT$22,IF('Zdroj data'!BB157=Body!$BW$25,Body!$BW$22,IF('Zdroj data'!BB157=Body!$BZ$25,Body!$BZ$22," "))))))))))</f>
        <v>7</v>
      </c>
      <c r="V157" s="264">
        <f>IF(AND('Zdroj data'!BO157&gt;Body!$AY$27,'Zdroj data'!BO157&lt;=Body!$BA$27),Body!$AY$22,IF(AND('Zdroj data'!BO157&gt;=Body!$BB$27,'Zdroj data'!BO157&lt;=Body!$BD$27),Body!$BB$22,IF(AND('Zdroj data'!BO157&gt;=Body!$BE$27,'Zdroj data'!BO157&lt;=Body!$BG$27),Body!$BE$22,IF(AND('Zdroj data'!BO157&gt;=Body!$BH$27,'Zdroj data'!BO157&lt;=Body!$BJ$27),Body!$BH$22,IF(AND('Zdroj data'!BO157&gt;=Body!$BK$27,'Zdroj data'!BO157&lt;=Body!$BM$27),Body!$BK$22,IF(AND('Zdroj data'!BO157&gt;=Body!$BN$27,'Zdroj data'!BO157&lt;=Body!$BP$27),Body!$BN$22,IF(AND('Zdroj data'!BO157&gt;=Body!$BQ$27,'Zdroj data'!BO157&lt;=Body!$BS$27),Body!$BQ$22,IF(AND('Zdroj data'!BO157&gt;=Body!$BT$27,'Zdroj data'!BO157&lt;=Body!$BV$27),Body!$BT$22,IF(AND('Zdroj data'!BO157&gt;=Body!$BW$27,'Zdroj data'!BO157&lt;=Body!$BY$27),Body!$BW$22,IF('Zdroj data'!BO157&gt;=Body!$CB$27,$BZ$22," "))))))))))</f>
        <v>6</v>
      </c>
      <c r="W157" s="264">
        <f>IF(AND('Zdroj data'!BP157&gt;Body!$AY$27,'Zdroj data'!BP157&lt;=Body!$BA$27),Body!$AY$22,IF(AND('Zdroj data'!BP157&gt;=Body!$BB$27,'Zdroj data'!BP157&lt;=Body!$BD$27),Body!$BB$22,IF(AND('Zdroj data'!BP157&gt;=Body!$BE$27,'Zdroj data'!BP157&lt;=Body!$BG$27),Body!$BE$22,IF(AND('Zdroj data'!BP157&gt;=Body!$BH$27,'Zdroj data'!BP157&lt;=Body!$BJ$27),Body!$BH$22,IF(AND('Zdroj data'!BP157&gt;=Body!$BK$27,'Zdroj data'!BP157&lt;=Body!$BM$27),Body!$BK$22,IF(AND('Zdroj data'!BP157&gt;=Body!$BN$27,'Zdroj data'!BP157&lt;=Body!$BP$27),Body!$BN$22,IF(AND('Zdroj data'!BP157&gt;=Body!$BQ$27,'Zdroj data'!BP157&lt;=Body!$BS$27),Body!$BQ$22,IF(AND('Zdroj data'!BP157&gt;=Body!$BT$27,'Zdroj data'!BP157&lt;=Body!$BV$27),Body!$BT$22,IF(AND('Zdroj data'!BP157&gt;=Body!$BW$27,'Zdroj data'!BP157&lt;=Body!$BY$27),Body!$BW$22,IF('Zdroj data'!BP157&gt;=Body!$CB$27,$BZ$22," "))))))))))</f>
        <v>9</v>
      </c>
      <c r="X157" s="264">
        <f>IF('Zdroj data'!BA157=Body!$BB$28,$BB$22,IF('Zdroj data'!BA157=Body!$BE$28,$BE$22,IF(OR('Zdroj data'!BA157=Body!$BK$28,'Zdroj data'!BA157=Body!$BL$28,'Zdroj data'!BA157=Body!$BM$28),$BK$22,IF(OR('Zdroj data'!BA157=Body!$BT$28,'Zdroj data'!BA157=Body!$BV$28),$BT$22,IF(OR('Zdroj data'!BA157=Body!$BW$28,'Zdroj data'!BA157=Body!$BY$28),$BW$22,IF('Zdroj data'!BA157=Body!$BZ$28,$BZ$22," "))))))</f>
        <v>9</v>
      </c>
      <c r="Y157" s="264">
        <f>IF('Zdroj data'!AZ157=Body!$BZ$29,Body!$BZ$22,IF(OR('Zdroj data'!AZ157=$BT$29,'Zdroj data'!AZ157=$BU$29,'Zdroj data'!AZ157=$BV$29),$BT$22,IF(OR('Zdroj data'!AZ157=$BK$29,'Zdroj data'!AZ157=$BM$29),$BK$22,IF(OR('Zdroj data'!AZ157=$BE$29,'Zdroj data'!AZ157=$BG$29),$BE$22,IF(OR('Zdroj data'!AZ157=$AY$29,'Zdroj data'!AZ157=$BA$29),$AY$22," ")))))</f>
        <v>10</v>
      </c>
      <c r="Z157" s="264">
        <f>IF(AND('Zdroj data'!BF157="T",(OR('Zdroj data'!AZ157=Body!$AW$45,'Zdroj data'!AZ157=Body!$AW$46,'Zdroj data'!AZ157=Body!$AW$47,'Zdroj data'!AZ157=Body!$AW$48))),Body!$AY$22,IF(AND('Zdroj data'!BF157="T",(OR('Zdroj data'!AZ157=$AW$49,'Zdroj data'!AZ157=$AW$50,'Zdroj data'!AZ157=$AW$51,'Zdroj data'!AZ157=$AW$52))),$BZ$22,IF(AND(OR('Zdroj data'!BF157="VT",'Zdroj data'!BF157="T",'Zdroj data'!BF157="CH"),(OR('Zdroj data'!AZ157=$AW$43,'Zdroj data'!AZ157=$AW$44,))),$BZ$22,IF(AND('Zdroj data'!BF157="CH",(OR('Zdroj data'!AZ157=$AW$49,'Zdroj data'!AZ157=$AW$50,'Zdroj data'!AZ157=$AW$51,'Zdroj data'!AZ157=$AW$52))),$AY$22,IF(AND('Zdroj data'!BF157="CH",(OR('Zdroj data'!AZ157=$AW$45,'Zdroj data'!AZ157=$AW$46,'Zdroj data'!AZ157=$AW$47,'Zdroj data'!AZ157=$AW$48))),$BZ$22," ")))))</f>
        <v>10</v>
      </c>
      <c r="AA157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57" s="264">
        <f>IF(Tabulka1[[#This Row],[kv.ek.]]=Body!$BK$35,Body!$BK$34,IF(Tabulka1[[#This Row],[kv.ek.]]=Body!$BZ$35,Body!$BZ$34," "))</f>
        <v>5</v>
      </c>
      <c r="AC157" s="264" t="str">
        <f>IF(AND('Zdroj data'!BF157="T",(OR('Zdroj data'!AZ157=Body!$AW$45,'Zdroj data'!AZ157=Body!$AW$46,'Zdroj data'!AZ157=Body!$AW$47,'Zdroj data'!AZ157=Body!$AW$48))),Body!$AY$22,IF(AND('Zdroj data'!BF157="T",(OR('Zdroj data'!AZ157=$AW$49,'Zdroj data'!AZ157=$AW$50,'Zdroj data'!AZ157=$AW$51,'Zdroj data'!AZ157=$AW$52))),$BZ$22," "))</f>
        <v xml:space="preserve"> </v>
      </c>
      <c r="AD157" s="264">
        <f>IF(AND(OR('Zdroj data'!BF157="VT",'Zdroj data'!BF157="T",'Zdroj data'!BF157="CH"),(OR('Zdroj data'!AZ157=$AW$43,'Zdroj data'!AZ157=$AW$44,))),$BZ$22," ")</f>
        <v>10</v>
      </c>
      <c r="AE157" s="264" t="str">
        <f>IF(AND('Zdroj data'!BF157="CH",(OR('Zdroj data'!AZ157=$AW$49,'Zdroj data'!AZ157=$AW$50,'Zdroj data'!AZ157=$AW$51,'Zdroj data'!AZ157=$AW$52))),$AY$22,IF(AND('Zdroj data'!BF157="CH",(OR('Zdroj data'!AZ157=$AW$45,'Zdroj data'!AZ157=$AW$46,'Zdroj data'!AZ157=$AW$47,'Zdroj data'!AZ157=$AW$48))),$BZ$22," "))</f>
        <v xml:space="preserve"> </v>
      </c>
      <c r="AF157" s="264">
        <f>IF(AND('Zdroj data'!BG157="L",'Zdroj data'!AM157=Body!$AX$15),IF(AND('Zdroj data'!O157&gt;=Body!$AY$15,'Zdroj data'!O157&lt;=Body!$BA$15),Body!AY$6,IF(AND('Zdroj data'!O157&gt;=Body!$BB$15,'Zdroj data'!O157&lt;=Body!$BD$15),Body!BB$6,IF(AND('Zdroj data'!O157&gt;=Body!$BE$15,'Zdroj data'!O157&lt;=Body!$BG$15),Body!BE$6,IF(AND('Zdroj data'!O157&gt;=Body!$BH$15,'Zdroj data'!O157&lt;=Body!$BJ$15),Body!BH$6,IF(AND('Zdroj data'!O157&gt;=Body!$BK$15,'Zdroj data'!O157&lt;=Body!$BM$15),Body!BK$6,IF(AND('Zdroj data'!O157&gt;=Body!$BN$15,'Zdroj data'!O157&lt;=Body!$BP$15),Body!$BN$6,IF(AND('Zdroj data'!O157&gt;=Body!$BQ$15,'Zdroj data'!O157&lt;=Body!$BS$15),Body!$BQ$6,IF(AND('Zdroj data'!O157&gt;=Body!$BT$15,'Zdroj data'!O157&lt;=Body!$BV$15),Body!BT$6,IF(AND('Zdroj data'!O157&gt;=Body!$BW$15,'Zdroj data'!O157&lt;=Body!$BY$15),Body!$BW$6,IF('Zdroj data'!O157&gt;=Body!$CB$15,Body!$BZ$6," ")))))))))),IF(AND('Zdroj data'!BG157="ST",'Zdroj data'!AM157=Body!$AX$16),IF(AND('Zdroj data'!O157&gt;=Body!$AY$16,'Zdroj data'!O157&lt;=Body!$BA$16),Body!$AY$6,IF(AND('Zdroj data'!O157&gt;=Body!$BB$16,'Zdroj data'!O157&lt;=Body!$BD$16),Body!$BB$6,IF(AND('Zdroj data'!O157&gt;=Body!$BE$16,'Zdroj data'!O157&lt;=Body!$BG$16),Body!$BE$6,IF(AND('Zdroj data'!O157&gt;=Body!$BH$16,'Zdroj data'!O157&lt;=Body!$BJ$16),Body!$BH$6,IF(AND('Zdroj data'!O157&gt;=Body!$BK$16,'Zdroj data'!O157&lt;=Body!$BM$16),Body!$BK$6,IF(AND('Zdroj data'!O157&gt;=Body!$BN$16,'Zdroj data'!O157&lt;=Body!$BP$16),Body!$BN$6,IF(AND('Zdroj data'!O157&gt;=Body!$BQ$16,'Zdroj data'!O157&lt;=Body!$BS$16),Body!$BQ$6,IF(AND('Zdroj data'!O157&gt;=Body!$BT$16,'Zdroj data'!O157&lt;=Body!$BV$16),Body!$BT$6,IF(AND('Zdroj data'!O157&gt;=Body!$BW$16,'Zdroj data'!O157&lt;=Body!$BY$16),Body!$BW$6,IF('Zdroj data'!O157&gt;=Body!$CB$16,Body!$BZ$6," ")))))))))),IF(AND('Zdroj data'!BG157="T",'Zdroj data'!AM157=Body!$AX$17),IF(AND('Zdroj data'!O157&gt;=Body!$AY$17,'Zdroj data'!O157&lt;=Body!$BA$17),Body!$AY$6,IF(AND('Zdroj data'!O157&gt;=Body!$BB$17,'Zdroj data'!O157&lt;=Body!$BD$17),Body!$BB$6,IF(AND('Zdroj data'!O157&gt;=Body!$BE$17,'Zdroj data'!O157&lt;=Body!$BG$17),Body!$BE$6,IF(AND('Zdroj data'!O157&gt;=Body!$BH$17,'Zdroj data'!O157&lt;=Body!BJ171),Body!$BH$6,IF(AND('Zdroj data'!O157&gt;=Body!$BK$17,'Zdroj data'!O157&lt;=Body!$BM$17),Body!$BK$6,IF(AND('Zdroj data'!O157&gt;=Body!$BN$17,'Zdroj data'!O157&lt;=Body!$BP$17),Body!$BN$6,IF(AND('Zdroj data'!O157&gt;=Body!$BQ$17,'Zdroj data'!O157&lt;=Body!$BS$17),Body!$BQ$6,IF(AND('Zdroj data'!O157&gt;=Body!$BT$17,'Zdroj data'!O157&lt;=Body!$BV$17),Body!$BT$6,IF(AND('Zdroj data'!O157&gt;=Body!$BW$17,'Zdroj data'!O157&lt;=Body!$BY$17),Body!$BW$6,IF('Zdroj data'!O157&gt;=Body!$CB$17,Body!$BZ$6," "))))))))))," ")))</f>
        <v>10</v>
      </c>
      <c r="AG157" s="264">
        <f>IF(AND('Zdroj data'!$BG157="L",'Zdroj data'!$AM157=Body!$AX$15),IF(AND(Tabulka1[[#This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data'!$BG157="ST",'Zdroj data'!$AM157=Body!$AX$16),IF(AND(Tabulka1[[#This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data'!$BG157="T",'Zdroj data'!$AM157=Body!$AX$17),IF(AND(Tabulka1[[#This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Row],[K2O_60]]&lt;=Body!BJ171),Body!$BH$6,IF(AND(Tabulka1[[#This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10</v>
      </c>
      <c r="AH157" s="264" t="str">
        <f>IF(AND('Zdroj data'!BG157="L",'Zdroj data'!AM157=Body!$AX$18),IF(AND('Zdroj data'!O157&gt;=Body!$AY$18,'Zdroj data'!O157&lt;=Body!$BA$18),Body!AY$6,IF(AND('Zdroj data'!O157&gt;=Body!$BB$18,'Zdroj data'!O157&lt;=Body!$BD$18),Body!BB$6,IF(AND('Zdroj data'!O157&gt;=Body!$BE$18,'Zdroj data'!O157&lt;=Body!$BG$18),Body!BE$6,IF(AND('Zdroj data'!O157&gt;=Body!$BH$18,'Zdroj data'!O157&lt;=Body!$BJ$18),Body!BH$6,IF(AND('Zdroj data'!O157&gt;=Body!$BK$18,'Zdroj data'!O157&lt;=Body!$BM$18),Body!$BK$6,IF(AND('Zdroj data'!O157&gt;=Body!$BN$18,'Zdroj data'!O157&lt;=Body!$BP$18),Body!BN$6,IF(AND('Zdroj data'!O157&gt;=Body!$BQ$18,'Zdroj data'!O157&lt;=Body!$BS$18),Body!$BQ$6,IF(AND('Zdroj data'!O157&gt;=Body!$BT$18,'Zdroj data'!O157&lt;=Body!$BV$18),Body!$BT$6,IF(AND('Zdroj data'!O157&gt;=Body!$BW$18,'Zdroj data'!O157&lt;=Body!$BY$18),Body!$BW$6,IF('Zdroj data'!O157&gt;=Body!$CB$18,Body!$BZ$6," ")))))))))),IF(AND('Zdroj data'!BG157="ST",'Zdroj data'!AM157=Body!$AX$19),IF(AND('Zdroj data'!O157&gt;=Body!$AY$19,'Zdroj data'!O157&lt;=Body!$BA$19),Body!$AY$6,IF(AND('Zdroj data'!O157&gt;=Body!$BB$19,'Zdroj data'!O157&lt;=Body!$BD$19),Body!$BB$6,IF(AND('Zdroj data'!O157&gt;=Body!$BE$19,'Zdroj data'!O157&lt;=Body!$BG$19),Body!$BE$6,IF(AND('Zdroj data'!O157&gt;=Body!$BH$19,'Zdroj data'!O157&lt;=Body!$BJ$19),Body!$BH$6,IF(AND('Zdroj data'!O157&gt;=Body!$BK$19,'Zdroj data'!O157&lt;=Body!$BM$19),Body!$BK$6,IF(AND('Zdroj data'!O157&gt;=Body!$BN$19,'Zdroj data'!O157&lt;=Body!$BP$19),Body!$BN$6,IF(AND('Zdroj data'!O157&gt;=Body!$BQ$19,'Zdroj data'!O157&lt;=Body!$BS$19),Body!$BQ$6,IF(AND('Zdroj data'!O157&gt;=Body!$BT$19,'Zdroj data'!O161&lt;=Body!$BV$19),Body!$BT$6,IF(AND('Zdroj data'!O157&gt;=Body!$BW$19,'Zdroj data'!O157&lt;=Body!$BY$19),Body!$BW$6,IF('Zdroj data'!O157&gt;=Body!$CB$19,Body!$BZ$6," ")))))))))),IF(AND('Zdroj data'!BG157="T",'Zdroj data'!AM157=Body!$AX$20),IF(AND('Zdroj data'!O157&gt;=Body!$AY$20,'Zdroj data'!O157&lt;=Body!$BA$20),Body!$AY$6,IF(AND('Zdroj data'!O157&gt;=Body!$BB$20,'Zdroj data'!O157&lt;=Body!$BD$20),Body!$BB$6,IF(AND('Zdroj data'!O157&gt;=Body!$BE$20,'Zdroj data'!O157&lt;=Body!$BG$20),Body!$BE$6,IF(AND('Zdroj data'!O157&gt;=Body!$BH$20,'Zdroj data'!O157&lt;=Body!$BJ$20),Body!$BH$6,IF(AND('Zdroj data'!O157&gt;=Body!$BK$20,'Zdroj data'!O157&lt;=Body!$BM$20),Body!$BK$6,IF(AND('Zdroj data'!O157&gt;=Body!$BN$20,'Zdroj data'!O157&lt;=Body!$BP$20),Body!$BN$6,IF(AND('Zdroj data'!O157&gt;=Body!$BQ$20,'Zdroj data'!O157&lt;=Body!$BS$20),Body!$BQ$6,IF(AND('Zdroj data'!O157&gt;=Body!$BT$20,'Zdroj data'!O157&lt;=Body!#REF!),Body!$BT$6,IF(AND('Zdroj data'!O157&gt;=Body!$BW$20,'Zdroj data'!O157&lt;=Body!$BY$20),Body!$BW$6,IF('Zdroj data'!O157&gt;=Body!$CB$20,Body!$BZ$6," "))))))))))," ")))</f>
        <v xml:space="preserve"> </v>
      </c>
      <c r="AI157" s="264" t="str">
        <f>IF(AND('Zdroj data'!$BG157="L",'Zdroj data'!$AM157=Body!$AX$18),IF(AND(Tabulka1[[#This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data'!$BG157="ST",'Zdroj data'!$AM157=Body!$AX$19),IF(AND(Tabulka1[[#This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data'!$BG157="T",'Zdroj data'!$AM157=Body!$AX$20),IF(AND(Tabulka1[[#This Row],[K2O_60]]&gt;=Body!$AY$20,'Zdroj data'!O157&lt;=Body!$BA$20),Body!$AY$6,IF(AND(Tabulka1[[#This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57" s="265">
        <f t="shared" si="26"/>
        <v>5.3333333333333375</v>
      </c>
      <c r="AK157" s="264">
        <f t="shared" si="27"/>
        <v>40.165057700734906</v>
      </c>
      <c r="AL157" s="264">
        <f t="shared" si="28"/>
        <v>37.669624199353002</v>
      </c>
      <c r="AM157" s="264">
        <f t="shared" si="29"/>
        <v>70.208959272991649</v>
      </c>
      <c r="AN157" s="264">
        <f t="shared" si="30"/>
        <v>74.842738894597602</v>
      </c>
      <c r="AO157" s="265">
        <f t="shared" si="33"/>
        <v>110.37401697372655</v>
      </c>
      <c r="AP157" s="265">
        <f t="shared" si="31"/>
        <v>112.5123630939506</v>
      </c>
      <c r="AQ157" s="318"/>
      <c r="AR157" s="338">
        <f t="shared" si="32"/>
        <v>228.21971340101049</v>
      </c>
      <c r="AS157" s="318"/>
      <c r="AT157" s="138"/>
      <c r="AU157" s="138"/>
    </row>
    <row r="158" spans="1:47" ht="15.5" x14ac:dyDescent="0.35">
      <c r="A158" s="270">
        <v>9161</v>
      </c>
      <c r="B158" s="156" t="s">
        <v>656</v>
      </c>
      <c r="C158" s="250" t="str">
        <f>VLOOKUP(B158,'Zdroj hloubka okresy'!$A$2:$D$171,2,FALSE)</f>
        <v>Mlada_Boleslav</v>
      </c>
      <c r="D158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7</v>
      </c>
      <c r="E158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158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158" s="264">
        <f>IF(AND(Tabulka1[[#This Row],[hum_60]]&gt;AY164,Tabulka1[[#This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58" s="264">
        <f>IF(Tabulka1[[#This Row],[kv.ek.]]=Body!$AX$13,IF(AND('Zdroj data'!M158&gt;=Body!$AY$13,'Zdroj data'!M158&lt;=Body!$BA$13),Body!$AY$6,IF(AND('Zdroj data'!M158&gt;=Body!$BB$13,'Zdroj data'!M158&lt;=Body!$BD$13),Body!$BB$6,IF(AND('Zdroj data'!M158&gt;=Body!$BE$13,'Zdroj data'!M158&lt;=Body!$BG$13),Body!$BE$6,IF(AND('Zdroj data'!M158&gt;=Body!$BH$13,'Zdroj data'!M158&lt;=Body!$BJ$13),Body!$BH$6,IF(AND('Zdroj data'!M158&gt;=Body!$BK$13,'Zdroj data'!M158&lt;=Body!$BM$13),Body!$BK$6,IF(AND('Zdroj data'!M158&gt;=Body!$BN$13,'Zdroj data'!M158&lt;=Body!$BP$13),Body!$BN$6,IF(AND('Zdroj data'!M158&gt;=Body!$BQ$13,'Zdroj data'!M158&lt;=Body!$BS$13),Body!$BQ$6,IF(AND('Zdroj data'!M158&gt;=Body!$BT$13,'Zdroj data'!M158&lt;=Body!$BV$13),Body!$BT$6,IF(AND('Zdroj data'!M158&gt;=Body!$BW$13,'Zdroj data'!M158&lt;=Body!$BY$13),Body!$BW$6,IF('Zdroj data'!M158&gt;=Body!$CB$13,Body!$BZ$6," ")))))))))),IF(Tabulka1[[#This Row],[kv.ek.]]=Body!$AX$14,IF(AND('Zdroj data'!N158&gt;=Body!$AY$14,'Zdroj data'!N158&lt;=Body!$BA$14),Body!$AY$6,IF(AND('Zdroj data'!N158&gt;=Body!$BB$14,'Zdroj data'!N158&lt;=Body!$BD$14),Body!$BB$6,IF(AND('Zdroj data'!N158&gt;=Body!$BE$14,'Zdroj data'!N158&lt;=Body!$BG$14),Body!$BE$6,IF(AND('Zdroj data'!N158&gt;=Body!$BH$14,'Zdroj data'!N158&lt;=Body!$BJ$14),Body!$BH$6,IF(AND('Zdroj data'!N158&gt;=Body!$BK$14,'Zdroj data'!N158&lt;=Body!$BM$14),Body!$BK$6,IF(AND('Zdroj data'!N158&gt;=Body!$BN$14,'Zdroj data'!N158&lt;=Body!$BP$14),Body!$BN$6,IF(AND('Zdroj data'!N158&gt;=Body!$BQ$14,'Zdroj data'!N158&lt;=Body!$BS$14),Body!$BQ$6,IF(AND('Zdroj data'!N158&gt;=Body!$BT$14,'Zdroj data'!N158&lt;=Body!$BV$14),Body!$BT$6,IF(AND('Zdroj data'!N158&gt;=Body!$BW$14,'Zdroj data'!N158&lt;=Body!$BY$14),Body!$BW$6,IF('Zdroj data'!N158&gt;=Body!$CB$14,Body!$BZ$6," "))))))))))," "))</f>
        <v>4</v>
      </c>
      <c r="I158" s="264">
        <f>IF(Tabulka1[[#This Row],[kv.ek.]]=Body!$AX$13,IF(AND('Zdroj data'!N158&gt;=Body!$AY$13,'Zdroj data'!N158&lt;=Body!$BA$13),Body!$AY$6,IF(AND('Zdroj data'!N158&gt;=Body!$BB$13,'Zdroj data'!N158&lt;=Body!$BD$13),Body!$BB$6,IF(AND('Zdroj data'!N158&gt;=Body!$BE$13,'Zdroj data'!N158&lt;=Body!$BG$13),Body!$BE$6,IF(AND('Zdroj data'!N158&gt;=Body!$BH$13,'Zdroj data'!N158&lt;=Body!$BJ$13),Body!$BH$6,IF(AND('Zdroj data'!N158&gt;=Body!$BK$13,'Zdroj data'!N158&lt;=Body!$BM$13),Body!$BK$6,IF(AND('Zdroj data'!N158&gt;=Body!$BN$13,'Zdroj data'!N158&lt;=Body!$BP$13),Body!$BN$6,IF(AND('Zdroj data'!N158&gt;=Body!$BQ$13,'Zdroj data'!N158&lt;=Body!$BS$13),Body!$BQ$6,IF(AND('Zdroj data'!N158&gt;=Body!$BT$13,'Zdroj data'!N158&lt;=Body!$BV$13),Body!$BT$6,IF(AND('Zdroj data'!N158&gt;=Body!$BW$13,'Zdroj data'!N158&lt;=Body!$BY$13),Body!$BW$6,IF('Zdroj data'!N158&gt;=Body!$CB$13,Body!$BZ$6," ")))))))))),IF(Tabulka1[[#This Row],[kv.ek.]]=Body!$AX$14,IF(AND('Zdroj data'!O158&gt;=Body!$AY$14,'Zdroj data'!O158&lt;=Body!$BA$14),Body!$AY$6,IF(AND('Zdroj data'!O158&gt;=Body!$BB$14,'Zdroj data'!O158&lt;=Body!$BD$14),Body!$BB$6,IF(AND('Zdroj data'!O158&gt;=Body!$BE$14,'Zdroj data'!O158&lt;=Body!$BG$14),Body!$BE$6,IF(AND('Zdroj data'!O158&gt;=Body!$BH$14,'Zdroj data'!O158&lt;=Body!$BJ$14),Body!$BH$6,IF(AND('Zdroj data'!O158&gt;=Body!$BK$14,'Zdroj data'!O158&lt;=Body!$BM$14),Body!$BK$6,IF(AND('Zdroj data'!O158&gt;=Body!$BN$14,'Zdroj data'!O158&lt;=Body!$BP$14),Body!$BN$6,IF(AND('Zdroj data'!O158&gt;=Body!$BQ$14,'Zdroj data'!O158&lt;=Body!$BS$14),Body!$BQ$6,IF(AND('Zdroj data'!O158&gt;=Body!$BT$14,'Zdroj data'!O158&lt;=Body!$BV$14),Body!$BT$6,IF(AND('Zdroj data'!O158&gt;=Body!$BW$14,'Zdroj data'!O158&lt;=Body!$BY$14),Body!$BW$6,IF('Zdroj data'!O158&gt;=Body!$CB$14,Body!$BZ$6," "))))))))))," "))</f>
        <v>10</v>
      </c>
      <c r="J158" s="264">
        <f t="shared" si="25"/>
        <v>3</v>
      </c>
      <c r="K158" s="264">
        <f t="shared" si="25"/>
        <v>2</v>
      </c>
      <c r="L158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158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158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158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158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158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158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158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7</v>
      </c>
      <c r="T158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158" s="264">
        <f>IF('Zdroj data'!BB158=Body!$AY$25,Body!$AY$22,IF('Zdroj data'!BB158=Body!$BB$25,Body!$BB$22,IF('Zdroj data'!BB158=Body!$BE$25,Body!$BE$22,IF('Zdroj data'!BB158=Body!$BH$25,Body!$BH$22,IF('Zdroj data'!BB158=Body!BK$25,Body!$BK$22,IF('Zdroj data'!BB158=Body!$BN$25,Body!$BN$22,IF('Zdroj data'!BB158=Body!$BQ$25,Body!$BQ$22,IF('Zdroj data'!BB158=Body!$BT$25,Body!$BT$22,IF('Zdroj data'!BB158=Body!$BW$25,Body!$BW$22,IF('Zdroj data'!BB158=Body!$BZ$25,Body!$BZ$22," "))))))))))</f>
        <v>5</v>
      </c>
      <c r="V158" s="264">
        <f>IF(AND('Zdroj data'!BO158&gt;Body!$AY$27,'Zdroj data'!BO158&lt;=Body!$BA$27),Body!$AY$22,IF(AND('Zdroj data'!BO158&gt;=Body!$BB$27,'Zdroj data'!BO158&lt;=Body!$BD$27),Body!$BB$22,IF(AND('Zdroj data'!BO158&gt;=Body!$BE$27,'Zdroj data'!BO158&lt;=Body!$BG$27),Body!$BE$22,IF(AND('Zdroj data'!BO158&gt;=Body!$BH$27,'Zdroj data'!BO158&lt;=Body!$BJ$27),Body!$BH$22,IF(AND('Zdroj data'!BO158&gt;=Body!$BK$27,'Zdroj data'!BO158&lt;=Body!$BM$27),Body!$BK$22,IF(AND('Zdroj data'!BO158&gt;=Body!$BN$27,'Zdroj data'!BO158&lt;=Body!$BP$27),Body!$BN$22,IF(AND('Zdroj data'!BO158&gt;=Body!$BQ$27,'Zdroj data'!BO158&lt;=Body!$BS$27),Body!$BQ$22,IF(AND('Zdroj data'!BO158&gt;=Body!$BT$27,'Zdroj data'!BO158&lt;=Body!$BV$27),Body!$BT$22,IF(AND('Zdroj data'!BO158&gt;=Body!$BW$27,'Zdroj data'!BO158&lt;=Body!$BY$27),Body!$BW$22,IF('Zdroj data'!BO158&gt;=Body!$CB$27,$BZ$22," "))))))))))</f>
        <v>8</v>
      </c>
      <c r="W158" s="264">
        <f>IF(AND('Zdroj data'!BP158&gt;Body!$AY$27,'Zdroj data'!BP158&lt;=Body!$BA$27),Body!$AY$22,IF(AND('Zdroj data'!BP158&gt;=Body!$BB$27,'Zdroj data'!BP158&lt;=Body!$BD$27),Body!$BB$22,IF(AND('Zdroj data'!BP158&gt;=Body!$BE$27,'Zdroj data'!BP158&lt;=Body!$BG$27),Body!$BE$22,IF(AND('Zdroj data'!BP158&gt;=Body!$BH$27,'Zdroj data'!BP158&lt;=Body!$BJ$27),Body!$BH$22,IF(AND('Zdroj data'!BP158&gt;=Body!$BK$27,'Zdroj data'!BP158&lt;=Body!$BM$27),Body!$BK$22,IF(AND('Zdroj data'!BP158&gt;=Body!$BN$27,'Zdroj data'!BP158&lt;=Body!$BP$27),Body!$BN$22,IF(AND('Zdroj data'!BP158&gt;=Body!$BQ$27,'Zdroj data'!BP158&lt;=Body!$BS$27),Body!$BQ$22,IF(AND('Zdroj data'!BP158&gt;=Body!$BT$27,'Zdroj data'!BP158&lt;=Body!$BV$27),Body!$BT$22,IF(AND('Zdroj data'!BP158&gt;=Body!$BW$27,'Zdroj data'!BP158&lt;=Body!$BY$27),Body!$BW$22,IF('Zdroj data'!BP158&gt;=Body!$CB$27,$BZ$22," "))))))))))</f>
        <v>10</v>
      </c>
      <c r="X158" s="264">
        <f>IF('Zdroj data'!BA158=Body!$BB$28,$BB$22,IF('Zdroj data'!BA158=Body!$BE$28,$BE$22,IF(OR('Zdroj data'!BA158=Body!$BK$28,'Zdroj data'!BA158=Body!$BL$28,'Zdroj data'!BA158=Body!$BM$28),$BK$22,IF(OR('Zdroj data'!BA158=Body!$BT$28,'Zdroj data'!BA158=Body!$BV$28),$BT$22,IF(OR('Zdroj data'!BA158=Body!$BW$28,'Zdroj data'!BA158=Body!$BY$28),$BW$22,IF('Zdroj data'!BA158=Body!$BZ$28,$BZ$22," "))))))</f>
        <v>10</v>
      </c>
      <c r="Y158" s="264">
        <f>IF('Zdroj data'!AZ158=Body!$BZ$29,Body!$BZ$22,IF(OR('Zdroj data'!AZ158=$BT$29,'Zdroj data'!AZ158=$BU$29,'Zdroj data'!AZ158=$BV$29),$BT$22,IF(OR('Zdroj data'!AZ158=$BK$29,'Zdroj data'!AZ158=$BM$29),$BK$22,IF(OR('Zdroj data'!AZ158=$BE$29,'Zdroj data'!AZ158=$BG$29),$BE$22,IF(OR('Zdroj data'!AZ158=$AY$29,'Zdroj data'!AZ158=$BA$29),$AY$22," ")))))</f>
        <v>10</v>
      </c>
      <c r="Z158" s="264">
        <f>IF(AND('Zdroj data'!BF158="T",(OR('Zdroj data'!AZ158=Body!$AW$45,'Zdroj data'!AZ158=Body!$AW$46,'Zdroj data'!AZ158=Body!$AW$47,'Zdroj data'!AZ158=Body!$AW$48))),Body!$AY$22,IF(AND('Zdroj data'!BF158="T",(OR('Zdroj data'!AZ158=$AW$49,'Zdroj data'!AZ158=$AW$50,'Zdroj data'!AZ158=$AW$51,'Zdroj data'!AZ158=$AW$52))),$BZ$22,IF(AND(OR('Zdroj data'!BF158="VT",'Zdroj data'!BF158="T",'Zdroj data'!BF158="CH"),(OR('Zdroj data'!AZ158=$AW$43,'Zdroj data'!AZ158=$AW$44,))),$BZ$22,IF(AND('Zdroj data'!BF158="CH",(OR('Zdroj data'!AZ158=$AW$49,'Zdroj data'!AZ158=$AW$50,'Zdroj data'!AZ158=$AW$51,'Zdroj data'!AZ158=$AW$52))),$AY$22,IF(AND('Zdroj data'!BF158="CH",(OR('Zdroj data'!AZ158=$AW$45,'Zdroj data'!AZ158=$AW$46,'Zdroj data'!AZ158=$AW$47,'Zdroj data'!AZ158=$AW$48))),$BZ$22," ")))))</f>
        <v>10</v>
      </c>
      <c r="AA158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58" s="264">
        <f>IF(Tabulka1[[#This Row],[kv.ek.]]=Body!$BK$35,Body!$BK$34,IF(Tabulka1[[#This Row],[kv.ek.]]=Body!$BZ$35,Body!$BZ$34," "))</f>
        <v>10</v>
      </c>
      <c r="AC158" s="264" t="str">
        <f>IF(AND('Zdroj data'!BF158="T",(OR('Zdroj data'!AZ158=Body!$AW$45,'Zdroj data'!AZ158=Body!$AW$46,'Zdroj data'!AZ158=Body!$AW$47,'Zdroj data'!AZ158=Body!$AW$48))),Body!$AY$22,IF(AND('Zdroj data'!BF158="T",(OR('Zdroj data'!AZ158=$AW$49,'Zdroj data'!AZ158=$AW$50,'Zdroj data'!AZ158=$AW$51,'Zdroj data'!AZ158=$AW$52))),$BZ$22," "))</f>
        <v xml:space="preserve"> </v>
      </c>
      <c r="AD158" s="264">
        <f>IF(AND(OR('Zdroj data'!BF158="VT",'Zdroj data'!BF158="T",'Zdroj data'!BF158="CH"),(OR('Zdroj data'!AZ158=$AW$43,'Zdroj data'!AZ158=$AW$44,))),$BZ$22," ")</f>
        <v>10</v>
      </c>
      <c r="AE158" s="264" t="str">
        <f>IF(AND('Zdroj data'!BF158="CH",(OR('Zdroj data'!AZ158=$AW$49,'Zdroj data'!AZ158=$AW$50,'Zdroj data'!AZ158=$AW$51,'Zdroj data'!AZ158=$AW$52))),$AY$22,IF(AND('Zdroj data'!BF158="CH",(OR('Zdroj data'!AZ158=$AW$45,'Zdroj data'!AZ158=$AW$46,'Zdroj data'!AZ158=$AW$47,'Zdroj data'!AZ158=$AW$48))),$BZ$22," "))</f>
        <v xml:space="preserve"> </v>
      </c>
      <c r="AF158" s="264" t="str">
        <f>IF(AND('Zdroj data'!BG158="L",'Zdroj data'!AM158=Body!$AX$15),IF(AND('Zdroj data'!O158&gt;=Body!$AY$15,'Zdroj data'!O158&lt;=Body!$BA$15),Body!AY$6,IF(AND('Zdroj data'!O158&gt;=Body!$BB$15,'Zdroj data'!O158&lt;=Body!$BD$15),Body!BB$6,IF(AND('Zdroj data'!O158&gt;=Body!$BE$15,'Zdroj data'!O158&lt;=Body!$BG$15),Body!BE$6,IF(AND('Zdroj data'!O158&gt;=Body!$BH$15,'Zdroj data'!O158&lt;=Body!$BJ$15),Body!BH$6,IF(AND('Zdroj data'!O158&gt;=Body!$BK$15,'Zdroj data'!O158&lt;=Body!$BM$15),Body!BK$6,IF(AND('Zdroj data'!O158&gt;=Body!$BN$15,'Zdroj data'!O158&lt;=Body!$BP$15),Body!$BN$6,IF(AND('Zdroj data'!O158&gt;=Body!$BQ$15,'Zdroj data'!O158&lt;=Body!$BS$15),Body!$BQ$6,IF(AND('Zdroj data'!O158&gt;=Body!$BT$15,'Zdroj data'!O158&lt;=Body!$BV$15),Body!BT$6,IF(AND('Zdroj data'!O158&gt;=Body!$BW$15,'Zdroj data'!O158&lt;=Body!$BY$15),Body!$BW$6,IF('Zdroj data'!O158&gt;=Body!$CB$15,Body!$BZ$6," ")))))))))),IF(AND('Zdroj data'!BG158="ST",'Zdroj data'!AM158=Body!$AX$16),IF(AND('Zdroj data'!O158&gt;=Body!$AY$16,'Zdroj data'!O158&lt;=Body!$BA$16),Body!$AY$6,IF(AND('Zdroj data'!O158&gt;=Body!$BB$16,'Zdroj data'!O158&lt;=Body!$BD$16),Body!$BB$6,IF(AND('Zdroj data'!O158&gt;=Body!$BE$16,'Zdroj data'!O158&lt;=Body!$BG$16),Body!$BE$6,IF(AND('Zdroj data'!O158&gt;=Body!$BH$16,'Zdroj data'!O158&lt;=Body!$BJ$16),Body!$BH$6,IF(AND('Zdroj data'!O158&gt;=Body!$BK$16,'Zdroj data'!O158&lt;=Body!$BM$16),Body!$BK$6,IF(AND('Zdroj data'!O158&gt;=Body!$BN$16,'Zdroj data'!O158&lt;=Body!$BP$16),Body!$BN$6,IF(AND('Zdroj data'!O158&gt;=Body!$BQ$16,'Zdroj data'!O158&lt;=Body!$BS$16),Body!$BQ$6,IF(AND('Zdroj data'!O158&gt;=Body!$BT$16,'Zdroj data'!O158&lt;=Body!$BV$16),Body!$BT$6,IF(AND('Zdroj data'!O158&gt;=Body!$BW$16,'Zdroj data'!O158&lt;=Body!$BY$16),Body!$BW$6,IF('Zdroj data'!O158&gt;=Body!$CB$16,Body!$BZ$6," ")))))))))),IF(AND('Zdroj data'!BG158="T",'Zdroj data'!AM158=Body!$AX$17),IF(AND('Zdroj data'!O158&gt;=Body!$AY$17,'Zdroj data'!O158&lt;=Body!$BA$17),Body!$AY$6,IF(AND('Zdroj data'!O158&gt;=Body!$BB$17,'Zdroj data'!O158&lt;=Body!$BD$17),Body!$BB$6,IF(AND('Zdroj data'!O158&gt;=Body!$BE$17,'Zdroj data'!O158&lt;=Body!$BG$17),Body!$BE$6,IF(AND('Zdroj data'!O158&gt;=Body!$BH$17,'Zdroj data'!O158&lt;=Body!BJ172),Body!$BH$6,IF(AND('Zdroj data'!O158&gt;=Body!$BK$17,'Zdroj data'!O158&lt;=Body!$BM$17),Body!$BK$6,IF(AND('Zdroj data'!O158&gt;=Body!$BN$17,'Zdroj data'!O158&lt;=Body!$BP$17),Body!$BN$6,IF(AND('Zdroj data'!O158&gt;=Body!$BQ$17,'Zdroj data'!O158&lt;=Body!$BS$17),Body!$BQ$6,IF(AND('Zdroj data'!O158&gt;=Body!$BT$17,'Zdroj data'!O158&lt;=Body!$BV$17),Body!$BT$6,IF(AND('Zdroj data'!O158&gt;=Body!$BW$17,'Zdroj data'!O158&lt;=Body!$BY$17),Body!$BW$6,IF('Zdroj data'!O158&gt;=Body!$CB$17,Body!$BZ$6," "))))))))))," ")))</f>
        <v xml:space="preserve"> </v>
      </c>
      <c r="AG158" s="264" t="str">
        <f>IF(AND('Zdroj data'!$BG158="L",'Zdroj data'!$AM158=Body!$AX$15),IF(AND(Tabulka1[[#This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data'!$BG158="ST",'Zdroj data'!$AM158=Body!$AX$16),IF(AND(Tabulka1[[#This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data'!$BG158="T",'Zdroj data'!$AM158=Body!$AX$17),IF(AND(Tabulka1[[#This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Row],[K2O_60]]&lt;=Body!BJ172),Body!$BH$6,IF(AND(Tabulka1[[#This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158" s="264">
        <f>IF(AND('Zdroj data'!BG158="L",'Zdroj data'!AM158=Body!$AX$18),IF(AND('Zdroj data'!O158&gt;=Body!$AY$18,'Zdroj data'!O158&lt;=Body!$BA$18),Body!AY$6,IF(AND('Zdroj data'!O158&gt;=Body!$BB$18,'Zdroj data'!O158&lt;=Body!$BD$18),Body!BB$6,IF(AND('Zdroj data'!O158&gt;=Body!$BE$18,'Zdroj data'!O158&lt;=Body!$BG$18),Body!BE$6,IF(AND('Zdroj data'!O158&gt;=Body!$BH$18,'Zdroj data'!O158&lt;=Body!$BJ$18),Body!BH$6,IF(AND('Zdroj data'!O158&gt;=Body!$BK$18,'Zdroj data'!O158&lt;=Body!$BM$18),Body!$BK$6,IF(AND('Zdroj data'!O158&gt;=Body!$BN$18,'Zdroj data'!O158&lt;=Body!$BP$18),Body!BN$6,IF(AND('Zdroj data'!O158&gt;=Body!$BQ$18,'Zdroj data'!O158&lt;=Body!$BS$18),Body!$BQ$6,IF(AND('Zdroj data'!O158&gt;=Body!$BT$18,'Zdroj data'!O158&lt;=Body!$BV$18),Body!$BT$6,IF(AND('Zdroj data'!O158&gt;=Body!$BW$18,'Zdroj data'!O158&lt;=Body!$BY$18),Body!$BW$6,IF('Zdroj data'!O158&gt;=Body!$CB$18,Body!$BZ$6," ")))))))))),IF(AND('Zdroj data'!BG158="ST",'Zdroj data'!AM158=Body!$AX$19),IF(AND('Zdroj data'!O158&gt;=Body!$AY$19,'Zdroj data'!O158&lt;=Body!$BA$19),Body!$AY$6,IF(AND('Zdroj data'!O158&gt;=Body!$BB$19,'Zdroj data'!O158&lt;=Body!$BD$19),Body!$BB$6,IF(AND('Zdroj data'!O158&gt;=Body!$BE$19,'Zdroj data'!O158&lt;=Body!$BG$19),Body!$BE$6,IF(AND('Zdroj data'!O158&gt;=Body!$BH$19,'Zdroj data'!O158&lt;=Body!$BJ$19),Body!$BH$6,IF(AND('Zdroj data'!O158&gt;=Body!$BK$19,'Zdroj data'!O158&lt;=Body!$BM$19),Body!$BK$6,IF(AND('Zdroj data'!O158&gt;=Body!$BN$19,'Zdroj data'!O158&lt;=Body!$BP$19),Body!$BN$6,IF(AND('Zdroj data'!O158&gt;=Body!$BQ$19,'Zdroj data'!O158&lt;=Body!$BS$19),Body!$BQ$6,IF(AND('Zdroj data'!O158&gt;=Body!$BT$19,'Zdroj data'!O162&lt;=Body!$BV$19),Body!$BT$6,IF(AND('Zdroj data'!O158&gt;=Body!$BW$19,'Zdroj data'!O158&lt;=Body!$BY$19),Body!$BW$6,IF('Zdroj data'!O158&gt;=Body!$CB$19,Body!$BZ$6," ")))))))))),IF(AND('Zdroj data'!BG158="T",'Zdroj data'!AM158=Body!$AX$20),IF(AND('Zdroj data'!O158&gt;=Body!$AY$20,'Zdroj data'!O158&lt;=Body!$BA$20),Body!$AY$6,IF(AND('Zdroj data'!O158&gt;=Body!$BB$20,'Zdroj data'!O158&lt;=Body!$BD$20),Body!$BB$6,IF(AND('Zdroj data'!O158&gt;=Body!$BE$20,'Zdroj data'!O158&lt;=Body!$BG$20),Body!$BE$6,IF(AND('Zdroj data'!O158&gt;=Body!$BH$20,'Zdroj data'!O158&lt;=Body!$BJ$20),Body!$BH$6,IF(AND('Zdroj data'!O158&gt;=Body!$BK$20,'Zdroj data'!O158&lt;=Body!$BM$20),Body!$BK$6,IF(AND('Zdroj data'!O158&gt;=Body!$BN$20,'Zdroj data'!O158&lt;=Body!$BP$20),Body!$BN$6,IF(AND('Zdroj data'!O158&gt;=Body!$BQ$20,'Zdroj data'!O158&lt;=Body!$BS$20),Body!$BQ$6,IF(AND('Zdroj data'!O158&gt;=Body!$BT$20,'Zdroj data'!O158&lt;=Body!#REF!),Body!$BT$6,IF(AND('Zdroj data'!O158&gt;=Body!$BW$20,'Zdroj data'!O158&lt;=Body!$BY$20),Body!$BW$6,IF('Zdroj data'!O158&gt;=Body!$CB$20,Body!$BZ$6," "))))))))))," ")))</f>
        <v>3</v>
      </c>
      <c r="AI158" s="264">
        <f>IF(AND('Zdroj data'!$BG158="L",'Zdroj data'!$AM158=Body!$AX$18),IF(AND(Tabulka1[[#This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data'!$BG158="ST",'Zdroj data'!$AM158=Body!$AX$19),IF(AND(Tabulka1[[#This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data'!$BG158="T",'Zdroj data'!$AM158=Body!$AX$20),IF(AND(Tabulka1[[#This Row],[K2O_60]]&gt;=Body!$AY$20,'Zdroj data'!O158&lt;=Body!$BA$20),Body!$AY$6,IF(AND(Tabulka1[[#This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2</v>
      </c>
      <c r="AJ158" s="265">
        <f t="shared" si="26"/>
        <v>6.6666666666666714</v>
      </c>
      <c r="AK158" s="264">
        <f t="shared" si="27"/>
        <v>29.79907609405144</v>
      </c>
      <c r="AL158" s="264">
        <f t="shared" si="28"/>
        <v>29.950223429335651</v>
      </c>
      <c r="AM158" s="264">
        <f t="shared" si="29"/>
        <v>65.959335966080928</v>
      </c>
      <c r="AN158" s="264">
        <f t="shared" si="30"/>
        <v>72.962146337560867</v>
      </c>
      <c r="AO158" s="265">
        <f t="shared" si="33"/>
        <v>95.758412060132372</v>
      </c>
      <c r="AP158" s="265">
        <f t="shared" si="31"/>
        <v>102.91236976689652</v>
      </c>
      <c r="AQ158" s="318"/>
      <c r="AR158" s="338">
        <f t="shared" si="32"/>
        <v>205.33744849369555</v>
      </c>
      <c r="AS158" s="318"/>
      <c r="AT158" s="138"/>
      <c r="AU158" s="138"/>
    </row>
    <row r="159" spans="1:47" ht="15.5" x14ac:dyDescent="0.35">
      <c r="A159" s="270">
        <v>9164</v>
      </c>
      <c r="B159" s="156" t="s">
        <v>629</v>
      </c>
      <c r="C159" s="250" t="str">
        <f>VLOOKUP(B159,'Zdroj hloubka okresy'!$A$2:$D$171,2,FALSE)</f>
        <v>Mlada_Boleslav</v>
      </c>
      <c r="D159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9</v>
      </c>
      <c r="E159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159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59" s="264">
        <f>IF(AND(Tabulka1[[#This Row],[hum_60]]&gt;AY165,Tabulka1[[#This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59" s="264">
        <f>IF(Tabulka1[[#This Row],[kv.ek.]]=Body!$AX$13,IF(AND('Zdroj data'!M159&gt;=Body!$AY$13,'Zdroj data'!M159&lt;=Body!$BA$13),Body!$AY$6,IF(AND('Zdroj data'!M159&gt;=Body!$BB$13,'Zdroj data'!M159&lt;=Body!$BD$13),Body!$BB$6,IF(AND('Zdroj data'!M159&gt;=Body!$BE$13,'Zdroj data'!M159&lt;=Body!$BG$13),Body!$BE$6,IF(AND('Zdroj data'!M159&gt;=Body!$BH$13,'Zdroj data'!M159&lt;=Body!$BJ$13),Body!$BH$6,IF(AND('Zdroj data'!M159&gt;=Body!$BK$13,'Zdroj data'!M159&lt;=Body!$BM$13),Body!$BK$6,IF(AND('Zdroj data'!M159&gt;=Body!$BN$13,'Zdroj data'!M159&lt;=Body!$BP$13),Body!$BN$6,IF(AND('Zdroj data'!M159&gt;=Body!$BQ$13,'Zdroj data'!M159&lt;=Body!$BS$13),Body!$BQ$6,IF(AND('Zdroj data'!M159&gt;=Body!$BT$13,'Zdroj data'!M159&lt;=Body!$BV$13),Body!$BT$6,IF(AND('Zdroj data'!M159&gt;=Body!$BW$13,'Zdroj data'!M159&lt;=Body!$BY$13),Body!$BW$6,IF('Zdroj data'!M159&gt;=Body!$CB$13,Body!$BZ$6," ")))))))))),IF(Tabulka1[[#This Row],[kv.ek.]]=Body!$AX$14,IF(AND('Zdroj data'!N159&gt;=Body!$AY$14,'Zdroj data'!N159&lt;=Body!$BA$14),Body!$AY$6,IF(AND('Zdroj data'!N159&gt;=Body!$BB$14,'Zdroj data'!N159&lt;=Body!$BD$14),Body!$BB$6,IF(AND('Zdroj data'!N159&gt;=Body!$BE$14,'Zdroj data'!N159&lt;=Body!$BG$14),Body!$BE$6,IF(AND('Zdroj data'!N159&gt;=Body!$BH$14,'Zdroj data'!N159&lt;=Body!$BJ$14),Body!$BH$6,IF(AND('Zdroj data'!N159&gt;=Body!$BK$14,'Zdroj data'!N159&lt;=Body!$BM$14),Body!$BK$6,IF(AND('Zdroj data'!N159&gt;=Body!$BN$14,'Zdroj data'!N159&lt;=Body!$BP$14),Body!$BN$6,IF(AND('Zdroj data'!N159&gt;=Body!$BQ$14,'Zdroj data'!N159&lt;=Body!$BS$14),Body!$BQ$6,IF(AND('Zdroj data'!N159&gt;=Body!$BT$14,'Zdroj data'!N159&lt;=Body!$BV$14),Body!$BT$6,IF(AND('Zdroj data'!N159&gt;=Body!$BW$14,'Zdroj data'!N159&lt;=Body!$BY$14),Body!$BW$6,IF('Zdroj data'!N159&gt;=Body!$CB$14,Body!$BZ$6," "))))))))))," "))</f>
        <v>4</v>
      </c>
      <c r="I159" s="264">
        <f>IF(Tabulka1[[#This Row],[kv.ek.]]=Body!$AX$13,IF(AND('Zdroj data'!N159&gt;=Body!$AY$13,'Zdroj data'!N159&lt;=Body!$BA$13),Body!$AY$6,IF(AND('Zdroj data'!N159&gt;=Body!$BB$13,'Zdroj data'!N159&lt;=Body!$BD$13),Body!$BB$6,IF(AND('Zdroj data'!N159&gt;=Body!$BE$13,'Zdroj data'!N159&lt;=Body!$BG$13),Body!$BE$6,IF(AND('Zdroj data'!N159&gt;=Body!$BH$13,'Zdroj data'!N159&lt;=Body!$BJ$13),Body!$BH$6,IF(AND('Zdroj data'!N159&gt;=Body!$BK$13,'Zdroj data'!N159&lt;=Body!$BM$13),Body!$BK$6,IF(AND('Zdroj data'!N159&gt;=Body!$BN$13,'Zdroj data'!N159&lt;=Body!$BP$13),Body!$BN$6,IF(AND('Zdroj data'!N159&gt;=Body!$BQ$13,'Zdroj data'!N159&lt;=Body!$BS$13),Body!$BQ$6,IF(AND('Zdroj data'!N159&gt;=Body!$BT$13,'Zdroj data'!N159&lt;=Body!$BV$13),Body!$BT$6,IF(AND('Zdroj data'!N159&gt;=Body!$BW$13,'Zdroj data'!N159&lt;=Body!$BY$13),Body!$BW$6,IF('Zdroj data'!N159&gt;=Body!$CB$13,Body!$BZ$6," ")))))))))),IF(Tabulka1[[#This Row],[kv.ek.]]=Body!$AX$14,IF(AND('Zdroj data'!O159&gt;=Body!$AY$14,'Zdroj data'!O159&lt;=Body!$BA$14),Body!$AY$6,IF(AND('Zdroj data'!O159&gt;=Body!$BB$14,'Zdroj data'!O159&lt;=Body!$BD$14),Body!$BB$6,IF(AND('Zdroj data'!O159&gt;=Body!$BE$14,'Zdroj data'!O159&lt;=Body!$BG$14),Body!$BE$6,IF(AND('Zdroj data'!O159&gt;=Body!$BH$14,'Zdroj data'!O159&lt;=Body!$BJ$14),Body!$BH$6,IF(AND('Zdroj data'!O159&gt;=Body!$BK$14,'Zdroj data'!O159&lt;=Body!$BM$14),Body!$BK$6,IF(AND('Zdroj data'!O159&gt;=Body!$BN$14,'Zdroj data'!O159&lt;=Body!$BP$14),Body!$BN$6,IF(AND('Zdroj data'!O159&gt;=Body!$BQ$14,'Zdroj data'!O159&lt;=Body!$BS$14),Body!$BQ$6,IF(AND('Zdroj data'!O159&gt;=Body!$BT$14,'Zdroj data'!O159&lt;=Body!$BV$14),Body!$BT$6,IF(AND('Zdroj data'!O159&gt;=Body!$BW$14,'Zdroj data'!O159&lt;=Body!$BY$14),Body!$BW$6,IF('Zdroj data'!O159&gt;=Body!$CB$14,Body!$BZ$6," "))))))))))," "))</f>
        <v>2</v>
      </c>
      <c r="J159" s="264">
        <f t="shared" si="25"/>
        <v>5</v>
      </c>
      <c r="K159" s="264">
        <f t="shared" si="25"/>
        <v>3</v>
      </c>
      <c r="L159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2</v>
      </c>
      <c r="M159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1</v>
      </c>
      <c r="N159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6</v>
      </c>
      <c r="O159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5</v>
      </c>
      <c r="P159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159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2</v>
      </c>
      <c r="R159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2</v>
      </c>
      <c r="S159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4</v>
      </c>
      <c r="T159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3</v>
      </c>
      <c r="U159" s="264">
        <f>IF('Zdroj data'!BB159=Body!$AY$25,Body!$AY$22,IF('Zdroj data'!BB159=Body!$BB$25,Body!$BB$22,IF('Zdroj data'!BB159=Body!$BE$25,Body!$BE$22,IF('Zdroj data'!BB159=Body!$BH$25,Body!$BH$22,IF('Zdroj data'!BB159=Body!BK$25,Body!$BK$22,IF('Zdroj data'!BB159=Body!$BN$25,Body!$BN$22,IF('Zdroj data'!BB159=Body!$BQ$25,Body!$BQ$22,IF('Zdroj data'!BB159=Body!$BT$25,Body!$BT$22,IF('Zdroj data'!BB159=Body!$BW$25,Body!$BW$22,IF('Zdroj data'!BB159=Body!$BZ$25,Body!$BZ$22," "))))))))))</f>
        <v>5</v>
      </c>
      <c r="V159" s="264">
        <f>IF(AND('Zdroj data'!BO159&gt;Body!$AY$27,'Zdroj data'!BO159&lt;=Body!$BA$27),Body!$AY$22,IF(AND('Zdroj data'!BO159&gt;=Body!$BB$27,'Zdroj data'!BO159&lt;=Body!$BD$27),Body!$BB$22,IF(AND('Zdroj data'!BO159&gt;=Body!$BE$27,'Zdroj data'!BO159&lt;=Body!$BG$27),Body!$BE$22,IF(AND('Zdroj data'!BO159&gt;=Body!$BH$27,'Zdroj data'!BO159&lt;=Body!$BJ$27),Body!$BH$22,IF(AND('Zdroj data'!BO159&gt;=Body!$BK$27,'Zdroj data'!BO159&lt;=Body!$BM$27),Body!$BK$22,IF(AND('Zdroj data'!BO159&gt;=Body!$BN$27,'Zdroj data'!BO159&lt;=Body!$BP$27),Body!$BN$22,IF(AND('Zdroj data'!BO159&gt;=Body!$BQ$27,'Zdroj data'!BO159&lt;=Body!$BS$27),Body!$BQ$22,IF(AND('Zdroj data'!BO159&gt;=Body!$BT$27,'Zdroj data'!BO159&lt;=Body!$BV$27),Body!$BT$22,IF(AND('Zdroj data'!BO159&gt;=Body!$BW$27,'Zdroj data'!BO159&lt;=Body!$BY$27),Body!$BW$22,IF('Zdroj data'!BO159&gt;=Body!$CB$27,$BZ$22," "))))))))))</f>
        <v>8</v>
      </c>
      <c r="W159" s="264">
        <f>IF(AND('Zdroj data'!BP159&gt;Body!$AY$27,'Zdroj data'!BP159&lt;=Body!$BA$27),Body!$AY$22,IF(AND('Zdroj data'!BP159&gt;=Body!$BB$27,'Zdroj data'!BP159&lt;=Body!$BD$27),Body!$BB$22,IF(AND('Zdroj data'!BP159&gt;=Body!$BE$27,'Zdroj data'!BP159&lt;=Body!$BG$27),Body!$BE$22,IF(AND('Zdroj data'!BP159&gt;=Body!$BH$27,'Zdroj data'!BP159&lt;=Body!$BJ$27),Body!$BH$22,IF(AND('Zdroj data'!BP159&gt;=Body!$BK$27,'Zdroj data'!BP159&lt;=Body!$BM$27),Body!$BK$22,IF(AND('Zdroj data'!BP159&gt;=Body!$BN$27,'Zdroj data'!BP159&lt;=Body!$BP$27),Body!$BN$22,IF(AND('Zdroj data'!BP159&gt;=Body!$BQ$27,'Zdroj data'!BP159&lt;=Body!$BS$27),Body!$BQ$22,IF(AND('Zdroj data'!BP159&gt;=Body!$BT$27,'Zdroj data'!BP159&lt;=Body!$BV$27),Body!$BT$22,IF(AND('Zdroj data'!BP159&gt;=Body!$BW$27,'Zdroj data'!BP159&lt;=Body!$BY$27),Body!$BW$22,IF('Zdroj data'!BP159&gt;=Body!$CB$27,$BZ$22," "))))))))))</f>
        <v>4</v>
      </c>
      <c r="X159" s="264">
        <f>IF('Zdroj data'!BA159=Body!$BB$28,$BB$22,IF('Zdroj data'!BA159=Body!$BE$28,$BE$22,IF(OR('Zdroj data'!BA159=Body!$BK$28,'Zdroj data'!BA159=Body!$BL$28,'Zdroj data'!BA159=Body!$BM$28),$BK$22,IF(OR('Zdroj data'!BA159=Body!$BT$28,'Zdroj data'!BA159=Body!$BV$28),$BT$22,IF(OR('Zdroj data'!BA159=Body!$BW$28,'Zdroj data'!BA159=Body!$BY$28),$BW$22,IF('Zdroj data'!BA159=Body!$BZ$28,$BZ$22," "))))))</f>
        <v>10</v>
      </c>
      <c r="Y159" s="264">
        <f>IF('Zdroj data'!AZ159=Body!$BZ$29,Body!$BZ$22,IF(OR('Zdroj data'!AZ159=$BT$29,'Zdroj data'!AZ159=$BU$29,'Zdroj data'!AZ159=$BV$29),$BT$22,IF(OR('Zdroj data'!AZ159=$BK$29,'Zdroj data'!AZ159=$BM$29),$BK$22,IF(OR('Zdroj data'!AZ159=$BE$29,'Zdroj data'!AZ159=$BG$29),$BE$22,IF(OR('Zdroj data'!AZ159=$AY$29,'Zdroj data'!AZ159=$BA$29),$AY$22," ")))))</f>
        <v>8</v>
      </c>
      <c r="Z159" s="264">
        <f>IF(AND('Zdroj data'!BF159="T",(OR('Zdroj data'!AZ159=Body!$AW$45,'Zdroj data'!AZ159=Body!$AW$46,'Zdroj data'!AZ159=Body!$AW$47,'Zdroj data'!AZ159=Body!$AW$48))),Body!$AY$22,IF(AND('Zdroj data'!BF159="T",(OR('Zdroj data'!AZ159=$AW$49,'Zdroj data'!AZ159=$AW$50,'Zdroj data'!AZ159=$AW$51,'Zdroj data'!AZ159=$AW$52))),$BZ$22,IF(AND(OR('Zdroj data'!BF159="VT",'Zdroj data'!BF159="T",'Zdroj data'!BF159="CH"),(OR('Zdroj data'!AZ159=$AW$43,'Zdroj data'!AZ159=$AW$44,))),$BZ$22,IF(AND('Zdroj data'!BF159="CH",(OR('Zdroj data'!AZ159=$AW$49,'Zdroj data'!AZ159=$AW$50,'Zdroj data'!AZ159=$AW$51,'Zdroj data'!AZ159=$AW$52))),$AY$22,IF(AND('Zdroj data'!BF159="CH",(OR('Zdroj data'!AZ159=$AW$45,'Zdroj data'!AZ159=$AW$46,'Zdroj data'!AZ159=$AW$47,'Zdroj data'!AZ159=$AW$48))),$BZ$22," ")))))</f>
        <v>10</v>
      </c>
      <c r="AA159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10</v>
      </c>
      <c r="AB159" s="264">
        <f>IF(Tabulka1[[#This Row],[kv.ek.]]=Body!$BK$35,Body!$BK$34,IF(Tabulka1[[#This Row],[kv.ek.]]=Body!$BZ$35,Body!$BZ$34," "))</f>
        <v>5</v>
      </c>
      <c r="AC159" s="264" t="str">
        <f>IF(AND('Zdroj data'!BF159="T",(OR('Zdroj data'!AZ159=Body!$AW$45,'Zdroj data'!AZ159=Body!$AW$46,'Zdroj data'!AZ159=Body!$AW$47,'Zdroj data'!AZ159=Body!$AW$48))),Body!$AY$22,IF(AND('Zdroj data'!BF159="T",(OR('Zdroj data'!AZ159=$AW$49,'Zdroj data'!AZ159=$AW$50,'Zdroj data'!AZ159=$AW$51,'Zdroj data'!AZ159=$AW$52))),$BZ$22," "))</f>
        <v xml:space="preserve"> </v>
      </c>
      <c r="AD159" s="264">
        <f>IF(AND(OR('Zdroj data'!BF159="VT",'Zdroj data'!BF159="T",'Zdroj data'!BF159="CH"),(OR('Zdroj data'!AZ159=$AW$43,'Zdroj data'!AZ159=$AW$44,))),$BZ$22," ")</f>
        <v>10</v>
      </c>
      <c r="AE159" s="264" t="str">
        <f>IF(AND('Zdroj data'!BF159="CH",(OR('Zdroj data'!AZ159=$AW$49,'Zdroj data'!AZ159=$AW$50,'Zdroj data'!AZ159=$AW$51,'Zdroj data'!AZ159=$AW$52))),$AY$22,IF(AND('Zdroj data'!BF159="CH",(OR('Zdroj data'!AZ159=$AW$45,'Zdroj data'!AZ159=$AW$46,'Zdroj data'!AZ159=$AW$47,'Zdroj data'!AZ159=$AW$48))),$BZ$22," "))</f>
        <v xml:space="preserve"> </v>
      </c>
      <c r="AF159" s="264">
        <f>IF(AND('Zdroj data'!BG159="L",'Zdroj data'!AM159=Body!$AX$15),IF(AND('Zdroj data'!O159&gt;=Body!$AY$15,'Zdroj data'!O159&lt;=Body!$BA$15),Body!AY$6,IF(AND('Zdroj data'!O159&gt;=Body!$BB$15,'Zdroj data'!O159&lt;=Body!$BD$15),Body!BB$6,IF(AND('Zdroj data'!O159&gt;=Body!$BE$15,'Zdroj data'!O159&lt;=Body!$BG$15),Body!BE$6,IF(AND('Zdroj data'!O159&gt;=Body!$BH$15,'Zdroj data'!O159&lt;=Body!$BJ$15),Body!BH$6,IF(AND('Zdroj data'!O159&gt;=Body!$BK$15,'Zdroj data'!O159&lt;=Body!$BM$15),Body!BK$6,IF(AND('Zdroj data'!O159&gt;=Body!$BN$15,'Zdroj data'!O159&lt;=Body!$BP$15),Body!$BN$6,IF(AND('Zdroj data'!O159&gt;=Body!$BQ$15,'Zdroj data'!O159&lt;=Body!$BS$15),Body!$BQ$6,IF(AND('Zdroj data'!O159&gt;=Body!$BT$15,'Zdroj data'!O159&lt;=Body!$BV$15),Body!BT$6,IF(AND('Zdroj data'!O159&gt;=Body!$BW$15,'Zdroj data'!O159&lt;=Body!$BY$15),Body!$BW$6,IF('Zdroj data'!O159&gt;=Body!$CB$15,Body!$BZ$6," ")))))))))),IF(AND('Zdroj data'!BG159="ST",'Zdroj data'!AM159=Body!$AX$16),IF(AND('Zdroj data'!O159&gt;=Body!$AY$16,'Zdroj data'!O159&lt;=Body!$BA$16),Body!$AY$6,IF(AND('Zdroj data'!O159&gt;=Body!$BB$16,'Zdroj data'!O159&lt;=Body!$BD$16),Body!$BB$6,IF(AND('Zdroj data'!O159&gt;=Body!$BE$16,'Zdroj data'!O159&lt;=Body!$BG$16),Body!$BE$6,IF(AND('Zdroj data'!O159&gt;=Body!$BH$16,'Zdroj data'!O159&lt;=Body!$BJ$16),Body!$BH$6,IF(AND('Zdroj data'!O159&gt;=Body!$BK$16,'Zdroj data'!O159&lt;=Body!$BM$16),Body!$BK$6,IF(AND('Zdroj data'!O159&gt;=Body!$BN$16,'Zdroj data'!O159&lt;=Body!$BP$16),Body!$BN$6,IF(AND('Zdroj data'!O159&gt;=Body!$BQ$16,'Zdroj data'!O159&lt;=Body!$BS$16),Body!$BQ$6,IF(AND('Zdroj data'!O159&gt;=Body!$BT$16,'Zdroj data'!O159&lt;=Body!$BV$16),Body!$BT$6,IF(AND('Zdroj data'!O159&gt;=Body!$BW$16,'Zdroj data'!O159&lt;=Body!$BY$16),Body!$BW$6,IF('Zdroj data'!O159&gt;=Body!$CB$16,Body!$BZ$6," ")))))))))),IF(AND('Zdroj data'!BG159="T",'Zdroj data'!AM159=Body!$AX$17),IF(AND('Zdroj data'!O159&gt;=Body!$AY$17,'Zdroj data'!O159&lt;=Body!$BA$17),Body!$AY$6,IF(AND('Zdroj data'!O159&gt;=Body!$BB$17,'Zdroj data'!O159&lt;=Body!$BD$17),Body!$BB$6,IF(AND('Zdroj data'!O159&gt;=Body!$BE$17,'Zdroj data'!O159&lt;=Body!$BG$17),Body!$BE$6,IF(AND('Zdroj data'!O159&gt;=Body!$BH$17,'Zdroj data'!O159&lt;=Body!#REF!),Body!$BH$6,IF(AND('Zdroj data'!O159&gt;=Body!$BK$17,'Zdroj data'!O159&lt;=Body!$BM$17),Body!$BK$6,IF(AND('Zdroj data'!O159&gt;=Body!$BN$17,'Zdroj data'!O159&lt;=Body!$BP$17),Body!$BN$6,IF(AND('Zdroj data'!O159&gt;=Body!$BQ$17,'Zdroj data'!O159&lt;=Body!$BS$17),Body!$BQ$6,IF(AND('Zdroj data'!O159&gt;=Body!$BT$17,'Zdroj data'!O159&lt;=Body!$BV$17),Body!$BT$6,IF(AND('Zdroj data'!O159&gt;=Body!$BW$17,'Zdroj data'!O159&lt;=Body!$BY$17),Body!$BW$6,IF('Zdroj data'!O159&gt;=Body!$CB$17,Body!$BZ$6," "))))))))))," ")))</f>
        <v>5</v>
      </c>
      <c r="AG159" s="264">
        <f>IF(AND('Zdroj data'!$BG159="L",'Zdroj data'!$AM159=Body!$AX$15),IF(AND(Tabulka1[[#This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data'!$BG159="ST",'Zdroj data'!$AM159=Body!$AX$16),IF(AND(Tabulka1[[#This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data'!$BG159="T",'Zdroj data'!$AM159=Body!$AX$17),IF(AND(Tabulka1[[#This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3</v>
      </c>
      <c r="AH159" s="264" t="str">
        <f>IF(AND('Zdroj data'!BG159="L",'Zdroj data'!AM159=Body!$AX$18),IF(AND('Zdroj data'!O159&gt;=Body!$AY$18,'Zdroj data'!O159&lt;=Body!$BA$18),Body!AY$6,IF(AND('Zdroj data'!O159&gt;=Body!$BB$18,'Zdroj data'!O159&lt;=Body!$BD$18),Body!BB$6,IF(AND('Zdroj data'!O159&gt;=Body!$BE$18,'Zdroj data'!O159&lt;=Body!$BG$18),Body!BE$6,IF(AND('Zdroj data'!O159&gt;=Body!$BH$18,'Zdroj data'!O159&lt;=Body!$BJ$18),Body!BH$6,IF(AND('Zdroj data'!O159&gt;=Body!$BK$18,'Zdroj data'!O159&lt;=Body!$BM$18),Body!$BK$6,IF(AND('Zdroj data'!O159&gt;=Body!$BN$18,'Zdroj data'!O159&lt;=Body!$BP$18),Body!BN$6,IF(AND('Zdroj data'!O159&gt;=Body!$BQ$18,'Zdroj data'!O159&lt;=Body!$BS$18),Body!$BQ$6,IF(AND('Zdroj data'!O159&gt;=Body!$BT$18,'Zdroj data'!O159&lt;=Body!$BV$18),Body!$BT$6,IF(AND('Zdroj data'!O159&gt;=Body!$BW$18,'Zdroj data'!O159&lt;=Body!$BY$18),Body!$BW$6,IF('Zdroj data'!O159&gt;=Body!$CB$18,Body!$BZ$6," ")))))))))),IF(AND('Zdroj data'!BG159="ST",'Zdroj data'!AM159=Body!$AX$19),IF(AND('Zdroj data'!O159&gt;=Body!$AY$19,'Zdroj data'!O159&lt;=Body!$BA$19),Body!$AY$6,IF(AND('Zdroj data'!O159&gt;=Body!$BB$19,'Zdroj data'!O159&lt;=Body!$BD$19),Body!$BB$6,IF(AND('Zdroj data'!O159&gt;=Body!$BE$19,'Zdroj data'!O159&lt;=Body!$BG$19),Body!$BE$6,IF(AND('Zdroj data'!O159&gt;=Body!$BH$19,'Zdroj data'!O159&lt;=Body!$BJ$19),Body!$BH$6,IF(AND('Zdroj data'!O159&gt;=Body!$BK$19,'Zdroj data'!O159&lt;=Body!$BM$19),Body!$BK$6,IF(AND('Zdroj data'!O159&gt;=Body!$BN$19,'Zdroj data'!O159&lt;=Body!$BP$19),Body!$BN$6,IF(AND('Zdroj data'!O159&gt;=Body!$BQ$19,'Zdroj data'!O159&lt;=Body!$BS$19),Body!$BQ$6,IF(AND('Zdroj data'!O159&gt;=Body!$BT$19,'Zdroj data'!O163&lt;=Body!$BV$19),Body!$BT$6,IF(AND('Zdroj data'!O159&gt;=Body!$BW$19,'Zdroj data'!O159&lt;=Body!$BY$19),Body!$BW$6,IF('Zdroj data'!O159&gt;=Body!$CB$19,Body!$BZ$6," ")))))))))),IF(AND('Zdroj data'!BG159="T",'Zdroj data'!AM159=Body!$AX$20),IF(AND('Zdroj data'!O159&gt;=Body!$AY$20,'Zdroj data'!O159&lt;=Body!$BA$20),Body!$AY$6,IF(AND('Zdroj data'!O159&gt;=Body!$BB$20,'Zdroj data'!O159&lt;=Body!$BD$20),Body!$BB$6,IF(AND('Zdroj data'!O159&gt;=Body!$BE$20,'Zdroj data'!O159&lt;=Body!$BG$20),Body!$BE$6,IF(AND('Zdroj data'!O159&gt;=Body!$BH$20,'Zdroj data'!O159&lt;=Body!$BJ$20),Body!$BH$6,IF(AND('Zdroj data'!O159&gt;=Body!$BK$20,'Zdroj data'!O159&lt;=Body!$BM$20),Body!$BK$6,IF(AND('Zdroj data'!O159&gt;=Body!$BN$20,'Zdroj data'!O159&lt;=Body!$BP$20),Body!$BN$6,IF(AND('Zdroj data'!O159&gt;=Body!$BQ$20,'Zdroj data'!O159&lt;=Body!$BS$20),Body!$BQ$6,IF(AND('Zdroj data'!O159&gt;=Body!$BT$20,'Zdroj data'!O159&lt;=Body!#REF!),Body!$BT$6,IF(AND('Zdroj data'!O159&gt;=Body!$BW$20,'Zdroj data'!O159&lt;=Body!$BY$20),Body!$BW$6,IF('Zdroj data'!O159&gt;=Body!$CB$20,Body!$BZ$6," "))))))))))," ")))</f>
        <v xml:space="preserve"> </v>
      </c>
      <c r="AI159" s="264" t="str">
        <f>IF(AND('Zdroj data'!$BG159="L",'Zdroj data'!$AM159=Body!$AX$18),IF(AND(Tabulka1[[#This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data'!$BG159="ST",'Zdroj data'!$AM159=Body!$AX$19),IF(AND(Tabulka1[[#This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data'!$BG159="T",'Zdroj data'!$AM159=Body!$AX$20),IF(AND(Tabulka1[[#This Row],[K2O_60]]&gt;=Body!$AY$20,'Zdroj data'!O159&lt;=Body!$BA$20),Body!$AY$6,IF(AND(Tabulka1[[#This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59" s="265">
        <f t="shared" si="26"/>
        <v>14.666666666666682</v>
      </c>
      <c r="AK159" s="264">
        <f t="shared" si="27"/>
        <v>23.821334280369992</v>
      </c>
      <c r="AL159" s="264">
        <f t="shared" si="28"/>
        <v>18.649626680152814</v>
      </c>
      <c r="AM159" s="264">
        <f t="shared" si="29"/>
        <v>53.301114973916768</v>
      </c>
      <c r="AN159" s="264">
        <f t="shared" si="30"/>
        <v>43.209118188032832</v>
      </c>
      <c r="AO159" s="265">
        <f t="shared" si="33"/>
        <v>77.122449254286764</v>
      </c>
      <c r="AP159" s="265">
        <f t="shared" si="31"/>
        <v>61.858744868185646</v>
      </c>
      <c r="AQ159" s="318"/>
      <c r="AR159" s="338">
        <f t="shared" si="32"/>
        <v>153.64786078913909</v>
      </c>
      <c r="AS159" s="318"/>
      <c r="AT159" s="138"/>
      <c r="AU159" s="138"/>
    </row>
    <row r="160" spans="1:47" ht="15.5" x14ac:dyDescent="0.35">
      <c r="A160" s="270">
        <v>9167</v>
      </c>
      <c r="B160" s="156" t="s">
        <v>597</v>
      </c>
      <c r="C160" s="250" t="str">
        <f>VLOOKUP(B160,'Zdroj hloubka okresy'!$A$2:$D$171,2,FALSE)</f>
        <v>Mlada_Boleslav</v>
      </c>
      <c r="D160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160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160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60" s="264">
        <f>IF(AND(Tabulka1[[#This Row],[hum_60]]&gt;AY166,Tabulka1[[#This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60" s="264">
        <f>IF(Tabulka1[[#This Row],[kv.ek.]]=Body!$AX$13,IF(AND('Zdroj data'!M160&gt;=Body!$AY$13,'Zdroj data'!M160&lt;=Body!$BA$13),Body!$AY$6,IF(AND('Zdroj data'!M160&gt;=Body!$BB$13,'Zdroj data'!M160&lt;=Body!$BD$13),Body!$BB$6,IF(AND('Zdroj data'!M160&gt;=Body!$BE$13,'Zdroj data'!M160&lt;=Body!$BG$13),Body!$BE$6,IF(AND('Zdroj data'!M160&gt;=Body!$BH$13,'Zdroj data'!M160&lt;=Body!$BJ$13),Body!$BH$6,IF(AND('Zdroj data'!M160&gt;=Body!$BK$13,'Zdroj data'!M160&lt;=Body!$BM$13),Body!$BK$6,IF(AND('Zdroj data'!M160&gt;=Body!$BN$13,'Zdroj data'!M160&lt;=Body!$BP$13),Body!$BN$6,IF(AND('Zdroj data'!M160&gt;=Body!$BQ$13,'Zdroj data'!M160&lt;=Body!$BS$13),Body!$BQ$6,IF(AND('Zdroj data'!M160&gt;=Body!$BT$13,'Zdroj data'!M160&lt;=Body!$BV$13),Body!$BT$6,IF(AND('Zdroj data'!M160&gt;=Body!$BW$13,'Zdroj data'!M160&lt;=Body!$BY$13),Body!$BW$6,IF('Zdroj data'!M160&gt;=Body!$CB$13,Body!$BZ$6," ")))))))))),IF(Tabulka1[[#This Row],[kv.ek.]]=Body!$AX$14,IF(AND('Zdroj data'!N160&gt;=Body!$AY$14,'Zdroj data'!N160&lt;=Body!$BA$14),Body!$AY$6,IF(AND('Zdroj data'!N160&gt;=Body!$BB$14,'Zdroj data'!N160&lt;=Body!$BD$14),Body!$BB$6,IF(AND('Zdroj data'!N160&gt;=Body!$BE$14,'Zdroj data'!N160&lt;=Body!$BG$14),Body!$BE$6,IF(AND('Zdroj data'!N160&gt;=Body!$BH$14,'Zdroj data'!N160&lt;=Body!$BJ$14),Body!$BH$6,IF(AND('Zdroj data'!N160&gt;=Body!$BK$14,'Zdroj data'!N160&lt;=Body!$BM$14),Body!$BK$6,IF(AND('Zdroj data'!N160&gt;=Body!$BN$14,'Zdroj data'!N160&lt;=Body!$BP$14),Body!$BN$6,IF(AND('Zdroj data'!N160&gt;=Body!$BQ$14,'Zdroj data'!N160&lt;=Body!$BS$14),Body!$BQ$6,IF(AND('Zdroj data'!N160&gt;=Body!$BT$14,'Zdroj data'!N160&lt;=Body!$BV$14),Body!$BT$6,IF(AND('Zdroj data'!N160&gt;=Body!$BW$14,'Zdroj data'!N160&lt;=Body!$BY$14),Body!$BW$6,IF('Zdroj data'!N160&gt;=Body!$CB$14,Body!$BZ$6," "))))))))))," "))</f>
        <v>5</v>
      </c>
      <c r="I160" s="264">
        <f>IF(Tabulka1[[#This Row],[kv.ek.]]=Body!$AX$13,IF(AND('Zdroj data'!N160&gt;=Body!$AY$13,'Zdroj data'!N160&lt;=Body!$BA$13),Body!$AY$6,IF(AND('Zdroj data'!N160&gt;=Body!$BB$13,'Zdroj data'!N160&lt;=Body!$BD$13),Body!$BB$6,IF(AND('Zdroj data'!N160&gt;=Body!$BE$13,'Zdroj data'!N160&lt;=Body!$BG$13),Body!$BE$6,IF(AND('Zdroj data'!N160&gt;=Body!$BH$13,'Zdroj data'!N160&lt;=Body!$BJ$13),Body!$BH$6,IF(AND('Zdroj data'!N160&gt;=Body!$BK$13,'Zdroj data'!N160&lt;=Body!$BM$13),Body!$BK$6,IF(AND('Zdroj data'!N160&gt;=Body!$BN$13,'Zdroj data'!N160&lt;=Body!$BP$13),Body!$BN$6,IF(AND('Zdroj data'!N160&gt;=Body!$BQ$13,'Zdroj data'!N160&lt;=Body!$BS$13),Body!$BQ$6,IF(AND('Zdroj data'!N160&gt;=Body!$BT$13,'Zdroj data'!N160&lt;=Body!$BV$13),Body!$BT$6,IF(AND('Zdroj data'!N160&gt;=Body!$BW$13,'Zdroj data'!N160&lt;=Body!$BY$13),Body!$BW$6,IF('Zdroj data'!N160&gt;=Body!$CB$13,Body!$BZ$6," ")))))))))),IF(Tabulka1[[#This Row],[kv.ek.]]=Body!$AX$14,IF(AND('Zdroj data'!O160&gt;=Body!$AY$14,'Zdroj data'!O160&lt;=Body!$BA$14),Body!$AY$6,IF(AND('Zdroj data'!O160&gt;=Body!$BB$14,'Zdroj data'!O160&lt;=Body!$BD$14),Body!$BB$6,IF(AND('Zdroj data'!O160&gt;=Body!$BE$14,'Zdroj data'!O160&lt;=Body!$BG$14),Body!$BE$6,IF(AND('Zdroj data'!O160&gt;=Body!$BH$14,'Zdroj data'!O160&lt;=Body!$BJ$14),Body!$BH$6,IF(AND('Zdroj data'!O160&gt;=Body!$BK$14,'Zdroj data'!O160&lt;=Body!$BM$14),Body!$BK$6,IF(AND('Zdroj data'!O160&gt;=Body!$BN$14,'Zdroj data'!O160&lt;=Body!$BP$14),Body!$BN$6,IF(AND('Zdroj data'!O160&gt;=Body!$BQ$14,'Zdroj data'!O160&lt;=Body!$BS$14),Body!$BQ$6,IF(AND('Zdroj data'!O160&gt;=Body!$BT$14,'Zdroj data'!O160&lt;=Body!$BV$14),Body!$BT$6,IF(AND('Zdroj data'!O160&gt;=Body!$BW$14,'Zdroj data'!O160&lt;=Body!$BY$14),Body!$BW$6,IF('Zdroj data'!O160&gt;=Body!$CB$14,Body!$BZ$6," "))))))))))," "))</f>
        <v>4</v>
      </c>
      <c r="J160" s="264">
        <f t="shared" si="25"/>
        <v>2</v>
      </c>
      <c r="K160" s="264">
        <f t="shared" si="25"/>
        <v>1</v>
      </c>
      <c r="L160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1</v>
      </c>
      <c r="M160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1</v>
      </c>
      <c r="N160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3</v>
      </c>
      <c r="O160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4</v>
      </c>
      <c r="P160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60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2</v>
      </c>
      <c r="R160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2</v>
      </c>
      <c r="S160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4</v>
      </c>
      <c r="T160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4</v>
      </c>
      <c r="U160" s="264">
        <f>IF('Zdroj data'!BB160=Body!$AY$25,Body!$AY$22,IF('Zdroj data'!BB160=Body!$BB$25,Body!$BB$22,IF('Zdroj data'!BB160=Body!$BE$25,Body!$BE$22,IF('Zdroj data'!BB160=Body!$BH$25,Body!$BH$22,IF('Zdroj data'!BB160=Body!BK$25,Body!$BK$22,IF('Zdroj data'!BB160=Body!$BN$25,Body!$BN$22,IF('Zdroj data'!BB160=Body!$BQ$25,Body!$BQ$22,IF('Zdroj data'!BB160=Body!$BT$25,Body!$BT$22,IF('Zdroj data'!BB160=Body!$BW$25,Body!$BW$22,IF('Zdroj data'!BB160=Body!$BZ$25,Body!$BZ$22," "))))))))))</f>
        <v>7</v>
      </c>
      <c r="V160" s="264">
        <f>IF(AND('Zdroj data'!BO160&gt;Body!$AY$27,'Zdroj data'!BO160&lt;=Body!$BA$27),Body!$AY$22,IF(AND('Zdroj data'!BO160&gt;=Body!$BB$27,'Zdroj data'!BO160&lt;=Body!$BD$27),Body!$BB$22,IF(AND('Zdroj data'!BO160&gt;=Body!$BE$27,'Zdroj data'!BO160&lt;=Body!$BG$27),Body!$BE$22,IF(AND('Zdroj data'!BO160&gt;=Body!$BH$27,'Zdroj data'!BO160&lt;=Body!$BJ$27),Body!$BH$22,IF(AND('Zdroj data'!BO160&gt;=Body!$BK$27,'Zdroj data'!BO160&lt;=Body!$BM$27),Body!$BK$22,IF(AND('Zdroj data'!BO160&gt;=Body!$BN$27,'Zdroj data'!BO160&lt;=Body!$BP$27),Body!$BN$22,IF(AND('Zdroj data'!BO160&gt;=Body!$BQ$27,'Zdroj data'!BO160&lt;=Body!$BS$27),Body!$BQ$22,IF(AND('Zdroj data'!BO160&gt;=Body!$BT$27,'Zdroj data'!BO160&lt;=Body!$BV$27),Body!$BT$22,IF(AND('Zdroj data'!BO160&gt;=Body!$BW$27,'Zdroj data'!BO160&lt;=Body!$BY$27),Body!$BW$22,IF('Zdroj data'!BO160&gt;=Body!$CB$27,$BZ$22," "))))))))))</f>
        <v>8</v>
      </c>
      <c r="W160" s="264">
        <f>IF(AND('Zdroj data'!BP160&gt;Body!$AY$27,'Zdroj data'!BP160&lt;=Body!$BA$27),Body!$AY$22,IF(AND('Zdroj data'!BP160&gt;=Body!$BB$27,'Zdroj data'!BP160&lt;=Body!$BD$27),Body!$BB$22,IF(AND('Zdroj data'!BP160&gt;=Body!$BE$27,'Zdroj data'!BP160&lt;=Body!$BG$27),Body!$BE$22,IF(AND('Zdroj data'!BP160&gt;=Body!$BH$27,'Zdroj data'!BP160&lt;=Body!$BJ$27),Body!$BH$22,IF(AND('Zdroj data'!BP160&gt;=Body!$BK$27,'Zdroj data'!BP160&lt;=Body!$BM$27),Body!$BK$22,IF(AND('Zdroj data'!BP160&gt;=Body!$BN$27,'Zdroj data'!BP160&lt;=Body!$BP$27),Body!$BN$22,IF(AND('Zdroj data'!BP160&gt;=Body!$BQ$27,'Zdroj data'!BP160&lt;=Body!$BS$27),Body!$BQ$22,IF(AND('Zdroj data'!BP160&gt;=Body!$BT$27,'Zdroj data'!BP160&lt;=Body!$BV$27),Body!$BT$22,IF(AND('Zdroj data'!BP160&gt;=Body!$BW$27,'Zdroj data'!BP160&lt;=Body!$BY$27),Body!$BW$22,IF('Zdroj data'!BP160&gt;=Body!$CB$27,$BZ$22," "))))))))))</f>
        <v>6</v>
      </c>
      <c r="X160" s="264">
        <f>IF('Zdroj data'!BA160=Body!$BB$28,$BB$22,IF('Zdroj data'!BA160=Body!$BE$28,$BE$22,IF(OR('Zdroj data'!BA160=Body!$BK$28,'Zdroj data'!BA160=Body!$BL$28,'Zdroj data'!BA160=Body!$BM$28),$BK$22,IF(OR('Zdroj data'!BA160=Body!$BT$28,'Zdroj data'!BA160=Body!$BV$28),$BT$22,IF(OR('Zdroj data'!BA160=Body!$BW$28,'Zdroj data'!BA160=Body!$BY$28),$BW$22,IF('Zdroj data'!BA160=Body!$BZ$28,$BZ$22," "))))))</f>
        <v>10</v>
      </c>
      <c r="Y160" s="264">
        <f>IF('Zdroj data'!AZ160=Body!$BZ$29,Body!$BZ$22,IF(OR('Zdroj data'!AZ160=$BT$29,'Zdroj data'!AZ160=$BU$29,'Zdroj data'!AZ160=$BV$29),$BT$22,IF(OR('Zdroj data'!AZ160=$BK$29,'Zdroj data'!AZ160=$BM$29),$BK$22,IF(OR('Zdroj data'!AZ160=$BE$29,'Zdroj data'!AZ160=$BG$29),$BE$22,IF(OR('Zdroj data'!AZ160=$AY$29,'Zdroj data'!AZ160=$BA$29),$AY$22," ")))))</f>
        <v>10</v>
      </c>
      <c r="Z160" s="264">
        <f>IF(AND('Zdroj data'!BF160="T",(OR('Zdroj data'!AZ160=Body!$AW$45,'Zdroj data'!AZ160=Body!$AW$46,'Zdroj data'!AZ160=Body!$AW$47,'Zdroj data'!AZ160=Body!$AW$48))),Body!$AY$22,IF(AND('Zdroj data'!BF160="T",(OR('Zdroj data'!AZ160=$AW$49,'Zdroj data'!AZ160=$AW$50,'Zdroj data'!AZ160=$AW$51,'Zdroj data'!AZ160=$AW$52))),$BZ$22,IF(AND(OR('Zdroj data'!BF160="VT",'Zdroj data'!BF160="T",'Zdroj data'!BF160="CH"),(OR('Zdroj data'!AZ160=$AW$43,'Zdroj data'!AZ160=$AW$44,))),$BZ$22,IF(AND('Zdroj data'!BF160="CH",(OR('Zdroj data'!AZ160=$AW$49,'Zdroj data'!AZ160=$AW$50,'Zdroj data'!AZ160=$AW$51,'Zdroj data'!AZ160=$AW$52))),$AY$22,IF(AND('Zdroj data'!BF160="CH",(OR('Zdroj data'!AZ160=$AW$45,'Zdroj data'!AZ160=$AW$46,'Zdroj data'!AZ160=$AW$47,'Zdroj data'!AZ160=$AW$48))),$BZ$22," ")))))</f>
        <v>10</v>
      </c>
      <c r="AA160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60" s="264">
        <f>IF(Tabulka1[[#This Row],[kv.ek.]]=Body!$BK$35,Body!$BK$34,IF(Tabulka1[[#This Row],[kv.ek.]]=Body!$BZ$35,Body!$BZ$34," "))</f>
        <v>5</v>
      </c>
      <c r="AC160" s="264" t="str">
        <f>IF(AND('Zdroj data'!BF160="T",(OR('Zdroj data'!AZ160=Body!$AW$45,'Zdroj data'!AZ160=Body!$AW$46,'Zdroj data'!AZ160=Body!$AW$47,'Zdroj data'!AZ160=Body!$AW$48))),Body!$AY$22,IF(AND('Zdroj data'!BF160="T",(OR('Zdroj data'!AZ160=$AW$49,'Zdroj data'!AZ160=$AW$50,'Zdroj data'!AZ160=$AW$51,'Zdroj data'!AZ160=$AW$52))),$BZ$22," "))</f>
        <v xml:space="preserve"> </v>
      </c>
      <c r="AD160" s="264">
        <f>IF(AND(OR('Zdroj data'!BF160="VT",'Zdroj data'!BF160="T",'Zdroj data'!BF160="CH"),(OR('Zdroj data'!AZ160=$AW$43,'Zdroj data'!AZ160=$AW$44,))),$BZ$22," ")</f>
        <v>10</v>
      </c>
      <c r="AE160" s="264" t="str">
        <f>IF(AND('Zdroj data'!BF160="CH",(OR('Zdroj data'!AZ160=$AW$49,'Zdroj data'!AZ160=$AW$50,'Zdroj data'!AZ160=$AW$51,'Zdroj data'!AZ160=$AW$52))),$AY$22,IF(AND('Zdroj data'!BF160="CH",(OR('Zdroj data'!AZ160=$AW$45,'Zdroj data'!AZ160=$AW$46,'Zdroj data'!AZ160=$AW$47,'Zdroj data'!AZ160=$AW$48))),$BZ$22," "))</f>
        <v xml:space="preserve"> </v>
      </c>
      <c r="AF160" s="264">
        <f>IF(AND('Zdroj data'!BG160="L",'Zdroj data'!AM160=Body!$AX$15),IF(AND('Zdroj data'!O160&gt;=Body!$AY$15,'Zdroj data'!O160&lt;=Body!$BA$15),Body!AY$6,IF(AND('Zdroj data'!O160&gt;=Body!$BB$15,'Zdroj data'!O160&lt;=Body!$BD$15),Body!BB$6,IF(AND('Zdroj data'!O160&gt;=Body!$BE$15,'Zdroj data'!O160&lt;=Body!$BG$15),Body!BE$6,IF(AND('Zdroj data'!O160&gt;=Body!$BH$15,'Zdroj data'!O160&lt;=Body!$BJ$15),Body!BH$6,IF(AND('Zdroj data'!O160&gt;=Body!$BK$15,'Zdroj data'!O160&lt;=Body!$BM$15),Body!BK$6,IF(AND('Zdroj data'!O160&gt;=Body!$BN$15,'Zdroj data'!O160&lt;=Body!$BP$15),Body!$BN$6,IF(AND('Zdroj data'!O160&gt;=Body!$BQ$15,'Zdroj data'!O160&lt;=Body!$BS$15),Body!$BQ$6,IF(AND('Zdroj data'!O160&gt;=Body!$BT$15,'Zdroj data'!O160&lt;=Body!$BV$15),Body!BT$6,IF(AND('Zdroj data'!O160&gt;=Body!$BW$15,'Zdroj data'!O160&lt;=Body!$BY$15),Body!$BW$6,IF('Zdroj data'!O160&gt;=Body!$CB$15,Body!$BZ$6," ")))))))))),IF(AND('Zdroj data'!BG160="ST",'Zdroj data'!AM160=Body!$AX$16),IF(AND('Zdroj data'!O160&gt;=Body!$AY$16,'Zdroj data'!O160&lt;=Body!$BA$16),Body!$AY$6,IF(AND('Zdroj data'!O160&gt;=Body!$BB$16,'Zdroj data'!O160&lt;=Body!$BD$16),Body!$BB$6,IF(AND('Zdroj data'!O160&gt;=Body!$BE$16,'Zdroj data'!O160&lt;=Body!$BG$16),Body!$BE$6,IF(AND('Zdroj data'!O160&gt;=Body!$BH$16,'Zdroj data'!O160&lt;=Body!$BJ$16),Body!$BH$6,IF(AND('Zdroj data'!O160&gt;=Body!$BK$16,'Zdroj data'!O160&lt;=Body!$BM$16),Body!$BK$6,IF(AND('Zdroj data'!O160&gt;=Body!$BN$16,'Zdroj data'!O160&lt;=Body!$BP$16),Body!$BN$6,IF(AND('Zdroj data'!O160&gt;=Body!$BQ$16,'Zdroj data'!O160&lt;=Body!$BS$16),Body!$BQ$6,IF(AND('Zdroj data'!O160&gt;=Body!$BT$16,'Zdroj data'!O160&lt;=Body!$BV$16),Body!$BT$6,IF(AND('Zdroj data'!O160&gt;=Body!$BW$16,'Zdroj data'!O160&lt;=Body!$BY$16),Body!$BW$6,IF('Zdroj data'!O160&gt;=Body!$CB$16,Body!$BZ$6," ")))))))))),IF(AND('Zdroj data'!BG160="T",'Zdroj data'!AM160=Body!$AX$17),IF(AND('Zdroj data'!O160&gt;=Body!$AY$17,'Zdroj data'!O160&lt;=Body!$BA$17),Body!$AY$6,IF(AND('Zdroj data'!O160&gt;=Body!$BB$17,'Zdroj data'!O160&lt;=Body!$BD$17),Body!$BB$6,IF(AND('Zdroj data'!O160&gt;=Body!$BE$17,'Zdroj data'!O160&lt;=Body!$BG$17),Body!$BE$6,IF(AND('Zdroj data'!O160&gt;=Body!$BH$17,'Zdroj data'!O160&lt;=Body!#REF!),Body!$BH$6,IF(AND('Zdroj data'!O160&gt;=Body!$BK$17,'Zdroj data'!O160&lt;=Body!$BM$17),Body!$BK$6,IF(AND('Zdroj data'!O160&gt;=Body!$BN$17,'Zdroj data'!O160&lt;=Body!$BP$17),Body!$BN$6,IF(AND('Zdroj data'!O160&gt;=Body!$BQ$17,'Zdroj data'!O160&lt;=Body!$BS$17),Body!$BQ$6,IF(AND('Zdroj data'!O160&gt;=Body!$BT$17,'Zdroj data'!O160&lt;=Body!$BV$17),Body!$BT$6,IF(AND('Zdroj data'!O160&gt;=Body!$BW$17,'Zdroj data'!O160&lt;=Body!$BY$17),Body!$BW$6,IF('Zdroj data'!O160&gt;=Body!$CB$17,Body!$BZ$6," "))))))))))," ")))</f>
        <v>2</v>
      </c>
      <c r="AG160" s="264">
        <f>IF(AND('Zdroj data'!$BG160="L",'Zdroj data'!$AM160=Body!$AX$15),IF(AND(Tabulka1[[#This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data'!$BG160="ST",'Zdroj data'!$AM160=Body!$AX$16),IF(AND(Tabulka1[[#This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data'!$BG160="T",'Zdroj data'!$AM160=Body!$AX$17),IF(AND(Tabulka1[[#This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60" s="264" t="str">
        <f>IF(AND('Zdroj data'!BG160="L",'Zdroj data'!AM160=Body!$AX$18),IF(AND('Zdroj data'!O160&gt;=Body!$AY$18,'Zdroj data'!O160&lt;=Body!$BA$18),Body!AY$6,IF(AND('Zdroj data'!O160&gt;=Body!$BB$18,'Zdroj data'!O160&lt;=Body!$BD$18),Body!BB$6,IF(AND('Zdroj data'!O160&gt;=Body!$BE$18,'Zdroj data'!O160&lt;=Body!$BG$18),Body!BE$6,IF(AND('Zdroj data'!O160&gt;=Body!$BH$18,'Zdroj data'!O160&lt;=Body!$BJ$18),Body!BH$6,IF(AND('Zdroj data'!O160&gt;=Body!$BK$18,'Zdroj data'!O160&lt;=Body!$BM$18),Body!$BK$6,IF(AND('Zdroj data'!O160&gt;=Body!$BN$18,'Zdroj data'!O160&lt;=Body!$BP$18),Body!BN$6,IF(AND('Zdroj data'!O160&gt;=Body!$BQ$18,'Zdroj data'!O160&lt;=Body!$BS$18),Body!$BQ$6,IF(AND('Zdroj data'!O160&gt;=Body!$BT$18,'Zdroj data'!O160&lt;=Body!$BV$18),Body!$BT$6,IF(AND('Zdroj data'!O160&gt;=Body!$BW$18,'Zdroj data'!O160&lt;=Body!$BY$18),Body!$BW$6,IF('Zdroj data'!O160&gt;=Body!$CB$18,Body!$BZ$6," ")))))))))),IF(AND('Zdroj data'!BG160="ST",'Zdroj data'!AM160=Body!$AX$19),IF(AND('Zdroj data'!O160&gt;=Body!$AY$19,'Zdroj data'!O160&lt;=Body!$BA$19),Body!$AY$6,IF(AND('Zdroj data'!O160&gt;=Body!$BB$19,'Zdroj data'!O160&lt;=Body!$BD$19),Body!$BB$6,IF(AND('Zdroj data'!O160&gt;=Body!$BE$19,'Zdroj data'!O160&lt;=Body!$BG$19),Body!$BE$6,IF(AND('Zdroj data'!O160&gt;=Body!$BH$19,'Zdroj data'!O160&lt;=Body!$BJ$19),Body!$BH$6,IF(AND('Zdroj data'!O160&gt;=Body!$BK$19,'Zdroj data'!O160&lt;=Body!$BM$19),Body!$BK$6,IF(AND('Zdroj data'!O160&gt;=Body!$BN$19,'Zdroj data'!O160&lt;=Body!$BP$19),Body!$BN$6,IF(AND('Zdroj data'!O160&gt;=Body!$BQ$19,'Zdroj data'!O160&lt;=Body!$BS$19),Body!$BQ$6,IF(AND('Zdroj data'!O160&gt;=Body!$BT$19,'Zdroj data'!O164&lt;=Body!$BV$19),Body!$BT$6,IF(AND('Zdroj data'!O160&gt;=Body!$BW$19,'Zdroj data'!O160&lt;=Body!$BY$19),Body!$BW$6,IF('Zdroj data'!O160&gt;=Body!$CB$19,Body!$BZ$6," ")))))))))),IF(AND('Zdroj data'!BG160="T",'Zdroj data'!AM160=Body!$AX$20),IF(AND('Zdroj data'!O160&gt;=Body!$AY$20,'Zdroj data'!O160&lt;=Body!$BA$20),Body!$AY$6,IF(AND('Zdroj data'!O160&gt;=Body!$BB$20,'Zdroj data'!O160&lt;=Body!$BD$20),Body!$BB$6,IF(AND('Zdroj data'!O160&gt;=Body!$BE$20,'Zdroj data'!O160&lt;=Body!$BG$20),Body!$BE$6,IF(AND('Zdroj data'!O160&gt;=Body!$BH$20,'Zdroj data'!O160&lt;=Body!$BJ$20),Body!$BH$6,IF(AND('Zdroj data'!O160&gt;=Body!$BK$20,'Zdroj data'!O160&lt;=Body!$BM$20),Body!$BK$6,IF(AND('Zdroj data'!O160&gt;=Body!$BN$20,'Zdroj data'!O160&lt;=Body!$BP$20),Body!$BN$6,IF(AND('Zdroj data'!O160&gt;=Body!$BQ$20,'Zdroj data'!O160&lt;=Body!$BS$20),Body!$BQ$6,IF(AND('Zdroj data'!O160&gt;=Body!$BT$20,'Zdroj data'!O160&lt;=Body!#REF!),Body!$BT$6,IF(AND('Zdroj data'!O160&gt;=Body!$BW$20,'Zdroj data'!O160&lt;=Body!$BY$20),Body!$BW$6,IF('Zdroj data'!O160&gt;=Body!$CB$20,Body!$BZ$6," "))))))))))," ")))</f>
        <v xml:space="preserve"> </v>
      </c>
      <c r="AI160" s="264" t="str">
        <f>IF(AND('Zdroj data'!$BG160="L",'Zdroj data'!$AM160=Body!$AX$18),IF(AND(Tabulka1[[#This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data'!$BG160="ST",'Zdroj data'!$AM160=Body!$AX$19),IF(AND(Tabulka1[[#This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data'!$BG160="T",'Zdroj data'!$AM160=Body!$AX$20),IF(AND(Tabulka1[[#This Row],[K2O_60]]&gt;=Body!$AY$20,'Zdroj data'!O160&lt;=Body!$BA$20),Body!$AY$6,IF(AND(Tabulka1[[#This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60" s="265">
        <f t="shared" si="26"/>
        <v>5.3333333333333375</v>
      </c>
      <c r="AK160" s="264">
        <f t="shared" si="27"/>
        <v>16.338903239529898</v>
      </c>
      <c r="AL160" s="264">
        <f t="shared" si="28"/>
        <v>14.845901966630793</v>
      </c>
      <c r="AM160" s="264">
        <f t="shared" si="29"/>
        <v>58.382706394167805</v>
      </c>
      <c r="AN160" s="264">
        <f t="shared" si="30"/>
        <v>55.293519979763829</v>
      </c>
      <c r="AO160" s="265">
        <f t="shared" si="33"/>
        <v>74.72160963369771</v>
      </c>
      <c r="AP160" s="265">
        <f t="shared" si="31"/>
        <v>70.13942194639462</v>
      </c>
      <c r="AQ160" s="318"/>
      <c r="AR160" s="338">
        <f t="shared" si="32"/>
        <v>150.19436491342569</v>
      </c>
      <c r="AS160" s="318"/>
      <c r="AT160" s="138"/>
      <c r="AU160" s="138"/>
    </row>
    <row r="161" spans="1:47" ht="15.5" x14ac:dyDescent="0.35">
      <c r="A161" s="270">
        <v>9170</v>
      </c>
      <c r="B161" s="156" t="s">
        <v>642</v>
      </c>
      <c r="C161" s="250" t="str">
        <f>VLOOKUP(B161,'Zdroj hloubka okresy'!$A$2:$D$171,2,FALSE)</f>
        <v>Mlada_Boleslav</v>
      </c>
      <c r="D161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7</v>
      </c>
      <c r="E161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5</v>
      </c>
      <c r="F161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161" s="264">
        <f>IF(AND(Tabulka1[[#This Row],[hum_60]]&gt;AY167,Tabulka1[[#This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61" s="264">
        <f>IF(Tabulka1[[#This Row],[kv.ek.]]=Body!$AX$13,IF(AND('Zdroj data'!M161&gt;=Body!$AY$13,'Zdroj data'!M161&lt;=Body!$BA$13),Body!$AY$6,IF(AND('Zdroj data'!M161&gt;=Body!$BB$13,'Zdroj data'!M161&lt;=Body!$BD$13),Body!$BB$6,IF(AND('Zdroj data'!M161&gt;=Body!$BE$13,'Zdroj data'!M161&lt;=Body!$BG$13),Body!$BE$6,IF(AND('Zdroj data'!M161&gt;=Body!$BH$13,'Zdroj data'!M161&lt;=Body!$BJ$13),Body!$BH$6,IF(AND('Zdroj data'!M161&gt;=Body!$BK$13,'Zdroj data'!M161&lt;=Body!$BM$13),Body!$BK$6,IF(AND('Zdroj data'!M161&gt;=Body!$BN$13,'Zdroj data'!M161&lt;=Body!$BP$13),Body!$BN$6,IF(AND('Zdroj data'!M161&gt;=Body!$BQ$13,'Zdroj data'!M161&lt;=Body!$BS$13),Body!$BQ$6,IF(AND('Zdroj data'!M161&gt;=Body!$BT$13,'Zdroj data'!M161&lt;=Body!$BV$13),Body!$BT$6,IF(AND('Zdroj data'!M161&gt;=Body!$BW$13,'Zdroj data'!M161&lt;=Body!$BY$13),Body!$BW$6,IF('Zdroj data'!M161&gt;=Body!$CB$13,Body!$BZ$6," ")))))))))),IF(Tabulka1[[#This Row],[kv.ek.]]=Body!$AX$14,IF(AND('Zdroj data'!N161&gt;=Body!$AY$14,'Zdroj data'!N161&lt;=Body!$BA$14),Body!$AY$6,IF(AND('Zdroj data'!N161&gt;=Body!$BB$14,'Zdroj data'!N161&lt;=Body!$BD$14),Body!$BB$6,IF(AND('Zdroj data'!N161&gt;=Body!$BE$14,'Zdroj data'!N161&lt;=Body!$BG$14),Body!$BE$6,IF(AND('Zdroj data'!N161&gt;=Body!$BH$14,'Zdroj data'!N161&lt;=Body!$BJ$14),Body!$BH$6,IF(AND('Zdroj data'!N161&gt;=Body!$BK$14,'Zdroj data'!N161&lt;=Body!$BM$14),Body!$BK$6,IF(AND('Zdroj data'!N161&gt;=Body!$BN$14,'Zdroj data'!N161&lt;=Body!$BP$14),Body!$BN$6,IF(AND('Zdroj data'!N161&gt;=Body!$BQ$14,'Zdroj data'!N161&lt;=Body!$BS$14),Body!$BQ$6,IF(AND('Zdroj data'!N161&gt;=Body!$BT$14,'Zdroj data'!N161&lt;=Body!$BV$14),Body!$BT$6,IF(AND('Zdroj data'!N161&gt;=Body!$BW$14,'Zdroj data'!N161&lt;=Body!$BY$14),Body!$BW$6,IF('Zdroj data'!N161&gt;=Body!$CB$14,Body!$BZ$6," "))))))))))," "))</f>
        <v>1</v>
      </c>
      <c r="I161" s="264">
        <f>IF(Tabulka1[[#This Row],[kv.ek.]]=Body!$AX$13,IF(AND('Zdroj data'!N161&gt;=Body!$AY$13,'Zdroj data'!N161&lt;=Body!$BA$13),Body!$AY$6,IF(AND('Zdroj data'!N161&gt;=Body!$BB$13,'Zdroj data'!N161&lt;=Body!$BD$13),Body!$BB$6,IF(AND('Zdroj data'!N161&gt;=Body!$BE$13,'Zdroj data'!N161&lt;=Body!$BG$13),Body!$BE$6,IF(AND('Zdroj data'!N161&gt;=Body!$BH$13,'Zdroj data'!N161&lt;=Body!$BJ$13),Body!$BH$6,IF(AND('Zdroj data'!N161&gt;=Body!$BK$13,'Zdroj data'!N161&lt;=Body!$BM$13),Body!$BK$6,IF(AND('Zdroj data'!N161&gt;=Body!$BN$13,'Zdroj data'!N161&lt;=Body!$BP$13),Body!$BN$6,IF(AND('Zdroj data'!N161&gt;=Body!$BQ$13,'Zdroj data'!N161&lt;=Body!$BS$13),Body!$BQ$6,IF(AND('Zdroj data'!N161&gt;=Body!$BT$13,'Zdroj data'!N161&lt;=Body!$BV$13),Body!$BT$6,IF(AND('Zdroj data'!N161&gt;=Body!$BW$13,'Zdroj data'!N161&lt;=Body!$BY$13),Body!$BW$6,IF('Zdroj data'!N161&gt;=Body!$CB$13,Body!$BZ$6," ")))))))))),IF(Tabulka1[[#This Row],[kv.ek.]]=Body!$AX$14,IF(AND('Zdroj data'!O161&gt;=Body!$AY$14,'Zdroj data'!O161&lt;=Body!$BA$14),Body!$AY$6,IF(AND('Zdroj data'!O161&gt;=Body!$BB$14,'Zdroj data'!O161&lt;=Body!$BD$14),Body!$BB$6,IF(AND('Zdroj data'!O161&gt;=Body!$BE$14,'Zdroj data'!O161&lt;=Body!$BG$14),Body!$BE$6,IF(AND('Zdroj data'!O161&gt;=Body!$BH$14,'Zdroj data'!O161&lt;=Body!$BJ$14),Body!$BH$6,IF(AND('Zdroj data'!O161&gt;=Body!$BK$14,'Zdroj data'!O161&lt;=Body!$BM$14),Body!$BK$6,IF(AND('Zdroj data'!O161&gt;=Body!$BN$14,'Zdroj data'!O161&lt;=Body!$BP$14),Body!$BN$6,IF(AND('Zdroj data'!O161&gt;=Body!$BQ$14,'Zdroj data'!O161&lt;=Body!$BS$14),Body!$BQ$6,IF(AND('Zdroj data'!O161&gt;=Body!$BT$14,'Zdroj data'!O161&lt;=Body!$BV$14),Body!$BT$6,IF(AND('Zdroj data'!O161&gt;=Body!$BW$14,'Zdroj data'!O161&lt;=Body!$BY$14),Body!$BW$6,IF('Zdroj data'!O161&gt;=Body!$CB$14,Body!$BZ$6," "))))))))))," "))</f>
        <v>1</v>
      </c>
      <c r="J161" s="264">
        <f t="shared" si="25"/>
        <v>1</v>
      </c>
      <c r="K161" s="264">
        <f t="shared" si="25"/>
        <v>1</v>
      </c>
      <c r="L161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161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2</v>
      </c>
      <c r="N161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161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161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61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2</v>
      </c>
      <c r="R161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2</v>
      </c>
      <c r="S161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4</v>
      </c>
      <c r="T161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4</v>
      </c>
      <c r="U161" s="264">
        <f>IF('Zdroj data'!BB161=Body!$AY$25,Body!$AY$22,IF('Zdroj data'!BB161=Body!$BB$25,Body!$BB$22,IF('Zdroj data'!BB161=Body!$BE$25,Body!$BE$22,IF('Zdroj data'!BB161=Body!$BH$25,Body!$BH$22,IF('Zdroj data'!BB161=Body!BK$25,Body!$BK$22,IF('Zdroj data'!BB161=Body!$BN$25,Body!$BN$22,IF('Zdroj data'!BB161=Body!$BQ$25,Body!$BQ$22,IF('Zdroj data'!BB161=Body!$BT$25,Body!$BT$22,IF('Zdroj data'!BB161=Body!$BW$25,Body!$BW$22,IF('Zdroj data'!BB161=Body!$BZ$25,Body!$BZ$22," "))))))))))</f>
        <v>7</v>
      </c>
      <c r="V161" s="264">
        <f>IF(AND('Zdroj data'!BO161&gt;Body!$AY$27,'Zdroj data'!BO161&lt;=Body!$BA$27),Body!$AY$22,IF(AND('Zdroj data'!BO161&gt;=Body!$BB$27,'Zdroj data'!BO161&lt;=Body!$BD$27),Body!$BB$22,IF(AND('Zdroj data'!BO161&gt;=Body!$BE$27,'Zdroj data'!BO161&lt;=Body!$BG$27),Body!$BE$22,IF(AND('Zdroj data'!BO161&gt;=Body!$BH$27,'Zdroj data'!BO161&lt;=Body!$BJ$27),Body!$BH$22,IF(AND('Zdroj data'!BO161&gt;=Body!$BK$27,'Zdroj data'!BO161&lt;=Body!$BM$27),Body!$BK$22,IF(AND('Zdroj data'!BO161&gt;=Body!$BN$27,'Zdroj data'!BO161&lt;=Body!$BP$27),Body!$BN$22,IF(AND('Zdroj data'!BO161&gt;=Body!$BQ$27,'Zdroj data'!BO161&lt;=Body!$BS$27),Body!$BQ$22,IF(AND('Zdroj data'!BO161&gt;=Body!$BT$27,'Zdroj data'!BO161&lt;=Body!$BV$27),Body!$BT$22,IF(AND('Zdroj data'!BO161&gt;=Body!$BW$27,'Zdroj data'!BO161&lt;=Body!$BY$27),Body!$BW$22,IF('Zdroj data'!BO161&gt;=Body!$CB$27,$BZ$22," "))))))))))</f>
        <v>6</v>
      </c>
      <c r="W161" s="264">
        <f>IF(AND('Zdroj data'!BP161&gt;Body!$AY$27,'Zdroj data'!BP161&lt;=Body!$BA$27),Body!$AY$22,IF(AND('Zdroj data'!BP161&gt;=Body!$BB$27,'Zdroj data'!BP161&lt;=Body!$BD$27),Body!$BB$22,IF(AND('Zdroj data'!BP161&gt;=Body!$BE$27,'Zdroj data'!BP161&lt;=Body!$BG$27),Body!$BE$22,IF(AND('Zdroj data'!BP161&gt;=Body!$BH$27,'Zdroj data'!BP161&lt;=Body!$BJ$27),Body!$BH$22,IF(AND('Zdroj data'!BP161&gt;=Body!$BK$27,'Zdroj data'!BP161&lt;=Body!$BM$27),Body!$BK$22,IF(AND('Zdroj data'!BP161&gt;=Body!$BN$27,'Zdroj data'!BP161&lt;=Body!$BP$27),Body!$BN$22,IF(AND('Zdroj data'!BP161&gt;=Body!$BQ$27,'Zdroj data'!BP161&lt;=Body!$BS$27),Body!$BQ$22,IF(AND('Zdroj data'!BP161&gt;=Body!$BT$27,'Zdroj data'!BP161&lt;=Body!$BV$27),Body!$BT$22,IF(AND('Zdroj data'!BP161&gt;=Body!$BW$27,'Zdroj data'!BP161&lt;=Body!$BY$27),Body!$BW$22,IF('Zdroj data'!BP161&gt;=Body!$CB$27,$BZ$22," "))))))))))</f>
        <v>7</v>
      </c>
      <c r="X161" s="264">
        <f>IF('Zdroj data'!BA161=Body!$BB$28,$BB$22,IF('Zdroj data'!BA161=Body!$BE$28,$BE$22,IF(OR('Zdroj data'!BA161=Body!$BK$28,'Zdroj data'!BA161=Body!$BL$28,'Zdroj data'!BA161=Body!$BM$28),$BK$22,IF(OR('Zdroj data'!BA161=Body!$BT$28,'Zdroj data'!BA161=Body!$BV$28),$BT$22,IF(OR('Zdroj data'!BA161=Body!$BW$28,'Zdroj data'!BA161=Body!$BY$28),$BW$22,IF('Zdroj data'!BA161=Body!$BZ$28,$BZ$22," "))))))</f>
        <v>10</v>
      </c>
      <c r="Y161" s="264">
        <f>IF('Zdroj data'!AZ161=Body!$BZ$29,Body!$BZ$22,IF(OR('Zdroj data'!AZ161=$BT$29,'Zdroj data'!AZ161=$BU$29,'Zdroj data'!AZ161=$BV$29),$BT$22,IF(OR('Zdroj data'!AZ161=$BK$29,'Zdroj data'!AZ161=$BM$29),$BK$22,IF(OR('Zdroj data'!AZ161=$BE$29,'Zdroj data'!AZ161=$BG$29),$BE$22,IF(OR('Zdroj data'!AZ161=$AY$29,'Zdroj data'!AZ161=$BA$29),$AY$22," ")))))</f>
        <v>10</v>
      </c>
      <c r="Z161" s="264">
        <f>IF(AND('Zdroj data'!BF161="T",(OR('Zdroj data'!AZ161=Body!$AW$45,'Zdroj data'!AZ161=Body!$AW$46,'Zdroj data'!AZ161=Body!$AW$47,'Zdroj data'!AZ161=Body!$AW$48))),Body!$AY$22,IF(AND('Zdroj data'!BF161="T",(OR('Zdroj data'!AZ161=$AW$49,'Zdroj data'!AZ161=$AW$50,'Zdroj data'!AZ161=$AW$51,'Zdroj data'!AZ161=$AW$52))),$BZ$22,IF(AND(OR('Zdroj data'!BF161="VT",'Zdroj data'!BF161="T",'Zdroj data'!BF161="CH"),(OR('Zdroj data'!AZ161=$AW$43,'Zdroj data'!AZ161=$AW$44,))),$BZ$22,IF(AND('Zdroj data'!BF161="CH",(OR('Zdroj data'!AZ161=$AW$49,'Zdroj data'!AZ161=$AW$50,'Zdroj data'!AZ161=$AW$51,'Zdroj data'!AZ161=$AW$52))),$AY$22,IF(AND('Zdroj data'!BF161="CH",(OR('Zdroj data'!AZ161=$AW$45,'Zdroj data'!AZ161=$AW$46,'Zdroj data'!AZ161=$AW$47,'Zdroj data'!AZ161=$AW$48))),$BZ$22," ")))))</f>
        <v>10</v>
      </c>
      <c r="AA161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61" s="264">
        <f>IF(Tabulka1[[#This Row],[kv.ek.]]=Body!$BK$35,Body!$BK$34,IF(Tabulka1[[#This Row],[kv.ek.]]=Body!$BZ$35,Body!$BZ$34," "))</f>
        <v>5</v>
      </c>
      <c r="AC161" s="264" t="str">
        <f>IF(AND('Zdroj data'!BF161="T",(OR('Zdroj data'!AZ161=Body!$AW$45,'Zdroj data'!AZ161=Body!$AW$46,'Zdroj data'!AZ161=Body!$AW$47,'Zdroj data'!AZ161=Body!$AW$48))),Body!$AY$22,IF(AND('Zdroj data'!BF161="T",(OR('Zdroj data'!AZ161=$AW$49,'Zdroj data'!AZ161=$AW$50,'Zdroj data'!AZ161=$AW$51,'Zdroj data'!AZ161=$AW$52))),$BZ$22," "))</f>
        <v xml:space="preserve"> </v>
      </c>
      <c r="AD161" s="264">
        <f>IF(AND(OR('Zdroj data'!BF161="VT",'Zdroj data'!BF161="T",'Zdroj data'!BF161="CH"),(OR('Zdroj data'!AZ161=$AW$43,'Zdroj data'!AZ161=$AW$44,))),$BZ$22," ")</f>
        <v>10</v>
      </c>
      <c r="AE161" s="264" t="str">
        <f>IF(AND('Zdroj data'!BF161="CH",(OR('Zdroj data'!AZ161=$AW$49,'Zdroj data'!AZ161=$AW$50,'Zdroj data'!AZ161=$AW$51,'Zdroj data'!AZ161=$AW$52))),$AY$22,IF(AND('Zdroj data'!BF161="CH",(OR('Zdroj data'!AZ161=$AW$45,'Zdroj data'!AZ161=$AW$46,'Zdroj data'!AZ161=$AW$47,'Zdroj data'!AZ161=$AW$48))),$BZ$22," "))</f>
        <v xml:space="preserve"> </v>
      </c>
      <c r="AF161" s="264">
        <f>IF(AND('Zdroj data'!BG161="L",'Zdroj data'!AM161=Body!$AX$15),IF(AND('Zdroj data'!O161&gt;=Body!$AY$15,'Zdroj data'!O161&lt;=Body!$BA$15),Body!AY$6,IF(AND('Zdroj data'!O161&gt;=Body!$BB$15,'Zdroj data'!O161&lt;=Body!$BD$15),Body!BB$6,IF(AND('Zdroj data'!O161&gt;=Body!$BE$15,'Zdroj data'!O161&lt;=Body!$BG$15),Body!BE$6,IF(AND('Zdroj data'!O161&gt;=Body!$BH$15,'Zdroj data'!O161&lt;=Body!$BJ$15),Body!BH$6,IF(AND('Zdroj data'!O161&gt;=Body!$BK$15,'Zdroj data'!O161&lt;=Body!$BM$15),Body!BK$6,IF(AND('Zdroj data'!O161&gt;=Body!$BN$15,'Zdroj data'!O161&lt;=Body!$BP$15),Body!$BN$6,IF(AND('Zdroj data'!O161&gt;=Body!$BQ$15,'Zdroj data'!O161&lt;=Body!$BS$15),Body!$BQ$6,IF(AND('Zdroj data'!O161&gt;=Body!$BT$15,'Zdroj data'!O161&lt;=Body!$BV$15),Body!BT$6,IF(AND('Zdroj data'!O161&gt;=Body!$BW$15,'Zdroj data'!O161&lt;=Body!$BY$15),Body!$BW$6,IF('Zdroj data'!O161&gt;=Body!$CB$15,Body!$BZ$6," ")))))))))),IF(AND('Zdroj data'!BG161="ST",'Zdroj data'!AM161=Body!$AX$16),IF(AND('Zdroj data'!O161&gt;=Body!$AY$16,'Zdroj data'!O161&lt;=Body!$BA$16),Body!$AY$6,IF(AND('Zdroj data'!O161&gt;=Body!$BB$16,'Zdroj data'!O161&lt;=Body!$BD$16),Body!$BB$6,IF(AND('Zdroj data'!O161&gt;=Body!$BE$16,'Zdroj data'!O161&lt;=Body!$BG$16),Body!$BE$6,IF(AND('Zdroj data'!O161&gt;=Body!$BH$16,'Zdroj data'!O161&lt;=Body!$BJ$16),Body!$BH$6,IF(AND('Zdroj data'!O161&gt;=Body!$BK$16,'Zdroj data'!O161&lt;=Body!$BM$16),Body!$BK$6,IF(AND('Zdroj data'!O161&gt;=Body!$BN$16,'Zdroj data'!O161&lt;=Body!$BP$16),Body!$BN$6,IF(AND('Zdroj data'!O161&gt;=Body!$BQ$16,'Zdroj data'!O161&lt;=Body!$BS$16),Body!$BQ$6,IF(AND('Zdroj data'!O161&gt;=Body!$BT$16,'Zdroj data'!O161&lt;=Body!$BV$16),Body!$BT$6,IF(AND('Zdroj data'!O161&gt;=Body!$BW$16,'Zdroj data'!O161&lt;=Body!$BY$16),Body!$BW$6,IF('Zdroj data'!O161&gt;=Body!$CB$16,Body!$BZ$6," ")))))))))),IF(AND('Zdroj data'!BG161="T",'Zdroj data'!AM161=Body!$AX$17),IF(AND('Zdroj data'!O161&gt;=Body!$AY$17,'Zdroj data'!O161&lt;=Body!$BA$17),Body!$AY$6,IF(AND('Zdroj data'!O161&gt;=Body!$BB$17,'Zdroj data'!O161&lt;=Body!$BD$17),Body!$BB$6,IF(AND('Zdroj data'!O161&gt;=Body!$BE$17,'Zdroj data'!O161&lt;=Body!$BG$17),Body!$BE$6,IF(AND('Zdroj data'!O161&gt;=Body!$BH$17,'Zdroj data'!O161&lt;=Body!#REF!),Body!$BH$6,IF(AND('Zdroj data'!O161&gt;=Body!$BK$17,'Zdroj data'!O161&lt;=Body!$BM$17),Body!$BK$6,IF(AND('Zdroj data'!O161&gt;=Body!$BN$17,'Zdroj data'!O161&lt;=Body!$BP$17),Body!$BN$6,IF(AND('Zdroj data'!O161&gt;=Body!$BQ$17,'Zdroj data'!O161&lt;=Body!$BS$17),Body!$BQ$6,IF(AND('Zdroj data'!O161&gt;=Body!$BT$17,'Zdroj data'!O161&lt;=Body!$BV$17),Body!$BT$6,IF(AND('Zdroj data'!O161&gt;=Body!$BW$17,'Zdroj data'!O161&lt;=Body!$BY$17),Body!$BW$6,IF('Zdroj data'!O161&gt;=Body!$CB$17,Body!$BZ$6," "))))))))))," ")))</f>
        <v>1</v>
      </c>
      <c r="AG161" s="264">
        <f>IF(AND('Zdroj data'!$BG161="L",'Zdroj data'!$AM161=Body!$AX$15),IF(AND(Tabulka1[[#This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data'!$BG161="ST",'Zdroj data'!$AM161=Body!$AX$16),IF(AND(Tabulka1[[#This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data'!$BG161="T",'Zdroj data'!$AM161=Body!$AX$17),IF(AND(Tabulka1[[#This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61" s="264" t="str">
        <f>IF(AND('Zdroj data'!BG161="L",'Zdroj data'!AM161=Body!$AX$18),IF(AND('Zdroj data'!O161&gt;=Body!$AY$18,'Zdroj data'!O161&lt;=Body!$BA$18),Body!AY$6,IF(AND('Zdroj data'!O161&gt;=Body!$BB$18,'Zdroj data'!O161&lt;=Body!$BD$18),Body!BB$6,IF(AND('Zdroj data'!O161&gt;=Body!$BE$18,'Zdroj data'!O161&lt;=Body!$BG$18),Body!BE$6,IF(AND('Zdroj data'!O161&gt;=Body!$BH$18,'Zdroj data'!O161&lt;=Body!$BJ$18),Body!BH$6,IF(AND('Zdroj data'!O161&gt;=Body!$BK$18,'Zdroj data'!O161&lt;=Body!$BM$18),Body!$BK$6,IF(AND('Zdroj data'!O161&gt;=Body!$BN$18,'Zdroj data'!O161&lt;=Body!$BP$18),Body!BN$6,IF(AND('Zdroj data'!O161&gt;=Body!$BQ$18,'Zdroj data'!O161&lt;=Body!$BS$18),Body!$BQ$6,IF(AND('Zdroj data'!O161&gt;=Body!$BT$18,'Zdroj data'!O161&lt;=Body!$BV$18),Body!$BT$6,IF(AND('Zdroj data'!O161&gt;=Body!$BW$18,'Zdroj data'!O161&lt;=Body!$BY$18),Body!$BW$6,IF('Zdroj data'!O161&gt;=Body!$CB$18,Body!$BZ$6," ")))))))))),IF(AND('Zdroj data'!BG161="ST",'Zdroj data'!AM161=Body!$AX$19),IF(AND('Zdroj data'!O161&gt;=Body!$AY$19,'Zdroj data'!O161&lt;=Body!$BA$19),Body!$AY$6,IF(AND('Zdroj data'!O161&gt;=Body!$BB$19,'Zdroj data'!O161&lt;=Body!$BD$19),Body!$BB$6,IF(AND('Zdroj data'!O161&gt;=Body!$BE$19,'Zdroj data'!O161&lt;=Body!$BG$19),Body!$BE$6,IF(AND('Zdroj data'!O161&gt;=Body!$BH$19,'Zdroj data'!O161&lt;=Body!$BJ$19),Body!$BH$6,IF(AND('Zdroj data'!O161&gt;=Body!$BK$19,'Zdroj data'!O161&lt;=Body!$BM$19),Body!$BK$6,IF(AND('Zdroj data'!O161&gt;=Body!$BN$19,'Zdroj data'!O161&lt;=Body!$BP$19),Body!$BN$6,IF(AND('Zdroj data'!O161&gt;=Body!$BQ$19,'Zdroj data'!O161&lt;=Body!$BS$19),Body!$BQ$6,IF(AND('Zdroj data'!O161&gt;=Body!$BT$19,'Zdroj data'!O165&lt;=Body!$BV$19),Body!$BT$6,IF(AND('Zdroj data'!O161&gt;=Body!$BW$19,'Zdroj data'!O161&lt;=Body!$BY$19),Body!$BW$6,IF('Zdroj data'!O161&gt;=Body!$CB$19,Body!$BZ$6," ")))))))))),IF(AND('Zdroj data'!BG161="T",'Zdroj data'!AM161=Body!$AX$20),IF(AND('Zdroj data'!O161&gt;=Body!$AY$20,'Zdroj data'!O161&lt;=Body!$BA$20),Body!$AY$6,IF(AND('Zdroj data'!O161&gt;=Body!$BB$20,'Zdroj data'!O161&lt;=Body!$BD$20),Body!$BB$6,IF(AND('Zdroj data'!O161&gt;=Body!$BE$20,'Zdroj data'!O161&lt;=Body!$BG$20),Body!$BE$6,IF(AND('Zdroj data'!O161&gt;=Body!$BH$20,'Zdroj data'!O161&lt;=Body!$BJ$20),Body!$BH$6,IF(AND('Zdroj data'!O161&gt;=Body!$BK$20,'Zdroj data'!O161&lt;=Body!$BM$20),Body!$BK$6,IF(AND('Zdroj data'!O161&gt;=Body!$BN$20,'Zdroj data'!O161&lt;=Body!$BP$20),Body!$BN$6,IF(AND('Zdroj data'!O161&gt;=Body!$BQ$20,'Zdroj data'!O161&lt;=Body!$BS$20),Body!$BQ$6,IF(AND('Zdroj data'!O161&gt;=Body!$BT$20,'Zdroj data'!O161&lt;=Body!#REF!),Body!$BT$6,IF(AND('Zdroj data'!O161&gt;=Body!$BW$20,'Zdroj data'!O161&lt;=Body!$BY$20),Body!$BW$6,IF('Zdroj data'!O161&gt;=Body!$CB$20,Body!$BZ$6," "))))))))))," ")))</f>
        <v xml:space="preserve"> </v>
      </c>
      <c r="AI161" s="264" t="str">
        <f>IF(AND('Zdroj data'!$BG161="L",'Zdroj data'!$AM161=Body!$AX$18),IF(AND(Tabulka1[[#This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data'!$BG161="ST",'Zdroj data'!$AM161=Body!$AX$19),IF(AND(Tabulka1[[#This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data'!$BG161="T",'Zdroj data'!$AM161=Body!$AX$20),IF(AND(Tabulka1[[#This Row],[K2O_60]]&gt;=Body!$AY$20,'Zdroj data'!O161&lt;=Body!$BA$20),Body!$AY$6,IF(AND(Tabulka1[[#This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61" s="265">
        <f t="shared" si="26"/>
        <v>8.0000000000000071</v>
      </c>
      <c r="AK161" s="264">
        <f t="shared" si="27"/>
        <v>25.924570192398846</v>
      </c>
      <c r="AL161" s="264">
        <f t="shared" si="28"/>
        <v>20.214725222410291</v>
      </c>
      <c r="AM161" s="264">
        <f t="shared" si="29"/>
        <v>55.293519979763829</v>
      </c>
      <c r="AN161" s="264">
        <f t="shared" si="30"/>
        <v>56.83811318696582</v>
      </c>
      <c r="AO161" s="265">
        <f t="shared" si="33"/>
        <v>81.218090172162675</v>
      </c>
      <c r="AP161" s="265">
        <f t="shared" si="31"/>
        <v>77.052838409376108</v>
      </c>
      <c r="AQ161" s="318"/>
      <c r="AR161" s="338">
        <f t="shared" si="32"/>
        <v>166.27092858153878</v>
      </c>
      <c r="AS161" s="318"/>
      <c r="AT161" s="138"/>
      <c r="AU161" s="138"/>
    </row>
    <row r="162" spans="1:47" ht="15.5" x14ac:dyDescent="0.35">
      <c r="A162" s="270">
        <v>9173</v>
      </c>
      <c r="B162" s="156" t="s">
        <v>602</v>
      </c>
      <c r="C162" s="250" t="str">
        <f>VLOOKUP(B162,'Zdroj hloubka okresy'!$A$2:$D$171,2,FALSE)</f>
        <v>Mlada_Boleslav</v>
      </c>
      <c r="D162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162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162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5</v>
      </c>
      <c r="G162" s="264">
        <f>IF(AND(Tabulka1[[#This Row],[hum_60]]&gt;AY168,Tabulka1[[#This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4</v>
      </c>
      <c r="H162" s="264">
        <f>IF(Tabulka1[[#This Row],[kv.ek.]]=Body!$AX$13,IF(AND('Zdroj data'!M162&gt;=Body!$AY$13,'Zdroj data'!M162&lt;=Body!$BA$13),Body!$AY$6,IF(AND('Zdroj data'!M162&gt;=Body!$BB$13,'Zdroj data'!M162&lt;=Body!$BD$13),Body!$BB$6,IF(AND('Zdroj data'!M162&gt;=Body!$BE$13,'Zdroj data'!M162&lt;=Body!$BG$13),Body!$BE$6,IF(AND('Zdroj data'!M162&gt;=Body!$BH$13,'Zdroj data'!M162&lt;=Body!$BJ$13),Body!$BH$6,IF(AND('Zdroj data'!M162&gt;=Body!$BK$13,'Zdroj data'!M162&lt;=Body!$BM$13),Body!$BK$6,IF(AND('Zdroj data'!M162&gt;=Body!$BN$13,'Zdroj data'!M162&lt;=Body!$BP$13),Body!$BN$6,IF(AND('Zdroj data'!M162&gt;=Body!$BQ$13,'Zdroj data'!M162&lt;=Body!$BS$13),Body!$BQ$6,IF(AND('Zdroj data'!M162&gt;=Body!$BT$13,'Zdroj data'!M162&lt;=Body!$BV$13),Body!$BT$6,IF(AND('Zdroj data'!M162&gt;=Body!$BW$13,'Zdroj data'!M162&lt;=Body!$BY$13),Body!$BW$6,IF('Zdroj data'!M162&gt;=Body!$CB$13,Body!$BZ$6," ")))))))))),IF(Tabulka1[[#This Row],[kv.ek.]]=Body!$AX$14,IF(AND('Zdroj data'!N162&gt;=Body!$AY$14,'Zdroj data'!N162&lt;=Body!$BA$14),Body!$AY$6,IF(AND('Zdroj data'!N162&gt;=Body!$BB$14,'Zdroj data'!N162&lt;=Body!$BD$14),Body!$BB$6,IF(AND('Zdroj data'!N162&gt;=Body!$BE$14,'Zdroj data'!N162&lt;=Body!$BG$14),Body!$BE$6,IF(AND('Zdroj data'!N162&gt;=Body!$BH$14,'Zdroj data'!N162&lt;=Body!$BJ$14),Body!$BH$6,IF(AND('Zdroj data'!N162&gt;=Body!$BK$14,'Zdroj data'!N162&lt;=Body!$BM$14),Body!$BK$6,IF(AND('Zdroj data'!N162&gt;=Body!$BN$14,'Zdroj data'!N162&lt;=Body!$BP$14),Body!$BN$6,IF(AND('Zdroj data'!N162&gt;=Body!$BQ$14,'Zdroj data'!N162&lt;=Body!$BS$14),Body!$BQ$6,IF(AND('Zdroj data'!N162&gt;=Body!$BT$14,'Zdroj data'!N162&lt;=Body!$BV$14),Body!$BT$6,IF(AND('Zdroj data'!N162&gt;=Body!$BW$14,'Zdroj data'!N162&lt;=Body!$BY$14),Body!$BW$6,IF('Zdroj data'!N162&gt;=Body!$CB$14,Body!$BZ$6," "))))))))))," "))</f>
        <v>8</v>
      </c>
      <c r="I162" s="264">
        <f>IF(Tabulka1[[#This Row],[kv.ek.]]=Body!$AX$13,IF(AND('Zdroj data'!N162&gt;=Body!$AY$13,'Zdroj data'!N162&lt;=Body!$BA$13),Body!$AY$6,IF(AND('Zdroj data'!N162&gt;=Body!$BB$13,'Zdroj data'!N162&lt;=Body!$BD$13),Body!$BB$6,IF(AND('Zdroj data'!N162&gt;=Body!$BE$13,'Zdroj data'!N162&lt;=Body!$BG$13),Body!$BE$6,IF(AND('Zdroj data'!N162&gt;=Body!$BH$13,'Zdroj data'!N162&lt;=Body!$BJ$13),Body!$BH$6,IF(AND('Zdroj data'!N162&gt;=Body!$BK$13,'Zdroj data'!N162&lt;=Body!$BM$13),Body!$BK$6,IF(AND('Zdroj data'!N162&gt;=Body!$BN$13,'Zdroj data'!N162&lt;=Body!$BP$13),Body!$BN$6,IF(AND('Zdroj data'!N162&gt;=Body!$BQ$13,'Zdroj data'!N162&lt;=Body!$BS$13),Body!$BQ$6,IF(AND('Zdroj data'!N162&gt;=Body!$BT$13,'Zdroj data'!N162&lt;=Body!$BV$13),Body!$BT$6,IF(AND('Zdroj data'!N162&gt;=Body!$BW$13,'Zdroj data'!N162&lt;=Body!$BY$13),Body!$BW$6,IF('Zdroj data'!N162&gt;=Body!$CB$13,Body!$BZ$6," ")))))))))),IF(Tabulka1[[#This Row],[kv.ek.]]=Body!$AX$14,IF(AND('Zdroj data'!O162&gt;=Body!$AY$14,'Zdroj data'!O162&lt;=Body!$BA$14),Body!$AY$6,IF(AND('Zdroj data'!O162&gt;=Body!$BB$14,'Zdroj data'!O162&lt;=Body!$BD$14),Body!$BB$6,IF(AND('Zdroj data'!O162&gt;=Body!$BE$14,'Zdroj data'!O162&lt;=Body!$BG$14),Body!$BE$6,IF(AND('Zdroj data'!O162&gt;=Body!$BH$14,'Zdroj data'!O162&lt;=Body!$BJ$14),Body!$BH$6,IF(AND('Zdroj data'!O162&gt;=Body!$BK$14,'Zdroj data'!O162&lt;=Body!$BM$14),Body!$BK$6,IF(AND('Zdroj data'!O162&gt;=Body!$BN$14,'Zdroj data'!O162&lt;=Body!$BP$14),Body!$BN$6,IF(AND('Zdroj data'!O162&gt;=Body!$BQ$14,'Zdroj data'!O162&lt;=Body!$BS$14),Body!$BQ$6,IF(AND('Zdroj data'!O162&gt;=Body!$BT$14,'Zdroj data'!O162&lt;=Body!$BV$14),Body!$BT$6,IF(AND('Zdroj data'!O162&gt;=Body!$BW$14,'Zdroj data'!O162&lt;=Body!$BY$14),Body!$BW$6,IF('Zdroj data'!O162&gt;=Body!$CB$14,Body!$BZ$6," "))))))))))," "))</f>
        <v>5</v>
      </c>
      <c r="J162" s="264">
        <f t="shared" si="25"/>
        <v>3</v>
      </c>
      <c r="K162" s="264">
        <f t="shared" si="25"/>
        <v>2</v>
      </c>
      <c r="L162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10</v>
      </c>
      <c r="M162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10</v>
      </c>
      <c r="N162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162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162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62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9</v>
      </c>
      <c r="R162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9</v>
      </c>
      <c r="S162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2</v>
      </c>
      <c r="T162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2</v>
      </c>
      <c r="U162" s="264">
        <f>IF('Zdroj data'!BB162=Body!$AY$25,Body!$AY$22,IF('Zdroj data'!BB162=Body!$BB$25,Body!$BB$22,IF('Zdroj data'!BB162=Body!$BE$25,Body!$BE$22,IF('Zdroj data'!BB162=Body!$BH$25,Body!$BH$22,IF('Zdroj data'!BB162=Body!BK$25,Body!$BK$22,IF('Zdroj data'!BB162=Body!$BN$25,Body!$BN$22,IF('Zdroj data'!BB162=Body!$BQ$25,Body!$BQ$22,IF('Zdroj data'!BB162=Body!$BT$25,Body!$BT$22,IF('Zdroj data'!BB162=Body!$BW$25,Body!$BW$22,IF('Zdroj data'!BB162=Body!$BZ$25,Body!$BZ$22," "))))))))))</f>
        <v>5</v>
      </c>
      <c r="V162" s="264">
        <f>IF(AND('Zdroj data'!BO162&gt;Body!$AY$27,'Zdroj data'!BO162&lt;=Body!$BA$27),Body!$AY$22,IF(AND('Zdroj data'!BO162&gt;=Body!$BB$27,'Zdroj data'!BO162&lt;=Body!$BD$27),Body!$BB$22,IF(AND('Zdroj data'!BO162&gt;=Body!$BE$27,'Zdroj data'!BO162&lt;=Body!$BG$27),Body!$BE$22,IF(AND('Zdroj data'!BO162&gt;=Body!$BH$27,'Zdroj data'!BO162&lt;=Body!$BJ$27),Body!$BH$22,IF(AND('Zdroj data'!BO162&gt;=Body!$BK$27,'Zdroj data'!BO162&lt;=Body!$BM$27),Body!$BK$22,IF(AND('Zdroj data'!BO162&gt;=Body!$BN$27,'Zdroj data'!BO162&lt;=Body!$BP$27),Body!$BN$22,IF(AND('Zdroj data'!BO162&gt;=Body!$BQ$27,'Zdroj data'!BO162&lt;=Body!$BS$27),Body!$BQ$22,IF(AND('Zdroj data'!BO162&gt;=Body!$BT$27,'Zdroj data'!BO162&lt;=Body!$BV$27),Body!$BT$22,IF(AND('Zdroj data'!BO162&gt;=Body!$BW$27,'Zdroj data'!BO162&lt;=Body!$BY$27),Body!$BW$22,IF('Zdroj data'!BO162&gt;=Body!$CB$27,$BZ$22," "))))))))))</f>
        <v>7</v>
      </c>
      <c r="W162" s="264">
        <f>IF(AND('Zdroj data'!BP162&gt;Body!$AY$27,'Zdroj data'!BP162&lt;=Body!$BA$27),Body!$AY$22,IF(AND('Zdroj data'!BP162&gt;=Body!$BB$27,'Zdroj data'!BP162&lt;=Body!$BD$27),Body!$BB$22,IF(AND('Zdroj data'!BP162&gt;=Body!$BE$27,'Zdroj data'!BP162&lt;=Body!$BG$27),Body!$BE$22,IF(AND('Zdroj data'!BP162&gt;=Body!$BH$27,'Zdroj data'!BP162&lt;=Body!$BJ$27),Body!$BH$22,IF(AND('Zdroj data'!BP162&gt;=Body!$BK$27,'Zdroj data'!BP162&lt;=Body!$BM$27),Body!$BK$22,IF(AND('Zdroj data'!BP162&gt;=Body!$BN$27,'Zdroj data'!BP162&lt;=Body!$BP$27),Body!$BN$22,IF(AND('Zdroj data'!BP162&gt;=Body!$BQ$27,'Zdroj data'!BP162&lt;=Body!$BS$27),Body!$BQ$22,IF(AND('Zdroj data'!BP162&gt;=Body!$BT$27,'Zdroj data'!BP162&lt;=Body!$BV$27),Body!$BT$22,IF(AND('Zdroj data'!BP162&gt;=Body!$BW$27,'Zdroj data'!BP162&lt;=Body!$BY$27),Body!$BW$22,IF('Zdroj data'!BP162&gt;=Body!$CB$27,$BZ$22," "))))))))))</f>
        <v>9</v>
      </c>
      <c r="X162" s="264">
        <f>IF('Zdroj data'!BA162=Body!$BB$28,$BB$22,IF('Zdroj data'!BA162=Body!$BE$28,$BE$22,IF(OR('Zdroj data'!BA162=Body!$BK$28,'Zdroj data'!BA162=Body!$BL$28,'Zdroj data'!BA162=Body!$BM$28),$BK$22,IF(OR('Zdroj data'!BA162=Body!$BT$28,'Zdroj data'!BA162=Body!$BV$28),$BT$22,IF(OR('Zdroj data'!BA162=Body!$BW$28,'Zdroj data'!BA162=Body!$BY$28),$BW$22,IF('Zdroj data'!BA162=Body!$BZ$28,$BZ$22," "))))))</f>
        <v>10</v>
      </c>
      <c r="Y162" s="264">
        <f>IF('Zdroj data'!AZ162=Body!$BZ$29,Body!$BZ$22,IF(OR('Zdroj data'!AZ162=$BT$29,'Zdroj data'!AZ162=$BU$29,'Zdroj data'!AZ162=$BV$29),$BT$22,IF(OR('Zdroj data'!AZ162=$BK$29,'Zdroj data'!AZ162=$BM$29),$BK$22,IF(OR('Zdroj data'!AZ162=$BE$29,'Zdroj data'!AZ162=$BG$29),$BE$22,IF(OR('Zdroj data'!AZ162=$AY$29,'Zdroj data'!AZ162=$BA$29),$AY$22," ")))))</f>
        <v>10</v>
      </c>
      <c r="Z162" s="264">
        <f>IF(AND('Zdroj data'!BF162="T",(OR('Zdroj data'!AZ162=Body!$AW$45,'Zdroj data'!AZ162=Body!$AW$46,'Zdroj data'!AZ162=Body!$AW$47,'Zdroj data'!AZ162=Body!$AW$48))),Body!$AY$22,IF(AND('Zdroj data'!BF162="T",(OR('Zdroj data'!AZ162=$AW$49,'Zdroj data'!AZ162=$AW$50,'Zdroj data'!AZ162=$AW$51,'Zdroj data'!AZ162=$AW$52))),$BZ$22,IF(AND(OR('Zdroj data'!BF162="VT",'Zdroj data'!BF162="T",'Zdroj data'!BF162="CH"),(OR('Zdroj data'!AZ162=$AW$43,'Zdroj data'!AZ162=$AW$44,))),$BZ$22,IF(AND('Zdroj data'!BF162="CH",(OR('Zdroj data'!AZ162=$AW$49,'Zdroj data'!AZ162=$AW$50,'Zdroj data'!AZ162=$AW$51,'Zdroj data'!AZ162=$AW$52))),$AY$22,IF(AND('Zdroj data'!BF162="CH",(OR('Zdroj data'!AZ162=$AW$45,'Zdroj data'!AZ162=$AW$46,'Zdroj data'!AZ162=$AW$47,'Zdroj data'!AZ162=$AW$48))),$BZ$22," ")))))</f>
        <v>10</v>
      </c>
      <c r="AA162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62" s="264">
        <f>IF(Tabulka1[[#This Row],[kv.ek.]]=Body!$BK$35,Body!$BK$34,IF(Tabulka1[[#This Row],[kv.ek.]]=Body!$BZ$35,Body!$BZ$34," "))</f>
        <v>5</v>
      </c>
      <c r="AC162" s="264" t="str">
        <f>IF(AND('Zdroj data'!BF162="T",(OR('Zdroj data'!AZ162=Body!$AW$45,'Zdroj data'!AZ162=Body!$AW$46,'Zdroj data'!AZ162=Body!$AW$47,'Zdroj data'!AZ162=Body!$AW$48))),Body!$AY$22,IF(AND('Zdroj data'!BF162="T",(OR('Zdroj data'!AZ162=$AW$49,'Zdroj data'!AZ162=$AW$50,'Zdroj data'!AZ162=$AW$51,'Zdroj data'!AZ162=$AW$52))),$BZ$22," "))</f>
        <v xml:space="preserve"> </v>
      </c>
      <c r="AD162" s="264">
        <f>IF(AND(OR('Zdroj data'!BF162="VT",'Zdroj data'!BF162="T",'Zdroj data'!BF162="CH"),(OR('Zdroj data'!AZ162=$AW$43,'Zdroj data'!AZ162=$AW$44,))),$BZ$22," ")</f>
        <v>10</v>
      </c>
      <c r="AE162" s="264" t="str">
        <f>IF(AND('Zdroj data'!BF162="CH",(OR('Zdroj data'!AZ162=$AW$49,'Zdroj data'!AZ162=$AW$50,'Zdroj data'!AZ162=$AW$51,'Zdroj data'!AZ162=$AW$52))),$AY$22,IF(AND('Zdroj data'!BF162="CH",(OR('Zdroj data'!AZ162=$AW$45,'Zdroj data'!AZ162=$AW$46,'Zdroj data'!AZ162=$AW$47,'Zdroj data'!AZ162=$AW$48))),$BZ$22," "))</f>
        <v xml:space="preserve"> </v>
      </c>
      <c r="AF162" s="264">
        <f>IF(AND('Zdroj data'!BG162="L",'Zdroj data'!AM162=Body!$AX$15),IF(AND('Zdroj data'!O162&gt;=Body!$AY$15,'Zdroj data'!O162&lt;=Body!$BA$15),Body!AY$6,IF(AND('Zdroj data'!O162&gt;=Body!$BB$15,'Zdroj data'!O162&lt;=Body!$BD$15),Body!BB$6,IF(AND('Zdroj data'!O162&gt;=Body!$BE$15,'Zdroj data'!O162&lt;=Body!$BG$15),Body!BE$6,IF(AND('Zdroj data'!O162&gt;=Body!$BH$15,'Zdroj data'!O162&lt;=Body!$BJ$15),Body!BH$6,IF(AND('Zdroj data'!O162&gt;=Body!$BK$15,'Zdroj data'!O162&lt;=Body!$BM$15),Body!BK$6,IF(AND('Zdroj data'!O162&gt;=Body!$BN$15,'Zdroj data'!O162&lt;=Body!$BP$15),Body!$BN$6,IF(AND('Zdroj data'!O162&gt;=Body!$BQ$15,'Zdroj data'!O162&lt;=Body!$BS$15),Body!$BQ$6,IF(AND('Zdroj data'!O162&gt;=Body!$BT$15,'Zdroj data'!O162&lt;=Body!$BV$15),Body!BT$6,IF(AND('Zdroj data'!O162&gt;=Body!$BW$15,'Zdroj data'!O162&lt;=Body!$BY$15),Body!$BW$6,IF('Zdroj data'!O162&gt;=Body!$CB$15,Body!$BZ$6," ")))))))))),IF(AND('Zdroj data'!BG162="ST",'Zdroj data'!AM162=Body!$AX$16),IF(AND('Zdroj data'!O162&gt;=Body!$AY$16,'Zdroj data'!O162&lt;=Body!$BA$16),Body!$AY$6,IF(AND('Zdroj data'!O162&gt;=Body!$BB$16,'Zdroj data'!O162&lt;=Body!$BD$16),Body!$BB$6,IF(AND('Zdroj data'!O162&gt;=Body!$BE$16,'Zdroj data'!O162&lt;=Body!$BG$16),Body!$BE$6,IF(AND('Zdroj data'!O162&gt;=Body!$BH$16,'Zdroj data'!O162&lt;=Body!$BJ$16),Body!$BH$6,IF(AND('Zdroj data'!O162&gt;=Body!$BK$16,'Zdroj data'!O162&lt;=Body!$BM$16),Body!$BK$6,IF(AND('Zdroj data'!O162&gt;=Body!$BN$16,'Zdroj data'!O162&lt;=Body!$BP$16),Body!$BN$6,IF(AND('Zdroj data'!O162&gt;=Body!$BQ$16,'Zdroj data'!O162&lt;=Body!$BS$16),Body!$BQ$6,IF(AND('Zdroj data'!O162&gt;=Body!$BT$16,'Zdroj data'!O162&lt;=Body!$BV$16),Body!$BT$6,IF(AND('Zdroj data'!O162&gt;=Body!$BW$16,'Zdroj data'!O162&lt;=Body!$BY$16),Body!$BW$6,IF('Zdroj data'!O162&gt;=Body!$CB$16,Body!$BZ$6," ")))))))))),IF(AND('Zdroj data'!BG162="T",'Zdroj data'!AM162=Body!$AX$17),IF(AND('Zdroj data'!O162&gt;=Body!$AY$17,'Zdroj data'!O162&lt;=Body!$BA$17),Body!$AY$6,IF(AND('Zdroj data'!O162&gt;=Body!$BB$17,'Zdroj data'!O162&lt;=Body!$BD$17),Body!$BB$6,IF(AND('Zdroj data'!O162&gt;=Body!$BE$17,'Zdroj data'!O162&lt;=Body!$BG$17),Body!$BE$6,IF(AND('Zdroj data'!O162&gt;=Body!$BH$17,'Zdroj data'!O162&lt;=Body!#REF!),Body!$BH$6,IF(AND('Zdroj data'!O162&gt;=Body!$BK$17,'Zdroj data'!O162&lt;=Body!$BM$17),Body!$BK$6,IF(AND('Zdroj data'!O162&gt;=Body!$BN$17,'Zdroj data'!O162&lt;=Body!$BP$17),Body!$BN$6,IF(AND('Zdroj data'!O162&gt;=Body!$BQ$17,'Zdroj data'!O162&lt;=Body!$BS$17),Body!$BQ$6,IF(AND('Zdroj data'!O162&gt;=Body!$BT$17,'Zdroj data'!O162&lt;=Body!$BV$17),Body!$BT$6,IF(AND('Zdroj data'!O162&gt;=Body!$BW$17,'Zdroj data'!O162&lt;=Body!$BY$17),Body!$BW$6,IF('Zdroj data'!O162&gt;=Body!$CB$17,Body!$BZ$6," "))))))))))," ")))</f>
        <v>3</v>
      </c>
      <c r="AG162" s="264">
        <f>IF(AND('Zdroj data'!$BG162="L",'Zdroj data'!$AM162=Body!$AX$15),IF(AND(Tabulka1[[#This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data'!$BG162="ST",'Zdroj data'!$AM162=Body!$AX$16),IF(AND(Tabulka1[[#This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data'!$BG162="T",'Zdroj data'!$AM162=Body!$AX$17),IF(AND(Tabulka1[[#This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2</v>
      </c>
      <c r="AH162" s="264" t="str">
        <f>IF(AND('Zdroj data'!BG162="L",'Zdroj data'!AM162=Body!$AX$18),IF(AND('Zdroj data'!O162&gt;=Body!$AY$18,'Zdroj data'!O162&lt;=Body!$BA$18),Body!AY$6,IF(AND('Zdroj data'!O162&gt;=Body!$BB$18,'Zdroj data'!O162&lt;=Body!$BD$18),Body!BB$6,IF(AND('Zdroj data'!O162&gt;=Body!$BE$18,'Zdroj data'!O162&lt;=Body!$BG$18),Body!BE$6,IF(AND('Zdroj data'!O162&gt;=Body!$BH$18,'Zdroj data'!O162&lt;=Body!$BJ$18),Body!BH$6,IF(AND('Zdroj data'!O162&gt;=Body!$BK$18,'Zdroj data'!O162&lt;=Body!$BM$18),Body!$BK$6,IF(AND('Zdroj data'!O162&gt;=Body!$BN$18,'Zdroj data'!O162&lt;=Body!$BP$18),Body!BN$6,IF(AND('Zdroj data'!O162&gt;=Body!$BQ$18,'Zdroj data'!O162&lt;=Body!$BS$18),Body!$BQ$6,IF(AND('Zdroj data'!O162&gt;=Body!$BT$18,'Zdroj data'!O162&lt;=Body!$BV$18),Body!$BT$6,IF(AND('Zdroj data'!O162&gt;=Body!$BW$18,'Zdroj data'!O162&lt;=Body!$BY$18),Body!$BW$6,IF('Zdroj data'!O162&gt;=Body!$CB$18,Body!$BZ$6," ")))))))))),IF(AND('Zdroj data'!BG162="ST",'Zdroj data'!AM162=Body!$AX$19),IF(AND('Zdroj data'!O162&gt;=Body!$AY$19,'Zdroj data'!O162&lt;=Body!$BA$19),Body!$AY$6,IF(AND('Zdroj data'!O162&gt;=Body!$BB$19,'Zdroj data'!O162&lt;=Body!$BD$19),Body!$BB$6,IF(AND('Zdroj data'!O162&gt;=Body!$BE$19,'Zdroj data'!O162&lt;=Body!$BG$19),Body!$BE$6,IF(AND('Zdroj data'!O162&gt;=Body!$BH$19,'Zdroj data'!O162&lt;=Body!$BJ$19),Body!$BH$6,IF(AND('Zdroj data'!O162&gt;=Body!$BK$19,'Zdroj data'!O162&lt;=Body!$BM$19),Body!$BK$6,IF(AND('Zdroj data'!O162&gt;=Body!$BN$19,'Zdroj data'!O162&lt;=Body!$BP$19),Body!$BN$6,IF(AND('Zdroj data'!O162&gt;=Body!$BQ$19,'Zdroj data'!O162&lt;=Body!$BS$19),Body!$BQ$6,IF(AND('Zdroj data'!O162&gt;=Body!$BT$19,'Zdroj data'!O166&lt;=Body!$BV$19),Body!$BT$6,IF(AND('Zdroj data'!O162&gt;=Body!$BW$19,'Zdroj data'!O162&lt;=Body!$BY$19),Body!$BW$6,IF('Zdroj data'!O162&gt;=Body!$CB$19,Body!$BZ$6," ")))))))))),IF(AND('Zdroj data'!BG162="T",'Zdroj data'!AM162=Body!$AX$20),IF(AND('Zdroj data'!O162&gt;=Body!$AY$20,'Zdroj data'!O162&lt;=Body!$BA$20),Body!$AY$6,IF(AND('Zdroj data'!O162&gt;=Body!$BB$20,'Zdroj data'!O162&lt;=Body!$BD$20),Body!$BB$6,IF(AND('Zdroj data'!O162&gt;=Body!$BE$20,'Zdroj data'!O162&lt;=Body!$BG$20),Body!$BE$6,IF(AND('Zdroj data'!O162&gt;=Body!$BH$20,'Zdroj data'!O162&lt;=Body!$BJ$20),Body!$BH$6,IF(AND('Zdroj data'!O162&gt;=Body!$BK$20,'Zdroj data'!O162&lt;=Body!$BM$20),Body!$BK$6,IF(AND('Zdroj data'!O162&gt;=Body!$BN$20,'Zdroj data'!O162&lt;=Body!$BP$20),Body!$BN$6,IF(AND('Zdroj data'!O162&gt;=Body!$BQ$20,'Zdroj data'!O162&lt;=Body!$BS$20),Body!$BQ$6,IF(AND('Zdroj data'!O162&gt;=Body!$BT$20,'Zdroj data'!O162&lt;=Body!#REF!),Body!$BT$6,IF(AND('Zdroj data'!O162&gt;=Body!$BW$20,'Zdroj data'!O162&lt;=Body!$BY$20),Body!$BW$6,IF('Zdroj data'!O162&gt;=Body!$CB$20,Body!$BZ$6," "))))))))))," ")))</f>
        <v xml:space="preserve"> </v>
      </c>
      <c r="AI162" s="264" t="str">
        <f>IF(AND('Zdroj data'!$BG162="L",'Zdroj data'!$AM162=Body!$AX$18),IF(AND(Tabulka1[[#This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data'!$BG162="ST",'Zdroj data'!$AM162=Body!$AX$19),IF(AND(Tabulka1[[#This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data'!$BG162="T",'Zdroj data'!$AM162=Body!$AX$20),IF(AND(Tabulka1[[#This Row],[K2O_60]]&gt;=Body!$AY$20,'Zdroj data'!O162&lt;=Body!$BA$20),Body!$AY$6,IF(AND(Tabulka1[[#This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62" s="265">
        <f t="shared" si="26"/>
        <v>8.0000000000000071</v>
      </c>
      <c r="AK162" s="264">
        <f t="shared" si="27"/>
        <v>40.811918419820927</v>
      </c>
      <c r="AL162" s="264">
        <f t="shared" si="28"/>
        <v>38.064249700270139</v>
      </c>
      <c r="AM162" s="264">
        <f t="shared" si="29"/>
        <v>44.846622973498981</v>
      </c>
      <c r="AN162" s="264">
        <f t="shared" si="30"/>
        <v>47.93580938790295</v>
      </c>
      <c r="AO162" s="265">
        <f t="shared" si="33"/>
        <v>85.658541393319908</v>
      </c>
      <c r="AP162" s="265">
        <f t="shared" si="31"/>
        <v>86.000059088173089</v>
      </c>
      <c r="AQ162" s="318"/>
      <c r="AR162" s="338">
        <f t="shared" si="32"/>
        <v>179.65860048149301</v>
      </c>
      <c r="AS162" s="318"/>
      <c r="AT162" s="138"/>
      <c r="AU162" s="138"/>
    </row>
    <row r="163" spans="1:47" ht="15.5" x14ac:dyDescent="0.35">
      <c r="A163" s="270">
        <v>9176</v>
      </c>
      <c r="B163" s="156" t="s">
        <v>663</v>
      </c>
      <c r="C163" s="250" t="str">
        <f>VLOOKUP(B163,'Zdroj hloubka okresy'!$A$2:$D$171,2,FALSE)</f>
        <v>Mlada_Boleslav</v>
      </c>
      <c r="D163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163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163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63" s="264">
        <f>IF(AND(Tabulka1[[#This Row],[hum_60]]&gt;AY169,Tabulka1[[#This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63" s="264">
        <f>IF(Tabulka1[[#This Row],[kv.ek.]]=Body!$AX$13,IF(AND('Zdroj data'!M163&gt;=Body!$AY$13,'Zdroj data'!M163&lt;=Body!$BA$13),Body!$AY$6,IF(AND('Zdroj data'!M163&gt;=Body!$BB$13,'Zdroj data'!M163&lt;=Body!$BD$13),Body!$BB$6,IF(AND('Zdroj data'!M163&gt;=Body!$BE$13,'Zdroj data'!M163&lt;=Body!$BG$13),Body!$BE$6,IF(AND('Zdroj data'!M163&gt;=Body!$BH$13,'Zdroj data'!M163&lt;=Body!$BJ$13),Body!$BH$6,IF(AND('Zdroj data'!M163&gt;=Body!$BK$13,'Zdroj data'!M163&lt;=Body!$BM$13),Body!$BK$6,IF(AND('Zdroj data'!M163&gt;=Body!$BN$13,'Zdroj data'!M163&lt;=Body!$BP$13),Body!$BN$6,IF(AND('Zdroj data'!M163&gt;=Body!$BQ$13,'Zdroj data'!M163&lt;=Body!$BS$13),Body!$BQ$6,IF(AND('Zdroj data'!M163&gt;=Body!$BT$13,'Zdroj data'!M163&lt;=Body!$BV$13),Body!$BT$6,IF(AND('Zdroj data'!M163&gt;=Body!$BW$13,'Zdroj data'!M163&lt;=Body!$BY$13),Body!$BW$6,IF('Zdroj data'!M163&gt;=Body!$CB$13,Body!$BZ$6," ")))))))))),IF(Tabulka1[[#This Row],[kv.ek.]]=Body!$AX$14,IF(AND('Zdroj data'!N163&gt;=Body!$AY$14,'Zdroj data'!N163&lt;=Body!$BA$14),Body!$AY$6,IF(AND('Zdroj data'!N163&gt;=Body!$BB$14,'Zdroj data'!N163&lt;=Body!$BD$14),Body!$BB$6,IF(AND('Zdroj data'!N163&gt;=Body!$BE$14,'Zdroj data'!N163&lt;=Body!$BG$14),Body!$BE$6,IF(AND('Zdroj data'!N163&gt;=Body!$BH$14,'Zdroj data'!N163&lt;=Body!$BJ$14),Body!$BH$6,IF(AND('Zdroj data'!N163&gt;=Body!$BK$14,'Zdroj data'!N163&lt;=Body!$BM$14),Body!$BK$6,IF(AND('Zdroj data'!N163&gt;=Body!$BN$14,'Zdroj data'!N163&lt;=Body!$BP$14),Body!$BN$6,IF(AND('Zdroj data'!N163&gt;=Body!$BQ$14,'Zdroj data'!N163&lt;=Body!$BS$14),Body!$BQ$6,IF(AND('Zdroj data'!N163&gt;=Body!$BT$14,'Zdroj data'!N163&lt;=Body!$BV$14),Body!$BT$6,IF(AND('Zdroj data'!N163&gt;=Body!$BW$14,'Zdroj data'!N163&lt;=Body!$BY$14),Body!$BW$6,IF('Zdroj data'!N163&gt;=Body!$CB$14,Body!$BZ$6," "))))))))))," "))</f>
        <v>6</v>
      </c>
      <c r="I163" s="264">
        <f>IF(Tabulka1[[#This Row],[kv.ek.]]=Body!$AX$13,IF(AND('Zdroj data'!N163&gt;=Body!$AY$13,'Zdroj data'!N163&lt;=Body!$BA$13),Body!$AY$6,IF(AND('Zdroj data'!N163&gt;=Body!$BB$13,'Zdroj data'!N163&lt;=Body!$BD$13),Body!$BB$6,IF(AND('Zdroj data'!N163&gt;=Body!$BE$13,'Zdroj data'!N163&lt;=Body!$BG$13),Body!$BE$6,IF(AND('Zdroj data'!N163&gt;=Body!$BH$13,'Zdroj data'!N163&lt;=Body!$BJ$13),Body!$BH$6,IF(AND('Zdroj data'!N163&gt;=Body!$BK$13,'Zdroj data'!N163&lt;=Body!$BM$13),Body!$BK$6,IF(AND('Zdroj data'!N163&gt;=Body!$BN$13,'Zdroj data'!N163&lt;=Body!$BP$13),Body!$BN$6,IF(AND('Zdroj data'!N163&gt;=Body!$BQ$13,'Zdroj data'!N163&lt;=Body!$BS$13),Body!$BQ$6,IF(AND('Zdroj data'!N163&gt;=Body!$BT$13,'Zdroj data'!N163&lt;=Body!$BV$13),Body!$BT$6,IF(AND('Zdroj data'!N163&gt;=Body!$BW$13,'Zdroj data'!N163&lt;=Body!$BY$13),Body!$BW$6,IF('Zdroj data'!N163&gt;=Body!$CB$13,Body!$BZ$6," ")))))))))),IF(Tabulka1[[#This Row],[kv.ek.]]=Body!$AX$14,IF(AND('Zdroj data'!O163&gt;=Body!$AY$14,'Zdroj data'!O163&lt;=Body!$BA$14),Body!$AY$6,IF(AND('Zdroj data'!O163&gt;=Body!$BB$14,'Zdroj data'!O163&lt;=Body!$BD$14),Body!$BB$6,IF(AND('Zdroj data'!O163&gt;=Body!$BE$14,'Zdroj data'!O163&lt;=Body!$BG$14),Body!$BE$6,IF(AND('Zdroj data'!O163&gt;=Body!$BH$14,'Zdroj data'!O163&lt;=Body!$BJ$14),Body!$BH$6,IF(AND('Zdroj data'!O163&gt;=Body!$BK$14,'Zdroj data'!O163&lt;=Body!$BM$14),Body!$BK$6,IF(AND('Zdroj data'!O163&gt;=Body!$BN$14,'Zdroj data'!O163&lt;=Body!$BP$14),Body!$BN$6,IF(AND('Zdroj data'!O163&gt;=Body!$BQ$14,'Zdroj data'!O163&lt;=Body!$BS$14),Body!$BQ$6,IF(AND('Zdroj data'!O163&gt;=Body!$BT$14,'Zdroj data'!O163&lt;=Body!$BV$14),Body!$BT$6,IF(AND('Zdroj data'!O163&gt;=Body!$BW$14,'Zdroj data'!O163&lt;=Body!$BY$14),Body!$BW$6,IF('Zdroj data'!O163&gt;=Body!$CB$14,Body!$BZ$6," "))))))))))," "))</f>
        <v>4</v>
      </c>
      <c r="J163" s="264">
        <f t="shared" si="25"/>
        <v>1</v>
      </c>
      <c r="K163" s="264">
        <f t="shared" si="25"/>
        <v>1</v>
      </c>
      <c r="L163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8</v>
      </c>
      <c r="M163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8</v>
      </c>
      <c r="N163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163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163" s="264">
        <f>IF(Tabulka1[[#This Row],[RVK]]=Body!$BE$10,Body!$BE$6,IF(Tabulka1[[#This Row],[RVK]]=Body!$BK$10,Body!$BK$6,IF(Tabulka1[[#This Row],[RVK]]=Body!$BN$10,Body!$BN$6,IF(Tabulka1[[#This Row],[RVK]]=Body!$BZ$10,Body!$BZ$6," "))))</f>
        <v>5</v>
      </c>
      <c r="Q163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8</v>
      </c>
      <c r="R163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8</v>
      </c>
      <c r="S163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5</v>
      </c>
      <c r="T163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4</v>
      </c>
      <c r="U163" s="264">
        <f>IF('Zdroj data'!BB163=Body!$AY$25,Body!$AY$22,IF('Zdroj data'!BB163=Body!$BB$25,Body!$BB$22,IF('Zdroj data'!BB163=Body!$BE$25,Body!$BE$22,IF('Zdroj data'!BB163=Body!$BH$25,Body!$BH$22,IF('Zdroj data'!BB163=Body!BK$25,Body!$BK$22,IF('Zdroj data'!BB163=Body!$BN$25,Body!$BN$22,IF('Zdroj data'!BB163=Body!$BQ$25,Body!$BQ$22,IF('Zdroj data'!BB163=Body!$BT$25,Body!$BT$22,IF('Zdroj data'!BB163=Body!$BW$25,Body!$BW$22,IF('Zdroj data'!BB163=Body!$BZ$25,Body!$BZ$22," "))))))))))</f>
        <v>7</v>
      </c>
      <c r="V163" s="264">
        <f>IF(AND('Zdroj data'!BO163&gt;Body!$AY$27,'Zdroj data'!BO163&lt;=Body!$BA$27),Body!$AY$22,IF(AND('Zdroj data'!BO163&gt;=Body!$BB$27,'Zdroj data'!BO163&lt;=Body!$BD$27),Body!$BB$22,IF(AND('Zdroj data'!BO163&gt;=Body!$BE$27,'Zdroj data'!BO163&lt;=Body!$BG$27),Body!$BE$22,IF(AND('Zdroj data'!BO163&gt;=Body!$BH$27,'Zdroj data'!BO163&lt;=Body!$BJ$27),Body!$BH$22,IF(AND('Zdroj data'!BO163&gt;=Body!$BK$27,'Zdroj data'!BO163&lt;=Body!$BM$27),Body!$BK$22,IF(AND('Zdroj data'!BO163&gt;=Body!$BN$27,'Zdroj data'!BO163&lt;=Body!$BP$27),Body!$BN$22,IF(AND('Zdroj data'!BO163&gt;=Body!$BQ$27,'Zdroj data'!BO163&lt;=Body!$BS$27),Body!$BQ$22,IF(AND('Zdroj data'!BO163&gt;=Body!$BT$27,'Zdroj data'!BO163&lt;=Body!$BV$27),Body!$BT$22,IF(AND('Zdroj data'!BO163&gt;=Body!$BW$27,'Zdroj data'!BO163&lt;=Body!$BY$27),Body!$BW$22,IF('Zdroj data'!BO163&gt;=Body!$CB$27,$BZ$22," "))))))))))</f>
        <v>6</v>
      </c>
      <c r="W163" s="264">
        <f>IF(AND('Zdroj data'!BP163&gt;Body!$AY$27,'Zdroj data'!BP163&lt;=Body!$BA$27),Body!$AY$22,IF(AND('Zdroj data'!BP163&gt;=Body!$BB$27,'Zdroj data'!BP163&lt;=Body!$BD$27),Body!$BB$22,IF(AND('Zdroj data'!BP163&gt;=Body!$BE$27,'Zdroj data'!BP163&lt;=Body!$BG$27),Body!$BE$22,IF(AND('Zdroj data'!BP163&gt;=Body!$BH$27,'Zdroj data'!BP163&lt;=Body!$BJ$27),Body!$BH$22,IF(AND('Zdroj data'!BP163&gt;=Body!$BK$27,'Zdroj data'!BP163&lt;=Body!$BM$27),Body!$BK$22,IF(AND('Zdroj data'!BP163&gt;=Body!$BN$27,'Zdroj data'!BP163&lt;=Body!$BP$27),Body!$BN$22,IF(AND('Zdroj data'!BP163&gt;=Body!$BQ$27,'Zdroj data'!BP163&lt;=Body!$BS$27),Body!$BQ$22,IF(AND('Zdroj data'!BP163&gt;=Body!$BT$27,'Zdroj data'!BP163&lt;=Body!$BV$27),Body!$BT$22,IF(AND('Zdroj data'!BP163&gt;=Body!$BW$27,'Zdroj data'!BP163&lt;=Body!$BY$27),Body!$BW$22,IF('Zdroj data'!BP163&gt;=Body!$CB$27,$BZ$22," "))))))))))</f>
        <v>5</v>
      </c>
      <c r="X163" s="264">
        <f>IF('Zdroj data'!BA163=Body!$BB$28,$BB$22,IF('Zdroj data'!BA163=Body!$BE$28,$BE$22,IF(OR('Zdroj data'!BA163=Body!$BK$28,'Zdroj data'!BA163=Body!$BL$28,'Zdroj data'!BA163=Body!$BM$28),$BK$22,IF(OR('Zdroj data'!BA163=Body!$BT$28,'Zdroj data'!BA163=Body!$BV$28),$BT$22,IF(OR('Zdroj data'!BA163=Body!$BW$28,'Zdroj data'!BA163=Body!$BY$28),$BW$22,IF('Zdroj data'!BA163=Body!$BZ$28,$BZ$22," "))))))</f>
        <v>9</v>
      </c>
      <c r="Y163" s="264">
        <f>IF('Zdroj data'!AZ163=Body!$BZ$29,Body!$BZ$22,IF(OR('Zdroj data'!AZ163=$BT$29,'Zdroj data'!AZ163=$BU$29,'Zdroj data'!AZ163=$BV$29),$BT$22,IF(OR('Zdroj data'!AZ163=$BK$29,'Zdroj data'!AZ163=$BM$29),$BK$22,IF(OR('Zdroj data'!AZ163=$BE$29,'Zdroj data'!AZ163=$BG$29),$BE$22,IF(OR('Zdroj data'!AZ163=$AY$29,'Zdroj data'!AZ163=$BA$29),$AY$22," ")))))</f>
        <v>10</v>
      </c>
      <c r="Z163" s="264">
        <f>IF(AND('Zdroj data'!BF163="T",(OR('Zdroj data'!AZ163=Body!$AW$45,'Zdroj data'!AZ163=Body!$AW$46,'Zdroj data'!AZ163=Body!$AW$47,'Zdroj data'!AZ163=Body!$AW$48))),Body!$AY$22,IF(AND('Zdroj data'!BF163="T",(OR('Zdroj data'!AZ163=$AW$49,'Zdroj data'!AZ163=$AW$50,'Zdroj data'!AZ163=$AW$51,'Zdroj data'!AZ163=$AW$52))),$BZ$22,IF(AND(OR('Zdroj data'!BF163="VT",'Zdroj data'!BF163="T",'Zdroj data'!BF163="CH"),(OR('Zdroj data'!AZ163=$AW$43,'Zdroj data'!AZ163=$AW$44,))),$BZ$22,IF(AND('Zdroj data'!BF163="CH",(OR('Zdroj data'!AZ163=$AW$49,'Zdroj data'!AZ163=$AW$50,'Zdroj data'!AZ163=$AW$51,'Zdroj data'!AZ163=$AW$52))),$AY$22,IF(AND('Zdroj data'!BF163="CH",(OR('Zdroj data'!AZ163=$AW$45,'Zdroj data'!AZ163=$AW$46,'Zdroj data'!AZ163=$AW$47,'Zdroj data'!AZ163=$AW$48))),$BZ$22," ")))))</f>
        <v>10</v>
      </c>
      <c r="AA163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</v>
      </c>
      <c r="AB163" s="264">
        <f>IF(Tabulka1[[#This Row],[kv.ek.]]=Body!$BK$35,Body!$BK$34,IF(Tabulka1[[#This Row],[kv.ek.]]=Body!$BZ$35,Body!$BZ$34," "))</f>
        <v>5</v>
      </c>
      <c r="AC163" s="264" t="str">
        <f>IF(AND('Zdroj data'!BF163="T",(OR('Zdroj data'!AZ163=Body!$AW$45,'Zdroj data'!AZ163=Body!$AW$46,'Zdroj data'!AZ163=Body!$AW$47,'Zdroj data'!AZ163=Body!$AW$48))),Body!$AY$22,IF(AND('Zdroj data'!BF163="T",(OR('Zdroj data'!AZ163=$AW$49,'Zdroj data'!AZ163=$AW$50,'Zdroj data'!AZ163=$AW$51,'Zdroj data'!AZ163=$AW$52))),$BZ$22," "))</f>
        <v xml:space="preserve"> </v>
      </c>
      <c r="AD163" s="264">
        <f>IF(AND(OR('Zdroj data'!BF163="VT",'Zdroj data'!BF163="T",'Zdroj data'!BF163="CH"),(OR('Zdroj data'!AZ163=$AW$43,'Zdroj data'!AZ163=$AW$44,))),$BZ$22," ")</f>
        <v>10</v>
      </c>
      <c r="AE163" s="264" t="str">
        <f>IF(AND('Zdroj data'!BF163="CH",(OR('Zdroj data'!AZ163=$AW$49,'Zdroj data'!AZ163=$AW$50,'Zdroj data'!AZ163=$AW$51,'Zdroj data'!AZ163=$AW$52))),$AY$22,IF(AND('Zdroj data'!BF163="CH",(OR('Zdroj data'!AZ163=$AW$45,'Zdroj data'!AZ163=$AW$46,'Zdroj data'!AZ163=$AW$47,'Zdroj data'!AZ163=$AW$48))),$BZ$22," "))</f>
        <v xml:space="preserve"> </v>
      </c>
      <c r="AF163" s="264">
        <f>IF(AND('Zdroj data'!BG163="L",'Zdroj data'!AM163=Body!$AX$15),IF(AND('Zdroj data'!O163&gt;=Body!$AY$15,'Zdroj data'!O163&lt;=Body!$BA$15),Body!AY$6,IF(AND('Zdroj data'!O163&gt;=Body!$BB$15,'Zdroj data'!O163&lt;=Body!$BD$15),Body!BB$6,IF(AND('Zdroj data'!O163&gt;=Body!$BE$15,'Zdroj data'!O163&lt;=Body!$BG$15),Body!BE$6,IF(AND('Zdroj data'!O163&gt;=Body!$BH$15,'Zdroj data'!O163&lt;=Body!$BJ$15),Body!BH$6,IF(AND('Zdroj data'!O163&gt;=Body!$BK$15,'Zdroj data'!O163&lt;=Body!$BM$15),Body!BK$6,IF(AND('Zdroj data'!O163&gt;=Body!$BN$15,'Zdroj data'!O163&lt;=Body!$BP$15),Body!$BN$6,IF(AND('Zdroj data'!O163&gt;=Body!$BQ$15,'Zdroj data'!O163&lt;=Body!$BS$15),Body!$BQ$6,IF(AND('Zdroj data'!O163&gt;=Body!$BT$15,'Zdroj data'!O163&lt;=Body!$BV$15),Body!BT$6,IF(AND('Zdroj data'!O163&gt;=Body!$BW$15,'Zdroj data'!O163&lt;=Body!$BY$15),Body!$BW$6,IF('Zdroj data'!O163&gt;=Body!$CB$15,Body!$BZ$6," ")))))))))),IF(AND('Zdroj data'!BG163="ST",'Zdroj data'!AM163=Body!$AX$16),IF(AND('Zdroj data'!O163&gt;=Body!$AY$16,'Zdroj data'!O163&lt;=Body!$BA$16),Body!$AY$6,IF(AND('Zdroj data'!O163&gt;=Body!$BB$16,'Zdroj data'!O163&lt;=Body!$BD$16),Body!$BB$6,IF(AND('Zdroj data'!O163&gt;=Body!$BE$16,'Zdroj data'!O163&lt;=Body!$BG$16),Body!$BE$6,IF(AND('Zdroj data'!O163&gt;=Body!$BH$16,'Zdroj data'!O163&lt;=Body!$BJ$16),Body!$BH$6,IF(AND('Zdroj data'!O163&gt;=Body!$BK$16,'Zdroj data'!O163&lt;=Body!$BM$16),Body!$BK$6,IF(AND('Zdroj data'!O163&gt;=Body!$BN$16,'Zdroj data'!O163&lt;=Body!$BP$16),Body!$BN$6,IF(AND('Zdroj data'!O163&gt;=Body!$BQ$16,'Zdroj data'!O163&lt;=Body!$BS$16),Body!$BQ$6,IF(AND('Zdroj data'!O163&gt;=Body!$BT$16,'Zdroj data'!O163&lt;=Body!$BV$16),Body!$BT$6,IF(AND('Zdroj data'!O163&gt;=Body!$BW$16,'Zdroj data'!O163&lt;=Body!$BY$16),Body!$BW$6,IF('Zdroj data'!O163&gt;=Body!$CB$16,Body!$BZ$6," ")))))))))),IF(AND('Zdroj data'!BG163="T",'Zdroj data'!AM163=Body!$AX$17),IF(AND('Zdroj data'!O163&gt;=Body!$AY$17,'Zdroj data'!O163&lt;=Body!$BA$17),Body!$AY$6,IF(AND('Zdroj data'!O163&gt;=Body!$BB$17,'Zdroj data'!O163&lt;=Body!$BD$17),Body!$BB$6,IF(AND('Zdroj data'!O163&gt;=Body!$BE$17,'Zdroj data'!O163&lt;=Body!$BG$17),Body!$BE$6,IF(AND('Zdroj data'!O163&gt;=Body!$BH$17,'Zdroj data'!O163&lt;=Body!#REF!),Body!$BH$6,IF(AND('Zdroj data'!O163&gt;=Body!$BK$17,'Zdroj data'!O163&lt;=Body!$BM$17),Body!$BK$6,IF(AND('Zdroj data'!O163&gt;=Body!$BN$17,'Zdroj data'!O163&lt;=Body!$BP$17),Body!$BN$6,IF(AND('Zdroj data'!O163&gt;=Body!$BQ$17,'Zdroj data'!O163&lt;=Body!$BS$17),Body!$BQ$6,IF(AND('Zdroj data'!O163&gt;=Body!$BT$17,'Zdroj data'!O163&lt;=Body!$BV$17),Body!$BT$6,IF(AND('Zdroj data'!O163&gt;=Body!$BW$17,'Zdroj data'!O163&lt;=Body!$BY$17),Body!$BW$6,IF('Zdroj data'!O163&gt;=Body!$CB$17,Body!$BZ$6," "))))))))))," ")))</f>
        <v>1</v>
      </c>
      <c r="AG163" s="264">
        <f>IF(AND('Zdroj data'!$BG163="L",'Zdroj data'!$AM163=Body!$AX$15),IF(AND(Tabulka1[[#This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data'!$BG163="ST",'Zdroj data'!$AM163=Body!$AX$16),IF(AND(Tabulka1[[#This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data'!$BG163="T",'Zdroj data'!$AM163=Body!$AX$17),IF(AND(Tabulka1[[#This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63" s="264" t="str">
        <f>IF(AND('Zdroj data'!BG163="L",'Zdroj data'!AM163=Body!$AX$18),IF(AND('Zdroj data'!O163&gt;=Body!$AY$18,'Zdroj data'!O163&lt;=Body!$BA$18),Body!AY$6,IF(AND('Zdroj data'!O163&gt;=Body!$BB$18,'Zdroj data'!O163&lt;=Body!$BD$18),Body!BB$6,IF(AND('Zdroj data'!O163&gt;=Body!$BE$18,'Zdroj data'!O163&lt;=Body!$BG$18),Body!BE$6,IF(AND('Zdroj data'!O163&gt;=Body!$BH$18,'Zdroj data'!O163&lt;=Body!$BJ$18),Body!BH$6,IF(AND('Zdroj data'!O163&gt;=Body!$BK$18,'Zdroj data'!O163&lt;=Body!$BM$18),Body!$BK$6,IF(AND('Zdroj data'!O163&gt;=Body!$BN$18,'Zdroj data'!O163&lt;=Body!$BP$18),Body!BN$6,IF(AND('Zdroj data'!O163&gt;=Body!$BQ$18,'Zdroj data'!O163&lt;=Body!$BS$18),Body!$BQ$6,IF(AND('Zdroj data'!O163&gt;=Body!$BT$18,'Zdroj data'!O163&lt;=Body!$BV$18),Body!$BT$6,IF(AND('Zdroj data'!O163&gt;=Body!$BW$18,'Zdroj data'!O163&lt;=Body!$BY$18),Body!$BW$6,IF('Zdroj data'!O163&gt;=Body!$CB$18,Body!$BZ$6," ")))))))))),IF(AND('Zdroj data'!BG163="ST",'Zdroj data'!AM163=Body!$AX$19),IF(AND('Zdroj data'!O163&gt;=Body!$AY$19,'Zdroj data'!O163&lt;=Body!$BA$19),Body!$AY$6,IF(AND('Zdroj data'!O163&gt;=Body!$BB$19,'Zdroj data'!O163&lt;=Body!$BD$19),Body!$BB$6,IF(AND('Zdroj data'!O163&gt;=Body!$BE$19,'Zdroj data'!O163&lt;=Body!$BG$19),Body!$BE$6,IF(AND('Zdroj data'!O163&gt;=Body!$BH$19,'Zdroj data'!O163&lt;=Body!$BJ$19),Body!$BH$6,IF(AND('Zdroj data'!O163&gt;=Body!$BK$19,'Zdroj data'!O163&lt;=Body!$BM$19),Body!$BK$6,IF(AND('Zdroj data'!O163&gt;=Body!$BN$19,'Zdroj data'!O163&lt;=Body!$BP$19),Body!$BN$6,IF(AND('Zdroj data'!O163&gt;=Body!$BQ$19,'Zdroj data'!O163&lt;=Body!$BS$19),Body!$BQ$6,IF(AND('Zdroj data'!O163&gt;=Body!$BT$19,'Zdroj data'!O167&lt;=Body!$BV$19),Body!$BT$6,IF(AND('Zdroj data'!O163&gt;=Body!$BW$19,'Zdroj data'!O163&lt;=Body!$BY$19),Body!$BW$6,IF('Zdroj data'!O163&gt;=Body!$CB$19,Body!$BZ$6," ")))))))))),IF(AND('Zdroj data'!BG163="T",'Zdroj data'!AM163=Body!$AX$20),IF(AND('Zdroj data'!O163&gt;=Body!$AY$20,'Zdroj data'!O163&lt;=Body!$BA$20),Body!$AY$6,IF(AND('Zdroj data'!O163&gt;=Body!$BB$20,'Zdroj data'!O163&lt;=Body!$BD$20),Body!$BB$6,IF(AND('Zdroj data'!O163&gt;=Body!$BE$20,'Zdroj data'!O163&lt;=Body!$BG$20),Body!$BE$6,IF(AND('Zdroj data'!O163&gt;=Body!$BH$20,'Zdroj data'!O163&lt;=Body!$BJ$20),Body!$BH$6,IF(AND('Zdroj data'!O163&gt;=Body!$BK$20,'Zdroj data'!O163&lt;=Body!$BM$20),Body!$BK$6,IF(AND('Zdroj data'!O163&gt;=Body!$BN$20,'Zdroj data'!O163&lt;=Body!$BP$20),Body!$BN$6,IF(AND('Zdroj data'!O163&gt;=Body!$BQ$20,'Zdroj data'!O163&lt;=Body!$BS$20),Body!$BQ$6,IF(AND('Zdroj data'!O163&gt;=Body!$BT$20,'Zdroj data'!O163&lt;=Body!#REF!),Body!$BT$6,IF(AND('Zdroj data'!O163&gt;=Body!$BW$20,'Zdroj data'!O163&lt;=Body!$BY$20),Body!$BW$6,IF('Zdroj data'!O163&gt;=Body!$CB$20,Body!$BZ$6," "))))))))))," ")))</f>
        <v xml:space="preserve"> </v>
      </c>
      <c r="AI163" s="264" t="str">
        <f>IF(AND('Zdroj data'!$BG163="L",'Zdroj data'!$AM163=Body!$AX$18),IF(AND(Tabulka1[[#This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data'!$BG163="ST",'Zdroj data'!$AM163=Body!$AX$19),IF(AND(Tabulka1[[#This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data'!$BG163="T",'Zdroj data'!$AM163=Body!$AX$20),IF(AND(Tabulka1[[#This Row],[K2O_60]]&gt;=Body!$AY$20,'Zdroj data'!O163&lt;=Body!$BA$20),Body!$AY$6,IF(AND(Tabulka1[[#This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63" s="265">
        <f t="shared" si="26"/>
        <v>2.6666666666666687</v>
      </c>
      <c r="AK163" s="264">
        <f t="shared" si="27"/>
        <v>35.326379407567195</v>
      </c>
      <c r="AL163" s="264">
        <f t="shared" si="28"/>
        <v>34.870966859236006</v>
      </c>
      <c r="AM163" s="264">
        <f t="shared" si="29"/>
        <v>58.468087401763675</v>
      </c>
      <c r="AN163" s="264">
        <f t="shared" si="30"/>
        <v>53.0098702374857</v>
      </c>
      <c r="AO163" s="265">
        <f t="shared" si="33"/>
        <v>93.794466809330871</v>
      </c>
      <c r="AP163" s="265">
        <f t="shared" si="31"/>
        <v>87.880837096721706</v>
      </c>
      <c r="AQ163" s="318"/>
      <c r="AR163" s="338">
        <f t="shared" si="32"/>
        <v>184.34197057271925</v>
      </c>
      <c r="AS163" s="318"/>
      <c r="AT163" s="138"/>
      <c r="AU163" s="138"/>
    </row>
    <row r="164" spans="1:47" ht="15.5" x14ac:dyDescent="0.35">
      <c r="A164" s="270">
        <v>9179</v>
      </c>
      <c r="B164" s="156" t="s">
        <v>623</v>
      </c>
      <c r="C164" s="250" t="str">
        <f>VLOOKUP(B164,'Zdroj hloubka okresy'!$A$2:$D$171,2,FALSE)</f>
        <v>Mlada_Boleslav</v>
      </c>
      <c r="D164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9</v>
      </c>
      <c r="E164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7</v>
      </c>
      <c r="F164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64" s="264">
        <f>IF(AND(Tabulka1[[#This Row],[hum_60]]&gt;AY170,Tabulka1[[#This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64" s="264">
        <f>IF(Tabulka1[[#This Row],[kv.ek.]]=Body!$AX$13,IF(AND('Zdroj data'!M164&gt;=Body!$AY$13,'Zdroj data'!M164&lt;=Body!$BA$13),Body!$AY$6,IF(AND('Zdroj data'!M164&gt;=Body!$BB$13,'Zdroj data'!M164&lt;=Body!$BD$13),Body!$BB$6,IF(AND('Zdroj data'!M164&gt;=Body!$BE$13,'Zdroj data'!M164&lt;=Body!$BG$13),Body!$BE$6,IF(AND('Zdroj data'!M164&gt;=Body!$BH$13,'Zdroj data'!M164&lt;=Body!$BJ$13),Body!$BH$6,IF(AND('Zdroj data'!M164&gt;=Body!$BK$13,'Zdroj data'!M164&lt;=Body!$BM$13),Body!$BK$6,IF(AND('Zdroj data'!M164&gt;=Body!$BN$13,'Zdroj data'!M164&lt;=Body!$BP$13),Body!$BN$6,IF(AND('Zdroj data'!M164&gt;=Body!$BQ$13,'Zdroj data'!M164&lt;=Body!$BS$13),Body!$BQ$6,IF(AND('Zdroj data'!M164&gt;=Body!$BT$13,'Zdroj data'!M164&lt;=Body!$BV$13),Body!$BT$6,IF(AND('Zdroj data'!M164&gt;=Body!$BW$13,'Zdroj data'!M164&lt;=Body!$BY$13),Body!$BW$6,IF('Zdroj data'!M164&gt;=Body!$CB$13,Body!$BZ$6," ")))))))))),IF(Tabulka1[[#This Row],[kv.ek.]]=Body!$AX$14,IF(AND('Zdroj data'!N164&gt;=Body!$AY$14,'Zdroj data'!N164&lt;=Body!$BA$14),Body!$AY$6,IF(AND('Zdroj data'!N164&gt;=Body!$BB$14,'Zdroj data'!N164&lt;=Body!$BD$14),Body!$BB$6,IF(AND('Zdroj data'!N164&gt;=Body!$BE$14,'Zdroj data'!N164&lt;=Body!$BG$14),Body!$BE$6,IF(AND('Zdroj data'!N164&gt;=Body!$BH$14,'Zdroj data'!N164&lt;=Body!$BJ$14),Body!$BH$6,IF(AND('Zdroj data'!N164&gt;=Body!$BK$14,'Zdroj data'!N164&lt;=Body!$BM$14),Body!$BK$6,IF(AND('Zdroj data'!N164&gt;=Body!$BN$14,'Zdroj data'!N164&lt;=Body!$BP$14),Body!$BN$6,IF(AND('Zdroj data'!N164&gt;=Body!$BQ$14,'Zdroj data'!N164&lt;=Body!$BS$14),Body!$BQ$6,IF(AND('Zdroj data'!N164&gt;=Body!$BT$14,'Zdroj data'!N164&lt;=Body!$BV$14),Body!$BT$6,IF(AND('Zdroj data'!N164&gt;=Body!$BW$14,'Zdroj data'!N164&lt;=Body!$BY$14),Body!$BW$6,IF('Zdroj data'!N164&gt;=Body!$CB$14,Body!$BZ$6," "))))))))))," "))</f>
        <v>5</v>
      </c>
      <c r="I164" s="264">
        <f>IF(Tabulka1[[#This Row],[kv.ek.]]=Body!$AX$13,IF(AND('Zdroj data'!N164&gt;=Body!$AY$13,'Zdroj data'!N164&lt;=Body!$BA$13),Body!$AY$6,IF(AND('Zdroj data'!N164&gt;=Body!$BB$13,'Zdroj data'!N164&lt;=Body!$BD$13),Body!$BB$6,IF(AND('Zdroj data'!N164&gt;=Body!$BE$13,'Zdroj data'!N164&lt;=Body!$BG$13),Body!$BE$6,IF(AND('Zdroj data'!N164&gt;=Body!$BH$13,'Zdroj data'!N164&lt;=Body!$BJ$13),Body!$BH$6,IF(AND('Zdroj data'!N164&gt;=Body!$BK$13,'Zdroj data'!N164&lt;=Body!$BM$13),Body!$BK$6,IF(AND('Zdroj data'!N164&gt;=Body!$BN$13,'Zdroj data'!N164&lt;=Body!$BP$13),Body!$BN$6,IF(AND('Zdroj data'!N164&gt;=Body!$BQ$13,'Zdroj data'!N164&lt;=Body!$BS$13),Body!$BQ$6,IF(AND('Zdroj data'!N164&gt;=Body!$BT$13,'Zdroj data'!N164&lt;=Body!$BV$13),Body!$BT$6,IF(AND('Zdroj data'!N164&gt;=Body!$BW$13,'Zdroj data'!N164&lt;=Body!$BY$13),Body!$BW$6,IF('Zdroj data'!N164&gt;=Body!$CB$13,Body!$BZ$6," ")))))))))),IF(Tabulka1[[#This Row],[kv.ek.]]=Body!$AX$14,IF(AND('Zdroj data'!O164&gt;=Body!$AY$14,'Zdroj data'!O164&lt;=Body!$BA$14),Body!$AY$6,IF(AND('Zdroj data'!O164&gt;=Body!$BB$14,'Zdroj data'!O164&lt;=Body!$BD$14),Body!$BB$6,IF(AND('Zdroj data'!O164&gt;=Body!$BE$14,'Zdroj data'!O164&lt;=Body!$BG$14),Body!$BE$6,IF(AND('Zdroj data'!O164&gt;=Body!$BH$14,'Zdroj data'!O164&lt;=Body!$BJ$14),Body!$BH$6,IF(AND('Zdroj data'!O164&gt;=Body!$BK$14,'Zdroj data'!O164&lt;=Body!$BM$14),Body!$BK$6,IF(AND('Zdroj data'!O164&gt;=Body!$BN$14,'Zdroj data'!O164&lt;=Body!$BP$14),Body!$BN$6,IF(AND('Zdroj data'!O164&gt;=Body!$BQ$14,'Zdroj data'!O164&lt;=Body!$BS$14),Body!$BQ$6,IF(AND('Zdroj data'!O164&gt;=Body!$BT$14,'Zdroj data'!O164&lt;=Body!$BV$14),Body!$BT$6,IF(AND('Zdroj data'!O164&gt;=Body!$BW$14,'Zdroj data'!O164&lt;=Body!$BY$14),Body!$BW$6,IF('Zdroj data'!O164&gt;=Body!$CB$14,Body!$BZ$6," "))))))))))," "))</f>
        <v>2</v>
      </c>
      <c r="J164" s="264">
        <f t="shared" si="25"/>
        <v>1</v>
      </c>
      <c r="K164" s="264">
        <f t="shared" si="25"/>
        <v>1</v>
      </c>
      <c r="L164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164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164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164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164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64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164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164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164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164" s="264">
        <f>IF('Zdroj data'!BB164=Body!$AY$25,Body!$AY$22,IF('Zdroj data'!BB164=Body!$BB$25,Body!$BB$22,IF('Zdroj data'!BB164=Body!$BE$25,Body!$BE$22,IF('Zdroj data'!BB164=Body!$BH$25,Body!$BH$22,IF('Zdroj data'!BB164=Body!BK$25,Body!$BK$22,IF('Zdroj data'!BB164=Body!$BN$25,Body!$BN$22,IF('Zdroj data'!BB164=Body!$BQ$25,Body!$BQ$22,IF('Zdroj data'!BB164=Body!$BT$25,Body!$BT$22,IF('Zdroj data'!BB164=Body!$BW$25,Body!$BW$22,IF('Zdroj data'!BB164=Body!$BZ$25,Body!$BZ$22," "))))))))))</f>
        <v>7</v>
      </c>
      <c r="V164" s="264">
        <f>IF(AND('Zdroj data'!BO164&gt;Body!$AY$27,'Zdroj data'!BO164&lt;=Body!$BA$27),Body!$AY$22,IF(AND('Zdroj data'!BO164&gt;=Body!$BB$27,'Zdroj data'!BO164&lt;=Body!$BD$27),Body!$BB$22,IF(AND('Zdroj data'!BO164&gt;=Body!$BE$27,'Zdroj data'!BO164&lt;=Body!$BG$27),Body!$BE$22,IF(AND('Zdroj data'!BO164&gt;=Body!$BH$27,'Zdroj data'!BO164&lt;=Body!$BJ$27),Body!$BH$22,IF(AND('Zdroj data'!BO164&gt;=Body!$BK$27,'Zdroj data'!BO164&lt;=Body!$BM$27),Body!$BK$22,IF(AND('Zdroj data'!BO164&gt;=Body!$BN$27,'Zdroj data'!BO164&lt;=Body!$BP$27),Body!$BN$22,IF(AND('Zdroj data'!BO164&gt;=Body!$BQ$27,'Zdroj data'!BO164&lt;=Body!$BS$27),Body!$BQ$22,IF(AND('Zdroj data'!BO164&gt;=Body!$BT$27,'Zdroj data'!BO164&lt;=Body!$BV$27),Body!$BT$22,IF(AND('Zdroj data'!BO164&gt;=Body!$BW$27,'Zdroj data'!BO164&lt;=Body!$BY$27),Body!$BW$22,IF('Zdroj data'!BO164&gt;=Body!$CB$27,$BZ$22," "))))))))))</f>
        <v>6</v>
      </c>
      <c r="W164" s="264">
        <f>IF(AND('Zdroj data'!BP164&gt;Body!$AY$27,'Zdroj data'!BP164&lt;=Body!$BA$27),Body!$AY$22,IF(AND('Zdroj data'!BP164&gt;=Body!$BB$27,'Zdroj data'!BP164&lt;=Body!$BD$27),Body!$BB$22,IF(AND('Zdroj data'!BP164&gt;=Body!$BE$27,'Zdroj data'!BP164&lt;=Body!$BG$27),Body!$BE$22,IF(AND('Zdroj data'!BP164&gt;=Body!$BH$27,'Zdroj data'!BP164&lt;=Body!$BJ$27),Body!$BH$22,IF(AND('Zdroj data'!BP164&gt;=Body!$BK$27,'Zdroj data'!BP164&lt;=Body!$BM$27),Body!$BK$22,IF(AND('Zdroj data'!BP164&gt;=Body!$BN$27,'Zdroj data'!BP164&lt;=Body!$BP$27),Body!$BN$22,IF(AND('Zdroj data'!BP164&gt;=Body!$BQ$27,'Zdroj data'!BP164&lt;=Body!$BS$27),Body!$BQ$22,IF(AND('Zdroj data'!BP164&gt;=Body!$BT$27,'Zdroj data'!BP164&lt;=Body!$BV$27),Body!$BT$22,IF(AND('Zdroj data'!BP164&gt;=Body!$BW$27,'Zdroj data'!BP164&lt;=Body!$BY$27),Body!$BW$22,IF('Zdroj data'!BP164&gt;=Body!$CB$27,$BZ$22," "))))))))))</f>
        <v>4</v>
      </c>
      <c r="X164" s="264">
        <f>IF('Zdroj data'!BA164=Body!$BB$28,$BB$22,IF('Zdroj data'!BA164=Body!$BE$28,$BE$22,IF(OR('Zdroj data'!BA164=Body!$BK$28,'Zdroj data'!BA164=Body!$BL$28,'Zdroj data'!BA164=Body!$BM$28),$BK$22,IF(OR('Zdroj data'!BA164=Body!$BT$28,'Zdroj data'!BA164=Body!$BV$28),$BT$22,IF(OR('Zdroj data'!BA164=Body!$BW$28,'Zdroj data'!BA164=Body!$BY$28),$BW$22,IF('Zdroj data'!BA164=Body!$BZ$28,$BZ$22," "))))))</f>
        <v>10</v>
      </c>
      <c r="Y164" s="264">
        <f>IF('Zdroj data'!AZ164=Body!$BZ$29,Body!$BZ$22,IF(OR('Zdroj data'!AZ164=$BT$29,'Zdroj data'!AZ164=$BU$29,'Zdroj data'!AZ164=$BV$29),$BT$22,IF(OR('Zdroj data'!AZ164=$BK$29,'Zdroj data'!AZ164=$BM$29),$BK$22,IF(OR('Zdroj data'!AZ164=$BE$29,'Zdroj data'!AZ164=$BG$29),$BE$22,IF(OR('Zdroj data'!AZ164=$AY$29,'Zdroj data'!AZ164=$BA$29),$AY$22," ")))))</f>
        <v>10</v>
      </c>
      <c r="Z164" s="264">
        <f>IF(AND('Zdroj data'!BF164="T",(OR('Zdroj data'!AZ164=Body!$AW$45,'Zdroj data'!AZ164=Body!$AW$46,'Zdroj data'!AZ164=Body!$AW$47,'Zdroj data'!AZ164=Body!$AW$48))),Body!$AY$22,IF(AND('Zdroj data'!BF164="T",(OR('Zdroj data'!AZ164=$AW$49,'Zdroj data'!AZ164=$AW$50,'Zdroj data'!AZ164=$AW$51,'Zdroj data'!AZ164=$AW$52))),$BZ$22,IF(AND(OR('Zdroj data'!BF164="VT",'Zdroj data'!BF164="T",'Zdroj data'!BF164="CH"),(OR('Zdroj data'!AZ164=$AW$43,'Zdroj data'!AZ164=$AW$44,))),$BZ$22,IF(AND('Zdroj data'!BF164="CH",(OR('Zdroj data'!AZ164=$AW$49,'Zdroj data'!AZ164=$AW$50,'Zdroj data'!AZ164=$AW$51,'Zdroj data'!AZ164=$AW$52))),$AY$22,IF(AND('Zdroj data'!BF164="CH",(OR('Zdroj data'!AZ164=$AW$45,'Zdroj data'!AZ164=$AW$46,'Zdroj data'!AZ164=$AW$47,'Zdroj data'!AZ164=$AW$48))),$BZ$22," ")))))</f>
        <v>10</v>
      </c>
      <c r="AA164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64" s="264">
        <f>IF(Tabulka1[[#This Row],[kv.ek.]]=Body!$BK$35,Body!$BK$34,IF(Tabulka1[[#This Row],[kv.ek.]]=Body!$BZ$35,Body!$BZ$34," "))</f>
        <v>5</v>
      </c>
      <c r="AC164" s="264" t="str">
        <f>IF(AND('Zdroj data'!BF164="T",(OR('Zdroj data'!AZ164=Body!$AW$45,'Zdroj data'!AZ164=Body!$AW$46,'Zdroj data'!AZ164=Body!$AW$47,'Zdroj data'!AZ164=Body!$AW$48))),Body!$AY$22,IF(AND('Zdroj data'!BF164="T",(OR('Zdroj data'!AZ164=$AW$49,'Zdroj data'!AZ164=$AW$50,'Zdroj data'!AZ164=$AW$51,'Zdroj data'!AZ164=$AW$52))),$BZ$22," "))</f>
        <v xml:space="preserve"> </v>
      </c>
      <c r="AD164" s="264">
        <f>IF(AND(OR('Zdroj data'!BF164="VT",'Zdroj data'!BF164="T",'Zdroj data'!BF164="CH"),(OR('Zdroj data'!AZ164=$AW$43,'Zdroj data'!AZ164=$AW$44,))),$BZ$22," ")</f>
        <v>10</v>
      </c>
      <c r="AE164" s="264" t="str">
        <f>IF(AND('Zdroj data'!BF164="CH",(OR('Zdroj data'!AZ164=$AW$49,'Zdroj data'!AZ164=$AW$50,'Zdroj data'!AZ164=$AW$51,'Zdroj data'!AZ164=$AW$52))),$AY$22,IF(AND('Zdroj data'!BF164="CH",(OR('Zdroj data'!AZ164=$AW$45,'Zdroj data'!AZ164=$AW$46,'Zdroj data'!AZ164=$AW$47,'Zdroj data'!AZ164=$AW$48))),$BZ$22," "))</f>
        <v xml:space="preserve"> </v>
      </c>
      <c r="AF164" s="264">
        <f>IF(AND('Zdroj data'!BG164="L",'Zdroj data'!AM164=Body!$AX$15),IF(AND('Zdroj data'!O164&gt;=Body!$AY$15,'Zdroj data'!O164&lt;=Body!$BA$15),Body!AY$6,IF(AND('Zdroj data'!O164&gt;=Body!$BB$15,'Zdroj data'!O164&lt;=Body!$BD$15),Body!BB$6,IF(AND('Zdroj data'!O164&gt;=Body!$BE$15,'Zdroj data'!O164&lt;=Body!$BG$15),Body!BE$6,IF(AND('Zdroj data'!O164&gt;=Body!$BH$15,'Zdroj data'!O164&lt;=Body!$BJ$15),Body!BH$6,IF(AND('Zdroj data'!O164&gt;=Body!$BK$15,'Zdroj data'!O164&lt;=Body!$BM$15),Body!BK$6,IF(AND('Zdroj data'!O164&gt;=Body!$BN$15,'Zdroj data'!O164&lt;=Body!$BP$15),Body!$BN$6,IF(AND('Zdroj data'!O164&gt;=Body!$BQ$15,'Zdroj data'!O164&lt;=Body!$BS$15),Body!$BQ$6,IF(AND('Zdroj data'!O164&gt;=Body!$BT$15,'Zdroj data'!O164&lt;=Body!$BV$15),Body!BT$6,IF(AND('Zdroj data'!O164&gt;=Body!$BW$15,'Zdroj data'!O164&lt;=Body!$BY$15),Body!$BW$6,IF('Zdroj data'!O164&gt;=Body!$CB$15,Body!$BZ$6," ")))))))))),IF(AND('Zdroj data'!BG164="ST",'Zdroj data'!AM164=Body!$AX$16),IF(AND('Zdroj data'!O164&gt;=Body!$AY$16,'Zdroj data'!O164&lt;=Body!$BA$16),Body!$AY$6,IF(AND('Zdroj data'!O164&gt;=Body!$BB$16,'Zdroj data'!O164&lt;=Body!$BD$16),Body!$BB$6,IF(AND('Zdroj data'!O164&gt;=Body!$BE$16,'Zdroj data'!O164&lt;=Body!$BG$16),Body!$BE$6,IF(AND('Zdroj data'!O164&gt;=Body!$BH$16,'Zdroj data'!O164&lt;=Body!$BJ$16),Body!$BH$6,IF(AND('Zdroj data'!O164&gt;=Body!$BK$16,'Zdroj data'!O164&lt;=Body!$BM$16),Body!$BK$6,IF(AND('Zdroj data'!O164&gt;=Body!$BN$16,'Zdroj data'!O164&lt;=Body!$BP$16),Body!$BN$6,IF(AND('Zdroj data'!O164&gt;=Body!$BQ$16,'Zdroj data'!O164&lt;=Body!$BS$16),Body!$BQ$6,IF(AND('Zdroj data'!O164&gt;=Body!$BT$16,'Zdroj data'!O164&lt;=Body!$BV$16),Body!$BT$6,IF(AND('Zdroj data'!O164&gt;=Body!$BW$16,'Zdroj data'!O164&lt;=Body!$BY$16),Body!$BW$6,IF('Zdroj data'!O164&gt;=Body!$CB$16,Body!$BZ$6," ")))))))))),IF(AND('Zdroj data'!BG164="T",'Zdroj data'!AM164=Body!$AX$17),IF(AND('Zdroj data'!O164&gt;=Body!$AY$17,'Zdroj data'!O164&lt;=Body!$BA$17),Body!$AY$6,IF(AND('Zdroj data'!O164&gt;=Body!$BB$17,'Zdroj data'!O164&lt;=Body!$BD$17),Body!$BB$6,IF(AND('Zdroj data'!O164&gt;=Body!$BE$17,'Zdroj data'!O164&lt;=Body!$BG$17),Body!$BE$6,IF(AND('Zdroj data'!O164&gt;=Body!$BH$17,'Zdroj data'!O164&lt;=Body!#REF!),Body!$BH$6,IF(AND('Zdroj data'!O164&gt;=Body!$BK$17,'Zdroj data'!O164&lt;=Body!$BM$17),Body!$BK$6,IF(AND('Zdroj data'!O164&gt;=Body!$BN$17,'Zdroj data'!O164&lt;=Body!$BP$17),Body!$BN$6,IF(AND('Zdroj data'!O164&gt;=Body!$BQ$17,'Zdroj data'!O164&lt;=Body!$BS$17),Body!$BQ$6,IF(AND('Zdroj data'!O164&gt;=Body!$BT$17,'Zdroj data'!O164&lt;=Body!$BV$17),Body!$BT$6,IF(AND('Zdroj data'!O164&gt;=Body!$BW$17,'Zdroj data'!O164&lt;=Body!$BY$17),Body!$BW$6,IF('Zdroj data'!O164&gt;=Body!$CB$17,Body!$BZ$6," "))))))))))," ")))</f>
        <v>1</v>
      </c>
      <c r="AG164" s="264">
        <f>IF(AND('Zdroj data'!$BG164="L",'Zdroj data'!$AM164=Body!$AX$15),IF(AND(Tabulka1[[#This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data'!$BG164="ST",'Zdroj data'!$AM164=Body!$AX$16),IF(AND(Tabulka1[[#This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data'!$BG164="T",'Zdroj data'!$AM164=Body!$AX$17),IF(AND(Tabulka1[[#This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64" s="264" t="str">
        <f>IF(AND('Zdroj data'!BG164="L",'Zdroj data'!AM164=Body!$AX$18),IF(AND('Zdroj data'!O164&gt;=Body!$AY$18,'Zdroj data'!O164&lt;=Body!$BA$18),Body!AY$6,IF(AND('Zdroj data'!O164&gt;=Body!$BB$18,'Zdroj data'!O164&lt;=Body!$BD$18),Body!BB$6,IF(AND('Zdroj data'!O164&gt;=Body!$BE$18,'Zdroj data'!O164&lt;=Body!$BG$18),Body!BE$6,IF(AND('Zdroj data'!O164&gt;=Body!$BH$18,'Zdroj data'!O164&lt;=Body!$BJ$18),Body!BH$6,IF(AND('Zdroj data'!O164&gt;=Body!$BK$18,'Zdroj data'!O164&lt;=Body!$BM$18),Body!$BK$6,IF(AND('Zdroj data'!O164&gt;=Body!$BN$18,'Zdroj data'!O164&lt;=Body!$BP$18),Body!BN$6,IF(AND('Zdroj data'!O164&gt;=Body!$BQ$18,'Zdroj data'!O164&lt;=Body!$BS$18),Body!$BQ$6,IF(AND('Zdroj data'!O164&gt;=Body!$BT$18,'Zdroj data'!O164&lt;=Body!$BV$18),Body!$BT$6,IF(AND('Zdroj data'!O164&gt;=Body!$BW$18,'Zdroj data'!O164&lt;=Body!$BY$18),Body!$BW$6,IF('Zdroj data'!O164&gt;=Body!$CB$18,Body!$BZ$6," ")))))))))),IF(AND('Zdroj data'!BG164="ST",'Zdroj data'!AM164=Body!$AX$19),IF(AND('Zdroj data'!O164&gt;=Body!$AY$19,'Zdroj data'!O164&lt;=Body!$BA$19),Body!$AY$6,IF(AND('Zdroj data'!O164&gt;=Body!$BB$19,'Zdroj data'!O164&lt;=Body!$BD$19),Body!$BB$6,IF(AND('Zdroj data'!O164&gt;=Body!$BE$19,'Zdroj data'!O164&lt;=Body!$BG$19),Body!$BE$6,IF(AND('Zdroj data'!O164&gt;=Body!$BH$19,'Zdroj data'!O164&lt;=Body!$BJ$19),Body!$BH$6,IF(AND('Zdroj data'!O164&gt;=Body!$BK$19,'Zdroj data'!O164&lt;=Body!$BM$19),Body!$BK$6,IF(AND('Zdroj data'!O164&gt;=Body!$BN$19,'Zdroj data'!O164&lt;=Body!$BP$19),Body!$BN$6,IF(AND('Zdroj data'!O164&gt;=Body!$BQ$19,'Zdroj data'!O164&lt;=Body!$BS$19),Body!$BQ$6,IF(AND('Zdroj data'!O164&gt;=Body!$BT$19,'Zdroj data'!O168&lt;=Body!$BV$19),Body!$BT$6,IF(AND('Zdroj data'!O164&gt;=Body!$BW$19,'Zdroj data'!O164&lt;=Body!$BY$19),Body!$BW$6,IF('Zdroj data'!O164&gt;=Body!$CB$19,Body!$BZ$6," ")))))))))),IF(AND('Zdroj data'!BG164="T",'Zdroj data'!AM164=Body!$AX$20),IF(AND('Zdroj data'!O164&gt;=Body!$AY$20,'Zdroj data'!O164&lt;=Body!$BA$20),Body!$AY$6,IF(AND('Zdroj data'!O164&gt;=Body!$BB$20,'Zdroj data'!O164&lt;=Body!$BD$20),Body!$BB$6,IF(AND('Zdroj data'!O164&gt;=Body!$BE$20,'Zdroj data'!O164&lt;=Body!$BG$20),Body!$BE$6,IF(AND('Zdroj data'!O164&gt;=Body!$BH$20,'Zdroj data'!O164&lt;=Body!$BJ$20),Body!$BH$6,IF(AND('Zdroj data'!O164&gt;=Body!$BK$20,'Zdroj data'!O164&lt;=Body!$BM$20),Body!$BK$6,IF(AND('Zdroj data'!O164&gt;=Body!$BN$20,'Zdroj data'!O164&lt;=Body!$BP$20),Body!$BN$6,IF(AND('Zdroj data'!O164&gt;=Body!$BQ$20,'Zdroj data'!O164&lt;=Body!$BS$20),Body!$BQ$6,IF(AND('Zdroj data'!O164&gt;=Body!$BT$20,'Zdroj data'!O164&lt;=Body!#REF!),Body!$BT$6,IF(AND('Zdroj data'!O164&gt;=Body!$BW$20,'Zdroj data'!O164&lt;=Body!$BY$20),Body!$BW$6,IF('Zdroj data'!O164&gt;=Body!$CB$20,Body!$BZ$6," "))))))))))," ")))</f>
        <v xml:space="preserve"> </v>
      </c>
      <c r="AI164" s="264" t="str">
        <f>IF(AND('Zdroj data'!$BG164="L",'Zdroj data'!$AM164=Body!$AX$18),IF(AND(Tabulka1[[#This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data'!$BG164="ST",'Zdroj data'!$AM164=Body!$AX$19),IF(AND(Tabulka1[[#This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data'!$BG164="T",'Zdroj data'!$AM164=Body!$AX$20),IF(AND(Tabulka1[[#This Row],[K2O_60]]&gt;=Body!$AY$20,'Zdroj data'!O164&lt;=Body!$BA$20),Body!$AY$6,IF(AND(Tabulka1[[#This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64" s="265">
        <f t="shared" si="26"/>
        <v>5.3333333333333375</v>
      </c>
      <c r="AK164" s="264">
        <f t="shared" si="27"/>
        <v>31.105675076082548</v>
      </c>
      <c r="AL164" s="264">
        <f t="shared" si="28"/>
        <v>24.155211107999797</v>
      </c>
      <c r="AM164" s="264">
        <f t="shared" si="29"/>
        <v>70.948015808067794</v>
      </c>
      <c r="AN164" s="264">
        <f t="shared" si="30"/>
        <v>67.858829393663825</v>
      </c>
      <c r="AO164" s="265">
        <f t="shared" si="33"/>
        <v>102.05369088415034</v>
      </c>
      <c r="AP164" s="265">
        <f t="shared" si="31"/>
        <v>92.014040501663629</v>
      </c>
      <c r="AQ164" s="318"/>
      <c r="AR164" s="338">
        <f t="shared" si="32"/>
        <v>199.40106471914731</v>
      </c>
      <c r="AS164" s="318"/>
      <c r="AT164" s="138"/>
      <c r="AU164" s="138"/>
    </row>
    <row r="165" spans="1:47" ht="15.5" x14ac:dyDescent="0.35">
      <c r="A165" s="270">
        <v>9182</v>
      </c>
      <c r="B165" s="156" t="s">
        <v>605</v>
      </c>
      <c r="C165" s="250" t="str">
        <f>VLOOKUP(B165,'Zdroj hloubka okresy'!$A$2:$D$171,2,FALSE)</f>
        <v>Mlada_Boleslav</v>
      </c>
      <c r="D165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4</v>
      </c>
      <c r="E165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165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65" s="264">
        <f>IF(AND(Tabulka1[[#This Row],[hum_60]]&gt;AY171,Tabulka1[[#This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65" s="264">
        <f>IF(Tabulka1[[#This Row],[kv.ek.]]=Body!$AX$13,IF(AND('Zdroj data'!M165&gt;=Body!$AY$13,'Zdroj data'!M165&lt;=Body!$BA$13),Body!$AY$6,IF(AND('Zdroj data'!M165&gt;=Body!$BB$13,'Zdroj data'!M165&lt;=Body!$BD$13),Body!$BB$6,IF(AND('Zdroj data'!M165&gt;=Body!$BE$13,'Zdroj data'!M165&lt;=Body!$BG$13),Body!$BE$6,IF(AND('Zdroj data'!M165&gt;=Body!$BH$13,'Zdroj data'!M165&lt;=Body!$BJ$13),Body!$BH$6,IF(AND('Zdroj data'!M165&gt;=Body!$BK$13,'Zdroj data'!M165&lt;=Body!$BM$13),Body!$BK$6,IF(AND('Zdroj data'!M165&gt;=Body!$BN$13,'Zdroj data'!M165&lt;=Body!$BP$13),Body!$BN$6,IF(AND('Zdroj data'!M165&gt;=Body!$BQ$13,'Zdroj data'!M165&lt;=Body!$BS$13),Body!$BQ$6,IF(AND('Zdroj data'!M165&gt;=Body!$BT$13,'Zdroj data'!M165&lt;=Body!$BV$13),Body!$BT$6,IF(AND('Zdroj data'!M165&gt;=Body!$BW$13,'Zdroj data'!M165&lt;=Body!$BY$13),Body!$BW$6,IF('Zdroj data'!M165&gt;=Body!$CB$13,Body!$BZ$6," ")))))))))),IF(Tabulka1[[#This Row],[kv.ek.]]=Body!$AX$14,IF(AND('Zdroj data'!N165&gt;=Body!$AY$14,'Zdroj data'!N165&lt;=Body!$BA$14),Body!$AY$6,IF(AND('Zdroj data'!N165&gt;=Body!$BB$14,'Zdroj data'!N165&lt;=Body!$BD$14),Body!$BB$6,IF(AND('Zdroj data'!N165&gt;=Body!$BE$14,'Zdroj data'!N165&lt;=Body!$BG$14),Body!$BE$6,IF(AND('Zdroj data'!N165&gt;=Body!$BH$14,'Zdroj data'!N165&lt;=Body!$BJ$14),Body!$BH$6,IF(AND('Zdroj data'!N165&gt;=Body!$BK$14,'Zdroj data'!N165&lt;=Body!$BM$14),Body!$BK$6,IF(AND('Zdroj data'!N165&gt;=Body!$BN$14,'Zdroj data'!N165&lt;=Body!$BP$14),Body!$BN$6,IF(AND('Zdroj data'!N165&gt;=Body!$BQ$14,'Zdroj data'!N165&lt;=Body!$BS$14),Body!$BQ$6,IF(AND('Zdroj data'!N165&gt;=Body!$BT$14,'Zdroj data'!N165&lt;=Body!$BV$14),Body!$BT$6,IF(AND('Zdroj data'!N165&gt;=Body!$BW$14,'Zdroj data'!N165&lt;=Body!$BY$14),Body!$BW$6,IF('Zdroj data'!N165&gt;=Body!$CB$14,Body!$BZ$6," "))))))))))," "))</f>
        <v>4</v>
      </c>
      <c r="I165" s="264">
        <f>IF(Tabulka1[[#This Row],[kv.ek.]]=Body!$AX$13,IF(AND('Zdroj data'!N165&gt;=Body!$AY$13,'Zdroj data'!N165&lt;=Body!$BA$13),Body!$AY$6,IF(AND('Zdroj data'!N165&gt;=Body!$BB$13,'Zdroj data'!N165&lt;=Body!$BD$13),Body!$BB$6,IF(AND('Zdroj data'!N165&gt;=Body!$BE$13,'Zdroj data'!N165&lt;=Body!$BG$13),Body!$BE$6,IF(AND('Zdroj data'!N165&gt;=Body!$BH$13,'Zdroj data'!N165&lt;=Body!$BJ$13),Body!$BH$6,IF(AND('Zdroj data'!N165&gt;=Body!$BK$13,'Zdroj data'!N165&lt;=Body!$BM$13),Body!$BK$6,IF(AND('Zdroj data'!N165&gt;=Body!$BN$13,'Zdroj data'!N165&lt;=Body!$BP$13),Body!$BN$6,IF(AND('Zdroj data'!N165&gt;=Body!$BQ$13,'Zdroj data'!N165&lt;=Body!$BS$13),Body!$BQ$6,IF(AND('Zdroj data'!N165&gt;=Body!$BT$13,'Zdroj data'!N165&lt;=Body!$BV$13),Body!$BT$6,IF(AND('Zdroj data'!N165&gt;=Body!$BW$13,'Zdroj data'!N165&lt;=Body!$BY$13),Body!$BW$6,IF('Zdroj data'!N165&gt;=Body!$CB$13,Body!$BZ$6," ")))))))))),IF(Tabulka1[[#This Row],[kv.ek.]]=Body!$AX$14,IF(AND('Zdroj data'!O165&gt;=Body!$AY$14,'Zdroj data'!O165&lt;=Body!$BA$14),Body!$AY$6,IF(AND('Zdroj data'!O165&gt;=Body!$BB$14,'Zdroj data'!O165&lt;=Body!$BD$14),Body!$BB$6,IF(AND('Zdroj data'!O165&gt;=Body!$BE$14,'Zdroj data'!O165&lt;=Body!$BG$14),Body!$BE$6,IF(AND('Zdroj data'!O165&gt;=Body!$BH$14,'Zdroj data'!O165&lt;=Body!$BJ$14),Body!$BH$6,IF(AND('Zdroj data'!O165&gt;=Body!$BK$14,'Zdroj data'!O165&lt;=Body!$BM$14),Body!$BK$6,IF(AND('Zdroj data'!O165&gt;=Body!$BN$14,'Zdroj data'!O165&lt;=Body!$BP$14),Body!$BN$6,IF(AND('Zdroj data'!O165&gt;=Body!$BQ$14,'Zdroj data'!O165&lt;=Body!$BS$14),Body!$BQ$6,IF(AND('Zdroj data'!O165&gt;=Body!$BT$14,'Zdroj data'!O165&lt;=Body!$BV$14),Body!$BT$6,IF(AND('Zdroj data'!O165&gt;=Body!$BW$14,'Zdroj data'!O165&lt;=Body!$BY$14),Body!$BW$6,IF('Zdroj data'!O165&gt;=Body!$CB$14,Body!$BZ$6," "))))))))))," "))</f>
        <v>2</v>
      </c>
      <c r="J165" s="264">
        <f t="shared" si="25"/>
        <v>5</v>
      </c>
      <c r="K165" s="264">
        <f>IF(AG165=" ",AI165,AG165)</f>
        <v>3</v>
      </c>
      <c r="L165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7</v>
      </c>
      <c r="M165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8</v>
      </c>
      <c r="N165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165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165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65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7</v>
      </c>
      <c r="R165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8</v>
      </c>
      <c r="S165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9</v>
      </c>
      <c r="T165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6</v>
      </c>
      <c r="U165" s="264">
        <f>IF('Zdroj data'!BB165=Body!$AY$25,Body!$AY$22,IF('Zdroj data'!BB165=Body!$BB$25,Body!$BB$22,IF('Zdroj data'!BB165=Body!$BE$25,Body!$BE$22,IF('Zdroj data'!BB165=Body!$BH$25,Body!$BH$22,IF('Zdroj data'!BB165=Body!BK$25,Body!$BK$22,IF('Zdroj data'!BB165=Body!$BN$25,Body!$BN$22,IF('Zdroj data'!BB165=Body!$BQ$25,Body!$BQ$22,IF('Zdroj data'!BB165=Body!$BT$25,Body!$BT$22,IF('Zdroj data'!BB165=Body!$BW$25,Body!$BW$22,IF('Zdroj data'!BB165=Body!$BZ$25,Body!$BZ$22," "))))))))))</f>
        <v>7</v>
      </c>
      <c r="V165" s="264">
        <f>IF(AND('Zdroj data'!BO165&gt;Body!$AY$27,'Zdroj data'!BO165&lt;=Body!$BA$27),Body!$AY$22,IF(AND('Zdroj data'!BO165&gt;=Body!$BB$27,'Zdroj data'!BO165&lt;=Body!$BD$27),Body!$BB$22,IF(AND('Zdroj data'!BO165&gt;=Body!$BE$27,'Zdroj data'!BO165&lt;=Body!$BG$27),Body!$BE$22,IF(AND('Zdroj data'!BO165&gt;=Body!$BH$27,'Zdroj data'!BO165&lt;=Body!$BJ$27),Body!$BH$22,IF(AND('Zdroj data'!BO165&gt;=Body!$BK$27,'Zdroj data'!BO165&lt;=Body!$BM$27),Body!$BK$22,IF(AND('Zdroj data'!BO165&gt;=Body!$BN$27,'Zdroj data'!BO165&lt;=Body!$BP$27),Body!$BN$22,IF(AND('Zdroj data'!BO165&gt;=Body!$BQ$27,'Zdroj data'!BO165&lt;=Body!$BS$27),Body!$BQ$22,IF(AND('Zdroj data'!BO165&gt;=Body!$BT$27,'Zdroj data'!BO165&lt;=Body!$BV$27),Body!$BT$22,IF(AND('Zdroj data'!BO165&gt;=Body!$BW$27,'Zdroj data'!BO165&lt;=Body!$BY$27),Body!$BW$22,IF('Zdroj data'!BO165&gt;=Body!$CB$27,$BZ$22," "))))))))))</f>
        <v>6</v>
      </c>
      <c r="W165" s="264">
        <f>IF(AND('Zdroj data'!BP165&gt;Body!$AY$27,'Zdroj data'!BP165&lt;=Body!$BA$27),Body!$AY$22,IF(AND('Zdroj data'!BP165&gt;=Body!$BB$27,'Zdroj data'!BP165&lt;=Body!$BD$27),Body!$BB$22,IF(AND('Zdroj data'!BP165&gt;=Body!$BE$27,'Zdroj data'!BP165&lt;=Body!$BG$27),Body!$BE$22,IF(AND('Zdroj data'!BP165&gt;=Body!$BH$27,'Zdroj data'!BP165&lt;=Body!$BJ$27),Body!$BH$22,IF(AND('Zdroj data'!BP165&gt;=Body!$BK$27,'Zdroj data'!BP165&lt;=Body!$BM$27),Body!$BK$22,IF(AND('Zdroj data'!BP165&gt;=Body!$BN$27,'Zdroj data'!BP165&lt;=Body!$BP$27),Body!$BN$22,IF(AND('Zdroj data'!BP165&gt;=Body!$BQ$27,'Zdroj data'!BP165&lt;=Body!$BS$27),Body!$BQ$22,IF(AND('Zdroj data'!BP165&gt;=Body!$BT$27,'Zdroj data'!BP165&lt;=Body!$BV$27),Body!$BT$22,IF(AND('Zdroj data'!BP165&gt;=Body!$BW$27,'Zdroj data'!BP165&lt;=Body!$BY$27),Body!$BW$22,IF('Zdroj data'!BP165&gt;=Body!$CB$27,$BZ$22," "))))))))))</f>
        <v>5</v>
      </c>
      <c r="X165" s="264">
        <f>IF('Zdroj data'!BA165=Body!$BB$28,$BB$22,IF('Zdroj data'!BA165=Body!$BE$28,$BE$22,IF(OR('Zdroj data'!BA165=Body!$BK$28,'Zdroj data'!BA165=Body!$BL$28,'Zdroj data'!BA165=Body!$BM$28),$BK$22,IF(OR('Zdroj data'!BA165=Body!$BT$28,'Zdroj data'!BA165=Body!$BV$28),$BT$22,IF(OR('Zdroj data'!BA165=Body!$BW$28,'Zdroj data'!BA165=Body!$BY$28),$BW$22,IF('Zdroj data'!BA165=Body!$BZ$28,$BZ$22," "))))))</f>
        <v>10</v>
      </c>
      <c r="Y165" s="264">
        <f>IF('Zdroj data'!AZ165=Body!$BZ$29,Body!$BZ$22,IF(OR('Zdroj data'!AZ165=$BT$29,'Zdroj data'!AZ165=$BU$29,'Zdroj data'!AZ165=$BV$29),$BT$22,IF(OR('Zdroj data'!AZ165=$BK$29,'Zdroj data'!AZ165=$BM$29),$BK$22,IF(OR('Zdroj data'!AZ165=$BE$29,'Zdroj data'!AZ165=$BG$29),$BE$22,IF(OR('Zdroj data'!AZ165=$AY$29,'Zdroj data'!AZ165=$BA$29),$AY$22," ")))))</f>
        <v>10</v>
      </c>
      <c r="Z165" s="264">
        <f>IF(AND('Zdroj data'!BF165="T",(OR('Zdroj data'!AZ165=Body!$AW$45,'Zdroj data'!AZ165=Body!$AW$46,'Zdroj data'!AZ165=Body!$AW$47,'Zdroj data'!AZ165=Body!$AW$48))),Body!$AY$22,IF(AND('Zdroj data'!BF165="T",(OR('Zdroj data'!AZ165=$AW$49,'Zdroj data'!AZ165=$AW$50,'Zdroj data'!AZ165=$AW$51,'Zdroj data'!AZ165=$AW$52))),$BZ$22,IF(AND(OR('Zdroj data'!BF165="VT",'Zdroj data'!BF165="T",'Zdroj data'!BF165="CH"),(OR('Zdroj data'!AZ165=$AW$43,'Zdroj data'!AZ165=$AW$44,))),$BZ$22,IF(AND('Zdroj data'!BF165="CH",(OR('Zdroj data'!AZ165=$AW$49,'Zdroj data'!AZ165=$AW$50,'Zdroj data'!AZ165=$AW$51,'Zdroj data'!AZ165=$AW$52))),$AY$22,IF(AND('Zdroj data'!BF165="CH",(OR('Zdroj data'!AZ165=$AW$45,'Zdroj data'!AZ165=$AW$46,'Zdroj data'!AZ165=$AW$47,'Zdroj data'!AZ165=$AW$48))),$BZ$22," ")))))</f>
        <v>10</v>
      </c>
      <c r="AA165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1</v>
      </c>
      <c r="AB165" s="264">
        <f>IF(Tabulka1[[#This Row],[kv.ek.]]=Body!$BK$35,Body!$BK$34,IF(Tabulka1[[#This Row],[kv.ek.]]=Body!$BZ$35,Body!$BZ$34," "))</f>
        <v>5</v>
      </c>
      <c r="AC165" s="264" t="str">
        <f>IF(AND('Zdroj data'!BF165="T",(OR('Zdroj data'!AZ165=Body!$AW$45,'Zdroj data'!AZ165=Body!$AW$46,'Zdroj data'!AZ165=Body!$AW$47,'Zdroj data'!AZ165=Body!$AW$48))),Body!$AY$22,IF(AND('Zdroj data'!BF165="T",(OR('Zdroj data'!AZ165=$AW$49,'Zdroj data'!AZ165=$AW$50,'Zdroj data'!AZ165=$AW$51,'Zdroj data'!AZ165=$AW$52))),$BZ$22," "))</f>
        <v xml:space="preserve"> </v>
      </c>
      <c r="AD165" s="264">
        <f>IF(AND(OR('Zdroj data'!BF165="VT",'Zdroj data'!BF165="T",'Zdroj data'!BF165="CH"),(OR('Zdroj data'!AZ165=$AW$43,'Zdroj data'!AZ165=$AW$44,))),$BZ$22," ")</f>
        <v>10</v>
      </c>
      <c r="AE165" s="264" t="str">
        <f>IF(AND('Zdroj data'!BF165="CH",(OR('Zdroj data'!AZ165=$AW$49,'Zdroj data'!AZ165=$AW$50,'Zdroj data'!AZ165=$AW$51,'Zdroj data'!AZ165=$AW$52))),$AY$22,IF(AND('Zdroj data'!BF165="CH",(OR('Zdroj data'!AZ165=$AW$45,'Zdroj data'!AZ165=$AW$46,'Zdroj data'!AZ165=$AW$47,'Zdroj data'!AZ165=$AW$48))),$BZ$22," "))</f>
        <v xml:space="preserve"> </v>
      </c>
      <c r="AF165" s="264">
        <f>IF(AND('Zdroj data'!BG165="L",'Zdroj data'!AM165=Body!$AX$15),IF(AND('Zdroj data'!O165&gt;=Body!$AY$15,'Zdroj data'!O165&lt;=Body!$BA$15),Body!AY$6,IF(AND('Zdroj data'!O165&gt;=Body!$BB$15,'Zdroj data'!O165&lt;=Body!$BD$15),Body!BB$6,IF(AND('Zdroj data'!O165&gt;=Body!$BE$15,'Zdroj data'!O165&lt;=Body!$BG$15),Body!BE$6,IF(AND('Zdroj data'!O165&gt;=Body!$BH$15,'Zdroj data'!O165&lt;=Body!$BJ$15),Body!BH$6,IF(AND('Zdroj data'!O165&gt;=Body!$BK$15,'Zdroj data'!O165&lt;=Body!$BM$15),Body!BK$6,IF(AND('Zdroj data'!O165&gt;=Body!$BN$15,'Zdroj data'!O165&lt;=Body!$BP$15),Body!$BN$6,IF(AND('Zdroj data'!O165&gt;=Body!$BQ$15,'Zdroj data'!O165&lt;=Body!$BS$15),Body!$BQ$6,IF(AND('Zdroj data'!O165&gt;=Body!$BT$15,'Zdroj data'!O165&lt;=Body!$BV$15),Body!BT$6,IF(AND('Zdroj data'!O165&gt;=Body!$BW$15,'Zdroj data'!O165&lt;=Body!$BY$15),Body!$BW$6,IF('Zdroj data'!O165&gt;=Body!$CB$15,Body!$BZ$6," ")))))))))),IF(AND('Zdroj data'!BG165="ST",'Zdroj data'!AM165=Body!$AX$16),IF(AND('Zdroj data'!O165&gt;=Body!$AY$16,'Zdroj data'!O165&lt;=Body!$BA$16),Body!$AY$6,IF(AND('Zdroj data'!O165&gt;=Body!$BB$16,'Zdroj data'!O165&lt;=Body!$BD$16),Body!$BB$6,IF(AND('Zdroj data'!O165&gt;=Body!$BE$16,'Zdroj data'!O165&lt;=Body!$BG$16),Body!$BE$6,IF(AND('Zdroj data'!O165&gt;=Body!$BH$16,'Zdroj data'!O165&lt;=Body!$BJ$16),Body!$BH$6,IF(AND('Zdroj data'!O165&gt;=Body!$BK$16,'Zdroj data'!O165&lt;=Body!$BM$16),Body!$BK$6,IF(AND('Zdroj data'!O165&gt;=Body!$BN$16,'Zdroj data'!O165&lt;=Body!$BP$16),Body!$BN$6,IF(AND('Zdroj data'!O165&gt;=Body!$BQ$16,'Zdroj data'!O165&lt;=Body!$BS$16),Body!$BQ$6,IF(AND('Zdroj data'!O165&gt;=Body!$BT$16,'Zdroj data'!O165&lt;=Body!$BV$16),Body!$BT$6,IF(AND('Zdroj data'!O165&gt;=Body!$BW$16,'Zdroj data'!O165&lt;=Body!$BY$16),Body!$BW$6,IF('Zdroj data'!O165&gt;=Body!$CB$16,Body!$BZ$6," ")))))))))),IF(AND('Zdroj data'!BG165="T",'Zdroj data'!AM165=Body!$AX$17),IF(AND('Zdroj data'!O165&gt;=Body!$AY$17,'Zdroj data'!O165&lt;=Body!$BA$17),Body!$AY$6,IF(AND('Zdroj data'!O165&gt;=Body!$BB$17,'Zdroj data'!O165&lt;=Body!$BD$17),Body!$BB$6,IF(AND('Zdroj data'!O165&gt;=Body!$BE$17,'Zdroj data'!O165&lt;=Body!$BG$17),Body!$BE$6,IF(AND('Zdroj data'!O165&gt;=Body!$BH$17,'Zdroj data'!O165&lt;=Body!#REF!),Body!$BH$6,IF(AND('Zdroj data'!O165&gt;=Body!$BK$17,'Zdroj data'!O165&lt;=Body!$BM$17),Body!$BK$6,IF(AND('Zdroj data'!O165&gt;=Body!$BN$17,'Zdroj data'!O165&lt;=Body!$BP$17),Body!$BN$6,IF(AND('Zdroj data'!O165&gt;=Body!$BQ$17,'Zdroj data'!O165&lt;=Body!$BS$17),Body!$BQ$6,IF(AND('Zdroj data'!O165&gt;=Body!$BT$17,'Zdroj data'!O165&lt;=Body!$BV$17),Body!$BT$6,IF(AND('Zdroj data'!O165&gt;=Body!$BW$17,'Zdroj data'!O165&lt;=Body!$BY$17),Body!$BW$6,IF('Zdroj data'!O165&gt;=Body!$CB$17,Body!$BZ$6," "))))))))))," ")))</f>
        <v>5</v>
      </c>
      <c r="AG165" s="264">
        <f>IF(AND('Zdroj data'!$BG165="L",'Zdroj data'!$AM165=Body!$AX$15),IF(AND(Tabulka1[[#This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data'!$BG165="ST",'Zdroj data'!$AM165=Body!$AX$16),IF(AND(Tabulka1[[#This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data'!$BG165="T",'Zdroj data'!$AM165=Body!$AX$17),IF(AND(Tabulka1[[#This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3</v>
      </c>
      <c r="AH165" s="264" t="str">
        <f>IF(AND('Zdroj data'!BG165="L",'Zdroj data'!AM165=Body!$AX$18),IF(AND('Zdroj data'!O165&gt;=Body!$AY$18,'Zdroj data'!O165&lt;=Body!$BA$18),Body!AY$6,IF(AND('Zdroj data'!O165&gt;=Body!$BB$18,'Zdroj data'!O165&lt;=Body!$BD$18),Body!BB$6,IF(AND('Zdroj data'!O165&gt;=Body!$BE$18,'Zdroj data'!O165&lt;=Body!$BG$18),Body!BE$6,IF(AND('Zdroj data'!O165&gt;=Body!$BH$18,'Zdroj data'!O165&lt;=Body!$BJ$18),Body!BH$6,IF(AND('Zdroj data'!O165&gt;=Body!$BK$18,'Zdroj data'!O165&lt;=Body!$BM$18),Body!$BK$6,IF(AND('Zdroj data'!O165&gt;=Body!$BN$18,'Zdroj data'!O165&lt;=Body!$BP$18),Body!BN$6,IF(AND('Zdroj data'!O165&gt;=Body!$BQ$18,'Zdroj data'!O165&lt;=Body!$BS$18),Body!$BQ$6,IF(AND('Zdroj data'!O165&gt;=Body!$BT$18,'Zdroj data'!O165&lt;=Body!$BV$18),Body!$BT$6,IF(AND('Zdroj data'!O165&gt;=Body!$BW$18,'Zdroj data'!O165&lt;=Body!$BY$18),Body!$BW$6,IF('Zdroj data'!O165&gt;=Body!$CB$18,Body!$BZ$6," ")))))))))),IF(AND('Zdroj data'!BG165="ST",'Zdroj data'!AM165=Body!$AX$19),IF(AND('Zdroj data'!O165&gt;=Body!$AY$19,'Zdroj data'!O165&lt;=Body!$BA$19),Body!$AY$6,IF(AND('Zdroj data'!O165&gt;=Body!$BB$19,'Zdroj data'!O165&lt;=Body!$BD$19),Body!$BB$6,IF(AND('Zdroj data'!O165&gt;=Body!$BE$19,'Zdroj data'!O165&lt;=Body!$BG$19),Body!$BE$6,IF(AND('Zdroj data'!O165&gt;=Body!$BH$19,'Zdroj data'!O165&lt;=Body!$BJ$19),Body!$BH$6,IF(AND('Zdroj data'!O165&gt;=Body!$BK$19,'Zdroj data'!O165&lt;=Body!$BM$19),Body!$BK$6,IF(AND('Zdroj data'!O165&gt;=Body!$BN$19,'Zdroj data'!O165&lt;=Body!$BP$19),Body!$BN$6,IF(AND('Zdroj data'!O165&gt;=Body!$BQ$19,'Zdroj data'!O165&lt;=Body!$BS$19),Body!$BQ$6,IF(AND('Zdroj data'!O165&gt;=Body!$BT$19,'Zdroj data'!O169&lt;=Body!$BV$19),Body!$BT$6,IF(AND('Zdroj data'!O165&gt;=Body!$BW$19,'Zdroj data'!O165&lt;=Body!$BY$19),Body!$BW$6,IF('Zdroj data'!O165&gt;=Body!$CB$19,Body!$BZ$6," ")))))))))),IF(AND('Zdroj data'!BG165="T",'Zdroj data'!AM165=Body!$AX$20),IF(AND('Zdroj data'!O165&gt;=Body!$AY$20,'Zdroj data'!O165&lt;=Body!$BA$20),Body!$AY$6,IF(AND('Zdroj data'!O165&gt;=Body!$BB$20,'Zdroj data'!O165&lt;=Body!$BD$20),Body!$BB$6,IF(AND('Zdroj data'!O165&gt;=Body!$BE$20,'Zdroj data'!O165&lt;=Body!$BG$20),Body!$BE$6,IF(AND('Zdroj data'!O165&gt;=Body!$BH$20,'Zdroj data'!O165&lt;=Body!$BJ$20),Body!$BH$6,IF(AND('Zdroj data'!O165&gt;=Body!$BK$20,'Zdroj data'!O165&lt;=Body!$BM$20),Body!$BK$6,IF(AND('Zdroj data'!O165&gt;=Body!$BN$20,'Zdroj data'!O165&lt;=Body!$BP$20),Body!$BN$6,IF(AND('Zdroj data'!O165&gt;=Body!$BQ$20,'Zdroj data'!O165&lt;=Body!$BS$20),Body!$BQ$6,IF(AND('Zdroj data'!O165&gt;=Body!$BT$20,'Zdroj data'!O165&lt;=Body!#REF!),Body!$BT$6,IF(AND('Zdroj data'!O165&gt;=Body!$BW$20,'Zdroj data'!O165&lt;=Body!$BY$20),Body!$BW$6,IF('Zdroj data'!O165&gt;=Body!$CB$20,Body!$BZ$6," "))))))))))," ")))</f>
        <v xml:space="preserve"> </v>
      </c>
      <c r="AI165" s="264" t="str">
        <f>IF(AND('Zdroj data'!$BG165="L",'Zdroj data'!$AM165=Body!$AX$18),IF(AND(Tabulka1[[#This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data'!$BG165="ST",'Zdroj data'!$AM165=Body!$AX$19),IF(AND(Tabulka1[[#This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data'!$BG165="T",'Zdroj data'!$AM165=Body!$AX$20),IF(AND(Tabulka1[[#This Row],[K2O_60]]&gt;=Body!$AY$20,'Zdroj data'!O165&lt;=Body!$BA$20),Body!$AY$6,IF(AND(Tabulka1[[#This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65" s="265">
        <f t="shared" si="26"/>
        <v>2.6666666666666687</v>
      </c>
      <c r="AK165" s="264">
        <f t="shared" si="27"/>
        <v>32.196329379688287</v>
      </c>
      <c r="AL165" s="264">
        <f t="shared" si="28"/>
        <v>31.33454213215688</v>
      </c>
      <c r="AM165" s="264">
        <f t="shared" si="29"/>
        <v>74.861639765143778</v>
      </c>
      <c r="AN165" s="264">
        <f t="shared" si="30"/>
        <v>61.576174686713827</v>
      </c>
      <c r="AO165" s="265">
        <f t="shared" si="33"/>
        <v>107.05796914483207</v>
      </c>
      <c r="AP165" s="265">
        <f t="shared" si="31"/>
        <v>92.910716818870711</v>
      </c>
      <c r="AQ165" s="318"/>
      <c r="AR165" s="338">
        <f t="shared" si="32"/>
        <v>202.63535263036945</v>
      </c>
      <c r="AS165" s="318"/>
      <c r="AT165" s="138"/>
      <c r="AU165" s="138"/>
    </row>
    <row r="166" spans="1:47" ht="15.5" x14ac:dyDescent="0.35">
      <c r="A166" s="270">
        <v>9185</v>
      </c>
      <c r="B166" s="156" t="s">
        <v>655</v>
      </c>
      <c r="C166" s="250" t="str">
        <f>VLOOKUP(B166,'Zdroj hloubka okresy'!$A$2:$D$171,2,FALSE)</f>
        <v>Mlada_Boleslav</v>
      </c>
      <c r="D166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7</v>
      </c>
      <c r="E166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166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7</v>
      </c>
      <c r="G166" s="264">
        <f>IF(AND(Tabulka1[[#This Row],[hum_60]]&gt;AY172,Tabulka1[[#This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5</v>
      </c>
      <c r="H166" s="264">
        <f>IF(Tabulka1[[#This Row],[kv.ek.]]=Body!$AX$13,IF(AND('Zdroj data'!M166&gt;=Body!$AY$13,'Zdroj data'!M166&lt;=Body!$BA$13),Body!$AY$6,IF(AND('Zdroj data'!M166&gt;=Body!$BB$13,'Zdroj data'!M166&lt;=Body!$BD$13),Body!$BB$6,IF(AND('Zdroj data'!M166&gt;=Body!$BE$13,'Zdroj data'!M166&lt;=Body!$BG$13),Body!$BE$6,IF(AND('Zdroj data'!M166&gt;=Body!$BH$13,'Zdroj data'!M166&lt;=Body!$BJ$13),Body!$BH$6,IF(AND('Zdroj data'!M166&gt;=Body!$BK$13,'Zdroj data'!M166&lt;=Body!$BM$13),Body!$BK$6,IF(AND('Zdroj data'!M166&gt;=Body!$BN$13,'Zdroj data'!M166&lt;=Body!$BP$13),Body!$BN$6,IF(AND('Zdroj data'!M166&gt;=Body!$BQ$13,'Zdroj data'!M166&lt;=Body!$BS$13),Body!$BQ$6,IF(AND('Zdroj data'!M166&gt;=Body!$BT$13,'Zdroj data'!M166&lt;=Body!$BV$13),Body!$BT$6,IF(AND('Zdroj data'!M166&gt;=Body!$BW$13,'Zdroj data'!M166&lt;=Body!$BY$13),Body!$BW$6,IF('Zdroj data'!M166&gt;=Body!$CB$13,Body!$BZ$6," ")))))))))),IF(Tabulka1[[#This Row],[kv.ek.]]=Body!$AX$14,IF(AND('Zdroj data'!N166&gt;=Body!$AY$14,'Zdroj data'!N166&lt;=Body!$BA$14),Body!$AY$6,IF(AND('Zdroj data'!N166&gt;=Body!$BB$14,'Zdroj data'!N166&lt;=Body!$BD$14),Body!$BB$6,IF(AND('Zdroj data'!N166&gt;=Body!$BE$14,'Zdroj data'!N166&lt;=Body!$BG$14),Body!$BE$6,IF(AND('Zdroj data'!N166&gt;=Body!$BH$14,'Zdroj data'!N166&lt;=Body!$BJ$14),Body!$BH$6,IF(AND('Zdroj data'!N166&gt;=Body!$BK$14,'Zdroj data'!N166&lt;=Body!$BM$14),Body!$BK$6,IF(AND('Zdroj data'!N166&gt;=Body!$BN$14,'Zdroj data'!N166&lt;=Body!$BP$14),Body!$BN$6,IF(AND('Zdroj data'!N166&gt;=Body!$BQ$14,'Zdroj data'!N166&lt;=Body!$BS$14),Body!$BQ$6,IF(AND('Zdroj data'!N166&gt;=Body!$BT$14,'Zdroj data'!N166&lt;=Body!$BV$14),Body!$BT$6,IF(AND('Zdroj data'!N166&gt;=Body!$BW$14,'Zdroj data'!N166&lt;=Body!$BY$14),Body!$BW$6,IF('Zdroj data'!N166&gt;=Body!$CB$14,Body!$BZ$6," "))))))))))," "))</f>
        <v>1</v>
      </c>
      <c r="I166" s="264">
        <f>IF(Tabulka1[[#This Row],[kv.ek.]]=Body!$AX$13,IF(AND('Zdroj data'!N166&gt;=Body!$AY$13,'Zdroj data'!N166&lt;=Body!$BA$13),Body!$AY$6,IF(AND('Zdroj data'!N166&gt;=Body!$BB$13,'Zdroj data'!N166&lt;=Body!$BD$13),Body!$BB$6,IF(AND('Zdroj data'!N166&gt;=Body!$BE$13,'Zdroj data'!N166&lt;=Body!$BG$13),Body!$BE$6,IF(AND('Zdroj data'!N166&gt;=Body!$BH$13,'Zdroj data'!N166&lt;=Body!$BJ$13),Body!$BH$6,IF(AND('Zdroj data'!N166&gt;=Body!$BK$13,'Zdroj data'!N166&lt;=Body!$BM$13),Body!$BK$6,IF(AND('Zdroj data'!N166&gt;=Body!$BN$13,'Zdroj data'!N166&lt;=Body!$BP$13),Body!$BN$6,IF(AND('Zdroj data'!N166&gt;=Body!$BQ$13,'Zdroj data'!N166&lt;=Body!$BS$13),Body!$BQ$6,IF(AND('Zdroj data'!N166&gt;=Body!$BT$13,'Zdroj data'!N166&lt;=Body!$BV$13),Body!$BT$6,IF(AND('Zdroj data'!N166&gt;=Body!$BW$13,'Zdroj data'!N166&lt;=Body!$BY$13),Body!$BW$6,IF('Zdroj data'!N166&gt;=Body!$CB$13,Body!$BZ$6," ")))))))))),IF(Tabulka1[[#This Row],[kv.ek.]]=Body!$AX$14,IF(AND('Zdroj data'!O166&gt;=Body!$AY$14,'Zdroj data'!O166&lt;=Body!$BA$14),Body!$AY$6,IF(AND('Zdroj data'!O166&gt;=Body!$BB$14,'Zdroj data'!O166&lt;=Body!$BD$14),Body!$BB$6,IF(AND('Zdroj data'!O166&gt;=Body!$BE$14,'Zdroj data'!O166&lt;=Body!$BG$14),Body!$BE$6,IF(AND('Zdroj data'!O166&gt;=Body!$BH$14,'Zdroj data'!O166&lt;=Body!$BJ$14),Body!$BH$6,IF(AND('Zdroj data'!O166&gt;=Body!$BK$14,'Zdroj data'!O166&lt;=Body!$BM$14),Body!$BK$6,IF(AND('Zdroj data'!O166&gt;=Body!$BN$14,'Zdroj data'!O166&lt;=Body!$BP$14),Body!$BN$6,IF(AND('Zdroj data'!O166&gt;=Body!$BQ$14,'Zdroj data'!O166&lt;=Body!$BS$14),Body!$BQ$6,IF(AND('Zdroj data'!O166&gt;=Body!$BT$14,'Zdroj data'!O166&lt;=Body!$BV$14),Body!$BT$6,IF(AND('Zdroj data'!O166&gt;=Body!$BW$14,'Zdroj data'!O166&lt;=Body!$BY$14),Body!$BW$6,IF('Zdroj data'!O166&gt;=Body!$CB$14,Body!$BZ$6," "))))))))))," "))</f>
        <v>1</v>
      </c>
      <c r="J166" s="264">
        <f t="shared" si="25"/>
        <v>1</v>
      </c>
      <c r="K166" s="264">
        <f t="shared" si="25"/>
        <v>1</v>
      </c>
      <c r="L166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6</v>
      </c>
      <c r="M166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166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166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166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66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3</v>
      </c>
      <c r="R166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3</v>
      </c>
      <c r="S166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6</v>
      </c>
      <c r="T166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7</v>
      </c>
      <c r="U166" s="264">
        <f>IF('Zdroj data'!BB166=Body!$AY$25,Body!$AY$22,IF('Zdroj data'!BB166=Body!$BB$25,Body!$BB$22,IF('Zdroj data'!BB166=Body!$BE$25,Body!$BE$22,IF('Zdroj data'!BB166=Body!$BH$25,Body!$BH$22,IF('Zdroj data'!BB166=Body!BK$25,Body!$BK$22,IF('Zdroj data'!BB166=Body!$BN$25,Body!$BN$22,IF('Zdroj data'!BB166=Body!$BQ$25,Body!$BQ$22,IF('Zdroj data'!BB166=Body!$BT$25,Body!$BT$22,IF('Zdroj data'!BB166=Body!$BW$25,Body!$BW$22,IF('Zdroj data'!BB166=Body!$BZ$25,Body!$BZ$22," "))))))))))</f>
        <v>5</v>
      </c>
      <c r="V166" s="264">
        <f>IF(AND('Zdroj data'!BO166&gt;Body!$AY$27,'Zdroj data'!BO166&lt;=Body!$BA$27),Body!$AY$22,IF(AND('Zdroj data'!BO166&gt;=Body!$BB$27,'Zdroj data'!BO166&lt;=Body!$BD$27),Body!$BB$22,IF(AND('Zdroj data'!BO166&gt;=Body!$BE$27,'Zdroj data'!BO166&lt;=Body!$BG$27),Body!$BE$22,IF(AND('Zdroj data'!BO166&gt;=Body!$BH$27,'Zdroj data'!BO166&lt;=Body!$BJ$27),Body!$BH$22,IF(AND('Zdroj data'!BO166&gt;=Body!$BK$27,'Zdroj data'!BO166&lt;=Body!$BM$27),Body!$BK$22,IF(AND('Zdroj data'!BO166&gt;=Body!$BN$27,'Zdroj data'!BO166&lt;=Body!$BP$27),Body!$BN$22,IF(AND('Zdroj data'!BO166&gt;=Body!$BQ$27,'Zdroj data'!BO166&lt;=Body!$BS$27),Body!$BQ$22,IF(AND('Zdroj data'!BO166&gt;=Body!$BT$27,'Zdroj data'!BO166&lt;=Body!$BV$27),Body!$BT$22,IF(AND('Zdroj data'!BO166&gt;=Body!$BW$27,'Zdroj data'!BO166&lt;=Body!$BY$27),Body!$BW$22,IF('Zdroj data'!BO166&gt;=Body!$CB$27,$BZ$22," "))))))))))</f>
        <v>7</v>
      </c>
      <c r="W166" s="264">
        <f>IF(AND('Zdroj data'!BP166&gt;Body!$AY$27,'Zdroj data'!BP166&lt;=Body!$BA$27),Body!$AY$22,IF(AND('Zdroj data'!BP166&gt;=Body!$BB$27,'Zdroj data'!BP166&lt;=Body!$BD$27),Body!$BB$22,IF(AND('Zdroj data'!BP166&gt;=Body!$BE$27,'Zdroj data'!BP166&lt;=Body!$BG$27),Body!$BE$22,IF(AND('Zdroj data'!BP166&gt;=Body!$BH$27,'Zdroj data'!BP166&lt;=Body!$BJ$27),Body!$BH$22,IF(AND('Zdroj data'!BP166&gt;=Body!$BK$27,'Zdroj data'!BP166&lt;=Body!$BM$27),Body!$BK$22,IF(AND('Zdroj data'!BP166&gt;=Body!$BN$27,'Zdroj data'!BP166&lt;=Body!$BP$27),Body!$BN$22,IF(AND('Zdroj data'!BP166&gt;=Body!$BQ$27,'Zdroj data'!BP166&lt;=Body!$BS$27),Body!$BQ$22,IF(AND('Zdroj data'!BP166&gt;=Body!$BT$27,'Zdroj data'!BP166&lt;=Body!$BV$27),Body!$BT$22,IF(AND('Zdroj data'!BP166&gt;=Body!$BW$27,'Zdroj data'!BP166&lt;=Body!$BY$27),Body!$BW$22,IF('Zdroj data'!BP166&gt;=Body!$CB$27,$BZ$22," "))))))))))</f>
        <v>6</v>
      </c>
      <c r="X166" s="264">
        <f>IF('Zdroj data'!BA166=Body!$BB$28,$BB$22,IF('Zdroj data'!BA166=Body!$BE$28,$BE$22,IF(OR('Zdroj data'!BA166=Body!$BK$28,'Zdroj data'!BA166=Body!$BL$28,'Zdroj data'!BA166=Body!$BM$28),$BK$22,IF(OR('Zdroj data'!BA166=Body!$BT$28,'Zdroj data'!BA166=Body!$BV$28),$BT$22,IF(OR('Zdroj data'!BA166=Body!$BW$28,'Zdroj data'!BA166=Body!$BY$28),$BW$22,IF('Zdroj data'!BA166=Body!$BZ$28,$BZ$22," "))))))</f>
        <v>10</v>
      </c>
      <c r="Y166" s="264">
        <f>IF('Zdroj data'!AZ166=Body!$BZ$29,Body!$BZ$22,IF(OR('Zdroj data'!AZ166=$BT$29,'Zdroj data'!AZ166=$BU$29,'Zdroj data'!AZ166=$BV$29),$BT$22,IF(OR('Zdroj data'!AZ166=$BK$29,'Zdroj data'!AZ166=$BM$29),$BK$22,IF(OR('Zdroj data'!AZ166=$BE$29,'Zdroj data'!AZ166=$BG$29),$BE$22,IF(OR('Zdroj data'!AZ166=$AY$29,'Zdroj data'!AZ166=$BA$29),$AY$22," ")))))</f>
        <v>10</v>
      </c>
      <c r="Z166" s="264">
        <f>IF(AND('Zdroj data'!BF166="T",(OR('Zdroj data'!AZ166=Body!$AW$45,'Zdroj data'!AZ166=Body!$AW$46,'Zdroj data'!AZ166=Body!$AW$47,'Zdroj data'!AZ166=Body!$AW$48))),Body!$AY$22,IF(AND('Zdroj data'!BF166="T",(OR('Zdroj data'!AZ166=$AW$49,'Zdroj data'!AZ166=$AW$50,'Zdroj data'!AZ166=$AW$51,'Zdroj data'!AZ166=$AW$52))),$BZ$22,IF(AND(OR('Zdroj data'!BF166="VT",'Zdroj data'!BF166="T",'Zdroj data'!BF166="CH"),(OR('Zdroj data'!AZ166=$AW$43,'Zdroj data'!AZ166=$AW$44,))),$BZ$22,IF(AND('Zdroj data'!BF166="CH",(OR('Zdroj data'!AZ166=$AW$49,'Zdroj data'!AZ166=$AW$50,'Zdroj data'!AZ166=$AW$51,'Zdroj data'!AZ166=$AW$52))),$AY$22,IF(AND('Zdroj data'!BF166="CH",(OR('Zdroj data'!AZ166=$AW$45,'Zdroj data'!AZ166=$AW$46,'Zdroj data'!AZ166=$AW$47,'Zdroj data'!AZ166=$AW$48))),$BZ$22," ")))))</f>
        <v>10</v>
      </c>
      <c r="AA166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66" s="264">
        <f>IF(Tabulka1[[#This Row],[kv.ek.]]=Body!$BK$35,Body!$BK$34,IF(Tabulka1[[#This Row],[kv.ek.]]=Body!$BZ$35,Body!$BZ$34," "))</f>
        <v>5</v>
      </c>
      <c r="AC166" s="264" t="str">
        <f>IF(AND('Zdroj data'!BF166="T",(OR('Zdroj data'!AZ166=Body!$AW$45,'Zdroj data'!AZ166=Body!$AW$46,'Zdroj data'!AZ166=Body!$AW$47,'Zdroj data'!AZ166=Body!$AW$48))),Body!$AY$22,IF(AND('Zdroj data'!BF166="T",(OR('Zdroj data'!AZ166=$AW$49,'Zdroj data'!AZ166=$AW$50,'Zdroj data'!AZ166=$AW$51,'Zdroj data'!AZ166=$AW$52))),$BZ$22," "))</f>
        <v xml:space="preserve"> </v>
      </c>
      <c r="AD166" s="264">
        <f>IF(AND(OR('Zdroj data'!BF166="VT",'Zdroj data'!BF166="T",'Zdroj data'!BF166="CH"),(OR('Zdroj data'!AZ166=$AW$43,'Zdroj data'!AZ166=$AW$44,))),$BZ$22," ")</f>
        <v>10</v>
      </c>
      <c r="AE166" s="264" t="str">
        <f>IF(AND('Zdroj data'!BF166="CH",(OR('Zdroj data'!AZ166=$AW$49,'Zdroj data'!AZ166=$AW$50,'Zdroj data'!AZ166=$AW$51,'Zdroj data'!AZ166=$AW$52))),$AY$22,IF(AND('Zdroj data'!BF166="CH",(OR('Zdroj data'!AZ166=$AW$45,'Zdroj data'!AZ166=$AW$46,'Zdroj data'!AZ166=$AW$47,'Zdroj data'!AZ166=$AW$48))),$BZ$22," "))</f>
        <v xml:space="preserve"> </v>
      </c>
      <c r="AF166" s="264">
        <f>IF(AND('Zdroj data'!BG166="L",'Zdroj data'!AM166=Body!$AX$15),IF(AND('Zdroj data'!O166&gt;=Body!$AY$15,'Zdroj data'!O166&lt;=Body!$BA$15),Body!AY$6,IF(AND('Zdroj data'!O166&gt;=Body!$BB$15,'Zdroj data'!O166&lt;=Body!$BD$15),Body!BB$6,IF(AND('Zdroj data'!O166&gt;=Body!$BE$15,'Zdroj data'!O166&lt;=Body!$BG$15),Body!BE$6,IF(AND('Zdroj data'!O166&gt;=Body!$BH$15,'Zdroj data'!O166&lt;=Body!$BJ$15),Body!BH$6,IF(AND('Zdroj data'!O166&gt;=Body!$BK$15,'Zdroj data'!O166&lt;=Body!$BM$15),Body!BK$6,IF(AND('Zdroj data'!O166&gt;=Body!$BN$15,'Zdroj data'!O166&lt;=Body!$BP$15),Body!$BN$6,IF(AND('Zdroj data'!O166&gt;=Body!$BQ$15,'Zdroj data'!O166&lt;=Body!$BS$15),Body!$BQ$6,IF(AND('Zdroj data'!O166&gt;=Body!$BT$15,'Zdroj data'!O166&lt;=Body!$BV$15),Body!BT$6,IF(AND('Zdroj data'!O166&gt;=Body!$BW$15,'Zdroj data'!O166&lt;=Body!$BY$15),Body!$BW$6,IF('Zdroj data'!O166&gt;=Body!$CB$15,Body!$BZ$6," ")))))))))),IF(AND('Zdroj data'!BG166="ST",'Zdroj data'!AM166=Body!$AX$16),IF(AND('Zdroj data'!O166&gt;=Body!$AY$16,'Zdroj data'!O166&lt;=Body!$BA$16),Body!$AY$6,IF(AND('Zdroj data'!O166&gt;=Body!$BB$16,'Zdroj data'!O166&lt;=Body!$BD$16),Body!$BB$6,IF(AND('Zdroj data'!O166&gt;=Body!$BE$16,'Zdroj data'!O166&lt;=Body!$BG$16),Body!$BE$6,IF(AND('Zdroj data'!O166&gt;=Body!$BH$16,'Zdroj data'!O166&lt;=Body!$BJ$16),Body!$BH$6,IF(AND('Zdroj data'!O166&gt;=Body!$BK$16,'Zdroj data'!O166&lt;=Body!$BM$16),Body!$BK$6,IF(AND('Zdroj data'!O166&gt;=Body!$BN$16,'Zdroj data'!O166&lt;=Body!$BP$16),Body!$BN$6,IF(AND('Zdroj data'!O166&gt;=Body!$BQ$16,'Zdroj data'!O166&lt;=Body!$BS$16),Body!$BQ$6,IF(AND('Zdroj data'!O166&gt;=Body!$BT$16,'Zdroj data'!O166&lt;=Body!$BV$16),Body!$BT$6,IF(AND('Zdroj data'!O166&gt;=Body!$BW$16,'Zdroj data'!O166&lt;=Body!$BY$16),Body!$BW$6,IF('Zdroj data'!O166&gt;=Body!$CB$16,Body!$BZ$6," ")))))))))),IF(AND('Zdroj data'!BG166="T",'Zdroj data'!AM166=Body!$AX$17),IF(AND('Zdroj data'!O166&gt;=Body!$AY$17,'Zdroj data'!O166&lt;=Body!$BA$17),Body!$AY$6,IF(AND('Zdroj data'!O166&gt;=Body!$BB$17,'Zdroj data'!O166&lt;=Body!$BD$17),Body!$BB$6,IF(AND('Zdroj data'!O166&gt;=Body!$BE$17,'Zdroj data'!O166&lt;=Body!$BG$17),Body!$BE$6,IF(AND('Zdroj data'!O166&gt;=Body!$BH$17,'Zdroj data'!O166&lt;=Body!#REF!),Body!$BH$6,IF(AND('Zdroj data'!O166&gt;=Body!$BK$17,'Zdroj data'!O166&lt;=Body!$BM$17),Body!$BK$6,IF(AND('Zdroj data'!O166&gt;=Body!$BN$17,'Zdroj data'!O166&lt;=Body!$BP$17),Body!$BN$6,IF(AND('Zdroj data'!O166&gt;=Body!$BQ$17,'Zdroj data'!O166&lt;=Body!$BS$17),Body!$BQ$6,IF(AND('Zdroj data'!O166&gt;=Body!$BT$17,'Zdroj data'!O166&lt;=Body!$BV$17),Body!$BT$6,IF(AND('Zdroj data'!O166&gt;=Body!$BW$17,'Zdroj data'!O166&lt;=Body!$BY$17),Body!$BW$6,IF('Zdroj data'!O166&gt;=Body!$CB$17,Body!$BZ$6," "))))))))))," ")))</f>
        <v>1</v>
      </c>
      <c r="AG166" s="264">
        <f>IF(AND('Zdroj data'!$BG166="L",'Zdroj data'!$AM166=Body!$AX$15),IF(AND(Tabulka1[[#This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data'!$BG166="ST",'Zdroj data'!$AM166=Body!$AX$16),IF(AND(Tabulka1[[#This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data'!$BG166="T",'Zdroj data'!$AM166=Body!$AX$17),IF(AND(Tabulka1[[#This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66" s="264" t="str">
        <f>IF(AND('Zdroj data'!BG166="L",'Zdroj data'!AM166=Body!$AX$18),IF(AND('Zdroj data'!O166&gt;=Body!$AY$18,'Zdroj data'!O166&lt;=Body!$BA$18),Body!AY$6,IF(AND('Zdroj data'!O166&gt;=Body!$BB$18,'Zdroj data'!O166&lt;=Body!$BD$18),Body!BB$6,IF(AND('Zdroj data'!O166&gt;=Body!$BE$18,'Zdroj data'!O166&lt;=Body!$BG$18),Body!BE$6,IF(AND('Zdroj data'!O166&gt;=Body!$BH$18,'Zdroj data'!O166&lt;=Body!$BJ$18),Body!BH$6,IF(AND('Zdroj data'!O166&gt;=Body!$BK$18,'Zdroj data'!O166&lt;=Body!$BM$18),Body!$BK$6,IF(AND('Zdroj data'!O166&gt;=Body!$BN$18,'Zdroj data'!O166&lt;=Body!$BP$18),Body!BN$6,IF(AND('Zdroj data'!O166&gt;=Body!$BQ$18,'Zdroj data'!O166&lt;=Body!$BS$18),Body!$BQ$6,IF(AND('Zdroj data'!O166&gt;=Body!$BT$18,'Zdroj data'!O166&lt;=Body!$BV$18),Body!$BT$6,IF(AND('Zdroj data'!O166&gt;=Body!$BW$18,'Zdroj data'!O166&lt;=Body!$BY$18),Body!$BW$6,IF('Zdroj data'!O166&gt;=Body!$CB$18,Body!$BZ$6," ")))))))))),IF(AND('Zdroj data'!BG166="ST",'Zdroj data'!AM166=Body!$AX$19),IF(AND('Zdroj data'!O166&gt;=Body!$AY$19,'Zdroj data'!O166&lt;=Body!$BA$19),Body!$AY$6,IF(AND('Zdroj data'!O166&gt;=Body!$BB$19,'Zdroj data'!O166&lt;=Body!$BD$19),Body!$BB$6,IF(AND('Zdroj data'!O166&gt;=Body!$BE$19,'Zdroj data'!O166&lt;=Body!$BG$19),Body!$BE$6,IF(AND('Zdroj data'!O166&gt;=Body!$BH$19,'Zdroj data'!O166&lt;=Body!$BJ$19),Body!$BH$6,IF(AND('Zdroj data'!O166&gt;=Body!$BK$19,'Zdroj data'!O166&lt;=Body!$BM$19),Body!$BK$6,IF(AND('Zdroj data'!O166&gt;=Body!$BN$19,'Zdroj data'!O166&lt;=Body!$BP$19),Body!$BN$6,IF(AND('Zdroj data'!O166&gt;=Body!$BQ$19,'Zdroj data'!O166&lt;=Body!$BS$19),Body!$BQ$6,IF(AND('Zdroj data'!O166&gt;=Body!$BT$19,'Zdroj data'!O170&lt;=Body!$BV$19),Body!$BT$6,IF(AND('Zdroj data'!O166&gt;=Body!$BW$19,'Zdroj data'!O166&lt;=Body!$BY$19),Body!$BW$6,IF('Zdroj data'!O166&gt;=Body!$CB$19,Body!$BZ$6," ")))))))))),IF(AND('Zdroj data'!BG166="T",'Zdroj data'!AM166=Body!$AX$20),IF(AND('Zdroj data'!O166&gt;=Body!$AY$20,'Zdroj data'!O166&lt;=Body!$BA$20),Body!$AY$6,IF(AND('Zdroj data'!O166&gt;=Body!$BB$20,'Zdroj data'!O166&lt;=Body!$BD$20),Body!$BB$6,IF(AND('Zdroj data'!O166&gt;=Body!$BE$20,'Zdroj data'!O166&lt;=Body!$BG$20),Body!$BE$6,IF(AND('Zdroj data'!O166&gt;=Body!$BH$20,'Zdroj data'!O166&lt;=Body!$BJ$20),Body!$BH$6,IF(AND('Zdroj data'!O166&gt;=Body!$BK$20,'Zdroj data'!O166&lt;=Body!$BM$20),Body!$BK$6,IF(AND('Zdroj data'!O166&gt;=Body!$BN$20,'Zdroj data'!O166&lt;=Body!$BP$20),Body!$BN$6,IF(AND('Zdroj data'!O166&gt;=Body!$BQ$20,'Zdroj data'!O166&lt;=Body!$BS$20),Body!$BQ$6,IF(AND('Zdroj data'!O166&gt;=Body!$BT$20,'Zdroj data'!O166&lt;=Body!#REF!),Body!$BT$6,IF(AND('Zdroj data'!O166&gt;=Body!$BW$20,'Zdroj data'!O166&lt;=Body!$BY$20),Body!$BW$6,IF('Zdroj data'!O166&gt;=Body!$CB$20,Body!$BZ$6," "))))))))))," ")))</f>
        <v xml:space="preserve"> </v>
      </c>
      <c r="AI166" s="264" t="str">
        <f>IF(AND('Zdroj data'!$BG166="L",'Zdroj data'!$AM166=Body!$AX$18),IF(AND(Tabulka1[[#This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data'!$BG166="ST",'Zdroj data'!$AM166=Body!$AX$19),IF(AND(Tabulka1[[#This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data'!$BG166="T",'Zdroj data'!$AM166=Body!$AX$20),IF(AND(Tabulka1[[#This Row],[K2O_60]]&gt;=Body!$AY$20,'Zdroj data'!O166&lt;=Body!$BA$20),Body!$AY$6,IF(AND(Tabulka1[[#This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66" s="265">
        <f t="shared" si="26"/>
        <v>8.0000000000000071</v>
      </c>
      <c r="AK166" s="264">
        <f t="shared" si="27"/>
        <v>31.365919878010516</v>
      </c>
      <c r="AL166" s="264">
        <f t="shared" si="28"/>
        <v>26.640463334277914</v>
      </c>
      <c r="AM166" s="264">
        <f t="shared" si="29"/>
        <v>60.501118801802946</v>
      </c>
      <c r="AN166" s="264">
        <f t="shared" si="30"/>
        <v>62.870149551676953</v>
      </c>
      <c r="AO166" s="265">
        <f t="shared" si="33"/>
        <v>91.867038679813461</v>
      </c>
      <c r="AP166" s="265">
        <f t="shared" si="31"/>
        <v>89.51061288595487</v>
      </c>
      <c r="AQ166" s="318"/>
      <c r="AR166" s="338">
        <f t="shared" si="32"/>
        <v>189.37765156576833</v>
      </c>
      <c r="AS166" s="318"/>
      <c r="AT166" s="138"/>
      <c r="AU166" s="138"/>
    </row>
    <row r="167" spans="1:47" ht="15.5" x14ac:dyDescent="0.35">
      <c r="A167" s="270">
        <v>9188</v>
      </c>
      <c r="B167" s="156" t="s">
        <v>653</v>
      </c>
      <c r="C167" s="250" t="str">
        <f>VLOOKUP(B167,'Zdroj hloubka okresy'!$A$2:$D$171,2,FALSE)</f>
        <v>Mlada_Boleslav</v>
      </c>
      <c r="D167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7</v>
      </c>
      <c r="E167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8</v>
      </c>
      <c r="F167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6</v>
      </c>
      <c r="G167" s="264">
        <f>IF(AND(Tabulka1[[#This Row],[hum_60]]&gt;AY173,Tabulka1[[#This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4</v>
      </c>
      <c r="H167" s="264">
        <f>IF(Tabulka1[[#This Row],[kv.ek.]]=Body!$AX$13,IF(AND('Zdroj data'!M167&gt;=Body!$AY$13,'Zdroj data'!M167&lt;=Body!$BA$13),Body!$AY$6,IF(AND('Zdroj data'!M167&gt;=Body!$BB$13,'Zdroj data'!M167&lt;=Body!$BD$13),Body!$BB$6,IF(AND('Zdroj data'!M167&gt;=Body!$BE$13,'Zdroj data'!M167&lt;=Body!$BG$13),Body!$BE$6,IF(AND('Zdroj data'!M167&gt;=Body!$BH$13,'Zdroj data'!M167&lt;=Body!$BJ$13),Body!$BH$6,IF(AND('Zdroj data'!M167&gt;=Body!$BK$13,'Zdroj data'!M167&lt;=Body!$BM$13),Body!$BK$6,IF(AND('Zdroj data'!M167&gt;=Body!$BN$13,'Zdroj data'!M167&lt;=Body!$BP$13),Body!$BN$6,IF(AND('Zdroj data'!M167&gt;=Body!$BQ$13,'Zdroj data'!M167&lt;=Body!$BS$13),Body!$BQ$6,IF(AND('Zdroj data'!M167&gt;=Body!$BT$13,'Zdroj data'!M167&lt;=Body!$BV$13),Body!$BT$6,IF(AND('Zdroj data'!M167&gt;=Body!$BW$13,'Zdroj data'!M167&lt;=Body!$BY$13),Body!$BW$6,IF('Zdroj data'!M167&gt;=Body!$CB$13,Body!$BZ$6," ")))))))))),IF(Tabulka1[[#This Row],[kv.ek.]]=Body!$AX$14,IF(AND('Zdroj data'!N167&gt;=Body!$AY$14,'Zdroj data'!N167&lt;=Body!$BA$14),Body!$AY$6,IF(AND('Zdroj data'!N167&gt;=Body!$BB$14,'Zdroj data'!N167&lt;=Body!$BD$14),Body!$BB$6,IF(AND('Zdroj data'!N167&gt;=Body!$BE$14,'Zdroj data'!N167&lt;=Body!$BG$14),Body!$BE$6,IF(AND('Zdroj data'!N167&gt;=Body!$BH$14,'Zdroj data'!N167&lt;=Body!$BJ$14),Body!$BH$6,IF(AND('Zdroj data'!N167&gt;=Body!$BK$14,'Zdroj data'!N167&lt;=Body!$BM$14),Body!$BK$6,IF(AND('Zdroj data'!N167&gt;=Body!$BN$14,'Zdroj data'!N167&lt;=Body!$BP$14),Body!$BN$6,IF(AND('Zdroj data'!N167&gt;=Body!$BQ$14,'Zdroj data'!N167&lt;=Body!$BS$14),Body!$BQ$6,IF(AND('Zdroj data'!N167&gt;=Body!$BT$14,'Zdroj data'!N167&lt;=Body!$BV$14),Body!$BT$6,IF(AND('Zdroj data'!N167&gt;=Body!$BW$14,'Zdroj data'!N167&lt;=Body!$BY$14),Body!$BW$6,IF('Zdroj data'!N167&gt;=Body!$CB$14,Body!$BZ$6," "))))))))))," "))</f>
        <v>1</v>
      </c>
      <c r="I167" s="264">
        <f>IF(Tabulka1[[#This Row],[kv.ek.]]=Body!$AX$13,IF(AND('Zdroj data'!N167&gt;=Body!$AY$13,'Zdroj data'!N167&lt;=Body!$BA$13),Body!$AY$6,IF(AND('Zdroj data'!N167&gt;=Body!$BB$13,'Zdroj data'!N167&lt;=Body!$BD$13),Body!$BB$6,IF(AND('Zdroj data'!N167&gt;=Body!$BE$13,'Zdroj data'!N167&lt;=Body!$BG$13),Body!$BE$6,IF(AND('Zdroj data'!N167&gt;=Body!$BH$13,'Zdroj data'!N167&lt;=Body!$BJ$13),Body!$BH$6,IF(AND('Zdroj data'!N167&gt;=Body!$BK$13,'Zdroj data'!N167&lt;=Body!$BM$13),Body!$BK$6,IF(AND('Zdroj data'!N167&gt;=Body!$BN$13,'Zdroj data'!N167&lt;=Body!$BP$13),Body!$BN$6,IF(AND('Zdroj data'!N167&gt;=Body!$BQ$13,'Zdroj data'!N167&lt;=Body!$BS$13),Body!$BQ$6,IF(AND('Zdroj data'!N167&gt;=Body!$BT$13,'Zdroj data'!N167&lt;=Body!$BV$13),Body!$BT$6,IF(AND('Zdroj data'!N167&gt;=Body!$BW$13,'Zdroj data'!N167&lt;=Body!$BY$13),Body!$BW$6,IF('Zdroj data'!N167&gt;=Body!$CB$13,Body!$BZ$6," ")))))))))),IF(Tabulka1[[#This Row],[kv.ek.]]=Body!$AX$14,IF(AND('Zdroj data'!O167&gt;=Body!$AY$14,'Zdroj data'!O167&lt;=Body!$BA$14),Body!$AY$6,IF(AND('Zdroj data'!O167&gt;=Body!$BB$14,'Zdroj data'!O167&lt;=Body!$BD$14),Body!$BB$6,IF(AND('Zdroj data'!O167&gt;=Body!$BE$14,'Zdroj data'!O167&lt;=Body!$BG$14),Body!$BE$6,IF(AND('Zdroj data'!O167&gt;=Body!$BH$14,'Zdroj data'!O167&lt;=Body!$BJ$14),Body!$BH$6,IF(AND('Zdroj data'!O167&gt;=Body!$BK$14,'Zdroj data'!O167&lt;=Body!$BM$14),Body!$BK$6,IF(AND('Zdroj data'!O167&gt;=Body!$BN$14,'Zdroj data'!O167&lt;=Body!$BP$14),Body!$BN$6,IF(AND('Zdroj data'!O167&gt;=Body!$BQ$14,'Zdroj data'!O167&lt;=Body!$BS$14),Body!$BQ$6,IF(AND('Zdroj data'!O167&gt;=Body!$BT$14,'Zdroj data'!O167&lt;=Body!$BV$14),Body!$BT$6,IF(AND('Zdroj data'!O167&gt;=Body!$BW$14,'Zdroj data'!O167&lt;=Body!$BY$14),Body!$BW$6,IF('Zdroj data'!O167&gt;=Body!$CB$14,Body!$BZ$6," "))))))))))," "))</f>
        <v>4</v>
      </c>
      <c r="J167" s="264">
        <f t="shared" si="25"/>
        <v>1</v>
      </c>
      <c r="K167" s="264">
        <f t="shared" si="25"/>
        <v>1</v>
      </c>
      <c r="L167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6</v>
      </c>
      <c r="M167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167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167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167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167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167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4</v>
      </c>
      <c r="S167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10</v>
      </c>
      <c r="T167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167" s="264">
        <f>IF('Zdroj data'!BB167=Body!$AY$25,Body!$AY$22,IF('Zdroj data'!BB167=Body!$BB$25,Body!$BB$22,IF('Zdroj data'!BB167=Body!$BE$25,Body!$BE$22,IF('Zdroj data'!BB167=Body!$BH$25,Body!$BH$22,IF('Zdroj data'!BB167=Body!BK$25,Body!$BK$22,IF('Zdroj data'!BB167=Body!$BN$25,Body!$BN$22,IF('Zdroj data'!BB167=Body!$BQ$25,Body!$BQ$22,IF('Zdroj data'!BB167=Body!$BT$25,Body!$BT$22,IF('Zdroj data'!BB167=Body!$BW$25,Body!$BW$22,IF('Zdroj data'!BB167=Body!$BZ$25,Body!$BZ$22," "))))))))))</f>
        <v>7</v>
      </c>
      <c r="V167" s="264">
        <f>IF(AND('Zdroj data'!BO167&gt;Body!$AY$27,'Zdroj data'!BO167&lt;=Body!$BA$27),Body!$AY$22,IF(AND('Zdroj data'!BO167&gt;=Body!$BB$27,'Zdroj data'!BO167&lt;=Body!$BD$27),Body!$BB$22,IF(AND('Zdroj data'!BO167&gt;=Body!$BE$27,'Zdroj data'!BO167&lt;=Body!$BG$27),Body!$BE$22,IF(AND('Zdroj data'!BO167&gt;=Body!$BH$27,'Zdroj data'!BO167&lt;=Body!$BJ$27),Body!$BH$22,IF(AND('Zdroj data'!BO167&gt;=Body!$BK$27,'Zdroj data'!BO167&lt;=Body!$BM$27),Body!$BK$22,IF(AND('Zdroj data'!BO167&gt;=Body!$BN$27,'Zdroj data'!BO167&lt;=Body!$BP$27),Body!$BN$22,IF(AND('Zdroj data'!BO167&gt;=Body!$BQ$27,'Zdroj data'!BO167&lt;=Body!$BS$27),Body!$BQ$22,IF(AND('Zdroj data'!BO167&gt;=Body!$BT$27,'Zdroj data'!BO167&lt;=Body!$BV$27),Body!$BT$22,IF(AND('Zdroj data'!BO167&gt;=Body!$BW$27,'Zdroj data'!BO167&lt;=Body!$BY$27),Body!$BW$22,IF('Zdroj data'!BO167&gt;=Body!$CB$27,$BZ$22," "))))))))))</f>
        <v>6</v>
      </c>
      <c r="W167" s="264">
        <f>IF(AND('Zdroj data'!BP167&gt;Body!$AY$27,'Zdroj data'!BP167&lt;=Body!$BA$27),Body!$AY$22,IF(AND('Zdroj data'!BP167&gt;=Body!$BB$27,'Zdroj data'!BP167&lt;=Body!$BD$27),Body!$BB$22,IF(AND('Zdroj data'!BP167&gt;=Body!$BE$27,'Zdroj data'!BP167&lt;=Body!$BG$27),Body!$BE$22,IF(AND('Zdroj data'!BP167&gt;=Body!$BH$27,'Zdroj data'!BP167&lt;=Body!$BJ$27),Body!$BH$22,IF(AND('Zdroj data'!BP167&gt;=Body!$BK$27,'Zdroj data'!BP167&lt;=Body!$BM$27),Body!$BK$22,IF(AND('Zdroj data'!BP167&gt;=Body!$BN$27,'Zdroj data'!BP167&lt;=Body!$BP$27),Body!$BN$22,IF(AND('Zdroj data'!BP167&gt;=Body!$BQ$27,'Zdroj data'!BP167&lt;=Body!$BS$27),Body!$BQ$22,IF(AND('Zdroj data'!BP167&gt;=Body!$BT$27,'Zdroj data'!BP167&lt;=Body!$BV$27),Body!$BT$22,IF(AND('Zdroj data'!BP167&gt;=Body!$BW$27,'Zdroj data'!BP167&lt;=Body!$BY$27),Body!$BW$22,IF('Zdroj data'!BP167&gt;=Body!$CB$27,$BZ$22," "))))))))))</f>
        <v>10</v>
      </c>
      <c r="X167" s="264">
        <f>IF('Zdroj data'!BA167=Body!$BB$28,$BB$22,IF('Zdroj data'!BA167=Body!$BE$28,$BE$22,IF(OR('Zdroj data'!BA167=Body!$BK$28,'Zdroj data'!BA167=Body!$BL$28,'Zdroj data'!BA167=Body!$BM$28),$BK$22,IF(OR('Zdroj data'!BA167=Body!$BT$28,'Zdroj data'!BA167=Body!$BV$28),$BT$22,IF(OR('Zdroj data'!BA167=Body!$BW$28,'Zdroj data'!BA167=Body!$BY$28),$BW$22,IF('Zdroj data'!BA167=Body!$BZ$28,$BZ$22," "))))))</f>
        <v>10</v>
      </c>
      <c r="Y167" s="264">
        <f>IF('Zdroj data'!AZ167=Body!$BZ$29,Body!$BZ$22,IF(OR('Zdroj data'!AZ167=$BT$29,'Zdroj data'!AZ167=$BU$29,'Zdroj data'!AZ167=$BV$29),$BT$22,IF(OR('Zdroj data'!AZ167=$BK$29,'Zdroj data'!AZ167=$BM$29),$BK$22,IF(OR('Zdroj data'!AZ167=$BE$29,'Zdroj data'!AZ167=$BG$29),$BE$22,IF(OR('Zdroj data'!AZ167=$AY$29,'Zdroj data'!AZ167=$BA$29),$AY$22," ")))))</f>
        <v>10</v>
      </c>
      <c r="Z167" s="264">
        <f>IF(AND('Zdroj data'!BF167="T",(OR('Zdroj data'!AZ167=Body!$AW$45,'Zdroj data'!AZ167=Body!$AW$46,'Zdroj data'!AZ167=Body!$AW$47,'Zdroj data'!AZ167=Body!$AW$48))),Body!$AY$22,IF(AND('Zdroj data'!BF167="T",(OR('Zdroj data'!AZ167=$AW$49,'Zdroj data'!AZ167=$AW$50,'Zdroj data'!AZ167=$AW$51,'Zdroj data'!AZ167=$AW$52))),$BZ$22,IF(AND(OR('Zdroj data'!BF167="VT",'Zdroj data'!BF167="T",'Zdroj data'!BF167="CH"),(OR('Zdroj data'!AZ167=$AW$43,'Zdroj data'!AZ167=$AW$44,))),$BZ$22,IF(AND('Zdroj data'!BF167="CH",(OR('Zdroj data'!AZ167=$AW$49,'Zdroj data'!AZ167=$AW$50,'Zdroj data'!AZ167=$AW$51,'Zdroj data'!AZ167=$AW$52))),$AY$22,IF(AND('Zdroj data'!BF167="CH",(OR('Zdroj data'!AZ167=$AW$45,'Zdroj data'!AZ167=$AW$46,'Zdroj data'!AZ167=$AW$47,'Zdroj data'!AZ167=$AW$48))),$BZ$22," ")))))</f>
        <v>10</v>
      </c>
      <c r="AA167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67" s="264">
        <f>IF(Tabulka1[[#This Row],[kv.ek.]]=Body!$BK$35,Body!$BK$34,IF(Tabulka1[[#This Row],[kv.ek.]]=Body!$BZ$35,Body!$BZ$34," "))</f>
        <v>10</v>
      </c>
      <c r="AC167" s="264" t="str">
        <f>IF(AND('Zdroj data'!BF167="T",(OR('Zdroj data'!AZ167=Body!$AW$45,'Zdroj data'!AZ167=Body!$AW$46,'Zdroj data'!AZ167=Body!$AW$47,'Zdroj data'!AZ167=Body!$AW$48))),Body!$AY$22,IF(AND('Zdroj data'!BF167="T",(OR('Zdroj data'!AZ167=$AW$49,'Zdroj data'!AZ167=$AW$50,'Zdroj data'!AZ167=$AW$51,'Zdroj data'!AZ167=$AW$52))),$BZ$22," "))</f>
        <v xml:space="preserve"> </v>
      </c>
      <c r="AD167" s="264">
        <f>IF(AND(OR('Zdroj data'!BF167="VT",'Zdroj data'!BF167="T",'Zdroj data'!BF167="CH"),(OR('Zdroj data'!AZ167=$AW$43,'Zdroj data'!AZ167=$AW$44,))),$BZ$22," ")</f>
        <v>10</v>
      </c>
      <c r="AE167" s="264" t="str">
        <f>IF(AND('Zdroj data'!BF167="CH",(OR('Zdroj data'!AZ167=$AW$49,'Zdroj data'!AZ167=$AW$50,'Zdroj data'!AZ167=$AW$51,'Zdroj data'!AZ167=$AW$52))),$AY$22,IF(AND('Zdroj data'!BF167="CH",(OR('Zdroj data'!AZ167=$AW$45,'Zdroj data'!AZ167=$AW$46,'Zdroj data'!AZ167=$AW$47,'Zdroj data'!AZ167=$AW$48))),$BZ$22," "))</f>
        <v xml:space="preserve"> </v>
      </c>
      <c r="AF167" s="264" t="str">
        <f>IF(AND('Zdroj data'!BG167="L",'Zdroj data'!AM167=Body!$AX$15),IF(AND('Zdroj data'!O167&gt;=Body!$AY$15,'Zdroj data'!O167&lt;=Body!$BA$15),Body!AY$6,IF(AND('Zdroj data'!O167&gt;=Body!$BB$15,'Zdroj data'!O167&lt;=Body!$BD$15),Body!BB$6,IF(AND('Zdroj data'!O167&gt;=Body!$BE$15,'Zdroj data'!O167&lt;=Body!$BG$15),Body!BE$6,IF(AND('Zdroj data'!O167&gt;=Body!$BH$15,'Zdroj data'!O167&lt;=Body!$BJ$15),Body!BH$6,IF(AND('Zdroj data'!O167&gt;=Body!$BK$15,'Zdroj data'!O167&lt;=Body!$BM$15),Body!BK$6,IF(AND('Zdroj data'!O167&gt;=Body!$BN$15,'Zdroj data'!O167&lt;=Body!$BP$15),Body!$BN$6,IF(AND('Zdroj data'!O167&gt;=Body!$BQ$15,'Zdroj data'!O167&lt;=Body!$BS$15),Body!$BQ$6,IF(AND('Zdroj data'!O167&gt;=Body!$BT$15,'Zdroj data'!O167&lt;=Body!$BV$15),Body!BT$6,IF(AND('Zdroj data'!O167&gt;=Body!$BW$15,'Zdroj data'!O167&lt;=Body!$BY$15),Body!$BW$6,IF('Zdroj data'!O167&gt;=Body!$CB$15,Body!$BZ$6," ")))))))))),IF(AND('Zdroj data'!BG167="ST",'Zdroj data'!AM167=Body!$AX$16),IF(AND('Zdroj data'!O167&gt;=Body!$AY$16,'Zdroj data'!O167&lt;=Body!$BA$16),Body!$AY$6,IF(AND('Zdroj data'!O167&gt;=Body!$BB$16,'Zdroj data'!O167&lt;=Body!$BD$16),Body!$BB$6,IF(AND('Zdroj data'!O167&gt;=Body!$BE$16,'Zdroj data'!O167&lt;=Body!$BG$16),Body!$BE$6,IF(AND('Zdroj data'!O167&gt;=Body!$BH$16,'Zdroj data'!O167&lt;=Body!$BJ$16),Body!$BH$6,IF(AND('Zdroj data'!O167&gt;=Body!$BK$16,'Zdroj data'!O167&lt;=Body!$BM$16),Body!$BK$6,IF(AND('Zdroj data'!O167&gt;=Body!$BN$16,'Zdroj data'!O167&lt;=Body!$BP$16),Body!$BN$6,IF(AND('Zdroj data'!O167&gt;=Body!$BQ$16,'Zdroj data'!O167&lt;=Body!$BS$16),Body!$BQ$6,IF(AND('Zdroj data'!O167&gt;=Body!$BT$16,'Zdroj data'!O167&lt;=Body!$BV$16),Body!$BT$6,IF(AND('Zdroj data'!O167&gt;=Body!$BW$16,'Zdroj data'!O167&lt;=Body!$BY$16),Body!$BW$6,IF('Zdroj data'!O167&gt;=Body!$CB$16,Body!$BZ$6," ")))))))))),IF(AND('Zdroj data'!BG167="T",'Zdroj data'!AM167=Body!$AX$17),IF(AND('Zdroj data'!O167&gt;=Body!$AY$17,'Zdroj data'!O167&lt;=Body!$BA$17),Body!$AY$6,IF(AND('Zdroj data'!O167&gt;=Body!$BB$17,'Zdroj data'!O167&lt;=Body!$BD$17),Body!$BB$6,IF(AND('Zdroj data'!O167&gt;=Body!$BE$17,'Zdroj data'!O167&lt;=Body!$BG$17),Body!$BE$6,IF(AND('Zdroj data'!O167&gt;=Body!$BH$17,'Zdroj data'!O167&lt;=Body!#REF!),Body!$BH$6,IF(AND('Zdroj data'!O167&gt;=Body!$BK$17,'Zdroj data'!O167&lt;=Body!$BM$17),Body!$BK$6,IF(AND('Zdroj data'!O167&gt;=Body!$BN$17,'Zdroj data'!O167&lt;=Body!$BP$17),Body!$BN$6,IF(AND('Zdroj data'!O167&gt;=Body!$BQ$17,'Zdroj data'!O167&lt;=Body!$BS$17),Body!$BQ$6,IF(AND('Zdroj data'!O167&gt;=Body!$BT$17,'Zdroj data'!O167&lt;=Body!$BV$17),Body!$BT$6,IF(AND('Zdroj data'!O167&gt;=Body!$BW$17,'Zdroj data'!O167&lt;=Body!$BY$17),Body!$BW$6,IF('Zdroj data'!O167&gt;=Body!$CB$17,Body!$BZ$6," "))))))))))," ")))</f>
        <v xml:space="preserve"> </v>
      </c>
      <c r="AG167" s="264" t="str">
        <f>IF(AND('Zdroj data'!$BG167="L",'Zdroj data'!$AM167=Body!$AX$15),IF(AND(Tabulka1[[#This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data'!$BG167="ST",'Zdroj data'!$AM167=Body!$AX$16),IF(AND(Tabulka1[[#This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data'!$BG167="T",'Zdroj data'!$AM167=Body!$AX$17),IF(AND(Tabulka1[[#This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167" s="264">
        <f>IF(AND('Zdroj data'!BG167="L",'Zdroj data'!AM167=Body!$AX$18),IF(AND('Zdroj data'!O167&gt;=Body!$AY$18,'Zdroj data'!O167&lt;=Body!$BA$18),Body!AY$6,IF(AND('Zdroj data'!O167&gt;=Body!$BB$18,'Zdroj data'!O167&lt;=Body!$BD$18),Body!BB$6,IF(AND('Zdroj data'!O167&gt;=Body!$BE$18,'Zdroj data'!O167&lt;=Body!$BG$18),Body!BE$6,IF(AND('Zdroj data'!O167&gt;=Body!$BH$18,'Zdroj data'!O167&lt;=Body!$BJ$18),Body!BH$6,IF(AND('Zdroj data'!O167&gt;=Body!$BK$18,'Zdroj data'!O167&lt;=Body!$BM$18),Body!$BK$6,IF(AND('Zdroj data'!O167&gt;=Body!$BN$18,'Zdroj data'!O167&lt;=Body!$BP$18),Body!BN$6,IF(AND('Zdroj data'!O167&gt;=Body!$BQ$18,'Zdroj data'!O167&lt;=Body!$BS$18),Body!$BQ$6,IF(AND('Zdroj data'!O167&gt;=Body!$BT$18,'Zdroj data'!O167&lt;=Body!$BV$18),Body!$BT$6,IF(AND('Zdroj data'!O167&gt;=Body!$BW$18,'Zdroj data'!O167&lt;=Body!$BY$18),Body!$BW$6,IF('Zdroj data'!O167&gt;=Body!$CB$18,Body!$BZ$6," ")))))))))),IF(AND('Zdroj data'!BG167="ST",'Zdroj data'!AM167=Body!$AX$19),IF(AND('Zdroj data'!O167&gt;=Body!$AY$19,'Zdroj data'!O167&lt;=Body!$BA$19),Body!$AY$6,IF(AND('Zdroj data'!O167&gt;=Body!$BB$19,'Zdroj data'!O167&lt;=Body!$BD$19),Body!$BB$6,IF(AND('Zdroj data'!O167&gt;=Body!$BE$19,'Zdroj data'!O167&lt;=Body!$BG$19),Body!$BE$6,IF(AND('Zdroj data'!O167&gt;=Body!$BH$19,'Zdroj data'!O167&lt;=Body!$BJ$19),Body!$BH$6,IF(AND('Zdroj data'!O167&gt;=Body!$BK$19,'Zdroj data'!O167&lt;=Body!$BM$19),Body!$BK$6,IF(AND('Zdroj data'!O167&gt;=Body!$BN$19,'Zdroj data'!O167&lt;=Body!$BP$19),Body!$BN$6,IF(AND('Zdroj data'!O167&gt;=Body!$BQ$19,'Zdroj data'!O167&lt;=Body!$BS$19),Body!$BQ$6,IF(AND('Zdroj data'!O167&gt;=Body!$BT$19,'Zdroj data'!O171&lt;=Body!$BV$19),Body!$BT$6,IF(AND('Zdroj data'!O167&gt;=Body!$BW$19,'Zdroj data'!O167&lt;=Body!$BY$19),Body!$BW$6,IF('Zdroj data'!O167&gt;=Body!$CB$19,Body!$BZ$6," ")))))))))),IF(AND('Zdroj data'!BG167="T",'Zdroj data'!AM167=Body!$AX$20),IF(AND('Zdroj data'!O167&gt;=Body!$AY$20,'Zdroj data'!O167&lt;=Body!$BA$20),Body!$AY$6,IF(AND('Zdroj data'!O167&gt;=Body!$BB$20,'Zdroj data'!O167&lt;=Body!$BD$20),Body!$BB$6,IF(AND('Zdroj data'!O167&gt;=Body!$BE$20,'Zdroj data'!O167&lt;=Body!$BG$20),Body!$BE$6,IF(AND('Zdroj data'!O167&gt;=Body!$BH$20,'Zdroj data'!O167&lt;=Body!$BJ$20),Body!$BH$6,IF(AND('Zdroj data'!O167&gt;=Body!$BK$20,'Zdroj data'!O167&lt;=Body!$BM$20),Body!$BK$6,IF(AND('Zdroj data'!O167&gt;=Body!$BN$20,'Zdroj data'!O167&lt;=Body!$BP$20),Body!$BN$6,IF(AND('Zdroj data'!O167&gt;=Body!$BQ$20,'Zdroj data'!O167&lt;=Body!$BS$20),Body!$BQ$6,IF(AND('Zdroj data'!O167&gt;=Body!$BT$20,'Zdroj data'!O167&lt;=Body!#REF!),Body!$BT$6,IF(AND('Zdroj data'!O167&gt;=Body!$BW$20,'Zdroj data'!O167&lt;=Body!$BY$20),Body!$BW$6,IF('Zdroj data'!O167&gt;=Body!$CB$20,Body!$BZ$6," "))))))))))," ")))</f>
        <v>1</v>
      </c>
      <c r="AI167" s="264">
        <f>IF(AND('Zdroj data'!$BG167="L",'Zdroj data'!$AM167=Body!$AX$18),IF(AND(Tabulka1[[#This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data'!$BG167="ST",'Zdroj data'!$AM167=Body!$AX$19),IF(AND(Tabulka1[[#This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data'!$BG167="T",'Zdroj data'!$AM167=Body!$AX$20),IF(AND(Tabulka1[[#This Row],[K2O_60]]&gt;=Body!$AY$20,'Zdroj data'!O167&lt;=Body!$BA$20),Body!$AY$6,IF(AND(Tabulka1[[#This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1</v>
      </c>
      <c r="AJ167" s="265">
        <f t="shared" si="26"/>
        <v>6.6666666666666714</v>
      </c>
      <c r="AK167" s="264">
        <f t="shared" si="27"/>
        <v>33.097996120117124</v>
      </c>
      <c r="AL167" s="264">
        <f t="shared" si="28"/>
        <v>29.729744390821139</v>
      </c>
      <c r="AM167" s="264">
        <f t="shared" si="29"/>
        <v>78.775263722219762</v>
      </c>
      <c r="AN167" s="264">
        <f t="shared" si="30"/>
        <v>84.953636551027699</v>
      </c>
      <c r="AO167" s="265">
        <f t="shared" si="33"/>
        <v>111.87325984233689</v>
      </c>
      <c r="AP167" s="265">
        <f t="shared" si="31"/>
        <v>114.68338094184884</v>
      </c>
      <c r="AQ167" s="318"/>
      <c r="AR167" s="338">
        <f t="shared" si="32"/>
        <v>233.22330745085242</v>
      </c>
      <c r="AS167" s="318"/>
      <c r="AT167" s="138"/>
      <c r="AU167" s="138"/>
    </row>
    <row r="168" spans="1:47" ht="15.5" x14ac:dyDescent="0.35">
      <c r="A168" s="270">
        <v>9191</v>
      </c>
      <c r="B168" s="156" t="s">
        <v>662</v>
      </c>
      <c r="C168" s="250" t="str">
        <f>VLOOKUP(B168,'Zdroj hloubka okresy'!$A$2:$D$171,2,FALSE)</f>
        <v>Mlada_Boleslav</v>
      </c>
      <c r="D168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7</v>
      </c>
      <c r="E168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6</v>
      </c>
      <c r="F168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4</v>
      </c>
      <c r="G168" s="264">
        <f>IF(AND(Tabulka1[[#This Row],[hum_60]]&gt;AY174,Tabulka1[[#This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3</v>
      </c>
      <c r="H168" s="264">
        <f>IF(Tabulka1[[#This Row],[kv.ek.]]=Body!$AX$13,IF(AND('Zdroj data'!M168&gt;=Body!$AY$13,'Zdroj data'!M168&lt;=Body!$BA$13),Body!$AY$6,IF(AND('Zdroj data'!M168&gt;=Body!$BB$13,'Zdroj data'!M168&lt;=Body!$BD$13),Body!$BB$6,IF(AND('Zdroj data'!M168&gt;=Body!$BE$13,'Zdroj data'!M168&lt;=Body!$BG$13),Body!$BE$6,IF(AND('Zdroj data'!M168&gt;=Body!$BH$13,'Zdroj data'!M168&lt;=Body!$BJ$13),Body!$BH$6,IF(AND('Zdroj data'!M168&gt;=Body!$BK$13,'Zdroj data'!M168&lt;=Body!$BM$13),Body!$BK$6,IF(AND('Zdroj data'!M168&gt;=Body!$BN$13,'Zdroj data'!M168&lt;=Body!$BP$13),Body!$BN$6,IF(AND('Zdroj data'!M168&gt;=Body!$BQ$13,'Zdroj data'!M168&lt;=Body!$BS$13),Body!$BQ$6,IF(AND('Zdroj data'!M168&gt;=Body!$BT$13,'Zdroj data'!M168&lt;=Body!$BV$13),Body!$BT$6,IF(AND('Zdroj data'!M168&gt;=Body!$BW$13,'Zdroj data'!M168&lt;=Body!$BY$13),Body!$BW$6,IF('Zdroj data'!M168&gt;=Body!$CB$13,Body!$BZ$6," ")))))))))),IF(Tabulka1[[#This Row],[kv.ek.]]=Body!$AX$14,IF(AND('Zdroj data'!N168&gt;=Body!$AY$14,'Zdroj data'!N168&lt;=Body!$BA$14),Body!$AY$6,IF(AND('Zdroj data'!N168&gt;=Body!$BB$14,'Zdroj data'!N168&lt;=Body!$BD$14),Body!$BB$6,IF(AND('Zdroj data'!N168&gt;=Body!$BE$14,'Zdroj data'!N168&lt;=Body!$BG$14),Body!$BE$6,IF(AND('Zdroj data'!N168&gt;=Body!$BH$14,'Zdroj data'!N168&lt;=Body!$BJ$14),Body!$BH$6,IF(AND('Zdroj data'!N168&gt;=Body!$BK$14,'Zdroj data'!N168&lt;=Body!$BM$14),Body!$BK$6,IF(AND('Zdroj data'!N168&gt;=Body!$BN$14,'Zdroj data'!N168&lt;=Body!$BP$14),Body!$BN$6,IF(AND('Zdroj data'!N168&gt;=Body!$BQ$14,'Zdroj data'!N168&lt;=Body!$BS$14),Body!$BQ$6,IF(AND('Zdroj data'!N168&gt;=Body!$BT$14,'Zdroj data'!N168&lt;=Body!$BV$14),Body!$BT$6,IF(AND('Zdroj data'!N168&gt;=Body!$BW$14,'Zdroj data'!N168&lt;=Body!$BY$14),Body!$BW$6,IF('Zdroj data'!N168&gt;=Body!$CB$14,Body!$BZ$6," "))))))))))," "))</f>
        <v>1</v>
      </c>
      <c r="I168" s="264">
        <f>IF(Tabulka1[[#This Row],[kv.ek.]]=Body!$AX$13,IF(AND('Zdroj data'!N168&gt;=Body!$AY$13,'Zdroj data'!N168&lt;=Body!$BA$13),Body!$AY$6,IF(AND('Zdroj data'!N168&gt;=Body!$BB$13,'Zdroj data'!N168&lt;=Body!$BD$13),Body!$BB$6,IF(AND('Zdroj data'!N168&gt;=Body!$BE$13,'Zdroj data'!N168&lt;=Body!$BG$13),Body!$BE$6,IF(AND('Zdroj data'!N168&gt;=Body!$BH$13,'Zdroj data'!N168&lt;=Body!$BJ$13),Body!$BH$6,IF(AND('Zdroj data'!N168&gt;=Body!$BK$13,'Zdroj data'!N168&lt;=Body!$BM$13),Body!$BK$6,IF(AND('Zdroj data'!N168&gt;=Body!$BN$13,'Zdroj data'!N168&lt;=Body!$BP$13),Body!$BN$6,IF(AND('Zdroj data'!N168&gt;=Body!$BQ$13,'Zdroj data'!N168&lt;=Body!$BS$13),Body!$BQ$6,IF(AND('Zdroj data'!N168&gt;=Body!$BT$13,'Zdroj data'!N168&lt;=Body!$BV$13),Body!$BT$6,IF(AND('Zdroj data'!N168&gt;=Body!$BW$13,'Zdroj data'!N168&lt;=Body!$BY$13),Body!$BW$6,IF('Zdroj data'!N168&gt;=Body!$CB$13,Body!$BZ$6," ")))))))))),IF(Tabulka1[[#This Row],[kv.ek.]]=Body!$AX$14,IF(AND('Zdroj data'!O168&gt;=Body!$AY$14,'Zdroj data'!O168&lt;=Body!$BA$14),Body!$AY$6,IF(AND('Zdroj data'!O168&gt;=Body!$BB$14,'Zdroj data'!O168&lt;=Body!$BD$14),Body!$BB$6,IF(AND('Zdroj data'!O168&gt;=Body!$BE$14,'Zdroj data'!O168&lt;=Body!$BG$14),Body!$BE$6,IF(AND('Zdroj data'!O168&gt;=Body!$BH$14,'Zdroj data'!O168&lt;=Body!$BJ$14),Body!$BH$6,IF(AND('Zdroj data'!O168&gt;=Body!$BK$14,'Zdroj data'!O168&lt;=Body!$BM$14),Body!$BK$6,IF(AND('Zdroj data'!O168&gt;=Body!$BN$14,'Zdroj data'!O168&lt;=Body!$BP$14),Body!$BN$6,IF(AND('Zdroj data'!O168&gt;=Body!$BQ$14,'Zdroj data'!O168&lt;=Body!$BS$14),Body!$BQ$6,IF(AND('Zdroj data'!O168&gt;=Body!$BT$14,'Zdroj data'!O168&lt;=Body!$BV$14),Body!$BT$6,IF(AND('Zdroj data'!O168&gt;=Body!$BW$14,'Zdroj data'!O168&lt;=Body!$BY$14),Body!$BW$6,IF('Zdroj data'!O168&gt;=Body!$CB$14,Body!$BZ$6," "))))))))))," "))</f>
        <v>4</v>
      </c>
      <c r="J168" s="264">
        <f t="shared" si="25"/>
        <v>1</v>
      </c>
      <c r="K168" s="264">
        <f t="shared" si="25"/>
        <v>1</v>
      </c>
      <c r="L168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5</v>
      </c>
      <c r="M168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5</v>
      </c>
      <c r="N168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7</v>
      </c>
      <c r="O168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7</v>
      </c>
      <c r="P168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168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4</v>
      </c>
      <c r="R168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168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168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10</v>
      </c>
      <c r="U168" s="264">
        <f>IF('Zdroj data'!BB168=Body!$AY$25,Body!$AY$22,IF('Zdroj data'!BB168=Body!$BB$25,Body!$BB$22,IF('Zdroj data'!BB168=Body!$BE$25,Body!$BE$22,IF('Zdroj data'!BB168=Body!$BH$25,Body!$BH$22,IF('Zdroj data'!BB168=Body!BK$25,Body!$BK$22,IF('Zdroj data'!BB168=Body!$BN$25,Body!$BN$22,IF('Zdroj data'!BB168=Body!$BQ$25,Body!$BQ$22,IF('Zdroj data'!BB168=Body!$BT$25,Body!$BT$22,IF('Zdroj data'!BB168=Body!$BW$25,Body!$BW$22,IF('Zdroj data'!BB168=Body!$BZ$25,Body!$BZ$22," "))))))))))</f>
        <v>5</v>
      </c>
      <c r="V168" s="264">
        <f>IF(AND('Zdroj data'!BO168&gt;Body!$AY$27,'Zdroj data'!BO168&lt;=Body!$BA$27),Body!$AY$22,IF(AND('Zdroj data'!BO168&gt;=Body!$BB$27,'Zdroj data'!BO168&lt;=Body!$BD$27),Body!$BB$22,IF(AND('Zdroj data'!BO168&gt;=Body!$BE$27,'Zdroj data'!BO168&lt;=Body!$BG$27),Body!$BE$22,IF(AND('Zdroj data'!BO168&gt;=Body!$BH$27,'Zdroj data'!BO168&lt;=Body!$BJ$27),Body!$BH$22,IF(AND('Zdroj data'!BO168&gt;=Body!$BK$27,'Zdroj data'!BO168&lt;=Body!$BM$27),Body!$BK$22,IF(AND('Zdroj data'!BO168&gt;=Body!$BN$27,'Zdroj data'!BO168&lt;=Body!$BP$27),Body!$BN$22,IF(AND('Zdroj data'!BO168&gt;=Body!$BQ$27,'Zdroj data'!BO168&lt;=Body!$BS$27),Body!$BQ$22,IF(AND('Zdroj data'!BO168&gt;=Body!$BT$27,'Zdroj data'!BO168&lt;=Body!$BV$27),Body!$BT$22,IF(AND('Zdroj data'!BO168&gt;=Body!$BW$27,'Zdroj data'!BO168&lt;=Body!$BY$27),Body!$BW$22,IF('Zdroj data'!BO168&gt;=Body!$CB$27,$BZ$22," "))))))))))</f>
        <v>7</v>
      </c>
      <c r="W168" s="264">
        <f>IF(AND('Zdroj data'!BP168&gt;Body!$AY$27,'Zdroj data'!BP168&lt;=Body!$BA$27),Body!$AY$22,IF(AND('Zdroj data'!BP168&gt;=Body!$BB$27,'Zdroj data'!BP168&lt;=Body!$BD$27),Body!$BB$22,IF(AND('Zdroj data'!BP168&gt;=Body!$BE$27,'Zdroj data'!BP168&lt;=Body!$BG$27),Body!$BE$22,IF(AND('Zdroj data'!BP168&gt;=Body!$BH$27,'Zdroj data'!BP168&lt;=Body!$BJ$27),Body!$BH$22,IF(AND('Zdroj data'!BP168&gt;=Body!$BK$27,'Zdroj data'!BP168&lt;=Body!$BM$27),Body!$BK$22,IF(AND('Zdroj data'!BP168&gt;=Body!$BN$27,'Zdroj data'!BP168&lt;=Body!$BP$27),Body!$BN$22,IF(AND('Zdroj data'!BP168&gt;=Body!$BQ$27,'Zdroj data'!BP168&lt;=Body!$BS$27),Body!$BQ$22,IF(AND('Zdroj data'!BP168&gt;=Body!$BT$27,'Zdroj data'!BP168&lt;=Body!$BV$27),Body!$BT$22,IF(AND('Zdroj data'!BP168&gt;=Body!$BW$27,'Zdroj data'!BP168&lt;=Body!$BY$27),Body!$BW$22,IF('Zdroj data'!BP168&gt;=Body!$CB$27,$BZ$22," "))))))))))</f>
        <v>5</v>
      </c>
      <c r="X168" s="264">
        <f>IF('Zdroj data'!BA168=Body!$BB$28,$BB$22,IF('Zdroj data'!BA168=Body!$BE$28,$BE$22,IF(OR('Zdroj data'!BA168=Body!$BK$28,'Zdroj data'!BA168=Body!$BL$28,'Zdroj data'!BA168=Body!$BM$28),$BK$22,IF(OR('Zdroj data'!BA168=Body!$BT$28,'Zdroj data'!BA168=Body!$BV$28),$BT$22,IF(OR('Zdroj data'!BA168=Body!$BW$28,'Zdroj data'!BA168=Body!$BY$28),$BW$22,IF('Zdroj data'!BA168=Body!$BZ$28,$BZ$22," "))))))</f>
        <v>9</v>
      </c>
      <c r="Y168" s="264">
        <f>IF('Zdroj data'!AZ168=Body!$BZ$29,Body!$BZ$22,IF(OR('Zdroj data'!AZ168=$BT$29,'Zdroj data'!AZ168=$BU$29,'Zdroj data'!AZ168=$BV$29),$BT$22,IF(OR('Zdroj data'!AZ168=$BK$29,'Zdroj data'!AZ168=$BM$29),$BK$22,IF(OR('Zdroj data'!AZ168=$BE$29,'Zdroj data'!AZ168=$BG$29),$BE$22,IF(OR('Zdroj data'!AZ168=$AY$29,'Zdroj data'!AZ168=$BA$29),$AY$22," ")))))</f>
        <v>5</v>
      </c>
      <c r="Z168" s="264">
        <f>IF(AND('Zdroj data'!BF168="T",(OR('Zdroj data'!AZ168=Body!$AW$45,'Zdroj data'!AZ168=Body!$AW$46,'Zdroj data'!AZ168=Body!$AW$47,'Zdroj data'!AZ168=Body!$AW$48))),Body!$AY$22,IF(AND('Zdroj data'!BF168="T",(OR('Zdroj data'!AZ168=$AW$49,'Zdroj data'!AZ168=$AW$50,'Zdroj data'!AZ168=$AW$51,'Zdroj data'!AZ168=$AW$52))),$BZ$22,IF(AND(OR('Zdroj data'!BF168="VT",'Zdroj data'!BF168="T",'Zdroj data'!BF168="CH"),(OR('Zdroj data'!AZ168=$AW$43,'Zdroj data'!AZ168=$AW$44,))),$BZ$22,IF(AND('Zdroj data'!BF168="CH",(OR('Zdroj data'!AZ168=$AW$49,'Zdroj data'!AZ168=$AW$50,'Zdroj data'!AZ168=$AW$51,'Zdroj data'!AZ168=$AW$52))),$AY$22,IF(AND('Zdroj data'!BF168="CH",(OR('Zdroj data'!AZ168=$AW$45,'Zdroj data'!AZ168=$AW$46,'Zdroj data'!AZ168=$AW$47,'Zdroj data'!AZ168=$AW$48))),$BZ$22," ")))))</f>
        <v>1</v>
      </c>
      <c r="AA168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68" s="264">
        <f>IF(Tabulka1[[#This Row],[kv.ek.]]=Body!$BK$35,Body!$BK$34,IF(Tabulka1[[#This Row],[kv.ek.]]=Body!$BZ$35,Body!$BZ$34," "))</f>
        <v>10</v>
      </c>
      <c r="AC168" s="264">
        <f>IF(AND('Zdroj data'!BF168="T",(OR('Zdroj data'!AZ168=Body!$AW$45,'Zdroj data'!AZ168=Body!$AW$46,'Zdroj data'!AZ168=Body!$AW$47,'Zdroj data'!AZ168=Body!$AW$48))),Body!$AY$22,IF(AND('Zdroj data'!BF168="T",(OR('Zdroj data'!AZ168=$AW$49,'Zdroj data'!AZ168=$AW$50,'Zdroj data'!AZ168=$AW$51,'Zdroj data'!AZ168=$AW$52))),$BZ$22," "))</f>
        <v>1</v>
      </c>
      <c r="AD168" s="264" t="str">
        <f>IF(AND(OR('Zdroj data'!BF168="VT",'Zdroj data'!BF168="T",'Zdroj data'!BF168="CH"),(OR('Zdroj data'!AZ168=$AW$43,'Zdroj data'!AZ168=$AW$44,))),$BZ$22," ")</f>
        <v xml:space="preserve"> </v>
      </c>
      <c r="AE168" s="264" t="str">
        <f>IF(AND('Zdroj data'!BF168="CH",(OR('Zdroj data'!AZ168=$AW$49,'Zdroj data'!AZ168=$AW$50,'Zdroj data'!AZ168=$AW$51,'Zdroj data'!AZ168=$AW$52))),$AY$22,IF(AND('Zdroj data'!BF168="CH",(OR('Zdroj data'!AZ168=$AW$45,'Zdroj data'!AZ168=$AW$46,'Zdroj data'!AZ168=$AW$47,'Zdroj data'!AZ168=$AW$48))),$BZ$22," "))</f>
        <v xml:space="preserve"> </v>
      </c>
      <c r="AF168" s="264" t="str">
        <f>IF(AND('Zdroj data'!BG168="L",'Zdroj data'!AM168=Body!$AX$15),IF(AND('Zdroj data'!O168&gt;=Body!$AY$15,'Zdroj data'!O168&lt;=Body!$BA$15),Body!AY$6,IF(AND('Zdroj data'!O168&gt;=Body!$BB$15,'Zdroj data'!O168&lt;=Body!$BD$15),Body!BB$6,IF(AND('Zdroj data'!O168&gt;=Body!$BE$15,'Zdroj data'!O168&lt;=Body!$BG$15),Body!BE$6,IF(AND('Zdroj data'!O168&gt;=Body!$BH$15,'Zdroj data'!O168&lt;=Body!$BJ$15),Body!BH$6,IF(AND('Zdroj data'!O168&gt;=Body!$BK$15,'Zdroj data'!O168&lt;=Body!$BM$15),Body!BK$6,IF(AND('Zdroj data'!O168&gt;=Body!$BN$15,'Zdroj data'!O168&lt;=Body!$BP$15),Body!$BN$6,IF(AND('Zdroj data'!O168&gt;=Body!$BQ$15,'Zdroj data'!O168&lt;=Body!$BS$15),Body!$BQ$6,IF(AND('Zdroj data'!O168&gt;=Body!$BT$15,'Zdroj data'!O168&lt;=Body!$BV$15),Body!BT$6,IF(AND('Zdroj data'!O168&gt;=Body!$BW$15,'Zdroj data'!O168&lt;=Body!$BY$15),Body!$BW$6,IF('Zdroj data'!O168&gt;=Body!$CB$15,Body!$BZ$6," ")))))))))),IF(AND('Zdroj data'!BG168="ST",'Zdroj data'!AM168=Body!$AX$16),IF(AND('Zdroj data'!O168&gt;=Body!$AY$16,'Zdroj data'!O168&lt;=Body!$BA$16),Body!$AY$6,IF(AND('Zdroj data'!O168&gt;=Body!$BB$16,'Zdroj data'!O168&lt;=Body!$BD$16),Body!$BB$6,IF(AND('Zdroj data'!O168&gt;=Body!$BE$16,'Zdroj data'!O168&lt;=Body!$BG$16),Body!$BE$6,IF(AND('Zdroj data'!O168&gt;=Body!$BH$16,'Zdroj data'!O168&lt;=Body!$BJ$16),Body!$BH$6,IF(AND('Zdroj data'!O168&gt;=Body!$BK$16,'Zdroj data'!O168&lt;=Body!$BM$16),Body!$BK$6,IF(AND('Zdroj data'!O168&gt;=Body!$BN$16,'Zdroj data'!O168&lt;=Body!$BP$16),Body!$BN$6,IF(AND('Zdroj data'!O168&gt;=Body!$BQ$16,'Zdroj data'!O168&lt;=Body!$BS$16),Body!$BQ$6,IF(AND('Zdroj data'!O168&gt;=Body!$BT$16,'Zdroj data'!O168&lt;=Body!$BV$16),Body!$BT$6,IF(AND('Zdroj data'!O168&gt;=Body!$BW$16,'Zdroj data'!O168&lt;=Body!$BY$16),Body!$BW$6,IF('Zdroj data'!O168&gt;=Body!$CB$16,Body!$BZ$6," ")))))))))),IF(AND('Zdroj data'!BG168="T",'Zdroj data'!AM168=Body!$AX$17),IF(AND('Zdroj data'!O168&gt;=Body!$AY$17,'Zdroj data'!O168&lt;=Body!$BA$17),Body!$AY$6,IF(AND('Zdroj data'!O168&gt;=Body!$BB$17,'Zdroj data'!O168&lt;=Body!$BD$17),Body!$BB$6,IF(AND('Zdroj data'!O168&gt;=Body!$BE$17,'Zdroj data'!O168&lt;=Body!$BG$17),Body!$BE$6,IF(AND('Zdroj data'!O168&gt;=Body!$BH$17,'Zdroj data'!O168&lt;=Body!#REF!),Body!$BH$6,IF(AND('Zdroj data'!O168&gt;=Body!$BK$17,'Zdroj data'!O168&lt;=Body!$BM$17),Body!$BK$6,IF(AND('Zdroj data'!O168&gt;=Body!$BN$17,'Zdroj data'!O168&lt;=Body!$BP$17),Body!$BN$6,IF(AND('Zdroj data'!O168&gt;=Body!$BQ$17,'Zdroj data'!O168&lt;=Body!$BS$17),Body!$BQ$6,IF(AND('Zdroj data'!O168&gt;=Body!$BT$17,'Zdroj data'!O168&lt;=Body!$BV$17),Body!$BT$6,IF(AND('Zdroj data'!O168&gt;=Body!$BW$17,'Zdroj data'!O168&lt;=Body!$BY$17),Body!$BW$6,IF('Zdroj data'!O168&gt;=Body!$CB$17,Body!$BZ$6," "))))))))))," ")))</f>
        <v xml:space="preserve"> </v>
      </c>
      <c r="AG168" s="264" t="str">
        <f>IF(AND('Zdroj data'!$BG168="L",'Zdroj data'!$AM168=Body!$AX$15),IF(AND(Tabulka1[[#This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data'!$BG168="ST",'Zdroj data'!$AM168=Body!$AX$16),IF(AND(Tabulka1[[#This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data'!$BG168="T",'Zdroj data'!$AM168=Body!$AX$17),IF(AND(Tabulka1[[#This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168" s="264">
        <f>IF(AND('Zdroj data'!BG168="L",'Zdroj data'!AM168=Body!$AX$18),IF(AND('Zdroj data'!O168&gt;=Body!$AY$18,'Zdroj data'!O168&lt;=Body!$BA$18),Body!AY$6,IF(AND('Zdroj data'!O168&gt;=Body!$BB$18,'Zdroj data'!O168&lt;=Body!$BD$18),Body!BB$6,IF(AND('Zdroj data'!O168&gt;=Body!$BE$18,'Zdroj data'!O168&lt;=Body!$BG$18),Body!BE$6,IF(AND('Zdroj data'!O168&gt;=Body!$BH$18,'Zdroj data'!O168&lt;=Body!$BJ$18),Body!BH$6,IF(AND('Zdroj data'!O168&gt;=Body!$BK$18,'Zdroj data'!O168&lt;=Body!$BM$18),Body!$BK$6,IF(AND('Zdroj data'!O168&gt;=Body!$BN$18,'Zdroj data'!O168&lt;=Body!$BP$18),Body!BN$6,IF(AND('Zdroj data'!O168&gt;=Body!$BQ$18,'Zdroj data'!O168&lt;=Body!$BS$18),Body!$BQ$6,IF(AND('Zdroj data'!O168&gt;=Body!$BT$18,'Zdroj data'!O168&lt;=Body!$BV$18),Body!$BT$6,IF(AND('Zdroj data'!O168&gt;=Body!$BW$18,'Zdroj data'!O168&lt;=Body!$BY$18),Body!$BW$6,IF('Zdroj data'!O168&gt;=Body!$CB$18,Body!$BZ$6," ")))))))))),IF(AND('Zdroj data'!BG168="ST",'Zdroj data'!AM168=Body!$AX$19),IF(AND('Zdroj data'!O168&gt;=Body!$AY$19,'Zdroj data'!O168&lt;=Body!$BA$19),Body!$AY$6,IF(AND('Zdroj data'!O168&gt;=Body!$BB$19,'Zdroj data'!O168&lt;=Body!$BD$19),Body!$BB$6,IF(AND('Zdroj data'!O168&gt;=Body!$BE$19,'Zdroj data'!O168&lt;=Body!$BG$19),Body!$BE$6,IF(AND('Zdroj data'!O168&gt;=Body!$BH$19,'Zdroj data'!O168&lt;=Body!$BJ$19),Body!$BH$6,IF(AND('Zdroj data'!O168&gt;=Body!$BK$19,'Zdroj data'!O168&lt;=Body!$BM$19),Body!$BK$6,IF(AND('Zdroj data'!O168&gt;=Body!$BN$19,'Zdroj data'!O168&lt;=Body!$BP$19),Body!$BN$6,IF(AND('Zdroj data'!O168&gt;=Body!$BQ$19,'Zdroj data'!O168&lt;=Body!$BS$19),Body!$BQ$6,IF(AND('Zdroj data'!O168&gt;=Body!$BT$19,'Zdroj data'!O172&lt;=Body!$BV$19),Body!$BT$6,IF(AND('Zdroj data'!O168&gt;=Body!$BW$19,'Zdroj data'!O168&lt;=Body!$BY$19),Body!$BW$6,IF('Zdroj data'!O168&gt;=Body!$CB$19,Body!$BZ$6," ")))))))))),IF(AND('Zdroj data'!BG168="T",'Zdroj data'!AM168=Body!$AX$20),IF(AND('Zdroj data'!O168&gt;=Body!$AY$20,'Zdroj data'!O168&lt;=Body!$BA$20),Body!$AY$6,IF(AND('Zdroj data'!O168&gt;=Body!$BB$20,'Zdroj data'!O168&lt;=Body!$BD$20),Body!$BB$6,IF(AND('Zdroj data'!O168&gt;=Body!$BE$20,'Zdroj data'!O168&lt;=Body!$BG$20),Body!$BE$6,IF(AND('Zdroj data'!O168&gt;=Body!$BH$20,'Zdroj data'!O168&lt;=Body!$BJ$20),Body!$BH$6,IF(AND('Zdroj data'!O168&gt;=Body!$BK$20,'Zdroj data'!O168&lt;=Body!$BM$20),Body!$BK$6,IF(AND('Zdroj data'!O168&gt;=Body!$BN$20,'Zdroj data'!O168&lt;=Body!$BP$20),Body!$BN$6,IF(AND('Zdroj data'!O168&gt;=Body!$BQ$20,'Zdroj data'!O168&lt;=Body!$BS$20),Body!$BQ$6,IF(AND('Zdroj data'!O168&gt;=Body!$BT$20,'Zdroj data'!O168&lt;=Body!#REF!),Body!$BT$6,IF(AND('Zdroj data'!O168&gt;=Body!$BW$20,'Zdroj data'!O168&lt;=Body!$BY$20),Body!$BW$6,IF('Zdroj data'!O168&gt;=Body!$CB$20,Body!$BZ$6," "))))))))))," ")))</f>
        <v>1</v>
      </c>
      <c r="AI168" s="264">
        <f>IF(AND('Zdroj data'!$BG168="L",'Zdroj data'!$AM168=Body!$AX$18),IF(AND(Tabulka1[[#This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data'!$BG168="ST",'Zdroj data'!$AM168=Body!$AX$19),IF(AND(Tabulka1[[#This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data'!$BG168="T",'Zdroj data'!$AM168=Body!$AX$20),IF(AND(Tabulka1[[#This Row],[K2O_60]]&gt;=Body!$AY$20,'Zdroj data'!O168&lt;=Body!$BA$20),Body!$AY$6,IF(AND(Tabulka1[[#This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1</v>
      </c>
      <c r="AJ168" s="265">
        <f t="shared" si="26"/>
        <v>9.3333333333333428</v>
      </c>
      <c r="AK168" s="264">
        <f t="shared" si="27"/>
        <v>28.709582572354439</v>
      </c>
      <c r="AL168" s="264">
        <f t="shared" si="28"/>
        <v>28.389969946026415</v>
      </c>
      <c r="AM168" s="264">
        <f t="shared" si="29"/>
        <v>61.858562063855075</v>
      </c>
      <c r="AN168" s="264">
        <f t="shared" si="30"/>
        <v>66.596623563603103</v>
      </c>
      <c r="AO168" s="265">
        <f t="shared" si="33"/>
        <v>90.56814463620951</v>
      </c>
      <c r="AP168" s="265">
        <f t="shared" si="31"/>
        <v>94.986593509629515</v>
      </c>
      <c r="AQ168" s="318"/>
      <c r="AR168" s="338">
        <f t="shared" si="32"/>
        <v>194.88807147917237</v>
      </c>
      <c r="AS168" s="318"/>
      <c r="AT168" s="138"/>
      <c r="AU168" s="138"/>
    </row>
    <row r="169" spans="1:47" ht="15.5" x14ac:dyDescent="0.35">
      <c r="A169" s="270">
        <v>9194</v>
      </c>
      <c r="B169" s="156" t="s">
        <v>637</v>
      </c>
      <c r="C169" s="250" t="str">
        <f>VLOOKUP(B169,'Zdroj hloubka okresy'!$A$2:$D$171,2,FALSE)</f>
        <v>Mlada_Boleslav</v>
      </c>
      <c r="D169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3</v>
      </c>
      <c r="E169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3</v>
      </c>
      <c r="F169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3</v>
      </c>
      <c r="G169" s="264">
        <f>IF(AND(Tabulka1[[#This Row],[hum_60]]&gt;AY175,Tabulka1[[#This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2</v>
      </c>
      <c r="H169" s="264">
        <f>IF(Tabulka1[[#This Row],[kv.ek.]]=Body!$AX$13,IF(AND('Zdroj data'!M169&gt;=Body!$AY$13,'Zdroj data'!M169&lt;=Body!$BA$13),Body!$AY$6,IF(AND('Zdroj data'!M169&gt;=Body!$BB$13,'Zdroj data'!M169&lt;=Body!$BD$13),Body!$BB$6,IF(AND('Zdroj data'!M169&gt;=Body!$BE$13,'Zdroj data'!M169&lt;=Body!$BG$13),Body!$BE$6,IF(AND('Zdroj data'!M169&gt;=Body!$BH$13,'Zdroj data'!M169&lt;=Body!$BJ$13),Body!$BH$6,IF(AND('Zdroj data'!M169&gt;=Body!$BK$13,'Zdroj data'!M169&lt;=Body!$BM$13),Body!$BK$6,IF(AND('Zdroj data'!M169&gt;=Body!$BN$13,'Zdroj data'!M169&lt;=Body!$BP$13),Body!$BN$6,IF(AND('Zdroj data'!M169&gt;=Body!$BQ$13,'Zdroj data'!M169&lt;=Body!$BS$13),Body!$BQ$6,IF(AND('Zdroj data'!M169&gt;=Body!$BT$13,'Zdroj data'!M169&lt;=Body!$BV$13),Body!$BT$6,IF(AND('Zdroj data'!M169&gt;=Body!$BW$13,'Zdroj data'!M169&lt;=Body!$BY$13),Body!$BW$6,IF('Zdroj data'!M169&gt;=Body!$CB$13,Body!$BZ$6," ")))))))))),IF(Tabulka1[[#This Row],[kv.ek.]]=Body!$AX$14,IF(AND('Zdroj data'!N169&gt;=Body!$AY$14,'Zdroj data'!N169&lt;=Body!$BA$14),Body!$AY$6,IF(AND('Zdroj data'!N169&gt;=Body!$BB$14,'Zdroj data'!N169&lt;=Body!$BD$14),Body!$BB$6,IF(AND('Zdroj data'!N169&gt;=Body!$BE$14,'Zdroj data'!N169&lt;=Body!$BG$14),Body!$BE$6,IF(AND('Zdroj data'!N169&gt;=Body!$BH$14,'Zdroj data'!N169&lt;=Body!$BJ$14),Body!$BH$6,IF(AND('Zdroj data'!N169&gt;=Body!$BK$14,'Zdroj data'!N169&lt;=Body!$BM$14),Body!$BK$6,IF(AND('Zdroj data'!N169&gt;=Body!$BN$14,'Zdroj data'!N169&lt;=Body!$BP$14),Body!$BN$6,IF(AND('Zdroj data'!N169&gt;=Body!$BQ$14,'Zdroj data'!N169&lt;=Body!$BS$14),Body!$BQ$6,IF(AND('Zdroj data'!N169&gt;=Body!$BT$14,'Zdroj data'!N169&lt;=Body!$BV$14),Body!$BT$6,IF(AND('Zdroj data'!N169&gt;=Body!$BW$14,'Zdroj data'!N169&lt;=Body!$BY$14),Body!$BW$6,IF('Zdroj data'!N169&gt;=Body!$CB$14,Body!$BZ$6," "))))))))))," "))</f>
        <v>7</v>
      </c>
      <c r="I169" s="264">
        <f>IF(Tabulka1[[#This Row],[kv.ek.]]=Body!$AX$13,IF(AND('Zdroj data'!N169&gt;=Body!$AY$13,'Zdroj data'!N169&lt;=Body!$BA$13),Body!$AY$6,IF(AND('Zdroj data'!N169&gt;=Body!$BB$13,'Zdroj data'!N169&lt;=Body!$BD$13),Body!$BB$6,IF(AND('Zdroj data'!N169&gt;=Body!$BE$13,'Zdroj data'!N169&lt;=Body!$BG$13),Body!$BE$6,IF(AND('Zdroj data'!N169&gt;=Body!$BH$13,'Zdroj data'!N169&lt;=Body!$BJ$13),Body!$BH$6,IF(AND('Zdroj data'!N169&gt;=Body!$BK$13,'Zdroj data'!N169&lt;=Body!$BM$13),Body!$BK$6,IF(AND('Zdroj data'!N169&gt;=Body!$BN$13,'Zdroj data'!N169&lt;=Body!$BP$13),Body!$BN$6,IF(AND('Zdroj data'!N169&gt;=Body!$BQ$13,'Zdroj data'!N169&lt;=Body!$BS$13),Body!$BQ$6,IF(AND('Zdroj data'!N169&gt;=Body!$BT$13,'Zdroj data'!N169&lt;=Body!$BV$13),Body!$BT$6,IF(AND('Zdroj data'!N169&gt;=Body!$BW$13,'Zdroj data'!N169&lt;=Body!$BY$13),Body!$BW$6,IF('Zdroj data'!N169&gt;=Body!$CB$13,Body!$BZ$6," ")))))))))),IF(Tabulka1[[#This Row],[kv.ek.]]=Body!$AX$14,IF(AND('Zdroj data'!O169&gt;=Body!$AY$14,'Zdroj data'!O169&lt;=Body!$BA$14),Body!$AY$6,IF(AND('Zdroj data'!O169&gt;=Body!$BB$14,'Zdroj data'!O169&lt;=Body!$BD$14),Body!$BB$6,IF(AND('Zdroj data'!O169&gt;=Body!$BE$14,'Zdroj data'!O169&lt;=Body!$BG$14),Body!$BE$6,IF(AND('Zdroj data'!O169&gt;=Body!$BH$14,'Zdroj data'!O169&lt;=Body!$BJ$14),Body!$BH$6,IF(AND('Zdroj data'!O169&gt;=Body!$BK$14,'Zdroj data'!O169&lt;=Body!$BM$14),Body!$BK$6,IF(AND('Zdroj data'!O169&gt;=Body!$BN$14,'Zdroj data'!O169&lt;=Body!$BP$14),Body!$BN$6,IF(AND('Zdroj data'!O169&gt;=Body!$BQ$14,'Zdroj data'!O169&lt;=Body!$BS$14),Body!$BQ$6,IF(AND('Zdroj data'!O169&gt;=Body!$BT$14,'Zdroj data'!O169&lt;=Body!$BV$14),Body!$BT$6,IF(AND('Zdroj data'!O169&gt;=Body!$BW$14,'Zdroj data'!O169&lt;=Body!$BY$14),Body!$BW$6,IF('Zdroj data'!O169&gt;=Body!$CB$14,Body!$BZ$6," "))))))))))," "))</f>
        <v>5</v>
      </c>
      <c r="J169" s="264">
        <f t="shared" si="25"/>
        <v>1</v>
      </c>
      <c r="K169" s="264">
        <f t="shared" si="25"/>
        <v>1</v>
      </c>
      <c r="L169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4</v>
      </c>
      <c r="M169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4</v>
      </c>
      <c r="N169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169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169" s="264">
        <f>IF(Tabulka1[[#This Row],[RVK]]=Body!$BE$10,Body!$BE$6,IF(Tabulka1[[#This Row],[RVK]]=Body!$BK$10,Body!$BK$6,IF(Tabulka1[[#This Row],[RVK]]=Body!$BN$10,Body!$BN$6,IF(Tabulka1[[#This Row],[RVK]]=Body!$BZ$10,Body!$BZ$6," "))))</f>
        <v>6</v>
      </c>
      <c r="Q169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6</v>
      </c>
      <c r="R169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5</v>
      </c>
      <c r="S169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8</v>
      </c>
      <c r="T169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8</v>
      </c>
      <c r="U169" s="264">
        <f>IF('Zdroj data'!BB169=Body!$AY$25,Body!$AY$22,IF('Zdroj data'!BB169=Body!$BB$25,Body!$BB$22,IF('Zdroj data'!BB169=Body!$BE$25,Body!$BE$22,IF('Zdroj data'!BB169=Body!$BH$25,Body!$BH$22,IF('Zdroj data'!BB169=Body!BK$25,Body!$BK$22,IF('Zdroj data'!BB169=Body!$BN$25,Body!$BN$22,IF('Zdroj data'!BB169=Body!$BQ$25,Body!$BQ$22,IF('Zdroj data'!BB169=Body!$BT$25,Body!$BT$22,IF('Zdroj data'!BB169=Body!$BW$25,Body!$BW$22,IF('Zdroj data'!BB169=Body!$BZ$25,Body!$BZ$22," "))))))))))</f>
        <v>8</v>
      </c>
      <c r="V169" s="264">
        <f>IF(AND('Zdroj data'!BO169&gt;Body!$AY$27,'Zdroj data'!BO169&lt;=Body!$BA$27),Body!$AY$22,IF(AND('Zdroj data'!BO169&gt;=Body!$BB$27,'Zdroj data'!BO169&lt;=Body!$BD$27),Body!$BB$22,IF(AND('Zdroj data'!BO169&gt;=Body!$BE$27,'Zdroj data'!BO169&lt;=Body!$BG$27),Body!$BE$22,IF(AND('Zdroj data'!BO169&gt;=Body!$BH$27,'Zdroj data'!BO169&lt;=Body!$BJ$27),Body!$BH$22,IF(AND('Zdroj data'!BO169&gt;=Body!$BK$27,'Zdroj data'!BO169&lt;=Body!$BM$27),Body!$BK$22,IF(AND('Zdroj data'!BO169&gt;=Body!$BN$27,'Zdroj data'!BO169&lt;=Body!$BP$27),Body!$BN$22,IF(AND('Zdroj data'!BO169&gt;=Body!$BQ$27,'Zdroj data'!BO169&lt;=Body!$BS$27),Body!$BQ$22,IF(AND('Zdroj data'!BO169&gt;=Body!$BT$27,'Zdroj data'!BO169&lt;=Body!$BV$27),Body!$BT$22,IF(AND('Zdroj data'!BO169&gt;=Body!$BW$27,'Zdroj data'!BO169&lt;=Body!$BY$27),Body!$BW$22,IF('Zdroj data'!BO169&gt;=Body!$CB$27,$BZ$22," "))))))))))</f>
        <v>8</v>
      </c>
      <c r="W169" s="264">
        <f>IF(AND('Zdroj data'!BP169&gt;Body!$AY$27,'Zdroj data'!BP169&lt;=Body!$BA$27),Body!$AY$22,IF(AND('Zdroj data'!BP169&gt;=Body!$BB$27,'Zdroj data'!BP169&lt;=Body!$BD$27),Body!$BB$22,IF(AND('Zdroj data'!BP169&gt;=Body!$BE$27,'Zdroj data'!BP169&lt;=Body!$BG$27),Body!$BE$22,IF(AND('Zdroj data'!BP169&gt;=Body!$BH$27,'Zdroj data'!BP169&lt;=Body!$BJ$27),Body!$BH$22,IF(AND('Zdroj data'!BP169&gt;=Body!$BK$27,'Zdroj data'!BP169&lt;=Body!$BM$27),Body!$BK$22,IF(AND('Zdroj data'!BP169&gt;=Body!$BN$27,'Zdroj data'!BP169&lt;=Body!$BP$27),Body!$BN$22,IF(AND('Zdroj data'!BP169&gt;=Body!$BQ$27,'Zdroj data'!BP169&lt;=Body!$BS$27),Body!$BQ$22,IF(AND('Zdroj data'!BP169&gt;=Body!$BT$27,'Zdroj data'!BP169&lt;=Body!$BV$27),Body!$BT$22,IF(AND('Zdroj data'!BP169&gt;=Body!$BW$27,'Zdroj data'!BP169&lt;=Body!$BY$27),Body!$BW$22,IF('Zdroj data'!BP169&gt;=Body!$CB$27,$BZ$22," "))))))))))</f>
        <v>8</v>
      </c>
      <c r="X169" s="264">
        <f>IF('Zdroj data'!BA169=Body!$BB$28,$BB$22,IF('Zdroj data'!BA169=Body!$BE$28,$BE$22,IF(OR('Zdroj data'!BA169=Body!$BK$28,'Zdroj data'!BA169=Body!$BL$28,'Zdroj data'!BA169=Body!$BM$28),$BK$22,IF(OR('Zdroj data'!BA169=Body!$BT$28,'Zdroj data'!BA169=Body!$BV$28),$BT$22,IF(OR('Zdroj data'!BA169=Body!$BW$28,'Zdroj data'!BA169=Body!$BY$28),$BW$22,IF('Zdroj data'!BA169=Body!$BZ$28,$BZ$22," "))))))</f>
        <v>9</v>
      </c>
      <c r="Y169" s="264">
        <f>IF('Zdroj data'!AZ169=Body!$BZ$29,Body!$BZ$22,IF(OR('Zdroj data'!AZ169=$BT$29,'Zdroj data'!AZ169=$BU$29,'Zdroj data'!AZ169=$BV$29),$BT$22,IF(OR('Zdroj data'!AZ169=$BK$29,'Zdroj data'!AZ169=$BM$29),$BK$22,IF(OR('Zdroj data'!AZ169=$BE$29,'Zdroj data'!AZ169=$BG$29),$BE$22,IF(OR('Zdroj data'!AZ169=$AY$29,'Zdroj data'!AZ169=$BA$29),$AY$22," ")))))</f>
        <v>10</v>
      </c>
      <c r="Z169" s="264">
        <f>IF(AND('Zdroj data'!BF169="T",(OR('Zdroj data'!AZ169=Body!$AW$45,'Zdroj data'!AZ169=Body!$AW$46,'Zdroj data'!AZ169=Body!$AW$47,'Zdroj data'!AZ169=Body!$AW$48))),Body!$AY$22,IF(AND('Zdroj data'!BF169="T",(OR('Zdroj data'!AZ169=$AW$49,'Zdroj data'!AZ169=$AW$50,'Zdroj data'!AZ169=$AW$51,'Zdroj data'!AZ169=$AW$52))),$BZ$22,IF(AND(OR('Zdroj data'!BF169="VT",'Zdroj data'!BF169="T",'Zdroj data'!BF169="CH"),(OR('Zdroj data'!AZ169=$AW$43,'Zdroj data'!AZ169=$AW$44,))),$BZ$22,IF(AND('Zdroj data'!BF169="CH",(OR('Zdroj data'!AZ169=$AW$49,'Zdroj data'!AZ169=$AW$50,'Zdroj data'!AZ169=$AW$51,'Zdroj data'!AZ169=$AW$52))),$AY$22,IF(AND('Zdroj data'!BF169="CH",(OR('Zdroj data'!AZ169=$AW$45,'Zdroj data'!AZ169=$AW$46,'Zdroj data'!AZ169=$AW$47,'Zdroj data'!AZ169=$AW$48))),$BZ$22," ")))))</f>
        <v>10</v>
      </c>
      <c r="AA169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3</v>
      </c>
      <c r="AB169" s="264">
        <f>IF(Tabulka1[[#This Row],[kv.ek.]]=Body!$BK$35,Body!$BK$34,IF(Tabulka1[[#This Row],[kv.ek.]]=Body!$BZ$35,Body!$BZ$34," "))</f>
        <v>10</v>
      </c>
      <c r="AC169" s="264" t="str">
        <f>IF(AND('Zdroj data'!BF169="T",(OR('Zdroj data'!AZ169=Body!$AW$45,'Zdroj data'!AZ169=Body!$AW$46,'Zdroj data'!AZ169=Body!$AW$47,'Zdroj data'!AZ169=Body!$AW$48))),Body!$AY$22,IF(AND('Zdroj data'!BF169="T",(OR('Zdroj data'!AZ169=$AW$49,'Zdroj data'!AZ169=$AW$50,'Zdroj data'!AZ169=$AW$51,'Zdroj data'!AZ169=$AW$52))),$BZ$22," "))</f>
        <v xml:space="preserve"> </v>
      </c>
      <c r="AD169" s="264">
        <f>IF(AND(OR('Zdroj data'!BF169="VT",'Zdroj data'!BF169="T",'Zdroj data'!BF169="CH"),(OR('Zdroj data'!AZ169=$AW$43,'Zdroj data'!AZ169=$AW$44,))),$BZ$22," ")</f>
        <v>10</v>
      </c>
      <c r="AE169" s="264" t="str">
        <f>IF(AND('Zdroj data'!BF169="CH",(OR('Zdroj data'!AZ169=$AW$49,'Zdroj data'!AZ169=$AW$50,'Zdroj data'!AZ169=$AW$51,'Zdroj data'!AZ169=$AW$52))),$AY$22,IF(AND('Zdroj data'!BF169="CH",(OR('Zdroj data'!AZ169=$AW$45,'Zdroj data'!AZ169=$AW$46,'Zdroj data'!AZ169=$AW$47,'Zdroj data'!AZ169=$AW$48))),$BZ$22," "))</f>
        <v xml:space="preserve"> </v>
      </c>
      <c r="AF169" s="264" t="str">
        <f>IF(AND('Zdroj data'!BG169="L",'Zdroj data'!AM169=Body!$AX$15),IF(AND('Zdroj data'!O169&gt;=Body!$AY$15,'Zdroj data'!O169&lt;=Body!$BA$15),Body!AY$6,IF(AND('Zdroj data'!O169&gt;=Body!$BB$15,'Zdroj data'!O169&lt;=Body!$BD$15),Body!BB$6,IF(AND('Zdroj data'!O169&gt;=Body!$BE$15,'Zdroj data'!O169&lt;=Body!$BG$15),Body!BE$6,IF(AND('Zdroj data'!O169&gt;=Body!$BH$15,'Zdroj data'!O169&lt;=Body!$BJ$15),Body!BH$6,IF(AND('Zdroj data'!O169&gt;=Body!$BK$15,'Zdroj data'!O169&lt;=Body!$BM$15),Body!BK$6,IF(AND('Zdroj data'!O169&gt;=Body!$BN$15,'Zdroj data'!O169&lt;=Body!$BP$15),Body!$BN$6,IF(AND('Zdroj data'!O169&gt;=Body!$BQ$15,'Zdroj data'!O169&lt;=Body!$BS$15),Body!$BQ$6,IF(AND('Zdroj data'!O169&gt;=Body!$BT$15,'Zdroj data'!O169&lt;=Body!$BV$15),Body!BT$6,IF(AND('Zdroj data'!O169&gt;=Body!$BW$15,'Zdroj data'!O169&lt;=Body!$BY$15),Body!$BW$6,IF('Zdroj data'!O169&gt;=Body!$CB$15,Body!$BZ$6," ")))))))))),IF(AND('Zdroj data'!BG169="ST",'Zdroj data'!AM169=Body!$AX$16),IF(AND('Zdroj data'!O169&gt;=Body!$AY$16,'Zdroj data'!O169&lt;=Body!$BA$16),Body!$AY$6,IF(AND('Zdroj data'!O169&gt;=Body!$BB$16,'Zdroj data'!O169&lt;=Body!$BD$16),Body!$BB$6,IF(AND('Zdroj data'!O169&gt;=Body!$BE$16,'Zdroj data'!O169&lt;=Body!$BG$16),Body!$BE$6,IF(AND('Zdroj data'!O169&gt;=Body!$BH$16,'Zdroj data'!O169&lt;=Body!$BJ$16),Body!$BH$6,IF(AND('Zdroj data'!O169&gt;=Body!$BK$16,'Zdroj data'!O169&lt;=Body!$BM$16),Body!$BK$6,IF(AND('Zdroj data'!O169&gt;=Body!$BN$16,'Zdroj data'!O169&lt;=Body!$BP$16),Body!$BN$6,IF(AND('Zdroj data'!O169&gt;=Body!$BQ$16,'Zdroj data'!O169&lt;=Body!$BS$16),Body!$BQ$6,IF(AND('Zdroj data'!O169&gt;=Body!$BT$16,'Zdroj data'!O169&lt;=Body!$BV$16),Body!$BT$6,IF(AND('Zdroj data'!O169&gt;=Body!$BW$16,'Zdroj data'!O169&lt;=Body!$BY$16),Body!$BW$6,IF('Zdroj data'!O169&gt;=Body!$CB$16,Body!$BZ$6," ")))))))))),IF(AND('Zdroj data'!BG169="T",'Zdroj data'!AM169=Body!$AX$17),IF(AND('Zdroj data'!O169&gt;=Body!$AY$17,'Zdroj data'!O169&lt;=Body!$BA$17),Body!$AY$6,IF(AND('Zdroj data'!O169&gt;=Body!$BB$17,'Zdroj data'!O169&lt;=Body!$BD$17),Body!$BB$6,IF(AND('Zdroj data'!O169&gt;=Body!$BE$17,'Zdroj data'!O169&lt;=Body!$BG$17),Body!$BE$6,IF(AND('Zdroj data'!O169&gt;=Body!$BH$17,'Zdroj data'!O169&lt;=Body!#REF!),Body!$BH$6,IF(AND('Zdroj data'!O169&gt;=Body!$BK$17,'Zdroj data'!O169&lt;=Body!$BM$17),Body!$BK$6,IF(AND('Zdroj data'!O169&gt;=Body!$BN$17,'Zdroj data'!O169&lt;=Body!$BP$17),Body!$BN$6,IF(AND('Zdroj data'!O169&gt;=Body!$BQ$17,'Zdroj data'!O169&lt;=Body!$BS$17),Body!$BQ$6,IF(AND('Zdroj data'!O169&gt;=Body!$BT$17,'Zdroj data'!O169&lt;=Body!$BV$17),Body!$BT$6,IF(AND('Zdroj data'!O169&gt;=Body!$BW$17,'Zdroj data'!O169&lt;=Body!$BY$17),Body!$BW$6,IF('Zdroj data'!O169&gt;=Body!$CB$17,Body!$BZ$6," "))))))))))," ")))</f>
        <v xml:space="preserve"> </v>
      </c>
      <c r="AG169" s="264" t="str">
        <f>IF(AND('Zdroj data'!$BG169="L",'Zdroj data'!$AM169=Body!$AX$15),IF(AND(Tabulka1[[#This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data'!$BG169="ST",'Zdroj data'!$AM169=Body!$AX$16),IF(AND(Tabulka1[[#This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data'!$BG169="T",'Zdroj data'!$AM169=Body!$AX$17),IF(AND(Tabulka1[[#This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 xml:space="preserve"> </v>
      </c>
      <c r="AH169" s="264">
        <f>IF(AND('Zdroj data'!BG169="L",'Zdroj data'!AM169=Body!$AX$18),IF(AND('Zdroj data'!O169&gt;=Body!$AY$18,'Zdroj data'!O169&lt;=Body!$BA$18),Body!AY$6,IF(AND('Zdroj data'!O169&gt;=Body!$BB$18,'Zdroj data'!O169&lt;=Body!$BD$18),Body!BB$6,IF(AND('Zdroj data'!O169&gt;=Body!$BE$18,'Zdroj data'!O169&lt;=Body!$BG$18),Body!BE$6,IF(AND('Zdroj data'!O169&gt;=Body!$BH$18,'Zdroj data'!O169&lt;=Body!$BJ$18),Body!BH$6,IF(AND('Zdroj data'!O169&gt;=Body!$BK$18,'Zdroj data'!O169&lt;=Body!$BM$18),Body!$BK$6,IF(AND('Zdroj data'!O169&gt;=Body!$BN$18,'Zdroj data'!O169&lt;=Body!$BP$18),Body!BN$6,IF(AND('Zdroj data'!O169&gt;=Body!$BQ$18,'Zdroj data'!O169&lt;=Body!$BS$18),Body!$BQ$6,IF(AND('Zdroj data'!O169&gt;=Body!$BT$18,'Zdroj data'!O169&lt;=Body!$BV$18),Body!$BT$6,IF(AND('Zdroj data'!O169&gt;=Body!$BW$18,'Zdroj data'!O169&lt;=Body!$BY$18),Body!$BW$6,IF('Zdroj data'!O169&gt;=Body!$CB$18,Body!$BZ$6," ")))))))))),IF(AND('Zdroj data'!BG169="ST",'Zdroj data'!AM169=Body!$AX$19),IF(AND('Zdroj data'!O169&gt;=Body!$AY$19,'Zdroj data'!O169&lt;=Body!$BA$19),Body!$AY$6,IF(AND('Zdroj data'!O169&gt;=Body!$BB$19,'Zdroj data'!O169&lt;=Body!$BD$19),Body!$BB$6,IF(AND('Zdroj data'!O169&gt;=Body!$BE$19,'Zdroj data'!O169&lt;=Body!$BG$19),Body!$BE$6,IF(AND('Zdroj data'!O169&gt;=Body!$BH$19,'Zdroj data'!O169&lt;=Body!$BJ$19),Body!$BH$6,IF(AND('Zdroj data'!O169&gt;=Body!$BK$19,'Zdroj data'!O169&lt;=Body!$BM$19),Body!$BK$6,IF(AND('Zdroj data'!O169&gt;=Body!$BN$19,'Zdroj data'!O169&lt;=Body!$BP$19),Body!$BN$6,IF(AND('Zdroj data'!O169&gt;=Body!$BQ$19,'Zdroj data'!O169&lt;=Body!$BS$19),Body!$BQ$6,IF(AND('Zdroj data'!O169&gt;=Body!$BT$19,'Zdroj data'!#REF!&lt;=Body!$BV$19),Body!$BT$6,IF(AND('Zdroj data'!O169&gt;=Body!$BW$19,'Zdroj data'!O169&lt;=Body!$BY$19),Body!$BW$6,IF('Zdroj data'!O169&gt;=Body!$CB$19,Body!$BZ$6," ")))))))))),IF(AND('Zdroj data'!BG169="T",'Zdroj data'!AM169=Body!$AX$20),IF(AND('Zdroj data'!O169&gt;=Body!$AY$20,'Zdroj data'!O169&lt;=Body!$BA$20),Body!$AY$6,IF(AND('Zdroj data'!O169&gt;=Body!$BB$20,'Zdroj data'!O169&lt;=Body!$BD$20),Body!$BB$6,IF(AND('Zdroj data'!O169&gt;=Body!$BE$20,'Zdroj data'!O169&lt;=Body!$BG$20),Body!$BE$6,IF(AND('Zdroj data'!O169&gt;=Body!$BH$20,'Zdroj data'!O169&lt;=Body!$BJ$20),Body!$BH$6,IF(AND('Zdroj data'!O169&gt;=Body!$BK$20,'Zdroj data'!O169&lt;=Body!$BM$20),Body!$BK$6,IF(AND('Zdroj data'!O169&gt;=Body!$BN$20,'Zdroj data'!O169&lt;=Body!$BP$20),Body!$BN$6,IF(AND('Zdroj data'!O169&gt;=Body!$BQ$20,'Zdroj data'!O169&lt;=Body!$BS$20),Body!$BQ$6,IF(AND('Zdroj data'!O169&gt;=Body!$BT$20,'Zdroj data'!O169&lt;=Body!#REF!),Body!$BT$6,IF(AND('Zdroj data'!O169&gt;=Body!$BW$20,'Zdroj data'!O169&lt;=Body!$BY$20),Body!$BW$6,IF('Zdroj data'!O169&gt;=Body!$CB$20,Body!$BZ$6," "))))))))))," ")))</f>
        <v>1</v>
      </c>
      <c r="AI169" s="264">
        <f>IF(AND('Zdroj data'!$BG169="L",'Zdroj data'!$AM169=Body!$AX$18),IF(AND(Tabulka1[[#This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data'!$BG169="ST",'Zdroj data'!$AM169=Body!$AX$19),IF(AND(Tabulka1[[#This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data'!$BG169="T",'Zdroj data'!$AM169=Body!$AX$20),IF(AND(Tabulka1[[#This Row],[K2O_60]]&gt;=Body!$AY$20,'Zdroj data'!O169&lt;=Body!$BA$20),Body!$AY$6,IF(AND(Tabulka1[[#This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>1</v>
      </c>
      <c r="AJ169" s="265">
        <f t="shared" si="26"/>
        <v>6.6666666666666714</v>
      </c>
      <c r="AK169" s="264">
        <f t="shared" si="27"/>
        <v>31.017224651172327</v>
      </c>
      <c r="AL169" s="264">
        <f t="shared" si="28"/>
        <v>27.486432438219378</v>
      </c>
      <c r="AM169" s="264">
        <f t="shared" si="29"/>
        <v>75.380266837053028</v>
      </c>
      <c r="AN169" s="264">
        <f t="shared" si="30"/>
        <v>75.380266837053028</v>
      </c>
      <c r="AO169" s="265">
        <f t="shared" si="33"/>
        <v>106.39749148822536</v>
      </c>
      <c r="AP169" s="265">
        <f t="shared" si="31"/>
        <v>102.86669927527241</v>
      </c>
      <c r="AQ169" s="318"/>
      <c r="AR169" s="338">
        <f t="shared" si="32"/>
        <v>215.93085743016445</v>
      </c>
      <c r="AS169" s="318"/>
      <c r="AT169" s="138"/>
      <c r="AU169" s="138"/>
    </row>
    <row r="170" spans="1:47" ht="15.5" x14ac:dyDescent="0.35">
      <c r="A170" s="270">
        <v>9197</v>
      </c>
      <c r="B170" s="156" t="s">
        <v>664</v>
      </c>
      <c r="C170" s="250" t="str">
        <f>VLOOKUP(B170,'Zdroj hloubka okresy'!$A$2:$D$171,2,FALSE)</f>
        <v>Mlada_Boleslav</v>
      </c>
      <c r="D170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5</v>
      </c>
      <c r="E170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4</v>
      </c>
      <c r="F170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8</v>
      </c>
      <c r="G170" s="264">
        <f>IF(AND(Tabulka1[[#This Row],[hum_60]]&gt;AY176,Tabulka1[[#This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6</v>
      </c>
      <c r="H170" s="264">
        <f>IF(Tabulka1[[#This Row],[kv.ek.]]=Body!$AX$13,IF(AND('Zdroj data'!M170&gt;=Body!$AY$13,'Zdroj data'!M170&lt;=Body!$BA$13),Body!$AY$6,IF(AND('Zdroj data'!M170&gt;=Body!$BB$13,'Zdroj data'!M170&lt;=Body!$BD$13),Body!$BB$6,IF(AND('Zdroj data'!M170&gt;=Body!$BE$13,'Zdroj data'!M170&lt;=Body!$BG$13),Body!$BE$6,IF(AND('Zdroj data'!M170&gt;=Body!$BH$13,'Zdroj data'!M170&lt;=Body!$BJ$13),Body!$BH$6,IF(AND('Zdroj data'!M170&gt;=Body!$BK$13,'Zdroj data'!M170&lt;=Body!$BM$13),Body!$BK$6,IF(AND('Zdroj data'!M170&gt;=Body!$BN$13,'Zdroj data'!M170&lt;=Body!$BP$13),Body!$BN$6,IF(AND('Zdroj data'!M170&gt;=Body!$BQ$13,'Zdroj data'!M170&lt;=Body!$BS$13),Body!$BQ$6,IF(AND('Zdroj data'!M170&gt;=Body!$BT$13,'Zdroj data'!M170&lt;=Body!$BV$13),Body!$BT$6,IF(AND('Zdroj data'!M170&gt;=Body!$BW$13,'Zdroj data'!M170&lt;=Body!$BY$13),Body!$BW$6,IF('Zdroj data'!M170&gt;=Body!$CB$13,Body!$BZ$6," ")))))))))),IF(Tabulka1[[#This Row],[kv.ek.]]=Body!$AX$14,IF(AND('Zdroj data'!N170&gt;=Body!$AY$14,'Zdroj data'!N170&lt;=Body!$BA$14),Body!$AY$6,IF(AND('Zdroj data'!N170&gt;=Body!$BB$14,'Zdroj data'!N170&lt;=Body!$BD$14),Body!$BB$6,IF(AND('Zdroj data'!N170&gt;=Body!$BE$14,'Zdroj data'!N170&lt;=Body!$BG$14),Body!$BE$6,IF(AND('Zdroj data'!N170&gt;=Body!$BH$14,'Zdroj data'!N170&lt;=Body!$BJ$14),Body!$BH$6,IF(AND('Zdroj data'!N170&gt;=Body!$BK$14,'Zdroj data'!N170&lt;=Body!$BM$14),Body!$BK$6,IF(AND('Zdroj data'!N170&gt;=Body!$BN$14,'Zdroj data'!N170&lt;=Body!$BP$14),Body!$BN$6,IF(AND('Zdroj data'!N170&gt;=Body!$BQ$14,'Zdroj data'!N170&lt;=Body!$BS$14),Body!$BQ$6,IF(AND('Zdroj data'!N170&gt;=Body!$BT$14,'Zdroj data'!N170&lt;=Body!$BV$14),Body!$BT$6,IF(AND('Zdroj data'!N170&gt;=Body!$BW$14,'Zdroj data'!N170&lt;=Body!$BY$14),Body!$BW$6,IF('Zdroj data'!N170&gt;=Body!$CB$14,Body!$BZ$6," "))))))))))," "))</f>
        <v>8</v>
      </c>
      <c r="I170" s="264">
        <f>IF(Tabulka1[[#This Row],[kv.ek.]]=Body!$AX$13,IF(AND('Zdroj data'!N170&gt;=Body!$AY$13,'Zdroj data'!N170&lt;=Body!$BA$13),Body!$AY$6,IF(AND('Zdroj data'!N170&gt;=Body!$BB$13,'Zdroj data'!N170&lt;=Body!$BD$13),Body!$BB$6,IF(AND('Zdroj data'!N170&gt;=Body!$BE$13,'Zdroj data'!N170&lt;=Body!$BG$13),Body!$BE$6,IF(AND('Zdroj data'!N170&gt;=Body!$BH$13,'Zdroj data'!N170&lt;=Body!$BJ$13),Body!$BH$6,IF(AND('Zdroj data'!N170&gt;=Body!$BK$13,'Zdroj data'!N170&lt;=Body!$BM$13),Body!$BK$6,IF(AND('Zdroj data'!N170&gt;=Body!$BN$13,'Zdroj data'!N170&lt;=Body!$BP$13),Body!$BN$6,IF(AND('Zdroj data'!N170&gt;=Body!$BQ$13,'Zdroj data'!N170&lt;=Body!$BS$13),Body!$BQ$6,IF(AND('Zdroj data'!N170&gt;=Body!$BT$13,'Zdroj data'!N170&lt;=Body!$BV$13),Body!$BT$6,IF(AND('Zdroj data'!N170&gt;=Body!$BW$13,'Zdroj data'!N170&lt;=Body!$BY$13),Body!$BW$6,IF('Zdroj data'!N170&gt;=Body!$CB$13,Body!$BZ$6," ")))))))))),IF(Tabulka1[[#This Row],[kv.ek.]]=Body!$AX$14,IF(AND('Zdroj data'!O170&gt;=Body!$AY$14,'Zdroj data'!O170&lt;=Body!$BA$14),Body!$AY$6,IF(AND('Zdroj data'!O170&gt;=Body!$BB$14,'Zdroj data'!O170&lt;=Body!$BD$14),Body!$BB$6,IF(AND('Zdroj data'!O170&gt;=Body!$BE$14,'Zdroj data'!O170&lt;=Body!$BG$14),Body!$BE$6,IF(AND('Zdroj data'!O170&gt;=Body!$BH$14,'Zdroj data'!O170&lt;=Body!$BJ$14),Body!$BH$6,IF(AND('Zdroj data'!O170&gt;=Body!$BK$14,'Zdroj data'!O170&lt;=Body!$BM$14),Body!$BK$6,IF(AND('Zdroj data'!O170&gt;=Body!$BN$14,'Zdroj data'!O170&lt;=Body!$BP$14),Body!$BN$6,IF(AND('Zdroj data'!O170&gt;=Body!$BQ$14,'Zdroj data'!O170&lt;=Body!$BS$14),Body!$BQ$6,IF(AND('Zdroj data'!O170&gt;=Body!$BT$14,'Zdroj data'!O170&lt;=Body!$BV$14),Body!$BT$6,IF(AND('Zdroj data'!O170&gt;=Body!$BW$14,'Zdroj data'!O170&lt;=Body!$BY$14),Body!$BW$6,IF('Zdroj data'!O170&gt;=Body!$CB$14,Body!$BZ$6," "))))))))))," "))</f>
        <v>5</v>
      </c>
      <c r="J170" s="264">
        <f t="shared" ref="J170" si="34">IF(AF170=" ",AH170,AF170)</f>
        <v>2</v>
      </c>
      <c r="K170" s="264">
        <f>IF(AG170=" ",AI170,AG170)</f>
        <v>1</v>
      </c>
      <c r="L170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10</v>
      </c>
      <c r="M170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10</v>
      </c>
      <c r="N170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170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170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70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9</v>
      </c>
      <c r="R170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8</v>
      </c>
      <c r="S170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3</v>
      </c>
      <c r="T170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4</v>
      </c>
      <c r="U170" s="264">
        <f>IF('Zdroj data'!BB170=Body!$AY$25,Body!$AY$22,IF('Zdroj data'!BB170=Body!$BB$25,Body!$BB$22,IF('Zdroj data'!BB170=Body!$BE$25,Body!$BE$22,IF('Zdroj data'!BB170=Body!$BH$25,Body!$BH$22,IF('Zdroj data'!BB170=Body!BK$25,Body!$BK$22,IF('Zdroj data'!BB170=Body!$BN$25,Body!$BN$22,IF('Zdroj data'!BB170=Body!$BQ$25,Body!$BQ$22,IF('Zdroj data'!BB170=Body!$BT$25,Body!$BT$22,IF('Zdroj data'!BB170=Body!$BW$25,Body!$BW$22,IF('Zdroj data'!BB170=Body!$BZ$25,Body!$BZ$22," "))))))))))</f>
        <v>7</v>
      </c>
      <c r="V170" s="264">
        <f>IF(AND('Zdroj data'!BO170&gt;Body!$AY$27,'Zdroj data'!BO170&lt;=Body!$BA$27),Body!$AY$22,IF(AND('Zdroj data'!BO170&gt;=Body!$BB$27,'Zdroj data'!BO170&lt;=Body!$BD$27),Body!$BB$22,IF(AND('Zdroj data'!BO170&gt;=Body!$BE$27,'Zdroj data'!BO170&lt;=Body!$BG$27),Body!$BE$22,IF(AND('Zdroj data'!BO170&gt;=Body!$BH$27,'Zdroj data'!BO170&lt;=Body!$BJ$27),Body!$BH$22,IF(AND('Zdroj data'!BO170&gt;=Body!$BK$27,'Zdroj data'!BO170&lt;=Body!$BM$27),Body!$BK$22,IF(AND('Zdroj data'!BO170&gt;=Body!$BN$27,'Zdroj data'!BO170&lt;=Body!$BP$27),Body!$BN$22,IF(AND('Zdroj data'!BO170&gt;=Body!$BQ$27,'Zdroj data'!BO170&lt;=Body!$BS$27),Body!$BQ$22,IF(AND('Zdroj data'!BO170&gt;=Body!$BT$27,'Zdroj data'!BO170&lt;=Body!$BV$27),Body!$BT$22,IF(AND('Zdroj data'!BO170&gt;=Body!$BW$27,'Zdroj data'!BO170&lt;=Body!$BY$27),Body!$BW$22,IF('Zdroj data'!BO170&gt;=Body!$CB$27,$BZ$22," "))))))))))</f>
        <v>6</v>
      </c>
      <c r="W170" s="264">
        <f>IF(AND('Zdroj data'!BP170&gt;Body!$AY$27,'Zdroj data'!BP170&lt;=Body!$BA$27),Body!$AY$22,IF(AND('Zdroj data'!BP170&gt;=Body!$BB$27,'Zdroj data'!BP170&lt;=Body!$BD$27),Body!$BB$22,IF(AND('Zdroj data'!BP170&gt;=Body!$BE$27,'Zdroj data'!BP170&lt;=Body!$BG$27),Body!$BE$22,IF(AND('Zdroj data'!BP170&gt;=Body!$BH$27,'Zdroj data'!BP170&lt;=Body!$BJ$27),Body!$BH$22,IF(AND('Zdroj data'!BP170&gt;=Body!$BK$27,'Zdroj data'!BP170&lt;=Body!$BM$27),Body!$BK$22,IF(AND('Zdroj data'!BP170&gt;=Body!$BN$27,'Zdroj data'!BP170&lt;=Body!$BP$27),Body!$BN$22,IF(AND('Zdroj data'!BP170&gt;=Body!$BQ$27,'Zdroj data'!BP170&lt;=Body!$BS$27),Body!$BQ$22,IF(AND('Zdroj data'!BP170&gt;=Body!$BT$27,'Zdroj data'!BP170&lt;=Body!$BV$27),Body!$BT$22,IF(AND('Zdroj data'!BP170&gt;=Body!$BW$27,'Zdroj data'!BP170&lt;=Body!$BY$27),Body!$BW$22,IF('Zdroj data'!BP170&gt;=Body!$CB$27,$BZ$22," "))))))))))</f>
        <v>5</v>
      </c>
      <c r="X170" s="264">
        <f>IF('Zdroj data'!BA170=Body!$BB$28,$BB$22,IF('Zdroj data'!BA170=Body!$BE$28,$BE$22,IF(OR('Zdroj data'!BA170=Body!$BK$28,'Zdroj data'!BA170=Body!$BL$28,'Zdroj data'!BA170=Body!$BM$28),$BK$22,IF(OR('Zdroj data'!BA170=Body!$BT$28,'Zdroj data'!BA170=Body!$BV$28),$BT$22,IF(OR('Zdroj data'!BA170=Body!$BW$28,'Zdroj data'!BA170=Body!$BY$28),$BW$22,IF('Zdroj data'!BA170=Body!$BZ$28,$BZ$22," "))))))</f>
        <v>10</v>
      </c>
      <c r="Y170" s="264">
        <f>IF('Zdroj data'!AZ170=Body!$BZ$29,Body!$BZ$22,IF(OR('Zdroj data'!AZ170=$BT$29,'Zdroj data'!AZ170=$BU$29,'Zdroj data'!AZ170=$BV$29),$BT$22,IF(OR('Zdroj data'!AZ170=$BK$29,'Zdroj data'!AZ170=$BM$29),$BK$22,IF(OR('Zdroj data'!AZ170=$BE$29,'Zdroj data'!AZ170=$BG$29),$BE$22,IF(OR('Zdroj data'!AZ170=$AY$29,'Zdroj data'!AZ170=$BA$29),$AY$22," ")))))</f>
        <v>10</v>
      </c>
      <c r="Z170" s="264">
        <f>IF(AND('Zdroj data'!BF170="T",(OR('Zdroj data'!AZ170=Body!$AW$45,'Zdroj data'!AZ170=Body!$AW$46,'Zdroj data'!AZ170=Body!$AW$47,'Zdroj data'!AZ170=Body!$AW$48))),Body!$AY$22,IF(AND('Zdroj data'!BF170="T",(OR('Zdroj data'!AZ170=$AW$49,'Zdroj data'!AZ170=$AW$50,'Zdroj data'!AZ170=$AW$51,'Zdroj data'!AZ170=$AW$52))),$BZ$22,IF(AND(OR('Zdroj data'!BF170="VT",'Zdroj data'!BF170="T",'Zdroj data'!BF170="CH"),(OR('Zdroj data'!AZ170=$AW$43,'Zdroj data'!AZ170=$AW$44,))),$BZ$22,IF(AND('Zdroj data'!BF170="CH",(OR('Zdroj data'!AZ170=$AW$49,'Zdroj data'!AZ170=$AW$50,'Zdroj data'!AZ170=$AW$51,'Zdroj data'!AZ170=$AW$52))),$AY$22,IF(AND('Zdroj data'!BF170="CH",(OR('Zdroj data'!AZ170=$AW$45,'Zdroj data'!AZ170=$AW$46,'Zdroj data'!AZ170=$AW$47,'Zdroj data'!AZ170=$AW$48))),$BZ$22," ")))))</f>
        <v>10</v>
      </c>
      <c r="AA170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70" s="264">
        <f>IF(Tabulka1[[#This Row],[kv.ek.]]=Body!$BK$35,Body!$BK$34,IF(Tabulka1[[#This Row],[kv.ek.]]=Body!$BZ$35,Body!$BZ$34," "))</f>
        <v>5</v>
      </c>
      <c r="AC170" s="264" t="str">
        <f>IF(AND('Zdroj data'!BF170="T",(OR('Zdroj data'!AZ170=Body!$AW$45,'Zdroj data'!AZ170=Body!$AW$46,'Zdroj data'!AZ170=Body!$AW$47,'Zdroj data'!AZ170=Body!$AW$48))),Body!$AY$22,IF(AND('Zdroj data'!BF170="T",(OR('Zdroj data'!AZ170=$AW$49,'Zdroj data'!AZ170=$AW$50,'Zdroj data'!AZ170=$AW$51,'Zdroj data'!AZ170=$AW$52))),$BZ$22," "))</f>
        <v xml:space="preserve"> </v>
      </c>
      <c r="AD170" s="264">
        <f>IF(AND(OR('Zdroj data'!BF170="VT",'Zdroj data'!BF170="T",'Zdroj data'!BF170="CH"),(OR('Zdroj data'!AZ170=$AW$43,'Zdroj data'!AZ170=$AW$44,))),$BZ$22," ")</f>
        <v>10</v>
      </c>
      <c r="AE170" s="264" t="str">
        <f>IF(AND('Zdroj data'!BF170="CH",(OR('Zdroj data'!AZ170=$AW$49,'Zdroj data'!AZ170=$AW$50,'Zdroj data'!AZ170=$AW$51,'Zdroj data'!AZ170=$AW$52))),$AY$22,IF(AND('Zdroj data'!BF170="CH",(OR('Zdroj data'!AZ170=$AW$45,'Zdroj data'!AZ170=$AW$46,'Zdroj data'!AZ170=$AW$47,'Zdroj data'!AZ170=$AW$48))),$BZ$22," "))</f>
        <v xml:space="preserve"> </v>
      </c>
      <c r="AF170" s="264">
        <f>IF(AND('Zdroj data'!BG170="L",'Zdroj data'!AM170=Body!$AX$15),IF(AND('Zdroj data'!O170&gt;=Body!$AY$15,'Zdroj data'!O170&lt;=Body!$BA$15),Body!AY$6,IF(AND('Zdroj data'!O170&gt;=Body!$BB$15,'Zdroj data'!O170&lt;=Body!$BD$15),Body!BB$6,IF(AND('Zdroj data'!O170&gt;=Body!$BE$15,'Zdroj data'!O170&lt;=Body!$BG$15),Body!BE$6,IF(AND('Zdroj data'!O170&gt;=Body!$BH$15,'Zdroj data'!O170&lt;=Body!$BJ$15),Body!BH$6,IF(AND('Zdroj data'!O170&gt;=Body!$BK$15,'Zdroj data'!O170&lt;=Body!$BM$15),Body!BK$6,IF(AND('Zdroj data'!O170&gt;=Body!$BN$15,'Zdroj data'!O170&lt;=Body!$BP$15),Body!$BN$6,IF(AND('Zdroj data'!O170&gt;=Body!$BQ$15,'Zdroj data'!O170&lt;=Body!$BS$15),Body!$BQ$6,IF(AND('Zdroj data'!O170&gt;=Body!$BT$15,'Zdroj data'!O170&lt;=Body!$BV$15),Body!BT$6,IF(AND('Zdroj data'!O170&gt;=Body!$BW$15,'Zdroj data'!O170&lt;=Body!$BY$15),Body!$BW$6,IF('Zdroj data'!O170&gt;=Body!$CB$15,Body!$BZ$6," ")))))))))),IF(AND('Zdroj data'!BG170="ST",'Zdroj data'!AM170=Body!$AX$16),IF(AND('Zdroj data'!O170&gt;=Body!$AY$16,'Zdroj data'!O170&lt;=Body!$BA$16),Body!$AY$6,IF(AND('Zdroj data'!O170&gt;=Body!$BB$16,'Zdroj data'!O170&lt;=Body!$BD$16),Body!$BB$6,IF(AND('Zdroj data'!O170&gt;=Body!$BE$16,'Zdroj data'!O170&lt;=Body!$BG$16),Body!$BE$6,IF(AND('Zdroj data'!O170&gt;=Body!$BH$16,'Zdroj data'!O170&lt;=Body!$BJ$16),Body!$BH$6,IF(AND('Zdroj data'!O170&gt;=Body!$BK$16,'Zdroj data'!O170&lt;=Body!$BM$16),Body!$BK$6,IF(AND('Zdroj data'!O170&gt;=Body!$BN$16,'Zdroj data'!O170&lt;=Body!$BP$16),Body!$BN$6,IF(AND('Zdroj data'!O170&gt;=Body!$BQ$16,'Zdroj data'!O170&lt;=Body!$BS$16),Body!$BQ$6,IF(AND('Zdroj data'!O170&gt;=Body!$BT$16,'Zdroj data'!O170&lt;=Body!$BV$16),Body!$BT$6,IF(AND('Zdroj data'!O170&gt;=Body!$BW$16,'Zdroj data'!O170&lt;=Body!$BY$16),Body!$BW$6,IF('Zdroj data'!O170&gt;=Body!$CB$16,Body!$BZ$6," ")))))))))),IF(AND('Zdroj data'!BG170="T",'Zdroj data'!AM170=Body!$AX$17),IF(AND('Zdroj data'!O170&gt;=Body!$AY$17,'Zdroj data'!O170&lt;=Body!$BA$17),Body!$AY$6,IF(AND('Zdroj data'!O170&gt;=Body!$BB$17,'Zdroj data'!O170&lt;=Body!$BD$17),Body!$BB$6,IF(AND('Zdroj data'!O170&gt;=Body!$BE$17,'Zdroj data'!O170&lt;=Body!$BG$17),Body!$BE$6,IF(AND('Zdroj data'!O170&gt;=Body!$BH$17,'Zdroj data'!O170&lt;=Body!#REF!),Body!$BH$6,IF(AND('Zdroj data'!O170&gt;=Body!$BK$17,'Zdroj data'!O170&lt;=Body!$BM$17),Body!$BK$6,IF(AND('Zdroj data'!O170&gt;=Body!$BN$17,'Zdroj data'!O170&lt;=Body!$BP$17),Body!$BN$6,IF(AND('Zdroj data'!O170&gt;=Body!$BQ$17,'Zdroj data'!O170&lt;=Body!$BS$17),Body!$BQ$6,IF(AND('Zdroj data'!O170&gt;=Body!$BT$17,'Zdroj data'!O170&lt;=Body!$BV$17),Body!$BT$6,IF(AND('Zdroj data'!O170&gt;=Body!$BW$17,'Zdroj data'!O170&lt;=Body!$BY$17),Body!$BW$6,IF('Zdroj data'!O170&gt;=Body!$CB$17,Body!$BZ$6," "))))))))))," ")))</f>
        <v>2</v>
      </c>
      <c r="AG170" s="264">
        <f>IF(AND('Zdroj data'!$BG170="L",'Zdroj data'!$AM170=Body!$AX$15),IF(AND(Tabulka1[[#This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data'!$BG170="ST",'Zdroj data'!$AM170=Body!$AX$16),IF(AND(Tabulka1[[#This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data'!$BG170="T",'Zdroj data'!$AM170=Body!$AX$17),IF(AND(Tabulka1[[#This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70" s="264" t="str">
        <f>IF(AND('Zdroj data'!BG170="L",'Zdroj data'!AM170=Body!$AX$18),IF(AND('Zdroj data'!O170&gt;=Body!$AY$18,'Zdroj data'!O170&lt;=Body!$BA$18),Body!AY$6,IF(AND('Zdroj data'!O170&gt;=Body!$BB$18,'Zdroj data'!O170&lt;=Body!$BD$18),Body!BB$6,IF(AND('Zdroj data'!O170&gt;=Body!$BE$18,'Zdroj data'!O170&lt;=Body!$BG$18),Body!BE$6,IF(AND('Zdroj data'!O170&gt;=Body!$BH$18,'Zdroj data'!O170&lt;=Body!$BJ$18),Body!BH$6,IF(AND('Zdroj data'!O170&gt;=Body!$BK$18,'Zdroj data'!O170&lt;=Body!$BM$18),Body!$BK$6,IF(AND('Zdroj data'!O170&gt;=Body!$BN$18,'Zdroj data'!O170&lt;=Body!$BP$18),Body!BN$6,IF(AND('Zdroj data'!O170&gt;=Body!$BQ$18,'Zdroj data'!O170&lt;=Body!$BS$18),Body!$BQ$6,IF(AND('Zdroj data'!O170&gt;=Body!$BT$18,'Zdroj data'!O170&lt;=Body!$BV$18),Body!$BT$6,IF(AND('Zdroj data'!O170&gt;=Body!$BW$18,'Zdroj data'!O170&lt;=Body!$BY$18),Body!$BW$6,IF('Zdroj data'!O170&gt;=Body!$CB$18,Body!$BZ$6," ")))))))))),IF(AND('Zdroj data'!BG170="ST",'Zdroj data'!AM170=Body!$AX$19),IF(AND('Zdroj data'!O170&gt;=Body!$AY$19,'Zdroj data'!O170&lt;=Body!$BA$19),Body!$AY$6,IF(AND('Zdroj data'!O170&gt;=Body!$BB$19,'Zdroj data'!O170&lt;=Body!$BD$19),Body!$BB$6,IF(AND('Zdroj data'!O170&gt;=Body!$BE$19,'Zdroj data'!O170&lt;=Body!$BG$19),Body!$BE$6,IF(AND('Zdroj data'!O170&gt;=Body!$BH$19,'Zdroj data'!O170&lt;=Body!$BJ$19),Body!$BH$6,IF(AND('Zdroj data'!O170&gt;=Body!$BK$19,'Zdroj data'!O170&lt;=Body!$BM$19),Body!$BK$6,IF(AND('Zdroj data'!O170&gt;=Body!$BN$19,'Zdroj data'!O170&lt;=Body!$BP$19),Body!$BN$6,IF(AND('Zdroj data'!O170&gt;=Body!$BQ$19,'Zdroj data'!O170&lt;=Body!$BS$19),Body!$BQ$6,IF(AND('Zdroj data'!O170&gt;=Body!$BT$19,'Zdroj data'!#REF!&lt;=Body!$BV$19),Body!$BT$6,IF(AND('Zdroj data'!O170&gt;=Body!$BW$19,'Zdroj data'!O170&lt;=Body!$BY$19),Body!$BW$6,IF('Zdroj data'!O170&gt;=Body!$CB$19,Body!$BZ$6," ")))))))))),IF(AND('Zdroj data'!BG170="T",'Zdroj data'!AM170=Body!$AX$20),IF(AND('Zdroj data'!O170&gt;=Body!$AY$20,'Zdroj data'!O170&lt;=Body!$BA$20),Body!$AY$6,IF(AND('Zdroj data'!O170&gt;=Body!$BB$20,'Zdroj data'!O170&lt;=Body!$BD$20),Body!$BB$6,IF(AND('Zdroj data'!O170&gt;=Body!$BE$20,'Zdroj data'!O170&lt;=Body!$BG$20),Body!$BE$6,IF(AND('Zdroj data'!O170&gt;=Body!$BH$20,'Zdroj data'!O170&lt;=Body!$BJ$20),Body!$BH$6,IF(AND('Zdroj data'!O170&gt;=Body!$BK$20,'Zdroj data'!O170&lt;=Body!$BM$20),Body!$BK$6,IF(AND('Zdroj data'!O170&gt;=Body!$BN$20,'Zdroj data'!O170&lt;=Body!$BP$20),Body!$BN$6,IF(AND('Zdroj data'!O170&gt;=Body!$BQ$20,'Zdroj data'!O170&lt;=Body!$BS$20),Body!$BQ$6,IF(AND('Zdroj data'!O170&gt;=Body!$BT$20,'Zdroj data'!O170&lt;=Body!#REF!),Body!$BT$6,IF(AND('Zdroj data'!O170&gt;=Body!$BW$20,'Zdroj data'!O170&lt;=Body!$BY$20),Body!$BW$6,IF('Zdroj data'!O170&gt;=Body!$CB$20,Body!$BZ$6," "))))))))))," ")))</f>
        <v xml:space="preserve"> </v>
      </c>
      <c r="AI170" s="264" t="str">
        <f>IF(AND('Zdroj data'!$BG170="L",'Zdroj data'!$AM170=Body!$AX$18),IF(AND(Tabulka1[[#This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data'!$BG170="ST",'Zdroj data'!$AM170=Body!$AX$19),IF(AND(Tabulka1[[#This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data'!$BG170="T",'Zdroj data'!$AM170=Body!$AX$20),IF(AND(Tabulka1[[#This Row],[K2O_60]]&gt;=Body!$AY$20,'Zdroj data'!O170&lt;=Body!$BA$20),Body!$AY$6,IF(AND(Tabulka1[[#This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70" s="265">
        <f t="shared" si="26"/>
        <v>8.0000000000000071</v>
      </c>
      <c r="AK170" s="264">
        <f t="shared" si="27"/>
        <v>46.566547753690138</v>
      </c>
      <c r="AL170" s="264">
        <f t="shared" si="28"/>
        <v>40.406456373547655</v>
      </c>
      <c r="AM170" s="264">
        <f t="shared" si="29"/>
        <v>51.379896022687838</v>
      </c>
      <c r="AN170" s="264">
        <f t="shared" si="30"/>
        <v>53.748926772561845</v>
      </c>
      <c r="AO170" s="265">
        <f t="shared" si="33"/>
        <v>97.946443776377976</v>
      </c>
      <c r="AP170" s="265">
        <f t="shared" si="31"/>
        <v>94.1553831461095</v>
      </c>
      <c r="AQ170" s="318"/>
      <c r="AR170" s="338">
        <f t="shared" si="32"/>
        <v>200.10182692248748</v>
      </c>
      <c r="AS170" s="318"/>
      <c r="AT170" s="138"/>
      <c r="AU170" s="138"/>
    </row>
    <row r="171" spans="1:47" ht="15.5" x14ac:dyDescent="0.35">
      <c r="A171" s="270">
        <v>9200</v>
      </c>
      <c r="B171" s="156" t="s">
        <v>636</v>
      </c>
      <c r="C171" s="250" t="str">
        <f>VLOOKUP(B171,'Zdroj hloubka okresy'!$A$2:$D$171,2,FALSE)</f>
        <v>Mlada_Boleslav</v>
      </c>
      <c r="D171" s="263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7</v>
      </c>
      <c r="E171" s="264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9</v>
      </c>
      <c r="F171" s="264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10</v>
      </c>
      <c r="G171" s="264">
        <f>IF(AND(Tabulka1[[#This Row],[hum_60]]&gt;AY177,Tabulka1[[#This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8</v>
      </c>
      <c r="H171" s="264">
        <f>IF(Tabulka1[[#This Row],[kv.ek.]]=Body!$AX$13,IF(AND('Zdroj data'!M171&gt;=Body!$AY$13,'Zdroj data'!M171&lt;=Body!$BA$13),Body!$AY$6,IF(AND('Zdroj data'!M171&gt;=Body!$BB$13,'Zdroj data'!M171&lt;=Body!$BD$13),Body!$BB$6,IF(AND('Zdroj data'!M171&gt;=Body!$BE$13,'Zdroj data'!M171&lt;=Body!$BG$13),Body!$BE$6,IF(AND('Zdroj data'!M171&gt;=Body!$BH$13,'Zdroj data'!M171&lt;=Body!$BJ$13),Body!$BH$6,IF(AND('Zdroj data'!M171&gt;=Body!$BK$13,'Zdroj data'!M171&lt;=Body!$BM$13),Body!$BK$6,IF(AND('Zdroj data'!M171&gt;=Body!$BN$13,'Zdroj data'!M171&lt;=Body!$BP$13),Body!$BN$6,IF(AND('Zdroj data'!M171&gt;=Body!$BQ$13,'Zdroj data'!M171&lt;=Body!$BS$13),Body!$BQ$6,IF(AND('Zdroj data'!M171&gt;=Body!$BT$13,'Zdroj data'!M171&lt;=Body!$BV$13),Body!$BT$6,IF(AND('Zdroj data'!M171&gt;=Body!$BW$13,'Zdroj data'!M171&lt;=Body!$BY$13),Body!$BW$6,IF('Zdroj data'!M171&gt;=Body!$CB$13,Body!$BZ$6," ")))))))))),IF(Tabulka1[[#This Row],[kv.ek.]]=Body!$AX$14,IF(AND('Zdroj data'!N171&gt;=Body!$AY$14,'Zdroj data'!N171&lt;=Body!$BA$14),Body!$AY$6,IF(AND('Zdroj data'!N171&gt;=Body!$BB$14,'Zdroj data'!N171&lt;=Body!$BD$14),Body!$BB$6,IF(AND('Zdroj data'!N171&gt;=Body!$BE$14,'Zdroj data'!N171&lt;=Body!$BG$14),Body!$BE$6,IF(AND('Zdroj data'!N171&gt;=Body!$BH$14,'Zdroj data'!N171&lt;=Body!$BJ$14),Body!$BH$6,IF(AND('Zdroj data'!N171&gt;=Body!$BK$14,'Zdroj data'!N171&lt;=Body!$BM$14),Body!$BK$6,IF(AND('Zdroj data'!N171&gt;=Body!$BN$14,'Zdroj data'!N171&lt;=Body!$BP$14),Body!$BN$6,IF(AND('Zdroj data'!N171&gt;=Body!$BQ$14,'Zdroj data'!N171&lt;=Body!$BS$14),Body!$BQ$6,IF(AND('Zdroj data'!N171&gt;=Body!$BT$14,'Zdroj data'!N171&lt;=Body!$BV$14),Body!$BT$6,IF(AND('Zdroj data'!N171&gt;=Body!$BW$14,'Zdroj data'!N171&lt;=Body!$BY$14),Body!$BW$6,IF('Zdroj data'!N171&gt;=Body!$CB$14,Body!$BZ$6," "))))))))))," "))</f>
        <v>1</v>
      </c>
      <c r="I171" s="264">
        <f>IF(Tabulka1[[#This Row],[kv.ek.]]=Body!$AX$13,IF(AND('Zdroj data'!N171&gt;=Body!$AY$13,'Zdroj data'!N171&lt;=Body!$BA$13),Body!$AY$6,IF(AND('Zdroj data'!N171&gt;=Body!$BB$13,'Zdroj data'!N171&lt;=Body!$BD$13),Body!$BB$6,IF(AND('Zdroj data'!N171&gt;=Body!$BE$13,'Zdroj data'!N171&lt;=Body!$BG$13),Body!$BE$6,IF(AND('Zdroj data'!N171&gt;=Body!$BH$13,'Zdroj data'!N171&lt;=Body!$BJ$13),Body!$BH$6,IF(AND('Zdroj data'!N171&gt;=Body!$BK$13,'Zdroj data'!N171&lt;=Body!$BM$13),Body!$BK$6,IF(AND('Zdroj data'!N171&gt;=Body!$BN$13,'Zdroj data'!N171&lt;=Body!$BP$13),Body!$BN$6,IF(AND('Zdroj data'!N171&gt;=Body!$BQ$13,'Zdroj data'!N171&lt;=Body!$BS$13),Body!$BQ$6,IF(AND('Zdroj data'!N171&gt;=Body!$BT$13,'Zdroj data'!N171&lt;=Body!$BV$13),Body!$BT$6,IF(AND('Zdroj data'!N171&gt;=Body!$BW$13,'Zdroj data'!N171&lt;=Body!$BY$13),Body!$BW$6,IF('Zdroj data'!N171&gt;=Body!$CB$13,Body!$BZ$6," ")))))))))),IF(Tabulka1[[#This Row],[kv.ek.]]=Body!$AX$14,IF(AND('Zdroj data'!O171&gt;=Body!$AY$14,'Zdroj data'!O171&lt;=Body!$BA$14),Body!$AY$6,IF(AND('Zdroj data'!O171&gt;=Body!$BB$14,'Zdroj data'!O171&lt;=Body!$BD$14),Body!$BB$6,IF(AND('Zdroj data'!O171&gt;=Body!$BE$14,'Zdroj data'!O171&lt;=Body!$BG$14),Body!$BE$6,IF(AND('Zdroj data'!O171&gt;=Body!$BH$14,'Zdroj data'!O171&lt;=Body!$BJ$14),Body!$BH$6,IF(AND('Zdroj data'!O171&gt;=Body!$BK$14,'Zdroj data'!O171&lt;=Body!$BM$14),Body!$BK$6,IF(AND('Zdroj data'!O171&gt;=Body!$BN$14,'Zdroj data'!O171&lt;=Body!$BP$14),Body!$BN$6,IF(AND('Zdroj data'!O171&gt;=Body!$BQ$14,'Zdroj data'!O171&lt;=Body!$BS$14),Body!$BQ$6,IF(AND('Zdroj data'!O171&gt;=Body!$BT$14,'Zdroj data'!O171&lt;=Body!$BV$14),Body!$BT$6,IF(AND('Zdroj data'!O171&gt;=Body!$BW$14,'Zdroj data'!O171&lt;=Body!$BY$14),Body!$BW$6,IF('Zdroj data'!O171&gt;=Body!$CB$14,Body!$BZ$6," "))))))))))," "))</f>
        <v>1</v>
      </c>
      <c r="J171" s="264">
        <f>IF(AF171=" ",AH171,AF171)</f>
        <v>1</v>
      </c>
      <c r="K171" s="264">
        <f t="shared" ref="K171:K172" si="35">IF(AG171=" ",AI171,AG171)</f>
        <v>1</v>
      </c>
      <c r="L171" s="264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10</v>
      </c>
      <c r="M171" s="264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10</v>
      </c>
      <c r="N171" s="264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8</v>
      </c>
      <c r="O171" s="264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8</v>
      </c>
      <c r="P171" s="264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71" s="264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8</v>
      </c>
      <c r="R171" s="264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8</v>
      </c>
      <c r="S171" s="264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4</v>
      </c>
      <c r="T171" s="264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3</v>
      </c>
      <c r="U171" s="264">
        <f>IF('Zdroj data'!BB171=Body!$AY$25,Body!$AY$22,IF('Zdroj data'!BB171=Body!$BB$25,Body!$BB$22,IF('Zdroj data'!BB171=Body!$BE$25,Body!$BE$22,IF('Zdroj data'!BB171=Body!$BH$25,Body!$BH$22,IF('Zdroj data'!BB171=Body!BK$25,Body!$BK$22,IF('Zdroj data'!BB171=Body!$BN$25,Body!$BN$22,IF('Zdroj data'!BB171=Body!$BQ$25,Body!$BQ$22,IF('Zdroj data'!BB171=Body!$BT$25,Body!$BT$22,IF('Zdroj data'!BB171=Body!$BW$25,Body!$BW$22,IF('Zdroj data'!BB171=Body!$BZ$25,Body!$BZ$22," "))))))))))</f>
        <v>7</v>
      </c>
      <c r="V171" s="264">
        <f>IF(AND('Zdroj data'!BO171&gt;Body!$AY$27,'Zdroj data'!BO171&lt;=Body!$BA$27),Body!$AY$22,IF(AND('Zdroj data'!BO171&gt;=Body!$BB$27,'Zdroj data'!BO171&lt;=Body!$BD$27),Body!$BB$22,IF(AND('Zdroj data'!BO171&gt;=Body!$BE$27,'Zdroj data'!BO171&lt;=Body!$BG$27),Body!$BE$22,IF(AND('Zdroj data'!BO171&gt;=Body!$BH$27,'Zdroj data'!BO171&lt;=Body!$BJ$27),Body!$BH$22,IF(AND('Zdroj data'!BO171&gt;=Body!$BK$27,'Zdroj data'!BO171&lt;=Body!$BM$27),Body!$BK$22,IF(AND('Zdroj data'!BO171&gt;=Body!$BN$27,'Zdroj data'!BO171&lt;=Body!$BP$27),Body!$BN$22,IF(AND('Zdroj data'!BO171&gt;=Body!$BQ$27,'Zdroj data'!BO171&lt;=Body!$BS$27),Body!$BQ$22,IF(AND('Zdroj data'!BO171&gt;=Body!$BT$27,'Zdroj data'!BO171&lt;=Body!$BV$27),Body!$BT$22,IF(AND('Zdroj data'!BO171&gt;=Body!$BW$27,'Zdroj data'!BO171&lt;=Body!$BY$27),Body!$BW$22,IF('Zdroj data'!BO171&gt;=Body!$CB$27,$BZ$22," "))))))))))</f>
        <v>8</v>
      </c>
      <c r="W171" s="264">
        <f>IF(AND('Zdroj data'!BP171&gt;Body!$AY$27,'Zdroj data'!BP171&lt;=Body!$BA$27),Body!$AY$22,IF(AND('Zdroj data'!BP171&gt;=Body!$BB$27,'Zdroj data'!BP171&lt;=Body!$BD$27),Body!$BB$22,IF(AND('Zdroj data'!BP171&gt;=Body!$BE$27,'Zdroj data'!BP171&lt;=Body!$BG$27),Body!$BE$22,IF(AND('Zdroj data'!BP171&gt;=Body!$BH$27,'Zdroj data'!BP171&lt;=Body!$BJ$27),Body!$BH$22,IF(AND('Zdroj data'!BP171&gt;=Body!$BK$27,'Zdroj data'!BP171&lt;=Body!$BM$27),Body!$BK$22,IF(AND('Zdroj data'!BP171&gt;=Body!$BN$27,'Zdroj data'!BP171&lt;=Body!$BP$27),Body!$BN$22,IF(AND('Zdroj data'!BP171&gt;=Body!$BQ$27,'Zdroj data'!BP171&lt;=Body!$BS$27),Body!$BQ$22,IF(AND('Zdroj data'!BP171&gt;=Body!$BT$27,'Zdroj data'!BP171&lt;=Body!$BV$27),Body!$BT$22,IF(AND('Zdroj data'!BP171&gt;=Body!$BW$27,'Zdroj data'!BP171&lt;=Body!$BY$27),Body!$BW$22,IF('Zdroj data'!BP171&gt;=Body!$CB$27,$BZ$22," "))))))))))</f>
        <v>8</v>
      </c>
      <c r="X171" s="264">
        <f>IF('Zdroj data'!BA171=Body!$BB$28,$BB$22,IF('Zdroj data'!BA171=Body!$BE$28,$BE$22,IF(OR('Zdroj data'!BA171=Body!$BK$28,'Zdroj data'!BA171=Body!$BL$28,'Zdroj data'!BA171=Body!$BM$28),$BK$22,IF(OR('Zdroj data'!BA171=Body!$BT$28,'Zdroj data'!BA171=Body!$BV$28),$BT$22,IF(OR('Zdroj data'!BA171=Body!$BW$28,'Zdroj data'!BA171=Body!$BY$28),$BW$22,IF('Zdroj data'!BA171=Body!$BZ$28,$BZ$22," "))))))</f>
        <v>10</v>
      </c>
      <c r="Y171" s="264">
        <f>IF('Zdroj data'!AZ171=Body!$BZ$29,Body!$BZ$22,IF(OR('Zdroj data'!AZ171=$BT$29,'Zdroj data'!AZ171=$BU$29,'Zdroj data'!AZ171=$BV$29),$BT$22,IF(OR('Zdroj data'!AZ171=$BK$29,'Zdroj data'!AZ171=$BM$29),$BK$22,IF(OR('Zdroj data'!AZ171=$BE$29,'Zdroj data'!AZ171=$BG$29),$BE$22,IF(OR('Zdroj data'!AZ171=$AY$29,'Zdroj data'!AZ171=$BA$29),$AY$22," ")))))</f>
        <v>10</v>
      </c>
      <c r="Z171" s="264">
        <f>IF(AND('Zdroj data'!BF171="T",(OR('Zdroj data'!AZ171=Body!$AW$45,'Zdroj data'!AZ171=Body!$AW$46,'Zdroj data'!AZ171=Body!$AW$47,'Zdroj data'!AZ171=Body!$AW$48))),Body!$AY$22,IF(AND('Zdroj data'!BF171="T",(OR('Zdroj data'!AZ171=$AW$49,'Zdroj data'!AZ171=$AW$50,'Zdroj data'!AZ171=$AW$51,'Zdroj data'!AZ171=$AW$52))),$BZ$22,IF(AND(OR('Zdroj data'!BF171="VT",'Zdroj data'!BF171="T",'Zdroj data'!BF171="CH"),(OR('Zdroj data'!AZ171=$AW$43,'Zdroj data'!AZ171=$AW$44,))),$BZ$22,IF(AND('Zdroj data'!BF171="CH",(OR('Zdroj data'!AZ171=$AW$49,'Zdroj data'!AZ171=$AW$50,'Zdroj data'!AZ171=$AW$51,'Zdroj data'!AZ171=$AW$52))),$AY$22,IF(AND('Zdroj data'!BF171="CH",(OR('Zdroj data'!AZ171=$AW$45,'Zdroj data'!AZ171=$AW$46,'Zdroj data'!AZ171=$AW$47,'Zdroj data'!AZ171=$AW$48))),$BZ$22," ")))))</f>
        <v>10</v>
      </c>
      <c r="AA171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71" s="264">
        <f>IF(Tabulka1[[#This Row],[kv.ek.]]=Body!$BK$35,Body!$BK$34,IF(Tabulka1[[#This Row],[kv.ek.]]=Body!$BZ$35,Body!$BZ$34," "))</f>
        <v>5</v>
      </c>
      <c r="AC171" s="264" t="str">
        <f>IF(AND('Zdroj data'!BF171="T",(OR('Zdroj data'!AZ171=Body!$AW$45,'Zdroj data'!AZ171=Body!$AW$46,'Zdroj data'!AZ171=Body!$AW$47,'Zdroj data'!AZ171=Body!$AW$48))),Body!$AY$22,IF(AND('Zdroj data'!BF171="T",(OR('Zdroj data'!AZ171=$AW$49,'Zdroj data'!AZ171=$AW$50,'Zdroj data'!AZ171=$AW$51,'Zdroj data'!AZ171=$AW$52))),$BZ$22," "))</f>
        <v xml:space="preserve"> </v>
      </c>
      <c r="AD171" s="264">
        <f>IF(AND(OR('Zdroj data'!BF171="VT",'Zdroj data'!BF171="T",'Zdroj data'!BF171="CH"),(OR('Zdroj data'!AZ171=$AW$43,'Zdroj data'!AZ171=$AW$44,))),$BZ$22," ")</f>
        <v>10</v>
      </c>
      <c r="AE171" s="264" t="str">
        <f>IF(AND('Zdroj data'!BF171="CH",(OR('Zdroj data'!AZ171=$AW$49,'Zdroj data'!AZ171=$AW$50,'Zdroj data'!AZ171=$AW$51,'Zdroj data'!AZ171=$AW$52))),$AY$22,IF(AND('Zdroj data'!BF171="CH",(OR('Zdroj data'!AZ171=$AW$45,'Zdroj data'!AZ171=$AW$46,'Zdroj data'!AZ171=$AW$47,'Zdroj data'!AZ171=$AW$48))),$BZ$22," "))</f>
        <v xml:space="preserve"> </v>
      </c>
      <c r="AF171" s="264">
        <f>IF(AND('Zdroj data'!BG171="L",'Zdroj data'!AM171=Body!$AX$15),IF(AND('Zdroj data'!O171&gt;=Body!$AY$15,'Zdroj data'!O171&lt;=Body!$BA$15),Body!AY$6,IF(AND('Zdroj data'!O171&gt;=Body!$BB$15,'Zdroj data'!O171&lt;=Body!$BD$15),Body!BB$6,IF(AND('Zdroj data'!O171&gt;=Body!$BE$15,'Zdroj data'!O171&lt;=Body!$BG$15),Body!BE$6,IF(AND('Zdroj data'!O171&gt;=Body!$BH$15,'Zdroj data'!O171&lt;=Body!$BJ$15),Body!BH$6,IF(AND('Zdroj data'!O171&gt;=Body!$BK$15,'Zdroj data'!O171&lt;=Body!$BM$15),Body!BK$6,IF(AND('Zdroj data'!O171&gt;=Body!$BN$15,'Zdroj data'!O171&lt;=Body!$BP$15),Body!$BN$6,IF(AND('Zdroj data'!O171&gt;=Body!$BQ$15,'Zdroj data'!O171&lt;=Body!$BS$15),Body!$BQ$6,IF(AND('Zdroj data'!O171&gt;=Body!$BT$15,'Zdroj data'!O171&lt;=Body!$BV$15),Body!BT$6,IF(AND('Zdroj data'!O171&gt;=Body!$BW$15,'Zdroj data'!O171&lt;=Body!$BY$15),Body!$BW$6,IF('Zdroj data'!O171&gt;=Body!$CB$15,Body!$BZ$6," ")))))))))),IF(AND('Zdroj data'!BG171="ST",'Zdroj data'!AM171=Body!$AX$16),IF(AND('Zdroj data'!O171&gt;=Body!$AY$16,'Zdroj data'!O171&lt;=Body!$BA$16),Body!$AY$6,IF(AND('Zdroj data'!O171&gt;=Body!$BB$16,'Zdroj data'!O171&lt;=Body!$BD$16),Body!$BB$6,IF(AND('Zdroj data'!O171&gt;=Body!$BE$16,'Zdroj data'!O171&lt;=Body!$BG$16),Body!$BE$6,IF(AND('Zdroj data'!O171&gt;=Body!$BH$16,'Zdroj data'!O171&lt;=Body!$BJ$16),Body!$BH$6,IF(AND('Zdroj data'!O171&gt;=Body!$BK$16,'Zdroj data'!O171&lt;=Body!$BM$16),Body!$BK$6,IF(AND('Zdroj data'!O171&gt;=Body!$BN$16,'Zdroj data'!O171&lt;=Body!$BP$16),Body!$BN$6,IF(AND('Zdroj data'!O171&gt;=Body!$BQ$16,'Zdroj data'!O171&lt;=Body!$BS$16),Body!$BQ$6,IF(AND('Zdroj data'!O171&gt;=Body!$BT$16,'Zdroj data'!O171&lt;=Body!$BV$16),Body!$BT$6,IF(AND('Zdroj data'!O171&gt;=Body!$BW$16,'Zdroj data'!O171&lt;=Body!$BY$16),Body!$BW$6,IF('Zdroj data'!O171&gt;=Body!$CB$16,Body!$BZ$6," ")))))))))),IF(AND('Zdroj data'!BG171="T",'Zdroj data'!AM171=Body!$AX$17),IF(AND('Zdroj data'!O171&gt;=Body!$AY$17,'Zdroj data'!O171&lt;=Body!$BA$17),Body!$AY$6,IF(AND('Zdroj data'!O171&gt;=Body!$BB$17,'Zdroj data'!O171&lt;=Body!$BD$17),Body!$BB$6,IF(AND('Zdroj data'!O171&gt;=Body!$BE$17,'Zdroj data'!O171&lt;=Body!$BG$17),Body!$BE$6,IF(AND('Zdroj data'!O171&gt;=Body!$BH$17,'Zdroj data'!O171&lt;=Body!#REF!),Body!$BH$6,IF(AND('Zdroj data'!O171&gt;=Body!$BK$17,'Zdroj data'!O171&lt;=Body!$BM$17),Body!$BK$6,IF(AND('Zdroj data'!O171&gt;=Body!$BN$17,'Zdroj data'!O171&lt;=Body!$BP$17),Body!$BN$6,IF(AND('Zdroj data'!O171&gt;=Body!$BQ$17,'Zdroj data'!O171&lt;=Body!$BS$17),Body!$BQ$6,IF(AND('Zdroj data'!O171&gt;=Body!$BT$17,'Zdroj data'!O171&lt;=Body!$BV$17),Body!$BT$6,IF(AND('Zdroj data'!O171&gt;=Body!$BW$17,'Zdroj data'!O171&lt;=Body!$BY$17),Body!$BW$6,IF('Zdroj data'!O171&gt;=Body!$CB$17,Body!$BZ$6," "))))))))))," ")))</f>
        <v>1</v>
      </c>
      <c r="AG171" s="264">
        <f>IF(AND('Zdroj data'!$BG171="L",'Zdroj data'!$AM171=Body!$AX$15),IF(AND(Tabulka1[[#This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data'!$BG171="ST",'Zdroj data'!$AM171=Body!$AX$16),IF(AND(Tabulka1[[#This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data'!$BG171="T",'Zdroj data'!$AM171=Body!$AX$17),IF(AND(Tabulka1[[#This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71" s="264" t="str">
        <f>IF(AND('Zdroj data'!BG171="L",'Zdroj data'!AM171=Body!$AX$18),IF(AND('Zdroj data'!O171&gt;=Body!$AY$18,'Zdroj data'!O171&lt;=Body!$BA$18),Body!AY$6,IF(AND('Zdroj data'!O171&gt;=Body!$BB$18,'Zdroj data'!O171&lt;=Body!$BD$18),Body!BB$6,IF(AND('Zdroj data'!O171&gt;=Body!$BE$18,'Zdroj data'!O171&lt;=Body!$BG$18),Body!BE$6,IF(AND('Zdroj data'!O171&gt;=Body!$BH$18,'Zdroj data'!O171&lt;=Body!$BJ$18),Body!BH$6,IF(AND('Zdroj data'!O171&gt;=Body!$BK$18,'Zdroj data'!O171&lt;=Body!$BM$18),Body!$BK$6,IF(AND('Zdroj data'!O171&gt;=Body!$BN$18,'Zdroj data'!O171&lt;=Body!$BP$18),Body!BN$6,IF(AND('Zdroj data'!O171&gt;=Body!$BQ$18,'Zdroj data'!O171&lt;=Body!$BS$18),Body!$BQ$6,IF(AND('Zdroj data'!O171&gt;=Body!$BT$18,'Zdroj data'!O171&lt;=Body!$BV$18),Body!$BT$6,IF(AND('Zdroj data'!O171&gt;=Body!$BW$18,'Zdroj data'!O171&lt;=Body!$BY$18),Body!$BW$6,IF('Zdroj data'!O171&gt;=Body!$CB$18,Body!$BZ$6," ")))))))))),IF(AND('Zdroj data'!BG171="ST",'Zdroj data'!AM171=Body!$AX$19),IF(AND('Zdroj data'!O171&gt;=Body!$AY$19,'Zdroj data'!O171&lt;=Body!$BA$19),Body!$AY$6,IF(AND('Zdroj data'!O171&gt;=Body!$BB$19,'Zdroj data'!O171&lt;=Body!$BD$19),Body!$BB$6,IF(AND('Zdroj data'!O171&gt;=Body!$BE$19,'Zdroj data'!O171&lt;=Body!$BG$19),Body!$BE$6,IF(AND('Zdroj data'!O171&gt;=Body!$BH$19,'Zdroj data'!O171&lt;=Body!$BJ$19),Body!$BH$6,IF(AND('Zdroj data'!O171&gt;=Body!$BK$19,'Zdroj data'!O171&lt;=Body!$BM$19),Body!$BK$6,IF(AND('Zdroj data'!O171&gt;=Body!$BN$19,'Zdroj data'!O171&lt;=Body!$BP$19),Body!$BN$6,IF(AND('Zdroj data'!O171&gt;=Body!$BQ$19,'Zdroj data'!O171&lt;=Body!$BS$19),Body!$BQ$6,IF(AND('Zdroj data'!O171&gt;=Body!$BT$19,'Zdroj data'!#REF!&lt;=Body!$BV$19),Body!$BT$6,IF(AND('Zdroj data'!O171&gt;=Body!$BW$19,'Zdroj data'!O171&lt;=Body!$BY$19),Body!$BW$6,IF('Zdroj data'!O171&gt;=Body!$CB$19,Body!$BZ$6," ")))))))))),IF(AND('Zdroj data'!BG171="T",'Zdroj data'!AM171=Body!$AX$20),IF(AND('Zdroj data'!O171&gt;=Body!$AY$20,'Zdroj data'!O171&lt;=Body!$BA$20),Body!$AY$6,IF(AND('Zdroj data'!O171&gt;=Body!$BB$20,'Zdroj data'!O171&lt;=Body!$BD$20),Body!$BB$6,IF(AND('Zdroj data'!O171&gt;=Body!$BE$20,'Zdroj data'!O171&lt;=Body!$BG$20),Body!$BE$6,IF(AND('Zdroj data'!O171&gt;=Body!$BH$20,'Zdroj data'!O171&lt;=Body!$BJ$20),Body!$BH$6,IF(AND('Zdroj data'!O171&gt;=Body!$BK$20,'Zdroj data'!O171&lt;=Body!$BM$20),Body!$BK$6,IF(AND('Zdroj data'!O171&gt;=Body!$BN$20,'Zdroj data'!O171&lt;=Body!$BP$20),Body!$BN$6,IF(AND('Zdroj data'!O171&gt;=Body!$BQ$20,'Zdroj data'!O171&lt;=Body!$BS$20),Body!$BQ$6,IF(AND('Zdroj data'!O171&gt;=Body!$BT$20,'Zdroj data'!O171&lt;=Body!#REF!),Body!$BT$6,IF(AND('Zdroj data'!O171&gt;=Body!$BW$20,'Zdroj data'!O171&lt;=Body!$BY$20),Body!$BW$6,IF('Zdroj data'!O171&gt;=Body!$CB$20,Body!$BZ$6," "))))))))))," ")))</f>
        <v xml:space="preserve"> </v>
      </c>
      <c r="AI171" s="264" t="str">
        <f>IF(AND('Zdroj data'!$BG171="L",'Zdroj data'!$AM171=Body!$AX$18),IF(AND(Tabulka1[[#This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data'!$BG171="ST",'Zdroj data'!$AM171=Body!$AX$19),IF(AND(Tabulka1[[#This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data'!$BG171="T",'Zdroj data'!$AM171=Body!$AX$20),IF(AND(Tabulka1[[#This Row],[K2O_60]]&gt;=Body!$AY$20,'Zdroj data'!O171&lt;=Body!$BA$20),Body!$AY$6,IF(AND(Tabulka1[[#This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71" s="265">
        <f t="shared" si="26"/>
        <v>8.0000000000000071</v>
      </c>
      <c r="AK171" s="264">
        <f t="shared" si="27"/>
        <v>46.390386703107367</v>
      </c>
      <c r="AL171" s="264">
        <f t="shared" si="28"/>
        <v>43.32340457757055</v>
      </c>
      <c r="AM171" s="264">
        <f t="shared" si="29"/>
        <v>58.382706394167805</v>
      </c>
      <c r="AN171" s="264">
        <f t="shared" si="30"/>
        <v>54.469082437091807</v>
      </c>
      <c r="AO171" s="265">
        <f t="shared" si="33"/>
        <v>104.77309309727517</v>
      </c>
      <c r="AP171" s="265">
        <f t="shared" si="31"/>
        <v>97.792487014662356</v>
      </c>
      <c r="AQ171" s="318"/>
      <c r="AR171" s="338">
        <f t="shared" si="32"/>
        <v>210.56558011193752</v>
      </c>
      <c r="AS171" s="318"/>
      <c r="AT171" s="138"/>
      <c r="AU171" s="138"/>
    </row>
    <row r="172" spans="1:47" ht="15.5" x14ac:dyDescent="0.35">
      <c r="A172" s="270">
        <v>9203</v>
      </c>
      <c r="B172" s="156" t="s">
        <v>665</v>
      </c>
      <c r="C172" s="250" t="str">
        <f>VLOOKUP(B172,'Zdroj hloubka okresy'!$A$2:$D$171,2,FALSE)</f>
        <v>Mlada_Boleslav</v>
      </c>
      <c r="D172" s="268">
        <f>IF(AND(Tabulka1[[#This Row],[pHH2O_30]]&gt;=Body!$AY$7,Tabulka1[[#This Row],[pHH2O_30]]&lt;=Body!$BA$7),Body!$AY$6,IF(Tabulka1[[#This Row],[pHH2O_30]]&gt;=Body!$BA$8,Body!$AY$6,IF(AND(Tabulka1[[#This Row],[pHH2O_30]]&gt;=Body!$BB$7,Tabulka1[[#This Row],[pHH2O_30]]&lt;=Body!$BD$7),Body!$BB$6,IF(AND(Tabulka1[[#This Row],[pHH2O_30]]&gt;=Body!$BB$8,Tabulka1[[#This Row],[pHH2O_30]]&lt;=Body!$BD$8),Body!$BB$6,IF(AND(Tabulka1[[#This Row],[pHH2O_30]]&gt;=Body!$BE$7,Tabulka1[[#This Row],[pHH2O_30]]&lt;=Body!$BG$7),Body!$BE$6,IF(AND(Tabulka1[[#This Row],[pHH2O_30]]&gt;=Body!$BE$8,Tabulka1[[#This Row],[pHH2O_30]]&lt;=Body!$BG$8),Body!$BE$6,IF(AND(Tabulka1[[#This Row],[pHH2O_30]]&gt;=Body!$BH$7,Tabulka1[[#This Row],[pHH2O_30]]&lt;=Body!$BJ$7),Body!$BH$6,IF(AND(Tabulka1[[#This Row],[pHH2O_30]]&gt;=Body!$BH$8,Tabulka1[[#This Row],[pHH2O_30]]&lt;=Body!$BJ$8),Body!$BH$6,IF(AND(Tabulka1[[#This Row],[pHH2O_30]]&gt;=Body!$BK$7,Tabulka1[[#This Row],[pHH2O_30]]&lt;=Body!$BM$7),Body!$BK$6,IF(AND(Tabulka1[[#This Row],[pHH2O_30]]&gt;=Body!$BK$8,Tabulka1[[#This Row],[pHH2O_30]]&lt;=Body!$BM$8),Body!$BK$6,IF(AND(Tabulka1[[#This Row],[pHH2O_30]]&gt;=Body!$BN$7,Tabulka1[[#This Row],[pHH2O_30]]&lt;=Body!$BP$7),Body!$BN$6,IF(AND(Tabulka1[[#This Row],[pHH2O_30]]&gt;=Body!$BN$8,Tabulka1[[#This Row],[pHH2O_30]]&lt;=Body!$BP$8),Body!$BN$6,IF(AND(Tabulka1[[#This Row],[pHH2O_30]]&gt;=Body!$BQ$7,Tabulka1[[#This Row],[pHH2O_30]]&lt;=Body!$BS$7),Body!$BQ$6,IF(AND(Tabulka1[[#This Row],[pHH2O_30]]&gt;=Body!$BQ$8,Tabulka1[[#This Row],[pHH2O_30]]&lt;=Body!$BS$8),Body!$BQ$6,IF(AND(Tabulka1[[#This Row],[pHH2O_30]]&gt;=Body!$BT$7,Tabulka1[[#This Row],[pHH2O_30]]&lt;=Body!$BV$7),Body!$BT$6,IF(AND(Tabulka1[[#This Row],[pHH2O_30]]&gt;=Body!$BT$8,Tabulka1[[#This Row],[pHH2O_30]]&lt;=Body!$BV$8),Body!$BT$6,IF(AND(Tabulka1[[#This Row],[pHH2O_30]]&gt;=Body!$BW$7,Tabulka1[[#This Row],[pHH2O_30]]&lt;=Body!$BY$7),Body!$BW$6,IF(AND(Tabulka1[[#This Row],[pHH2O_30]]&gt;=Body!$BW$8,Tabulka1[[#This Row],[pHH2O_30]]&lt;=Body!$BY$8),Body!$BW$6,IF(AND(Tabulka1[[#This Row],[pHH2O_30]]&gt;=Body!$BZ$7,Tabulka1[[#This Row],[pHH2O_30]]&lt;=Body!$CB$7),Body!$BZ$6," ")))))))))))))))))))</f>
        <v>3</v>
      </c>
      <c r="E172" s="269">
        <f>IF(AND(Tabulka1[[#This Row],[pHH20_60]]&gt;=Body!$AY$7,Tabulka1[[#This Row],[pHH20_60]]&lt;=Body!$BA$7),Body!$AY$6,IF(Tabulka1[[#This Row],[pHH20_60]]&gt;=Body!$BA$8,Body!$AY$6,IF(AND(Tabulka1[[#This Row],[pHH20_60]]&gt;=Body!$BB$7,Tabulka1[[#This Row],[pHH20_60]]&lt;=Body!$BD$7),Body!$BB$6,IF(AND(Tabulka1[[#This Row],[pHH20_60]]&gt;=Body!$BB$8,Tabulka1[[#This Row],[pHH20_60]]&lt;=Body!$BD$8),Body!$BB$6,IF(AND(Tabulka1[[#This Row],[pHH20_60]]&gt;=Body!$BE$7,Tabulka1[[#This Row],[pHH20_60]]&lt;=Body!$BG$7),Body!$BE$6,IF(AND(Tabulka1[[#This Row],[pHH20_60]]&gt;=Body!$BE$8,Tabulka1[[#This Row],[pHH20_60]]&lt;=Body!$BG$8),Body!$BE$6,IF(AND(Tabulka1[[#This Row],[pHH20_60]]&gt;=Body!$BH$7,Tabulka1[[#This Row],[pHH20_60]]&lt;=Body!$BJ$7),Body!$BH$6,IF(AND(Tabulka1[[#This Row],[pHH20_60]]&gt;=Body!$BH$8,Tabulka1[[#This Row],[pHH20_60]]&lt;=Body!$BJ$8),Body!$BH$6,IF(AND(Tabulka1[[#This Row],[pHH20_60]]&gt;=Body!$BK$7,Tabulka1[[#This Row],[pHH20_60]]&lt;=Body!$BM$7),Body!$BK$6,IF(AND(Tabulka1[[#This Row],[pHH20_60]]&gt;=Body!$BK$8,Tabulka1[[#This Row],[pHH20_60]]&lt;=Body!$BM$8),Body!$BK$6,IF(AND(Tabulka1[[#This Row],[pHH20_60]]&gt;=Body!$BN$7,Tabulka1[[#This Row],[pHH20_60]]&lt;=Body!$BP$7),Body!$BN$6,IF(AND(Tabulka1[[#This Row],[pHH20_60]]&gt;=Body!$BN$8,Tabulka1[[#This Row],[pHH20_60]]&lt;=Body!$BP$8),Body!$BN$6,IF(AND(Tabulka1[[#This Row],[pHH20_60]]&gt;=Body!$BQ$7,Tabulka1[[#This Row],[pHH20_60]]&lt;=Body!$BS$7),Body!$BQ$6,IF(AND(Tabulka1[[#This Row],[pHH20_60]]&gt;=Body!$BQ$8,Tabulka1[[#This Row],[pHH20_60]]&lt;=Body!$BS$8),Body!$BQ$6,IF(AND(Tabulka1[[#This Row],[pHH20_60]]&gt;=Body!$BT$7,Tabulka1[[#This Row],[pHH20_60]]&lt;=Body!$BV$7),Body!$BT$6,IF(AND(Tabulka1[[#This Row],[pHH20_60]]&gt;=Body!$BT$8,Tabulka1[[#This Row],[pHH20_60]]&lt;=Body!$BV$8),Body!$BT$6,IF(AND(Tabulka1[[#This Row],[pHH20_60]]&gt;=Body!$BW$7,Tabulka1[[#This Row],[pHH20_60]]&lt;=Body!$BY$7),Body!$BW$6,IF(AND(Tabulka1[[#This Row],[pHH20_60]]&gt;=Body!$BW$8,Tabulka1[[#This Row],[pHH20_60]]&lt;=Body!$BY$8),Body!$BW$6,IF(AND(Tabulka1[[#This Row],[pHH20_60]]&gt;=Body!$BZ$7,Tabulka1[[#This Row],[pHH20_60]]&lt;=Body!$CB$7),Body!$BZ$6," ")))))))))))))))))))</f>
        <v>3</v>
      </c>
      <c r="F172" s="269">
        <f>IF(AND(Tabulka1[[#This Row],[hum_30]]&gt;$AY$9,Tabulka1[[#This Row],[hum_30]]&lt;=Body!$BA$9),Body!$AY$6,IF(AND(Tabulka1[[#This Row],[hum_30]]&gt;=Body!$BB$9,Tabulka1[[#This Row],[hum_30]]&lt;=Body!$BD$9),Body!$BB$6,IF(AND(Tabulka1[[#This Row],[hum_30]]&gt;=Body!$BE$9,Tabulka1[[#This Row],[hum_30]]&lt;=Body!$BG$9),Body!$BE$6,IF(AND(Tabulka1[[#This Row],[hum_30]]&gt;=Body!$BH$9,Tabulka1[[#This Row],[hum_30]]&lt;=Body!$BJ$9),Body!$BH$6,IF(AND(Tabulka1[[#This Row],[hum_30]]&gt;=Body!$BK$9,Tabulka1[[#This Row],[hum_30]]&lt;=Body!$BM$9),Body!$BK$6,IF(AND(Tabulka1[[#This Row],[hum_30]]&gt;=Body!$BN$9,Tabulka1[[#This Row],[hum_30]]&lt;=Body!$BP$9),Body!$BN$6,IF(AND(Tabulka1[[#This Row],[hum_30]]&gt;=Body!$BQ$9,Tabulka1[[#This Row],[hum_30]]&lt;=Body!$BS$9),Body!$BQ$6,IF(AND(Tabulka1[[#This Row],[hum_30]]&gt;=Body!$BT$9,Tabulka1[[#This Row],[hum_30]]&lt;=Body!$BV$9),Body!$BT$6,IF(AND(Tabulka1[[#This Row],[hum_30]]&gt;=Body!$BW$9,Tabulka1[[#This Row],[hum_30]]&lt;=Body!$BY$9),Body!$BW$6,IF(Tabulka1[[#This Row],[hum_30]]&gt;=Body!$CB$9,Body!$BZ$6," "))))))))))</f>
        <v>8</v>
      </c>
      <c r="G172" s="269">
        <f>IF(AND(Tabulka1[[#This Row],[hum_60]]&gt;AY178,Tabulka1[[#This Row],[hum_60]]&lt;=Body!$BA$9),Body!$AY$6,IF(AND(Tabulka1[[#This Row],[hum_60]]&gt;=Body!$BB$9,Tabulka1[[#This Row],[hum_60]]&lt;=Body!$BD$9),Body!$BB$6,IF(AND(Tabulka1[[#This Row],[hum_60]]&gt;=Body!$BE$9,Tabulka1[[#This Row],[hum_60]]&lt;=Body!$BG$9),Body!$BE$6,IF(AND(Tabulka1[[#This Row],[hum_60]]&gt;=Body!$BH$9,Tabulka1[[#This Row],[hum_60]]&lt;=Body!$BJ$9),Body!$BH$6,IF(AND(Tabulka1[[#This Row],[hum_60]]&gt;=Body!$BK$9,Tabulka1[[#This Row],[hum_60]]&lt;=Body!$BM$9),Body!$BK$6,IF(AND(Tabulka1[[#This Row],[hum_60]]&gt;=Body!$BN$9,Tabulka1[[#This Row],[hum_60]]&lt;=Body!$BP$9),Body!$BN$6,IF(AND(Tabulka1[[#This Row],[hum_60]]&gt;=Body!$BQ$9,Tabulka1[[#This Row],[hum_60]]&lt;=Body!$BS$9),Body!$BQ$6,IF(AND(Tabulka1[[#This Row],[hum_60]]&gt;=Body!$BT$9,Tabulka1[[#This Row],[hum_60]]&lt;=Body!$BV$9),Body!$BT$6,IF(AND(Tabulka1[[#This Row],[hum_60]]&gt;=Body!$BW$9,Tabulka1[[#This Row],[hum_60]]&lt;=Body!$BY$9),Body!$BW$6,IF(Tabulka1[[#This Row],[hum_60]]&gt;=Body!$CB$9,Body!$BZ$6," "))))))))))</f>
        <v>7</v>
      </c>
      <c r="H172" s="269">
        <f>IF(Tabulka1[[#This Row],[kv.ek.]]=Body!$AX$13,IF(AND('Zdroj data'!M172&gt;=Body!$AY$13,'Zdroj data'!M172&lt;=Body!$BA$13),Body!$AY$6,IF(AND('Zdroj data'!M172&gt;=Body!$BB$13,'Zdroj data'!M172&lt;=Body!$BD$13),Body!$BB$6,IF(AND('Zdroj data'!M172&gt;=Body!$BE$13,'Zdroj data'!M172&lt;=Body!$BG$13),Body!$BE$6,IF(AND('Zdroj data'!M172&gt;=Body!$BH$13,'Zdroj data'!M172&lt;=Body!$BJ$13),Body!$BH$6,IF(AND('Zdroj data'!M172&gt;=Body!$BK$13,'Zdroj data'!M172&lt;=Body!$BM$13),Body!$BK$6,IF(AND('Zdroj data'!M172&gt;=Body!$BN$13,'Zdroj data'!M172&lt;=Body!$BP$13),Body!$BN$6,IF(AND('Zdroj data'!M172&gt;=Body!$BQ$13,'Zdroj data'!M172&lt;=Body!$BS$13),Body!$BQ$6,IF(AND('Zdroj data'!M172&gt;=Body!$BT$13,'Zdroj data'!M172&lt;=Body!$BV$13),Body!$BT$6,IF(AND('Zdroj data'!M172&gt;=Body!$BW$13,'Zdroj data'!M172&lt;=Body!$BY$13),Body!$BW$6,IF('Zdroj data'!M172&gt;=Body!$CB$13,Body!$BZ$6," ")))))))))),IF(Tabulka1[[#This Row],[kv.ek.]]=Body!$AX$14,IF(AND('Zdroj data'!N172&gt;=Body!$AY$14,'Zdroj data'!N172&lt;=Body!$BA$14),Body!$AY$6,IF(AND('Zdroj data'!N172&gt;=Body!$BB$14,'Zdroj data'!N172&lt;=Body!$BD$14),Body!$BB$6,IF(AND('Zdroj data'!N172&gt;=Body!$BE$14,'Zdroj data'!N172&lt;=Body!$BG$14),Body!$BE$6,IF(AND('Zdroj data'!N172&gt;=Body!$BH$14,'Zdroj data'!N172&lt;=Body!$BJ$14),Body!$BH$6,IF(AND('Zdroj data'!N172&gt;=Body!$BK$14,'Zdroj data'!N172&lt;=Body!$BM$14),Body!$BK$6,IF(AND('Zdroj data'!N172&gt;=Body!$BN$14,'Zdroj data'!N172&lt;=Body!$BP$14),Body!$BN$6,IF(AND('Zdroj data'!N172&gt;=Body!$BQ$14,'Zdroj data'!N172&lt;=Body!$BS$14),Body!$BQ$6,IF(AND('Zdroj data'!N172&gt;=Body!$BT$14,'Zdroj data'!N172&lt;=Body!$BV$14),Body!$BT$6,IF(AND('Zdroj data'!N172&gt;=Body!$BW$14,'Zdroj data'!N172&lt;=Body!$BY$14),Body!$BW$6,IF('Zdroj data'!N172&gt;=Body!$CB$14,Body!$BZ$6," "))))))))))," "))</f>
        <v>4</v>
      </c>
      <c r="I172" s="269">
        <f>IF(Tabulka1[[#This Row],[kv.ek.]]=Body!$AX$13,IF(AND('Zdroj data'!N172&gt;=Body!$AY$13,'Zdroj data'!N172&lt;=Body!$BA$13),Body!$AY$6,IF(AND('Zdroj data'!N172&gt;=Body!$BB$13,'Zdroj data'!N172&lt;=Body!$BD$13),Body!$BB$6,IF(AND('Zdroj data'!N172&gt;=Body!$BE$13,'Zdroj data'!N172&lt;=Body!$BG$13),Body!$BE$6,IF(AND('Zdroj data'!N172&gt;=Body!$BH$13,'Zdroj data'!N172&lt;=Body!$BJ$13),Body!$BH$6,IF(AND('Zdroj data'!N172&gt;=Body!$BK$13,'Zdroj data'!N172&lt;=Body!$BM$13),Body!$BK$6,IF(AND('Zdroj data'!N172&gt;=Body!$BN$13,'Zdroj data'!N172&lt;=Body!$BP$13),Body!$BN$6,IF(AND('Zdroj data'!N172&gt;=Body!$BQ$13,'Zdroj data'!N172&lt;=Body!$BS$13),Body!$BQ$6,IF(AND('Zdroj data'!N172&gt;=Body!$BT$13,'Zdroj data'!N172&lt;=Body!$BV$13),Body!$BT$6,IF(AND('Zdroj data'!N172&gt;=Body!$BW$13,'Zdroj data'!N172&lt;=Body!$BY$13),Body!$BW$6,IF('Zdroj data'!N172&gt;=Body!$CB$13,Body!$BZ$6," ")))))))))),IF(Tabulka1[[#This Row],[kv.ek.]]=Body!$AX$14,IF(AND('Zdroj data'!O172&gt;=Body!$AY$14,'Zdroj data'!O172&lt;=Body!$BA$14),Body!$AY$6,IF(AND('Zdroj data'!O172&gt;=Body!$BB$14,'Zdroj data'!O172&lt;=Body!$BD$14),Body!$BB$6,IF(AND('Zdroj data'!O172&gt;=Body!$BE$14,'Zdroj data'!O172&lt;=Body!$BG$14),Body!$BE$6,IF(AND('Zdroj data'!O172&gt;=Body!$BH$14,'Zdroj data'!O172&lt;=Body!$BJ$14),Body!$BH$6,IF(AND('Zdroj data'!O172&gt;=Body!$BK$14,'Zdroj data'!O172&lt;=Body!$BM$14),Body!$BK$6,IF(AND('Zdroj data'!O172&gt;=Body!$BN$14,'Zdroj data'!O172&lt;=Body!$BP$14),Body!$BN$6,IF(AND('Zdroj data'!O172&gt;=Body!$BQ$14,'Zdroj data'!O172&lt;=Body!$BS$14),Body!$BQ$6,IF(AND('Zdroj data'!O172&gt;=Body!$BT$14,'Zdroj data'!O172&lt;=Body!$BV$14),Body!$BT$6,IF(AND('Zdroj data'!O172&gt;=Body!$BW$14,'Zdroj data'!O172&lt;=Body!$BY$14),Body!$BW$6,IF('Zdroj data'!O172&gt;=Body!$CB$14,Body!$BZ$6," "))))))))))," "))</f>
        <v>2</v>
      </c>
      <c r="J172" s="264">
        <f>IF(AF172=" ",AH172,AF172)</f>
        <v>1</v>
      </c>
      <c r="K172" s="264">
        <f t="shared" si="35"/>
        <v>1</v>
      </c>
      <c r="L172" s="269">
        <f>IF(AND(Tabulka1[[#This Row],[T_30]]&gt;$AY$12,Tabulka1[[#This Row],[T_30]]&lt;=Body!$BA$12),Body!$AY$6,IF(AND(Tabulka1[[#This Row],[T_30]]&gt;=Body!$BB$12,Tabulka1[[#This Row],[T_30]]&lt;=Body!$BD$12),Body!$BB$6,IF(AND(Tabulka1[[#This Row],[T_30]]&gt;=Body!$BE$12,Tabulka1[[#This Row],[T_30]]&lt;=Body!$BG$12),Body!$BE$6,IF(AND(Tabulka1[[#This Row],[T_30]]&gt;=Body!$BH$12,Tabulka1[[#This Row],[T_30]]&lt;=Body!$BJ$12),Body!$BH$6,IF(AND(Tabulka1[[#This Row],[T_30]]&gt;=Body!$BK$12,Tabulka1[[#This Row],[T_30]]&lt;=Body!$BM$12),Body!$BK$6,IF(AND(Tabulka1[[#This Row],[T_30]]&gt;=Body!$BN$12,Tabulka1[[#This Row],[T_30]]&lt;=Body!$BP$12),Body!$BN$6,IF(AND(Tabulka1[[#This Row],[T_30]]&gt;=Body!$BQ$12,Tabulka1[[#This Row],[T_30]]&lt;=Body!$BS$12),Body!$BQ$6,IF(AND(Tabulka1[[#This Row],[T_30]]&gt;=Body!$BT$12,Tabulka1[[#This Row],[T_30]]&lt;=Body!$BV$12),Body!$BT$6,IF(AND(Tabulka1[[#This Row],[T_30]]&gt;=Body!$BW$12,Tabulka1[[#This Row],[T_30]]&lt;=Body!$BY$12),Body!$BW$6,IF(Tabulka1[[#This Row],[T_30]]&gt;=Body!$CB$12,Body!$BZ$6," "))))))))))</f>
        <v>10</v>
      </c>
      <c r="M172" s="269">
        <f>IF(AND(Tabulka1[[#This Row],[T_60]]&gt;$AY$12,Tabulka1[[#This Row],[T_60]]&lt;=Body!$BA$12),Body!$AY$6,IF(AND(Tabulka1[[#This Row],[T_60]]&gt;=Body!$BB$12,Tabulka1[[#This Row],[T_60]]&lt;=Body!$BD$12),Body!$BB$6,IF(AND(Tabulka1[[#This Row],[T_60]]&gt;=Body!$BE$12,Tabulka1[[#This Row],[T_60]]&lt;=Body!$BG$12),Body!$BE$6,IF(AND(Tabulka1[[#This Row],[T_60]]&gt;=Body!$BH$12,Tabulka1[[#This Row],[T_60]]&lt;=Body!$BJ$12),Body!$BH$6,IF(AND(Tabulka1[[#This Row],[T_60]]&gt;=Body!$BK$12,Tabulka1[[#This Row],[T_60]]&lt;=Body!$BM$12),Body!$BK$6,IF(AND(Tabulka1[[#This Row],[T_60]]&gt;=Body!$BN$12,Tabulka1[[#This Row],[T_60]]&lt;=Body!$BP$12),Body!$BN$6,IF(AND(Tabulka1[[#This Row],[T_60]]&gt;=Body!$BQ$12,Tabulka1[[#This Row],[T_60]]&lt;=Body!$BS$12),Body!$BQ$6,IF(AND(Tabulka1[[#This Row],[T_60]]&gt;=Body!$BT$12,Tabulka1[[#This Row],[T_60]]&lt;=Body!$BV$12),Body!$BT$6,IF(AND(Tabulka1[[#This Row],[T_60]]&gt;=Body!$BW$12,Tabulka1[[#This Row],[T_60]]&lt;=Body!$BY$12),Body!$BW$6,IF(Tabulka1[[#This Row],[T_60]]&gt;=Body!$CB$12,Body!$BZ$6," "))))))))))</f>
        <v>9</v>
      </c>
      <c r="N172" s="269">
        <f>IF(AND(Tabulka1[[#This Row],[V_30]]&gt;$AY$11,Tabulka1[[#This Row],[V_30]]&lt;=Body!$BA$11),Body!$AY$6,IF(AND(Tabulka1[[#This Row],[V_30]]&gt;=Body!$BB$11,Tabulka1[[#This Row],[V_30]]&lt;=Body!$BD$11),Body!$BB$6,IF(AND(Tabulka1[[#This Row],[V_30]]&gt;=Body!$BE$11,Tabulka1[[#This Row],[V_30]]&lt;=Body!$BG$11),Body!$BE$6,IF(AND(Tabulka1[[#This Row],[V_30]]&gt;=Body!$BH$11,Tabulka1[[#This Row],[V_30]]&lt;=Body!$BJ$11),Body!$BH$6,IF(AND(Tabulka1[[#This Row],[V_30]]&gt;=Body!$BK$11,Tabulka1[[#This Row],[V_30]]&lt;=Body!$BM$11),Body!$BK$6,IF(AND(Tabulka1[[#This Row],[V_30]]&gt;=Body!$BN$11,Tabulka1[[#This Row],[V_30]]&lt;=Body!$BP$11),Body!$BN$6,IF(AND(Tabulka1[[#This Row],[V_30]]&gt;=Body!$BQ$11,Tabulka1[[#This Row],[V_30]]&lt;=Body!$BS$11),Body!$BQ$6,IF(AND(Tabulka1[[#This Row],[V_30]]&gt;=Body!$BT$11,Tabulka1[[#This Row],[V_30]]&lt;=Body!$BV$11),Body!$BT$6,IF(AND(Tabulka1[[#This Row],[V_30]]&gt;=Body!$BW$11,Tabulka1[[#This Row],[V_30]]&lt;=Body!$BY$11),Body!$BW$6,IF(AND(Tabulka1[[#This Row],[V_30]]&gt;=Body!$BZ$11,Tabulka1[[#This Row],[V_30]]&lt;=Body!$CB$11),Body!$BZ$6," "))))))))))</f>
        <v>10</v>
      </c>
      <c r="O172" s="269">
        <f>IF(AND(Tabulka1[[#This Row],[V_60]]&gt;$AY$11,Tabulka1[[#This Row],[V_60]]&lt;=Body!$BA$11),Body!$AY$6,IF(AND(Tabulka1[[#This Row],[V_60]]&gt;=Body!$BB$11,Tabulka1[[#This Row],[V_60]]&lt;=Body!$BD$11),Body!$BB$6,IF(AND(Tabulka1[[#This Row],[V_60]]&gt;=Body!$BE$11,Tabulka1[[#This Row],[V_60]]&lt;=Body!$BG$11),Body!$BE$6,IF(AND(Tabulka1[[#This Row],[V_60]]&gt;=Body!$BH$11,Tabulka1[[#This Row],[V_60]]&lt;=Body!$BJ$11),Body!$BH$6,IF(AND(Tabulka1[[#This Row],[V_60]]&gt;=Body!$BK$11,Tabulka1[[#This Row],[V_60]]&lt;=Body!$BM$11),Body!$BK$6,IF(AND(Tabulka1[[#This Row],[V_60]]&gt;=Body!$BN$11,Tabulka1[[#This Row],[V_60]]&lt;=Body!$BP$11),Body!$BN$6,IF(AND(Tabulka1[[#This Row],[V_60]]&gt;=Body!$BQ$11,Tabulka1[[#This Row],[V_60]]&lt;=Body!$BS$11),Body!$BQ$6,IF(AND(Tabulka1[[#This Row],[V_60]]&gt;=Body!$BT$11,Tabulka1[[#This Row],[V_60]]&lt;=Body!$BV$11),Body!$BT$6,IF(AND(Tabulka1[[#This Row],[V_60]]&gt;=Body!$BW$11,Tabulka1[[#This Row],[V_60]]&lt;=Body!$BY$11),Body!$BW$6,IF(AND(Tabulka1[[#This Row],[V_60]]&gt;=Body!$BZ$11,Tabulka1[[#This Row],[V_60]]&lt;=Body!$CB$11),Body!$BZ$6," "))))))))))</f>
        <v>10</v>
      </c>
      <c r="P172" s="269">
        <f>IF(Tabulka1[[#This Row],[RVK]]=Body!$BE$10,Body!$BE$6,IF(Tabulka1[[#This Row],[RVK]]=Body!$BK$10,Body!$BK$6,IF(Tabulka1[[#This Row],[RVK]]=Body!$BN$10,Body!$BN$6,IF(Tabulka1[[#This Row],[RVK]]=Body!$BZ$10,Body!$BZ$6," "))))</f>
        <v>3</v>
      </c>
      <c r="Q172" s="269">
        <f>IF(Tabulka1[[#This Row],[BD_30]]&gt;=Body!$BA$21,Body!$AY$6,IF(AND(Tabulka1[[#This Row],[BD_30]]&gt;=Body!$BD$21,Tabulka1[[#This Row],[BD_30]]&lt;Body!$BB$21),Body!$BB$6,IF(AND(Tabulka1[[#This Row],[BD_30]]&gt;=Body!$BG$21,Tabulka1[[#This Row],[BD_30]]&lt;Body!$BE$21),Body!$BE$6,IF(AND(Tabulka1[[#This Row],[BD_30]]&gt;=Body!$BJ$21,Tabulka1[[#This Row],[BD_30]]&lt;Body!$BH$21),Body!$BH$6,IF(AND(Tabulka1[[#This Row],[BD_30]]&gt;=Body!$BM$21,Tabulka1[[#This Row],[BD_30]]&lt;Body!$BK$21),Body!$BK$6,IF(AND(Tabulka1[[#This Row],[BD_30]]&gt;=Body!$BP$21,Tabulka1[[#This Row],[BD_30]]&lt;Body!$BN$21),Body!$BN$6,IF(AND(Tabulka1[[#This Row],[BD_30]]&gt;=Body!$BS$21,Tabulka1[[#This Row],[BD_30]]&lt;Body!$BQ$21),Body!$BQ$6,IF(AND(Tabulka1[[#This Row],[BD_30]]&gt;=Body!$BV$21,Tabulka1[[#This Row],[BD_30]]&lt;Body!$BT$21),Body!$BT$6,IF(AND(Tabulka1[[#This Row],[BD_30]]&gt;=Body!$BY$21,Tabulka1[[#This Row],[BD_30]]&lt;Body!$BW$21),Body!$BW$6,IF(AND(Tabulka1[[#This Row],[BD_30]]&gt;0,Tabulka1[[#This Row],[BD_30]]&lt;Body!$CB$21),Body!$BZ$6," "))))))))))</f>
        <v>7</v>
      </c>
      <c r="R172" s="269">
        <f>IF(Tabulka1[[#This Row],[BD_60]]&gt;=Body!$BA$21,Body!$AY$6,IF(AND(Tabulka1[[#This Row],[BD_60]]&gt;=Body!$BD$21,Tabulka1[[#This Row],[BD_60]]&lt;Body!$BB$21),Body!$BB$6,IF(AND(Tabulka1[[#This Row],[BD_60]]&gt;=Body!$BG$21,Tabulka1[[#This Row],[BD_60]]&lt;Body!$BE$21),Body!$BE$6,IF(AND(Tabulka1[[#This Row],[BD_60]]&gt;=Body!$BJ$21,Tabulka1[[#This Row],[BD_60]]&lt;Body!$BH$21),Body!$BH$6,IF(AND(Tabulka1[[#This Row],[BD_60]]&gt;=Body!$BM$21,Tabulka1[[#This Row],[BD_60]]&lt;Body!$BK$21),Body!$BK$6,IF(AND(Tabulka1[[#This Row],[BD_60]]&gt;=Body!$BP$21,Tabulka1[[#This Row],[BD_60]]&lt;Body!$BN$21),Body!$BN$6,IF(AND(Tabulka1[[#This Row],[BD_60]]&gt;=Body!$BS$21,Tabulka1[[#This Row],[BD_60]]&lt;Body!$BQ$21),Body!$BQ$6,IF(AND(Tabulka1[[#This Row],[BD_60]]&gt;=Body!$BV$21,Tabulka1[[#This Row],[BD_60]]&lt;Body!$BT$21),Body!$BT$6,IF(AND(Tabulka1[[#This Row],[BD_60]]&gt;=Body!$BY$21,Tabulka1[[#This Row],[BD_60]]&lt;Body!$BW$21),Body!$BW$6,IF(AND(Tabulka1[[#This Row],[BD_60]]&gt;0,Tabulka1[[#This Row],[BD_60]]&lt;Body!$CB$21),Body!$BZ$6," "))))))))))</f>
        <v>7</v>
      </c>
      <c r="S172" s="269">
        <f>IF(AND((Tabulka1[[#This Row],[0,002_30]]+Tabulka1[[#This Row],[ 0,01_30]])&gt;Body!$BB$23,(Tabulka1[[#This Row],[0,002_30]]+Tabulka1[[#This Row],[ 0,01_30]])&lt;=Body!$BD$23),Body!$BB$22,IF(AND((Tabulka1[[#This Row],[0,002_30]]+Tabulka1[[#This Row],[ 0,01_30]])&gt;=Body!$BE$23,(Tabulka1[[#This Row],[0,002_30]]+Tabulka1[[#This Row],[ 0,01_30]])&lt;=Body!$BG$23),Body!$BE$22,IF(AND((Tabulka1[[#This Row],[0,002_30]]+Tabulka1[[#This Row],[ 0,01_30]])&gt;=Body!$BH$23,(Tabulka1[[#This Row],[0,002_30]]+Tabulka1[[#This Row],[ 0,01_30]])&lt;=Body!$BJ$23),Body!$BH$22,IF(AND((Tabulka1[[#This Row],[0,002_30]]+Tabulka1[[#This Row],[ 0,01_30]])&gt;=Body!$BN$23,(Tabulka1[[#This Row],[0,002_30]]+Tabulka1[[#This Row],[ 0,01_30]])&lt;=Body!$BP$23),Body!$BN$22,IF(AND((Tabulka1[[#This Row],[0,002_30]]+Tabulka1[[#This Row],[ 0,01_30]])&gt;=Body!$BQ$23,(Tabulka1[[#This Row],[0,002_30]]+Tabulka1[[#This Row],[ 0,01_30]])&lt;=Body!$BS$23),Body!$BQ$22,IF(AND((Tabulka1[[#This Row],[0,002_30]]+Tabulka1[[#This Row],[ 0,01_30]])&gt;=Body!$BT$23,(Tabulka1[[#This Row],[0,002_30]]+Tabulka1[[#This Row],[ 0,01_30]])&lt;=Body!$BV$23),Body!$BT$22,IF(AND((Tabulka1[[#This Row],[0,002_30]]+Tabulka1[[#This Row],[ 0,01_30]])&gt;=Body!$BZ$23,(Tabulka1[[#This Row],[0,002_30]]+Tabulka1[[#This Row],[ 0,01_30]])&lt;=Body!$CB$23),Body!$BZ$22,IF(AND((Tabulka1[[#This Row],[0,002_30]]+Tabulka1[[#This Row],[ 0,01_30]])&gt;=Body!$BW$24,(Tabulka1[[#This Row],[0,002_30]]+Tabulka1[[#This Row],[ 0,01_30]])&lt;=Body!$BY$24),Body!$BW$22,IF(AND((Tabulka1[[#This Row],[0,002_30]]+Tabulka1[[#This Row],[ 0,01_30]])&gt;=Body!$BQ$24,(Tabulka1[[#This Row],[0,002_30]]+Tabulka1[[#This Row],[ 0,01_30]])&lt;=Body!$BS$24),Body!$BQ$22,IF(AND((Tabulka1[[#This Row],[0,002_30]]+Tabulka1[[#This Row],[ 0,01_30]])&gt;=Body!$BN$24,(Tabulka1[[#This Row],[0,002_30]]+Tabulka1[[#This Row],[ 0,01_30]])&lt;=Body!$BP$24),Body!$BN$22,IF(AND((Tabulka1[[#This Row],[0,002_30]]+Tabulka1[[#This Row],[ 0,01_30]])&gt;=Body!$BK$24,(Tabulka1[[#This Row],[0,002_30]]+Tabulka1[[#This Row],[ 0,01_30]])&lt;=Body!$BM$24),Body!$BK$22,IF(AND((Tabulka1[[#This Row],[0,002_30]]+Tabulka1[[#This Row],[ 0,01_30]])&gt;=Body!$BH$24,(Tabulka1[[#This Row],[0,002_30]]+Tabulka1[[#This Row],[ 0,01_30]])&lt;=Body!$BJ$24),Body!$BH$22,IF(AND((Tabulka1[[#This Row],[0,002_30]]+Tabulka1[[#This Row],[ 0,01_30]])&gt;=Body!$BE$24,(Tabulka1[[#This Row],[0,002_30]]+Tabulka1[[#This Row],[ 0,01_30]])&lt;=Body!$BG$24),Body!$BE$22,IF(AND((Tabulka1[[#This Row],[0,002_30]]+Tabulka1[[#This Row],[ 0,01_30]])&gt;=Body!$BB$24,(Tabulka1[[#This Row],[0,002_30]]+Tabulka1[[#This Row],[ 0,01_30]])&lt;=Body!$BD$24),Body!$BB$22,IF(AND((Tabulka1[[#This Row],[0,002_30]]+Tabulka1[[#This Row],[ 0,01_30]])&gt;=Body!$BA$24,(Tabulka1[[#This Row],[0,002_30]]+Tabulka1[[#This Row],[ 0,01_30]])&lt;=Body!$AY$24),Body!$AY$22," ")))))))))))))))</f>
        <v>6</v>
      </c>
      <c r="T172" s="269">
        <f>IF(AND((Tabulka1[[#This Row],[0,002_60]]+Tabulka1[[#This Row],[0,01_60]])&gt;Body!$BB$23,(Tabulka1[[#This Row],[0,002_60]]+Tabulka1[[#This Row],[0,01_60]])&lt;=Body!$BD$23),Body!$BB$22,IF(AND((Tabulka1[[#This Row],[0,002_60]]+Tabulka1[[#This Row],[0,01_60]])&gt;=Body!$BE$23,(Tabulka1[[#This Row],[0,002_60]]+Tabulka1[[#This Row],[0,01_60]])&lt;=Body!$BG$23),Body!$BE$22,IF(AND((Tabulka1[[#This Row],[0,002_60]]+Tabulka1[[#This Row],[0,01_60]])&gt;=Body!$BH$23,(Tabulka1[[#This Row],[0,002_60]]+Tabulka1[[#This Row],[0,01_60]])&lt;=Body!$BJ$23),Body!$BH$22,IF(AND((Tabulka1[[#This Row],[0,002_60]]+Tabulka1[[#This Row],[0,01_60]])&gt;=Body!$BN$23,(Tabulka1[[#This Row],[0,002_60]]+Tabulka1[[#This Row],[0,01_60]])&lt;=Body!$BP$23),Body!$BN$22,IF(AND((Tabulka1[[#This Row],[0,002_60]]+Tabulka1[[#This Row],[0,01_60]])&gt;=Body!$BQ$23,(Tabulka1[[#This Row],[0,002_60]]+Tabulka1[[#This Row],[0,01_60]])&lt;=Body!$BS$23),Body!$BQ$22,IF(AND((Tabulka1[[#This Row],[0,002_60]]+Tabulka1[[#This Row],[0,01_60]])&gt;=Body!$BT$23,(Tabulka1[[#This Row],[0,002_60]]+Tabulka1[[#This Row],[0,01_60]])&lt;=Body!$BV$23),Body!$BT$22,IF(AND((Tabulka1[[#This Row],[0,002_60]]+Tabulka1[[#This Row],[0,01_60]])&gt;=Body!$BZ$23,(Tabulka1[[#This Row],[0,002_60]]+Tabulka1[[#This Row],[0,01_60]])&lt;=Body!$CB$23),Body!$BZ$22,IF(AND((Tabulka1[[#This Row],[0,002_60]]+Tabulka1[[#This Row],[0,01_60]])&gt;=Body!$BW$24,(Tabulka1[[#This Row],[0,002_60]]+Tabulka1[[#This Row],[0,01_60]])&lt;=Body!$BY$24),Body!$BW$22,IF(AND((Tabulka1[[#This Row],[0,002_60]]+Tabulka1[[#This Row],[0,01_60]])&gt;=Body!$BQ$24,(Tabulka1[[#This Row],[0,002_60]]+Tabulka1[[#This Row],[0,01_60]])&lt;=Body!$BS$24),Body!$BQ$22,IF(AND((Tabulka1[[#This Row],[0,002_60]]+Tabulka1[[#This Row],[0,01_60]])&gt;=Body!$BN$24,(Tabulka1[[#This Row],[0,002_60]]+Tabulka1[[#This Row],[0,01_60]])&lt;=Body!$BP$24),Body!$BN$22,IF(AND((Tabulka1[[#This Row],[0,002_60]]+Tabulka1[[#This Row],[0,01_60]])&gt;=Body!$BK$24,(Tabulka1[[#This Row],[0,002_60]]+Tabulka1[[#This Row],[0,01_60]])&lt;=Body!$BM$24),Body!$BK$22,IF(AND((Tabulka1[[#This Row],[0,002_60]]+Tabulka1[[#This Row],[0,01_60]])&gt;=Body!$BH$24,(Tabulka1[[#This Row],[0,002_60]]+Tabulka1[[#This Row],[0,01_60]])&lt;=Body!$BJ$24),Body!$BH$22,IF(AND((Tabulka1[[#This Row],[0,002_60]]+Tabulka1[[#This Row],[0,01_60]])&gt;=Body!$BE$24,(Tabulka1[[#This Row],[0,002_60]]+Tabulka1[[#This Row],[0,01_60]])&lt;=Body!$BG$24),Body!$BE$22,IF(AND((Tabulka1[[#This Row],[0,002_60]]+Tabulka1[[#This Row],[0,01_60]])&gt;=Body!$BB$24,(Tabulka1[[#This Row],[0,002_60]]+Tabulka1[[#This Row],[0,01_60]])&lt;=Body!$BD$24),Body!$BB$22,IF(AND((Tabulka1[[#This Row],[0,002_60]]+Tabulka1[[#This Row],[0,01_60]])&gt;=Body!$BA$24,(Tabulka1[[#This Row],[0,002_60]]+Tabulka1[[#This Row],[0,01_60]])&lt;=Body!$AY$24),Body!$AY$22," ")))))))))))))))</f>
        <v>6</v>
      </c>
      <c r="U172" s="269">
        <f>IF('Zdroj data'!BB172=Body!$AY$25,Body!$AY$22,IF('Zdroj data'!BB172=Body!$BB$25,Body!$BB$22,IF('Zdroj data'!BB172=Body!$BE$25,Body!$BE$22,IF('Zdroj data'!BB172=Body!$BH$25,Body!$BH$22,IF('Zdroj data'!BB172=Body!BK$25,Body!$BK$22,IF('Zdroj data'!BB172=Body!$BN$25,Body!$BN$22,IF('Zdroj data'!BB172=Body!$BQ$25,Body!$BQ$22,IF('Zdroj data'!BB172=Body!$BT$25,Body!$BT$22,IF('Zdroj data'!BB172=Body!$BW$25,Body!$BW$22,IF('Zdroj data'!BB172=Body!$BZ$25,Body!$BZ$22," "))))))))))</f>
        <v>7</v>
      </c>
      <c r="V172" s="269">
        <f>IF(AND('Zdroj data'!BO172&gt;Body!$AY$27,'Zdroj data'!BO172&lt;=Body!$BA$27),Body!$AY$22,IF(AND('Zdroj data'!BO172&gt;=Body!$BB$27,'Zdroj data'!BO172&lt;=Body!$BD$27),Body!$BB$22,IF(AND('Zdroj data'!BO172&gt;=Body!$BE$27,'Zdroj data'!BO172&lt;=Body!$BG$27),Body!$BE$22,IF(AND('Zdroj data'!BO172&gt;=Body!$BH$27,'Zdroj data'!BO172&lt;=Body!$BJ$27),Body!$BH$22,IF(AND('Zdroj data'!BO172&gt;=Body!$BK$27,'Zdroj data'!BO172&lt;=Body!$BM$27),Body!$BK$22,IF(AND('Zdroj data'!BO172&gt;=Body!$BN$27,'Zdroj data'!BO172&lt;=Body!$BP$27),Body!$BN$22,IF(AND('Zdroj data'!BO172&gt;=Body!$BQ$27,'Zdroj data'!BO172&lt;=Body!$BS$27),Body!$BQ$22,IF(AND('Zdroj data'!BO172&gt;=Body!$BT$27,'Zdroj data'!BO172&lt;=Body!$BV$27),Body!$BT$22,IF(AND('Zdroj data'!BO172&gt;=Body!$BW$27,'Zdroj data'!BO172&lt;=Body!$BY$27),Body!$BW$22,IF('Zdroj data'!BO172&gt;=Body!$CB$27,$BZ$22," "))))))))))</f>
        <v>8</v>
      </c>
      <c r="W172" s="269">
        <f>IF(AND('Zdroj data'!BP172&gt;Body!$AY$27,'Zdroj data'!BP172&lt;=Body!$BA$27),Body!$AY$22,IF(AND('Zdroj data'!BP172&gt;=Body!$BB$27,'Zdroj data'!BP172&lt;=Body!$BD$27),Body!$BB$22,IF(AND('Zdroj data'!BP172&gt;=Body!$BE$27,'Zdroj data'!BP172&lt;=Body!$BG$27),Body!$BE$22,IF(AND('Zdroj data'!BP172&gt;=Body!$BH$27,'Zdroj data'!BP172&lt;=Body!$BJ$27),Body!$BH$22,IF(AND('Zdroj data'!BP172&gt;=Body!$BK$27,'Zdroj data'!BP172&lt;=Body!$BM$27),Body!$BK$22,IF(AND('Zdroj data'!BP172&gt;=Body!$BN$27,'Zdroj data'!BP172&lt;=Body!$BP$27),Body!$BN$22,IF(AND('Zdroj data'!BP172&gt;=Body!$BQ$27,'Zdroj data'!BP172&lt;=Body!$BS$27),Body!$BQ$22,IF(AND('Zdroj data'!BP172&gt;=Body!$BT$27,'Zdroj data'!BP172&lt;=Body!$BV$27),Body!$BT$22,IF(AND('Zdroj data'!BP172&gt;=Body!$BW$27,'Zdroj data'!BP172&lt;=Body!$BY$27),Body!$BW$22,IF('Zdroj data'!BP172&gt;=Body!$CB$27,$BZ$22," "))))))))))</f>
        <v>6</v>
      </c>
      <c r="X172" s="269">
        <f>IF('Zdroj data'!BA172=Body!$BB$28,$BB$22,IF('Zdroj data'!BA172=Body!$BE$28,$BE$22,IF(OR('Zdroj data'!BA172=Body!$BK$28,'Zdroj data'!BA172=Body!$BL$28,'Zdroj data'!BA172=Body!$BM$28),$BK$22,IF(OR('Zdroj data'!BA172=Body!$BT$28,'Zdroj data'!BA172=Body!$BV$28),$BT$22,IF(OR('Zdroj data'!BA172=Body!$BW$28,'Zdroj data'!BA172=Body!$BY$28),$BW$22,IF('Zdroj data'!BA172=Body!$BZ$28,$BZ$22," "))))))</f>
        <v>10</v>
      </c>
      <c r="Y172" s="269">
        <f>IF('Zdroj data'!AZ172=Body!$BZ$29,Body!$BZ$22,IF(OR('Zdroj data'!AZ172=$BT$29,'Zdroj data'!AZ172=$BU$29,'Zdroj data'!AZ172=$BV$29),$BT$22,IF(OR('Zdroj data'!AZ172=$BK$29,'Zdroj data'!AZ172=$BM$29),$BK$22,IF(OR('Zdroj data'!AZ172=$BE$29,'Zdroj data'!AZ172=$BG$29),$BE$22,IF(OR('Zdroj data'!AZ172=$AY$29,'Zdroj data'!AZ172=$BA$29),$AY$22," ")))))</f>
        <v>10</v>
      </c>
      <c r="Z172" s="264">
        <f>IF(AND('Zdroj data'!BF172="T",(OR('Zdroj data'!AZ172=Body!$AW$45,'Zdroj data'!AZ172=Body!$AW$46,'Zdroj data'!AZ172=Body!$AW$47,'Zdroj data'!AZ172=Body!$AW$48))),Body!$AY$22,IF(AND('Zdroj data'!BF172="T",(OR('Zdroj data'!AZ172=$AW$49,'Zdroj data'!AZ172=$AW$50,'Zdroj data'!AZ172=$AW$51,'Zdroj data'!AZ172=$AW$52))),$BZ$22,IF(AND(OR('Zdroj data'!BF172="VT",'Zdroj data'!BF172="T",'Zdroj data'!BF172="CH"),(OR('Zdroj data'!AZ172=$AW$43,'Zdroj data'!AZ172=$AW$44,))),$BZ$22,IF(AND('Zdroj data'!BF172="CH",(OR('Zdroj data'!AZ172=$AW$49,'Zdroj data'!AZ172=$AW$50,'Zdroj data'!AZ172=$AW$51,'Zdroj data'!AZ172=$AW$52))),$AY$22,IF(AND('Zdroj data'!BF172="CH",(OR('Zdroj data'!AZ172=$AW$45,'Zdroj data'!AZ172=$AW$46,'Zdroj data'!AZ172=$AW$47,'Zdroj data'!AZ172=$AW$48))),$BZ$22," ")))))</f>
        <v>10</v>
      </c>
      <c r="AA172" s="264">
        <f>IF(Tabulka1[[#This Row],[HSP]]=Body!$AY$36,Body!$AY$22,IF(Tabulka1[[#This Row],[HSP]]=Body!$BE$36,Body!$BE$22,IF(Tabulka1[[#This Row],[HSP]]=Body!$BK$36,Body!$BK$22,IF(Tabulka1[[#This Row],[HSP]]=Body!$BZ$36,Body!$BZ$22,IF(Tabulka1[[#This Row],[HSP]]="B/D",$BE$22," ")))))</f>
        <v>5</v>
      </c>
      <c r="AB172" s="264">
        <f>IF(Tabulka1[[#This Row],[kv.ek.]]=Body!$BK$35,Body!$BK$34,IF(Tabulka1[[#This Row],[kv.ek.]]=Body!$BZ$35,Body!$BZ$34," "))</f>
        <v>5</v>
      </c>
      <c r="AC172" s="264" t="str">
        <f>IF(AND('Zdroj data'!BF172="T",(OR('Zdroj data'!AZ172=Body!$AW$45,'Zdroj data'!AZ172=Body!$AW$46,'Zdroj data'!AZ172=Body!$AW$47,'Zdroj data'!AZ172=Body!$AW$48))),Body!$AY$22,IF(AND('Zdroj data'!BF172="T",(OR('Zdroj data'!AZ172=$AW$49,'Zdroj data'!AZ172=$AW$50,'Zdroj data'!AZ172=$AW$51,'Zdroj data'!AZ172=$AW$52))),$BZ$22," "))</f>
        <v xml:space="preserve"> </v>
      </c>
      <c r="AD172" s="264">
        <f>IF(AND(OR('Zdroj data'!BF172="VT",'Zdroj data'!BF172="T",'Zdroj data'!BF172="CH"),(OR('Zdroj data'!AZ172=$AW$43,'Zdroj data'!AZ172=$AW$44,))),$BZ$22," ")</f>
        <v>10</v>
      </c>
      <c r="AE172" s="264" t="str">
        <f>IF(AND('Zdroj data'!BF172="CH",(OR('Zdroj data'!AZ172=$AW$49,'Zdroj data'!AZ172=$AW$50,'Zdroj data'!AZ172=$AW$51,'Zdroj data'!AZ172=$AW$52))),$AY$22,IF(AND('Zdroj data'!BF172="CH",(OR('Zdroj data'!AZ172=$AW$45,'Zdroj data'!AZ172=$AW$46,'Zdroj data'!AZ172=$AW$47,'Zdroj data'!AZ172=$AW$48))),$BZ$22," "))</f>
        <v xml:space="preserve"> </v>
      </c>
      <c r="AF172" s="264">
        <f>IF(AND('Zdroj data'!BG172="L",'Zdroj data'!AM172=Body!$AX$15),IF(AND('Zdroj data'!O172&gt;=Body!$AY$15,'Zdroj data'!O172&lt;=Body!$BA$15),Body!AY$6,IF(AND('Zdroj data'!O172&gt;=Body!$BB$15,'Zdroj data'!O172&lt;=Body!$BD$15),Body!BB$6,IF(AND('Zdroj data'!O172&gt;=Body!$BE$15,'Zdroj data'!O172&lt;=Body!$BG$15),Body!BE$6,IF(AND('Zdroj data'!O172&gt;=Body!$BH$15,'Zdroj data'!O172&lt;=Body!$BJ$15),Body!BH$6,IF(AND('Zdroj data'!O172&gt;=Body!$BK$15,'Zdroj data'!O172&lt;=Body!$BM$15),Body!BK$6,IF(AND('Zdroj data'!O172&gt;=Body!$BN$15,'Zdroj data'!O172&lt;=Body!$BP$15),Body!$BN$6,IF(AND('Zdroj data'!O172&gt;=Body!$BQ$15,'Zdroj data'!O172&lt;=Body!$BS$15),Body!$BQ$6,IF(AND('Zdroj data'!O172&gt;=Body!$BT$15,'Zdroj data'!O172&lt;=Body!$BV$15),Body!BT$6,IF(AND('Zdroj data'!O172&gt;=Body!$BW$15,'Zdroj data'!O172&lt;=Body!$BY$15),Body!$BW$6,IF('Zdroj data'!O172&gt;=Body!$CB$15,Body!$BZ$6," ")))))))))),IF(AND('Zdroj data'!BG172="ST",'Zdroj data'!AM172=Body!$AX$16),IF(AND('Zdroj data'!O172&gt;=Body!$AY$16,'Zdroj data'!O172&lt;=Body!$BA$16),Body!$AY$6,IF(AND('Zdroj data'!O172&gt;=Body!$BB$16,'Zdroj data'!O172&lt;=Body!$BD$16),Body!$BB$6,IF(AND('Zdroj data'!O172&gt;=Body!$BE$16,'Zdroj data'!O172&lt;=Body!$BG$16),Body!$BE$6,IF(AND('Zdroj data'!O172&gt;=Body!$BH$16,'Zdroj data'!O172&lt;=Body!$BJ$16),Body!$BH$6,IF(AND('Zdroj data'!O172&gt;=Body!$BK$16,'Zdroj data'!O172&lt;=Body!$BM$16),Body!$BK$6,IF(AND('Zdroj data'!O172&gt;=Body!$BN$16,'Zdroj data'!O172&lt;=Body!$BP$16),Body!$BN$6,IF(AND('Zdroj data'!O172&gt;=Body!$BQ$16,'Zdroj data'!O172&lt;=Body!$BS$16),Body!$BQ$6,IF(AND('Zdroj data'!O172&gt;=Body!$BT$16,'Zdroj data'!O172&lt;=Body!$BV$16),Body!$BT$6,IF(AND('Zdroj data'!O172&gt;=Body!$BW$16,'Zdroj data'!O172&lt;=Body!$BY$16),Body!$BW$6,IF('Zdroj data'!O172&gt;=Body!$CB$16,Body!$BZ$6," ")))))))))),IF(AND('Zdroj data'!BG172="T",'Zdroj data'!AM172=Body!$AX$17),IF(AND('Zdroj data'!O172&gt;=Body!$AY$17,'Zdroj data'!O172&lt;=Body!$BA$17),Body!$AY$6,IF(AND('Zdroj data'!O172&gt;=Body!$BB$17,'Zdroj data'!O172&lt;=Body!$BD$17),Body!$BB$6,IF(AND('Zdroj data'!O172&gt;=Body!$BE$17,'Zdroj data'!O172&lt;=Body!$BG$17),Body!$BE$6,IF(AND('Zdroj data'!O172&gt;=Body!$BH$17,'Zdroj data'!O172&lt;=Body!#REF!),Body!$BH$6,IF(AND('Zdroj data'!O172&gt;=Body!$BK$17,'Zdroj data'!O172&lt;=Body!$BM$17),Body!$BK$6,IF(AND('Zdroj data'!O172&gt;=Body!$BN$17,'Zdroj data'!O172&lt;=Body!$BP$17),Body!$BN$6,IF(AND('Zdroj data'!O172&gt;=Body!$BQ$17,'Zdroj data'!O172&lt;=Body!$BS$17),Body!$BQ$6,IF(AND('Zdroj data'!O172&gt;=Body!$BT$17,'Zdroj data'!O172&lt;=Body!$BV$17),Body!$BT$6,IF(AND('Zdroj data'!O172&gt;=Body!$BW$17,'Zdroj data'!O172&lt;=Body!$BY$17),Body!$BW$6,IF('Zdroj data'!O172&gt;=Body!$CB$17,Body!$BZ$6," "))))))))))," ")))</f>
        <v>1</v>
      </c>
      <c r="AG172" s="264">
        <f>IF(AND('Zdroj data'!$BG172="L",'Zdroj data'!$AM172=Body!$AX$15),IF(AND(Tabulka1[[#This Row],[K2O_60]]&gt;=Body!$AY$15,Tabulka1[[#This Row],[K2O_60]]&lt;=Body!$BA$15),Body!AY$6,IF(AND(Tabulka1[[#This Row],[K2O_60]]&gt;=Body!$BB$15,Tabulka1[[#This Row],[K2O_60]]&lt;=Body!$BD$15),Body!BB$6,IF(AND(Tabulka1[[#This Row],[K2O_60]]&gt;=Body!$BE$15,Tabulka1[[#This Row],[K2O_60]]&lt;=Body!$BG$15),Body!BE$6,IF(AND(Tabulka1[[#This Row],[K2O_60]]&gt;=Body!$BH$15,Tabulka1[[#This Row],[K2O_60]]&lt;=Body!$BJ$15),Body!BH$6,IF(AND(Tabulka1[[#This Row],[K2O_60]]&gt;=Body!$BK$15,Tabulka1[[#This Row],[K2O_60]]&lt;=Body!$BM$15),Body!BK$6,IF(AND(Tabulka1[[#This Row],[K2O_60]]&gt;=Body!$BN$15,Tabulka1[[#This Row],[K2O_60]]&lt;=Body!$BP$15),Body!$BN$6,IF(AND(Tabulka1[[#This Row],[K2O_60]]&gt;=Body!$BQ$15,Tabulka1[[#This Row],[K2O_60]]&lt;=Body!$BS$15),Body!$BQ$6,IF(AND(Tabulka1[[#This Row],[K2O_60]]&gt;=Body!$BT$15,Tabulka1[[#This Row],[K2O_60]]&lt;=Body!$BV$15),Body!BT$6,IF(AND(Tabulka1[[#This Row],[K2O_60]]&gt;=Body!$BW$15,Tabulka1[[#This Row],[K2O_60]]&lt;=Body!$BY$15),Body!$BW$6,IF(Tabulka1[[#This Row],[K2O_60]]&gt;=Body!$CB$15,Body!$BZ$6," ")))))))))),IF(AND('Zdroj data'!$BG172="ST",'Zdroj data'!$AM172=Body!$AX$16),IF(AND(Tabulka1[[#This Row],[K2O_60]]&gt;=Body!$AY$16,Tabulka1[[#This Row],[K2O_60]]&lt;=Body!$BA$16),Body!$AY$6,IF(AND(Tabulka1[[#This Row],[K2O_60]]&gt;=Body!$BB$16,Tabulka1[[#This Row],[K2O_60]]&lt;=Body!$BD$16),Body!$BB$6,IF(AND(Tabulka1[[#This Row],[K2O_60]]&gt;=Body!$BE$16,Tabulka1[[#This Row],[K2O_60]]&lt;=Body!$BG$16),Body!$BE$6,IF(AND(Tabulka1[[#This Row],[K2O_60]]&gt;=Body!$BH$16,Tabulka1[[#This Row],[K2O_60]]&lt;=Body!$BJ$16),Body!$BH$6,IF(AND(Tabulka1[[#This Row],[K2O_60]]&gt;=Body!$BK$16,Tabulka1[[#This Row],[K2O_60]]&lt;=Body!$BM$16),Body!$BK$6,IF(AND(Tabulka1[[#This Row],[K2O_60]]&gt;=Body!$BN$16,Tabulka1[[#This Row],[K2O_60]]&lt;=Body!$BP$16),Body!$BN$6,IF(AND(Tabulka1[[#This Row],[K2O_60]]&gt;=Body!$BQ$16,Tabulka1[[#This Row],[K2O_60]]&lt;=Body!$BS$16),Body!$BQ$6,IF(AND(Tabulka1[[#This Row],[K2O_60]]&gt;=Body!$BT$16,Tabulka1[[#This Row],[K2O_60]]&lt;=Body!$BV$16),Body!$BT$6,IF(AND(Tabulka1[[#This Row],[K2O_60]]&gt;=Body!$BW$16,Tabulka1[[#This Row],[K2O_60]]&lt;=Body!$BY$16),Body!$BW$6,IF(Tabulka1[[#This Row],[K2O_60]]&gt;=Body!$CB$16,Body!$BZ$6," ")))))))))),IF(AND('Zdroj data'!$BG172="T",'Zdroj data'!$AM172=Body!$AX$17),IF(AND(Tabulka1[[#This Row],[K2O_60]]&gt;=Body!$AY$17,Tabulka1[[#This Row],[K2O_60]]&lt;=Body!$BA$17),Body!$AY$6,IF(AND(Tabulka1[[#This Row],[K2O_60]]&gt;=Body!$BB$17,Tabulka1[[#This Row],[K2O_60]]&lt;=Body!$BD$17),Body!$BB$6,IF(AND(Tabulka1[[#This Row],[K2O_60]]&gt;=Body!$BE$17,Tabulka1[[#This Row],[K2O_60]]&lt;=Body!$BG$17),Body!$BE$6,IF(AND(Tabulka1[[#This Row],[K2O_60]]&gt;=Body!$BH$17,Tabulka1[[#This Row],[K2O_60]]&lt;=Body!#REF!),Body!$BH$6,IF(AND(Tabulka1[[#This Row],[K2O_60]]&gt;=Body!$BK$17,Tabulka1[[#This Row],[K2O_60]]&lt;=Body!$BM$17),Body!$BK$6,IF(AND(Tabulka1[[#This Row],[K2O_60]]&gt;=Body!$BN$17,Tabulka1[[#This Row],[K2O_60]]&lt;=Body!$BP$17),Body!$BN$6,IF(AND(Tabulka1[[#This Row],[K2O_60]]&gt;=Body!$BQ$17,Tabulka1[[#This Row],[K2O_60]]&lt;=Body!$BS$17),Body!$BQ$6,IF(AND(Tabulka1[[#This Row],[K2O_60]]&gt;=Body!$BT$17,Tabulka1[[#This Row],[K2O_60]]&lt;=Body!$BV$17),Body!$BT$6,IF(AND(Tabulka1[[#This Row],[K2O_60]]&gt;=Body!$BW$17,Tabulka1[[#This Row],[K2O_60]]&lt;=Body!$BY$17),Body!$BW$6,IF(Tabulka1[[#This Row],[K2O_60]]&gt;=Body!$CB$17,Body!$BZ$6," "))))))))))," ")))</f>
        <v>1</v>
      </c>
      <c r="AH172" s="264" t="str">
        <f>IF(AND('Zdroj data'!BG172="L",'Zdroj data'!AM172=Body!$AX$18),IF(AND('Zdroj data'!O172&gt;=Body!$AY$18,'Zdroj data'!O172&lt;=Body!$BA$18),Body!AY$6,IF(AND('Zdroj data'!O172&gt;=Body!$BB$18,'Zdroj data'!O172&lt;=Body!$BD$18),Body!BB$6,IF(AND('Zdroj data'!O172&gt;=Body!$BE$18,'Zdroj data'!O172&lt;=Body!$BG$18),Body!BE$6,IF(AND('Zdroj data'!O172&gt;=Body!$BH$18,'Zdroj data'!O172&lt;=Body!$BJ$18),Body!BH$6,IF(AND('Zdroj data'!O172&gt;=Body!$BK$18,'Zdroj data'!O172&lt;=Body!$BM$18),Body!$BK$6,IF(AND('Zdroj data'!O172&gt;=Body!$BN$18,'Zdroj data'!O172&lt;=Body!$BP$18),Body!BN$6,IF(AND('Zdroj data'!O172&gt;=Body!$BQ$18,'Zdroj data'!O172&lt;=Body!$BS$18),Body!$BQ$6,IF(AND('Zdroj data'!O172&gt;=Body!$BT$18,'Zdroj data'!O172&lt;=Body!$BV$18),Body!$BT$6,IF(AND('Zdroj data'!O172&gt;=Body!$BW$18,'Zdroj data'!O172&lt;=Body!$BY$18),Body!$BW$6,IF('Zdroj data'!O172&gt;=Body!$CB$18,Body!$BZ$6," ")))))))))),IF(AND('Zdroj data'!BG172="ST",'Zdroj data'!AM172=Body!$AX$19),IF(AND('Zdroj data'!O172&gt;=Body!$AY$19,'Zdroj data'!O172&lt;=Body!$BA$19),Body!$AY$6,IF(AND('Zdroj data'!O172&gt;=Body!$BB$19,'Zdroj data'!O172&lt;=Body!$BD$19),Body!$BB$6,IF(AND('Zdroj data'!O172&gt;=Body!$BE$19,'Zdroj data'!O172&lt;=Body!$BG$19),Body!$BE$6,IF(AND('Zdroj data'!O172&gt;=Body!$BH$19,'Zdroj data'!O172&lt;=Body!$BJ$19),Body!$BH$6,IF(AND('Zdroj data'!O172&gt;=Body!$BK$19,'Zdroj data'!O172&lt;=Body!$BM$19),Body!$BK$6,IF(AND('Zdroj data'!O172&gt;=Body!$BN$19,'Zdroj data'!O172&lt;=Body!$BP$19),Body!$BN$6,IF(AND('Zdroj data'!O172&gt;=Body!$BQ$19,'Zdroj data'!O172&lt;=Body!$BS$19),Body!$BQ$6,IF(AND('Zdroj data'!O172&gt;=Body!$BT$19,'Zdroj data'!#REF!&lt;=Body!$BV$19),Body!$BT$6,IF(AND('Zdroj data'!O172&gt;=Body!$BW$19,'Zdroj data'!O172&lt;=Body!$BY$19),Body!$BW$6,IF('Zdroj data'!O172&gt;=Body!$CB$19,Body!$BZ$6," ")))))))))),IF(AND('Zdroj data'!BG172="T",'Zdroj data'!AM172=Body!$AX$20),IF(AND('Zdroj data'!O172&gt;=Body!$AY$20,'Zdroj data'!O172&lt;=Body!$BA$20),Body!$AY$6,IF(AND('Zdroj data'!O172&gt;=Body!$BB$20,'Zdroj data'!O172&lt;=Body!$BD$20),Body!$BB$6,IF(AND('Zdroj data'!O172&gt;=Body!$BE$20,'Zdroj data'!O172&lt;=Body!$BG$20),Body!$BE$6,IF(AND('Zdroj data'!O172&gt;=Body!$BH$20,'Zdroj data'!O172&lt;=Body!$BJ$20),Body!$BH$6,IF(AND('Zdroj data'!O172&gt;=Body!$BK$20,'Zdroj data'!O172&lt;=Body!$BM$20),Body!$BK$6,IF(AND('Zdroj data'!O172&gt;=Body!$BN$20,'Zdroj data'!O172&lt;=Body!$BP$20),Body!$BN$6,IF(AND('Zdroj data'!O172&gt;=Body!$BQ$20,'Zdroj data'!O172&lt;=Body!$BS$20),Body!$BQ$6,IF(AND('Zdroj data'!O172&gt;=Body!$BT$20,'Zdroj data'!O172&lt;=Body!#REF!),Body!$BT$6,IF(AND('Zdroj data'!O172&gt;=Body!$BW$20,'Zdroj data'!O172&lt;=Body!$BY$20),Body!$BW$6,IF('Zdroj data'!O172&gt;=Body!$CB$20,Body!$BZ$6," "))))))))))," ")))</f>
        <v xml:space="preserve"> </v>
      </c>
      <c r="AI172" s="264" t="str">
        <f>IF(AND('Zdroj data'!$BG172="L",'Zdroj data'!$AM172=Body!$AX$18),IF(AND(Tabulka1[[#This Row],[K2O_60]]&gt;=Body!$AY$18,Tabulka1[[#This Row],[K2O_60]]&lt;=Body!$BA$18),Body!AY$6,IF(AND(Tabulka1[[#This Row],[K2O_60]]&gt;=Body!$BB$18,Tabulka1[[#This Row],[K2O_60]]&lt;=Body!$BD$18),Body!BB$6,IF(AND(Tabulka1[[#This Row],[K2O_60]]&gt;=Body!$BE$18,Tabulka1[[#This Row],[K2O_60]]&lt;=Body!$BG$18),Body!BE$6,IF(AND(Tabulka1[[#This Row],[K2O_60]]&gt;=Body!$BH$18,Tabulka1[[#This Row],[K2O_60]]&lt;=Body!$BJ$18),Body!BH$6,IF(AND(Tabulka1[[#This Row],[K2O_60]]&gt;=Body!$BK$18,Tabulka1[[#This Row],[K2O_60]]&lt;=Body!$BM$18),Body!$BK$6,IF(AND(Tabulka1[[#This Row],[K2O_60]]&gt;=Body!$BN$18,Tabulka1[[#This Row],[K2O_60]]&lt;=Body!$BP$18),Body!BN$6,IF(AND(Tabulka1[[#This Row],[K2O_60]]&gt;=Body!$BQ$18,Tabulka1[[#This Row],[K2O_60]]&lt;=Body!$BS$18),Body!$BQ$6,IF(AND(Tabulka1[[#This Row],[K2O_60]]&gt;=Body!$BT$18,Tabulka1[[#This Row],[K2O_60]]&lt;=Body!$BV$18),Body!$BT$6,IF(AND(Tabulka1[[#This Row],[K2O_60]]&gt;=Body!$BW$18,Tabulka1[[#This Row],[K2O_60]]&lt;=Body!$BY$18),Body!$BW$6,IF(Tabulka1[[#This Row],[K2O_60]]&gt;=Body!$CB$18,Body!$BZ$6," ")))))))))),IF(AND('Zdroj data'!$BG172="ST",'Zdroj data'!$AM172=Body!$AX$19),IF(AND(Tabulka1[[#This Row],[K2O_60]]&gt;=Body!$AY$19,Tabulka1[[#This Row],[K2O_60]]&lt;=Body!$BA$19),Body!$AY$6,IF(AND(Tabulka1[[#This Row],[K2O_60]]&gt;=Body!$BB$19,Tabulka1[[#This Row],[K2O_60]]&lt;=Body!$BD$19),Body!$BB$6,IF(AND(Tabulka1[[#This Row],[K2O_60]]&gt;=Body!$BE$19,Tabulka1[[#This Row],[K2O_60]]&lt;=Body!$BG$19),Body!$BE$6,IF(AND(Tabulka1[[#This Row],[K2O_60]]&gt;=Body!$BH$19,Tabulka1[[#This Row],[K2O_60]]&lt;=Body!$BJ$19),Body!$BH$6,IF(AND(Tabulka1[[#This Row],[K2O_60]]&gt;=Body!$BK$19,Tabulka1[[#This Row],[K2O_60]]&lt;=Body!$BM$19),Body!$BK$6,IF(AND(Tabulka1[[#This Row],[K2O_60]]&gt;=Body!$BN$19,Tabulka1[[#This Row],[K2O_60]]&lt;=Body!$BP$19),Body!$BN$6,IF(AND(Tabulka1[[#This Row],[K2O_60]]&gt;=Body!$BQ$19,Tabulka1[[#This Row],[K2O_60]]&lt;=Body!$BS$19),Body!$BQ$6,IF(AND(Tabulka1[[#This Row],[K2O_60]]&gt;=Body!$BT$19,Tabulka1[[#This Row],[K2O_60]]&lt;=Body!$BV$19),Body!$BT$6,IF(AND(Tabulka1[[#This Row],[K2O_60]]&gt;=Body!$BW$19,Tabulka1[[#This Row],[K2O_60]]&lt;=Body!$BY$19),Body!$BW$6,IF(Tabulka1[[#This Row],[K2O_60]]&gt;=Body!$CB$19,Body!$BZ$6," ")))))))))),IF(AND('Zdroj data'!$BG172="T",'Zdroj data'!$AM172=Body!$AX$20),IF(AND(Tabulka1[[#This Row],[K2O_60]]&gt;=Body!$AY$20,'Zdroj data'!O172&lt;=Body!$BA$20),Body!$AY$6,IF(AND(Tabulka1[[#This Row],[K2O_60]]&gt;=Body!$BB$20,Tabulka1[[#This Row],[K2O_60]]&lt;=Body!$BD$20),Body!$BB$6,IF(AND(Tabulka1[[#This Row],[K2O_60]]&gt;=Body!$BE$20,Tabulka1[[#This Row],[K2O_60]]&lt;=Body!$BG$20),Body!$BE$6,IF(AND(Tabulka1[[#This Row],[K2O_60]]&gt;=Body!$BH$20,Tabulka1[[#This Row],[K2O_60]]&lt;=Body!$BJ$20),Body!$BH$6,IF(AND(Tabulka1[[#This Row],[K2O_60]]&gt;=Body!$BK$20,Tabulka1[[#This Row],[K2O_60]]&lt;=Body!$BM$20),Body!$BK$6,IF(AND(Tabulka1[[#This Row],[K2O_60]]&gt;=Body!$BN$20,Tabulka1[[#This Row],[K2O_60]]&lt;=Body!$BP$20),Body!$BN$6,IF(AND(Tabulka1[[#This Row],[K2O_60]]&gt;=Body!$BQ$20,Tabulka1[[#This Row],[K2O_60]]&lt;=Body!$BS$20),Body!$BQ$6,IF(AND(Tabulka1[[#This Row],[K2O_60]]&gt;=Body!$BT$20,Tabulka1[[#This Row],[K2O_60]]&lt;=Body!#REF!),Body!$BT$6,IF(AND(Tabulka1[[#This Row],[K2O_60]]&gt;=Body!$BW$20,Tabulka1[[#This Row],[K2O_60]]&lt;=Body!$BY$20),Body!$BW$6,IF(Tabulka1[[#This Row],[K2O_60]]&gt;=Body!$CB$20,Body!$BZ$6," "))))))))))," ")))</f>
        <v xml:space="preserve"> </v>
      </c>
      <c r="AJ172" s="265">
        <f t="shared" si="26"/>
        <v>8.0000000000000071</v>
      </c>
      <c r="AK172" s="264">
        <f t="shared" si="27"/>
        <v>42.377929615005357</v>
      </c>
      <c r="AL172" s="264">
        <f t="shared" si="28"/>
        <v>39.404637577649808</v>
      </c>
      <c r="AM172" s="264">
        <f t="shared" si="29"/>
        <v>66.20995430831978</v>
      </c>
      <c r="AN172" s="264">
        <f t="shared" si="30"/>
        <v>63.120767893915811</v>
      </c>
      <c r="AO172" s="265">
        <f t="shared" si="33"/>
        <v>108.58788392332514</v>
      </c>
      <c r="AP172" s="265">
        <f t="shared" si="31"/>
        <v>102.52540547156562</v>
      </c>
      <c r="AQ172" s="318"/>
      <c r="AR172" s="338">
        <f t="shared" si="32"/>
        <v>219.11328939489076</v>
      </c>
      <c r="AS172" s="318"/>
      <c r="AT172" s="138"/>
      <c r="AU172" s="138"/>
    </row>
  </sheetData>
  <protectedRanges>
    <protectedRange sqref="AU7:AV21 AU23:AV33" name="Vahy"/>
  </protectedRanges>
  <mergeCells count="60">
    <mergeCell ref="AY10:BA10"/>
    <mergeCell ref="BH25:BJ25"/>
    <mergeCell ref="BE25:BG25"/>
    <mergeCell ref="BB25:BD25"/>
    <mergeCell ref="AY25:BA25"/>
    <mergeCell ref="BB22:BD22"/>
    <mergeCell ref="BE22:BG22"/>
    <mergeCell ref="BH22:BJ22"/>
    <mergeCell ref="BH10:BJ10"/>
    <mergeCell ref="BE10:BG10"/>
    <mergeCell ref="BN10:BP10"/>
    <mergeCell ref="BZ10:CB10"/>
    <mergeCell ref="BW10:BY10"/>
    <mergeCell ref="BT10:BV10"/>
    <mergeCell ref="BQ10:BS10"/>
    <mergeCell ref="BQ6:BS6"/>
    <mergeCell ref="BN6:BP6"/>
    <mergeCell ref="BK25:BM25"/>
    <mergeCell ref="BZ6:CB6"/>
    <mergeCell ref="BW6:BY6"/>
    <mergeCell ref="BT6:BV6"/>
    <mergeCell ref="BQ22:BS22"/>
    <mergeCell ref="BT22:BV22"/>
    <mergeCell ref="BZ25:CB25"/>
    <mergeCell ref="BW25:BY25"/>
    <mergeCell ref="BT25:BV25"/>
    <mergeCell ref="BQ25:BS25"/>
    <mergeCell ref="BN25:BP25"/>
    <mergeCell ref="BK22:BM22"/>
    <mergeCell ref="BN22:BP22"/>
    <mergeCell ref="BK10:BM10"/>
    <mergeCell ref="AU5:AV5"/>
    <mergeCell ref="AU7:AU21"/>
    <mergeCell ref="AU23:AU33"/>
    <mergeCell ref="AV7:AV8"/>
    <mergeCell ref="AV13:AV14"/>
    <mergeCell ref="AV15:AV20"/>
    <mergeCell ref="AV26:AV27"/>
    <mergeCell ref="AV30:AV33"/>
    <mergeCell ref="AY6:BA6"/>
    <mergeCell ref="BK6:BM6"/>
    <mergeCell ref="BH6:BJ6"/>
    <mergeCell ref="BB6:BD6"/>
    <mergeCell ref="BE6:BG6"/>
    <mergeCell ref="AT7:AT33"/>
    <mergeCell ref="AT35:AT36"/>
    <mergeCell ref="BZ34:CB34"/>
    <mergeCell ref="AU35:AU36"/>
    <mergeCell ref="BK34:BM34"/>
    <mergeCell ref="BN34:BP34"/>
    <mergeCell ref="BQ34:BS34"/>
    <mergeCell ref="BT34:BV34"/>
    <mergeCell ref="BW34:BY34"/>
    <mergeCell ref="AY34:BA34"/>
    <mergeCell ref="BB34:BD34"/>
    <mergeCell ref="BE34:BG34"/>
    <mergeCell ref="BH34:BJ34"/>
    <mergeCell ref="BW22:BY22"/>
    <mergeCell ref="BZ22:CB22"/>
    <mergeCell ref="AY22:BA22"/>
  </mergeCells>
  <conditionalFormatting sqref="AC3:AI172 AM3:AN172 D3:R172">
    <cfRule type="containsText" dxfId="62" priority="30" operator="containsText" text=" ">
      <formula>NOT(ISERROR(SEARCH(" ",D3)))</formula>
    </cfRule>
    <cfRule type="containsText" dxfId="61" priority="31" operator="containsText" text="&quot; &quot;">
      <formula>NOT(ISERROR(SEARCH(""" """,D3)))</formula>
    </cfRule>
    <cfRule type="cellIs" dxfId="60" priority="32" operator="equal">
      <formula>""" """</formula>
    </cfRule>
  </conditionalFormatting>
  <conditionalFormatting sqref="D3:R172">
    <cfRule type="colorScale" priority="23">
      <colorScale>
        <cfvo type="min"/>
        <cfvo type="max"/>
        <color rgb="FFFCFCFF"/>
        <color rgb="FF63BE7B"/>
      </colorScale>
    </cfRule>
    <cfRule type="containsText" dxfId="59" priority="29" operator="containsText" text=" ">
      <formula>NOT(ISERROR(SEARCH(" ",D3)))</formula>
    </cfRule>
  </conditionalFormatting>
  <conditionalFormatting sqref="AM3:AN172">
    <cfRule type="colorScale" priority="14">
      <colorScale>
        <cfvo type="min"/>
        <cfvo type="max"/>
        <color theme="0"/>
        <color theme="9" tint="-0.249977111117893"/>
      </colorScale>
    </cfRule>
    <cfRule type="containsText" dxfId="58" priority="26" operator="containsText" text="#HODNOTA!">
      <formula>NOT(ISERROR(SEARCH("#HODNOTA!",AM3)))</formula>
    </cfRule>
    <cfRule type="containsText" dxfId="57" priority="27" operator="containsText" text="Hodnota">
      <formula>NOT(ISERROR(SEARCH("Hodnota",AM3)))</formula>
    </cfRule>
  </conditionalFormatting>
  <conditionalFormatting sqref="S3:Z172">
    <cfRule type="colorScale" priority="21">
      <colorScale>
        <cfvo type="min"/>
        <cfvo type="max"/>
        <color theme="0"/>
        <color rgb="FF00B0F0"/>
      </colorScale>
    </cfRule>
  </conditionalFormatting>
  <conditionalFormatting sqref="AM3:AN172">
    <cfRule type="colorScale" priority="17">
      <colorScale>
        <cfvo type="min"/>
        <cfvo type="max"/>
        <color rgb="FFFFEBAB"/>
        <color theme="9" tint="-0.249977111117893"/>
      </colorScale>
    </cfRule>
    <cfRule type="colorScale" priority="19">
      <colorScale>
        <cfvo type="min"/>
        <cfvo type="max"/>
        <color rgb="FFFF7128"/>
        <color rgb="FFFFEF9C"/>
      </colorScale>
    </cfRule>
  </conditionalFormatting>
  <conditionalFormatting sqref="AK3:AQ172 D3:Z172">
    <cfRule type="containsText" dxfId="56" priority="16" operator="containsText" text=" ">
      <formula>NOT(ISERROR(SEARCH(" ",D3)))</formula>
    </cfRule>
  </conditionalFormatting>
  <conditionalFormatting sqref="AK3:AL172">
    <cfRule type="colorScale" priority="15">
      <colorScale>
        <cfvo type="min"/>
        <cfvo type="max"/>
        <color theme="0"/>
        <color theme="9" tint="-0.249977111117893"/>
      </colorScale>
    </cfRule>
  </conditionalFormatting>
  <conditionalFormatting sqref="AA3:AB172">
    <cfRule type="colorScale" priority="10">
      <colorScale>
        <cfvo type="min"/>
        <cfvo type="max"/>
        <color theme="0"/>
        <color theme="2" tint="-0.249977111117893"/>
      </colorScale>
    </cfRule>
  </conditionalFormatting>
  <conditionalFormatting sqref="AO3:AQ172">
    <cfRule type="colorScale" priority="37">
      <colorScale>
        <cfvo type="min"/>
        <cfvo type="max"/>
        <color theme="0"/>
        <color theme="9" tint="-0.249977111117893"/>
      </colorScale>
    </cfRule>
    <cfRule type="colorScale" priority="38">
      <colorScale>
        <cfvo type="min"/>
        <cfvo type="max"/>
        <color rgb="FFFF7128"/>
        <color rgb="FFFFEF9C"/>
      </colorScale>
    </cfRule>
  </conditionalFormatting>
  <conditionalFormatting sqref="AJ3:AJ172">
    <cfRule type="colorScale" priority="5">
      <colorScale>
        <cfvo type="min"/>
        <cfvo type="max"/>
        <color theme="0"/>
        <color theme="2" tint="-0.249977111117893"/>
      </colorScale>
    </cfRule>
  </conditionalFormatting>
  <conditionalFormatting sqref="AR3:AS172">
    <cfRule type="colorScale" priority="1">
      <colorScale>
        <cfvo type="min"/>
        <cfvo type="max"/>
        <color theme="0"/>
        <color theme="5" tint="0.39997558519241921"/>
      </colorScale>
    </cfRule>
    <cfRule type="containsText" dxfId="55" priority="2" operator="containsText" text=" ">
      <formula>NOT(ISERROR(SEARCH(" ",AR3)))</formula>
    </cfRule>
  </conditionalFormatting>
  <pageMargins left="0.7" right="0.7" top="0.78740157499999996" bottom="0.78740157499999996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5A248-5890-427B-9525-497E8B52A6F4}">
  <sheetPr codeName="List8"/>
  <dimension ref="A1:AK173"/>
  <sheetViews>
    <sheetView zoomScaleNormal="100" workbookViewId="0">
      <pane ySplit="6" topLeftCell="A7" activePane="bottomLeft" state="frozen"/>
      <selection pane="bottomLeft" activeCell="AI9" sqref="AI9"/>
    </sheetView>
  </sheetViews>
  <sheetFormatPr defaultRowHeight="14.5" x14ac:dyDescent="0.35"/>
  <cols>
    <col min="1" max="1" width="5.81640625" bestFit="1" customWidth="1"/>
    <col min="2" max="2" width="5" bestFit="1" customWidth="1"/>
    <col min="3" max="3" width="13.81640625" bestFit="1" customWidth="1"/>
    <col min="4" max="28" width="5.453125" customWidth="1"/>
    <col min="29" max="29" width="11.26953125" bestFit="1" customWidth="1"/>
    <col min="30" max="31" width="12.54296875" bestFit="1" customWidth="1"/>
    <col min="32" max="33" width="10.453125" bestFit="1" customWidth="1"/>
    <col min="34" max="35" width="11.1796875" bestFit="1" customWidth="1"/>
    <col min="36" max="36" width="3.7265625" customWidth="1"/>
    <col min="37" max="37" width="13.453125" bestFit="1" customWidth="1"/>
  </cols>
  <sheetData>
    <row r="1" spans="1:37" s="139" customFormat="1" ht="15" thickBot="1" x14ac:dyDescent="0.4">
      <c r="A1" s="379"/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  <c r="V1" s="379"/>
      <c r="W1" s="379"/>
      <c r="X1" s="379"/>
      <c r="Y1" s="379"/>
      <c r="Z1" s="379"/>
      <c r="AA1" s="379"/>
      <c r="AB1" s="379"/>
      <c r="AC1" s="379"/>
      <c r="AD1" s="379"/>
      <c r="AE1" s="379"/>
      <c r="AF1" s="379"/>
      <c r="AG1" s="379"/>
      <c r="AH1" s="379"/>
      <c r="AI1" s="379"/>
      <c r="AJ1" s="379"/>
      <c r="AK1" s="379"/>
    </row>
    <row r="2" spans="1:37" s="139" customFormat="1" ht="15.5" x14ac:dyDescent="0.35">
      <c r="A2" s="485" t="s">
        <v>1007</v>
      </c>
      <c r="B2" s="486"/>
      <c r="C2" s="378" t="s">
        <v>959</v>
      </c>
      <c r="D2" s="363">
        <f t="shared" ref="D2:AI2" si="0">AVERAGE(D7:D60)</f>
        <v>6.166666666666667</v>
      </c>
      <c r="E2" s="363">
        <f t="shared" si="0"/>
        <v>5.8148148148148149</v>
      </c>
      <c r="F2" s="363">
        <f t="shared" si="0"/>
        <v>4.833333333333333</v>
      </c>
      <c r="G2" s="363">
        <f t="shared" si="0"/>
        <v>3.5555555555555554</v>
      </c>
      <c r="H2" s="363">
        <f t="shared" si="0"/>
        <v>3.0370370370370372</v>
      </c>
      <c r="I2" s="363">
        <f t="shared" si="0"/>
        <v>2.6296296296296298</v>
      </c>
      <c r="J2" s="363">
        <f t="shared" si="0"/>
        <v>1.4814814814814814</v>
      </c>
      <c r="K2" s="363">
        <f t="shared" si="0"/>
        <v>1.2592592592592593</v>
      </c>
      <c r="L2" s="363">
        <f t="shared" si="0"/>
        <v>4.833333333333333</v>
      </c>
      <c r="M2" s="363">
        <f t="shared" si="0"/>
        <v>4.666666666666667</v>
      </c>
      <c r="N2" s="363">
        <f t="shared" si="0"/>
        <v>7.2962962962962967</v>
      </c>
      <c r="O2" s="363">
        <f t="shared" si="0"/>
        <v>7.3518518518518521</v>
      </c>
      <c r="P2" s="363">
        <f t="shared" si="0"/>
        <v>4.2962962962962967</v>
      </c>
      <c r="Q2" s="363">
        <f t="shared" si="0"/>
        <v>4.8703703703703702</v>
      </c>
      <c r="R2" s="363">
        <f t="shared" si="0"/>
        <v>5.333333333333333</v>
      </c>
      <c r="S2" s="364">
        <f t="shared" si="0"/>
        <v>8.1111111111111107</v>
      </c>
      <c r="T2" s="364">
        <f t="shared" si="0"/>
        <v>7.6111111111111107</v>
      </c>
      <c r="U2" s="363">
        <f t="shared" si="0"/>
        <v>5.5925925925925926</v>
      </c>
      <c r="V2" s="364">
        <f t="shared" si="0"/>
        <v>6.5185185185185182</v>
      </c>
      <c r="W2" s="364">
        <f t="shared" si="0"/>
        <v>5.9259259259259256</v>
      </c>
      <c r="X2" s="363">
        <f t="shared" si="0"/>
        <v>9.2037037037037042</v>
      </c>
      <c r="Y2" s="363">
        <f t="shared" si="0"/>
        <v>9.3333333333333339</v>
      </c>
      <c r="Z2" s="363">
        <f t="shared" si="0"/>
        <v>10</v>
      </c>
      <c r="AA2" s="363">
        <f t="shared" si="0"/>
        <v>3.9629629629629628</v>
      </c>
      <c r="AB2" s="364">
        <f t="shared" si="0"/>
        <v>5.4629629629629628</v>
      </c>
      <c r="AC2" s="365">
        <f t="shared" si="0"/>
        <v>6.7407407407407449</v>
      </c>
      <c r="AD2" s="364">
        <f t="shared" si="0"/>
        <v>30.360646685513537</v>
      </c>
      <c r="AE2" s="364">
        <f t="shared" si="0"/>
        <v>28.210357813322229</v>
      </c>
      <c r="AF2" s="364">
        <f t="shared" si="0"/>
        <v>68.359079344827421</v>
      </c>
      <c r="AG2" s="364">
        <f t="shared" si="0"/>
        <v>65.486952873132708</v>
      </c>
      <c r="AH2" s="366">
        <f t="shared" si="0"/>
        <v>98.719726030340979</v>
      </c>
      <c r="AI2" s="367">
        <f t="shared" si="0"/>
        <v>93.697310686454969</v>
      </c>
      <c r="AJ2" s="351"/>
      <c r="AK2" s="391">
        <f>AVERAGE(AK7:AK60)</f>
        <v>199.15777745753664</v>
      </c>
    </row>
    <row r="3" spans="1:37" s="139" customFormat="1" ht="15.5" x14ac:dyDescent="0.35">
      <c r="A3" s="487"/>
      <c r="B3" s="488"/>
      <c r="C3" s="378" t="s">
        <v>961</v>
      </c>
      <c r="D3" s="368">
        <f t="shared" ref="D3:AI3" si="1">AVERAGE(D61:D106)</f>
        <v>5.5217391304347823</v>
      </c>
      <c r="E3" s="368">
        <f t="shared" si="1"/>
        <v>5.7391304347826084</v>
      </c>
      <c r="F3" s="368">
        <f t="shared" si="1"/>
        <v>4.3913043478260869</v>
      </c>
      <c r="G3" s="368">
        <f t="shared" si="1"/>
        <v>3.1956521739130435</v>
      </c>
      <c r="H3" s="368">
        <f t="shared" si="1"/>
        <v>3.7391304347826089</v>
      </c>
      <c r="I3" s="368">
        <f t="shared" si="1"/>
        <v>3.152173913043478</v>
      </c>
      <c r="J3" s="368">
        <f t="shared" si="1"/>
        <v>1.8478260869565217</v>
      </c>
      <c r="K3" s="368">
        <f t="shared" si="1"/>
        <v>1.4782608695652173</v>
      </c>
      <c r="L3" s="368">
        <f t="shared" si="1"/>
        <v>4.8695652173913047</v>
      </c>
      <c r="M3" s="368">
        <f t="shared" si="1"/>
        <v>4.7608695652173916</v>
      </c>
      <c r="N3" s="368">
        <f>AVERAGE(N61:N106)</f>
        <v>7.9782608695652177</v>
      </c>
      <c r="O3" s="368">
        <f t="shared" si="1"/>
        <v>8</v>
      </c>
      <c r="P3" s="368">
        <f t="shared" si="1"/>
        <v>4.0652173913043477</v>
      </c>
      <c r="Q3" s="368">
        <f t="shared" si="1"/>
        <v>5</v>
      </c>
      <c r="R3" s="368">
        <f t="shared" si="1"/>
        <v>5.4347826086956523</v>
      </c>
      <c r="S3" s="369">
        <f t="shared" si="1"/>
        <v>6.8913043478260869</v>
      </c>
      <c r="T3" s="369">
        <f t="shared" si="1"/>
        <v>7.1521739130434785</v>
      </c>
      <c r="U3" s="368">
        <f t="shared" si="1"/>
        <v>6.6739130434782608</v>
      </c>
      <c r="V3" s="369">
        <f t="shared" si="1"/>
        <v>6.8260869565217392</v>
      </c>
      <c r="W3" s="369">
        <f t="shared" si="1"/>
        <v>6.2826086956521738</v>
      </c>
      <c r="X3" s="368">
        <f t="shared" si="1"/>
        <v>9.804347826086957</v>
      </c>
      <c r="Y3" s="368">
        <f t="shared" si="1"/>
        <v>9.5217391304347831</v>
      </c>
      <c r="Z3" s="368">
        <f t="shared" si="1"/>
        <v>9.804347826086957</v>
      </c>
      <c r="AA3" s="368">
        <f t="shared" si="1"/>
        <v>4.8695652173913047</v>
      </c>
      <c r="AB3" s="369">
        <f t="shared" si="1"/>
        <v>5.6521739130434785</v>
      </c>
      <c r="AC3" s="370">
        <f t="shared" si="1"/>
        <v>8.0000000000000089</v>
      </c>
      <c r="AD3" s="369">
        <f t="shared" si="1"/>
        <v>30.087406644818181</v>
      </c>
      <c r="AE3" s="369">
        <f t="shared" si="1"/>
        <v>28.189670947857593</v>
      </c>
      <c r="AF3" s="369">
        <f t="shared" si="1"/>
        <v>66.76732403322589</v>
      </c>
      <c r="AG3" s="369">
        <f t="shared" si="1"/>
        <v>66.948816583331592</v>
      </c>
      <c r="AH3" s="371">
        <f t="shared" si="1"/>
        <v>96.854730678044092</v>
      </c>
      <c r="AI3" s="372">
        <f t="shared" si="1"/>
        <v>95.138487531189199</v>
      </c>
      <c r="AJ3" s="351"/>
      <c r="AK3" s="392">
        <f>AVERAGE(AK61:AK106)</f>
        <v>199.99321820923322</v>
      </c>
    </row>
    <row r="4" spans="1:37" s="139" customFormat="1" ht="16" thickBot="1" x14ac:dyDescent="0.4">
      <c r="A4" s="489"/>
      <c r="B4" s="490"/>
      <c r="C4" s="378" t="s">
        <v>963</v>
      </c>
      <c r="D4" s="373">
        <f t="shared" ref="D4:I4" si="2">AVERAGE(D107:D173)</f>
        <v>5.7611940298507465</v>
      </c>
      <c r="E4" s="373">
        <f t="shared" si="2"/>
        <v>5.6268656716417906</v>
      </c>
      <c r="F4" s="373">
        <f t="shared" si="2"/>
        <v>4.7462686567164178</v>
      </c>
      <c r="G4" s="373">
        <f t="shared" si="2"/>
        <v>3.3134328358208953</v>
      </c>
      <c r="H4" s="373">
        <f t="shared" si="2"/>
        <v>2.1194029850746268</v>
      </c>
      <c r="I4" s="373">
        <f t="shared" si="2"/>
        <v>3.1492537313432836</v>
      </c>
      <c r="J4" s="373">
        <f>AVERAGE(J7:J173)</f>
        <v>1.9221556886227544</v>
      </c>
      <c r="K4" s="373">
        <f t="shared" ref="K4:AI4" si="3">AVERAGE(K107:K173)</f>
        <v>1.6865671641791045</v>
      </c>
      <c r="L4" s="373">
        <f t="shared" si="3"/>
        <v>4.7462686567164178</v>
      </c>
      <c r="M4" s="373">
        <f t="shared" si="3"/>
        <v>4.5373134328358207</v>
      </c>
      <c r="N4" s="373">
        <f t="shared" si="3"/>
        <v>6</v>
      </c>
      <c r="O4" s="373">
        <f t="shared" si="3"/>
        <v>6.4328358208955221</v>
      </c>
      <c r="P4" s="373">
        <f t="shared" si="3"/>
        <v>5.7910447761194028</v>
      </c>
      <c r="Q4" s="373">
        <f t="shared" si="3"/>
        <v>3.6268656716417911</v>
      </c>
      <c r="R4" s="373">
        <f t="shared" si="3"/>
        <v>3.9253731343283582</v>
      </c>
      <c r="S4" s="374">
        <f t="shared" si="3"/>
        <v>7.4925373134328357</v>
      </c>
      <c r="T4" s="374">
        <f t="shared" si="3"/>
        <v>7.4029850746268657</v>
      </c>
      <c r="U4" s="373">
        <f t="shared" si="3"/>
        <v>4.9850746268656714</v>
      </c>
      <c r="V4" s="374">
        <f t="shared" si="3"/>
        <v>5.7910447761194028</v>
      </c>
      <c r="W4" s="374">
        <f t="shared" si="3"/>
        <v>6.5223880597014929</v>
      </c>
      <c r="X4" s="373">
        <f t="shared" si="3"/>
        <v>7.4776119402985071</v>
      </c>
      <c r="Y4" s="373">
        <f t="shared" si="3"/>
        <v>8.3283582089552244</v>
      </c>
      <c r="Z4" s="373">
        <f t="shared" si="3"/>
        <v>9.4626865671641784</v>
      </c>
      <c r="AA4" s="373">
        <f t="shared" si="3"/>
        <v>5.5820895522388057</v>
      </c>
      <c r="AB4" s="374">
        <f t="shared" si="3"/>
        <v>6.7164179104477615</v>
      </c>
      <c r="AC4" s="375">
        <f t="shared" si="3"/>
        <v>9.2338308457711484</v>
      </c>
      <c r="AD4" s="374">
        <f t="shared" si="3"/>
        <v>28.620505784563683</v>
      </c>
      <c r="AE4" s="374">
        <f t="shared" si="3"/>
        <v>26.575384342954756</v>
      </c>
      <c r="AF4" s="374">
        <f t="shared" si="3"/>
        <v>61.607784746811198</v>
      </c>
      <c r="AG4" s="374">
        <f t="shared" si="3"/>
        <v>62.386938827564038</v>
      </c>
      <c r="AH4" s="376">
        <f t="shared" si="3"/>
        <v>90.228290531374896</v>
      </c>
      <c r="AI4" s="377">
        <f t="shared" si="3"/>
        <v>88.962323170518772</v>
      </c>
      <c r="AJ4" s="351"/>
      <c r="AK4" s="393">
        <f>AVERAGE(AK107:AK173)</f>
        <v>188.42444454766488</v>
      </c>
    </row>
    <row r="5" spans="1:37" x14ac:dyDescent="0.35">
      <c r="A5" s="258"/>
      <c r="B5" s="258"/>
      <c r="C5" s="259"/>
      <c r="D5" s="260"/>
      <c r="E5" s="260"/>
      <c r="F5" s="261"/>
      <c r="G5" s="261"/>
      <c r="H5" s="261"/>
      <c r="I5" s="261"/>
      <c r="J5" s="262"/>
      <c r="K5" s="262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84"/>
      <c r="AD5" s="262"/>
      <c r="AE5" s="262"/>
      <c r="AF5" s="262"/>
      <c r="AG5" s="262"/>
      <c r="AH5" s="262"/>
      <c r="AI5" s="262"/>
      <c r="AJ5" s="284"/>
      <c r="AK5" s="340"/>
    </row>
    <row r="6" spans="1:37" ht="47" thickBot="1" x14ac:dyDescent="0.4">
      <c r="A6" s="385" t="s">
        <v>0</v>
      </c>
      <c r="B6" s="385" t="s">
        <v>687</v>
      </c>
      <c r="C6" s="386" t="s">
        <v>965</v>
      </c>
      <c r="D6" s="353" t="s">
        <v>1001</v>
      </c>
      <c r="E6" s="354" t="s">
        <v>1002</v>
      </c>
      <c r="F6" s="355" t="s">
        <v>827</v>
      </c>
      <c r="G6" s="356" t="s">
        <v>828</v>
      </c>
      <c r="H6" s="355" t="s">
        <v>1003</v>
      </c>
      <c r="I6" s="356" t="s">
        <v>1004</v>
      </c>
      <c r="J6" s="357" t="s">
        <v>1005</v>
      </c>
      <c r="K6" s="358" t="s">
        <v>1006</v>
      </c>
      <c r="L6" s="355" t="s">
        <v>808</v>
      </c>
      <c r="M6" s="356" t="s">
        <v>809</v>
      </c>
      <c r="N6" s="355" t="s">
        <v>810</v>
      </c>
      <c r="O6" s="356" t="s">
        <v>811</v>
      </c>
      <c r="P6" s="355" t="s">
        <v>807</v>
      </c>
      <c r="Q6" s="355" t="s">
        <v>874</v>
      </c>
      <c r="R6" s="356" t="s">
        <v>875</v>
      </c>
      <c r="S6" s="359" t="s">
        <v>985</v>
      </c>
      <c r="T6" s="360" t="s">
        <v>986</v>
      </c>
      <c r="U6" s="328" t="s">
        <v>876</v>
      </c>
      <c r="V6" s="359" t="s">
        <v>878</v>
      </c>
      <c r="W6" s="360" t="s">
        <v>966</v>
      </c>
      <c r="X6" s="328" t="s">
        <v>877</v>
      </c>
      <c r="Y6" s="328" t="s">
        <v>868</v>
      </c>
      <c r="Z6" s="328" t="s">
        <v>869</v>
      </c>
      <c r="AA6" s="329" t="s">
        <v>795</v>
      </c>
      <c r="AB6" s="330" t="s">
        <v>984</v>
      </c>
      <c r="AC6" s="339" t="s">
        <v>994</v>
      </c>
      <c r="AD6" s="334" t="s">
        <v>988</v>
      </c>
      <c r="AE6" s="335" t="s">
        <v>992</v>
      </c>
      <c r="AF6" s="334" t="s">
        <v>989</v>
      </c>
      <c r="AG6" s="335" t="s">
        <v>993</v>
      </c>
      <c r="AH6" s="336" t="s">
        <v>990</v>
      </c>
      <c r="AI6" s="337" t="s">
        <v>991</v>
      </c>
      <c r="AJ6" s="388"/>
      <c r="AK6" s="387" t="s">
        <v>995</v>
      </c>
    </row>
    <row r="7" spans="1:37" ht="15.5" x14ac:dyDescent="0.35">
      <c r="A7" s="380">
        <v>4016</v>
      </c>
      <c r="B7" s="381" t="s">
        <v>313</v>
      </c>
      <c r="C7" s="396" t="s">
        <v>959</v>
      </c>
      <c r="D7" s="264">
        <f>VLOOKUP('Statistika okresy'!$B7,Body!$B$3:$AR$172,3,FALSE)</f>
        <v>7</v>
      </c>
      <c r="E7" s="264">
        <f>VLOOKUP('Statistika okresy'!$B7,Body!$B$3:$AR$172,4,FALSE)</f>
        <v>9</v>
      </c>
      <c r="F7" s="264">
        <f>VLOOKUP('Statistika okresy'!$B7,Body!$B$3:$AR$172,5,FALSE)</f>
        <v>6</v>
      </c>
      <c r="G7" s="264">
        <f>VLOOKUP('Statistika okresy'!$B7,Body!$B$3:$AR$172,6,FALSE)</f>
        <v>5</v>
      </c>
      <c r="H7" s="264">
        <f>VLOOKUP('Statistika okresy'!$B7,Body!$B$3:$AR$172,7,FALSE)</f>
        <v>10</v>
      </c>
      <c r="I7" s="264">
        <f>VLOOKUP('Statistika okresy'!$B7,Body!$B$3:$AR$172,8,FALSE)</f>
        <v>6</v>
      </c>
      <c r="J7" s="264">
        <f>VLOOKUP('Statistika okresy'!$B7,Body!$B$3:$AR$172,9,FALSE)</f>
        <v>5</v>
      </c>
      <c r="K7" s="264">
        <f>VLOOKUP('Statistika okresy'!$B7,Body!$B$3:$AR$172,10,FALSE)</f>
        <v>3</v>
      </c>
      <c r="L7" s="264">
        <f>VLOOKUP('Statistika okresy'!$B7,Body!$B$3:$AR$172,11,FALSE)</f>
        <v>5</v>
      </c>
      <c r="M7" s="264">
        <f>VLOOKUP('Statistika okresy'!$B7,Body!$B$3:$AR$172,12,FALSE)</f>
        <v>5</v>
      </c>
      <c r="N7" s="264">
        <f>VLOOKUP('Statistika okresy'!$B7,Body!$B$3:$AR$172,13,FALSE)</f>
        <v>10</v>
      </c>
      <c r="O7" s="264">
        <f>VLOOKUP('Statistika okresy'!$B7,Body!$B$3:$AR$172,14,FALSE)</f>
        <v>10</v>
      </c>
      <c r="P7" s="264">
        <f>VLOOKUP('Statistika okresy'!$B7,Body!$B$3:$AR$172,15,FALSE)</f>
        <v>3</v>
      </c>
      <c r="Q7" s="264">
        <f>VLOOKUP('Statistika okresy'!$B7,Body!$B$3:$AR$172,16,FALSE)</f>
        <v>6</v>
      </c>
      <c r="R7" s="264">
        <f>VLOOKUP('Statistika okresy'!$B7,Body!$B$3:$AR$172,17,FALSE)</f>
        <v>7</v>
      </c>
      <c r="S7" s="264">
        <f>VLOOKUP('Statistika okresy'!$B7,Body!$B$3:$AR$172,18,FALSE)</f>
        <v>10</v>
      </c>
      <c r="T7" s="264">
        <f>VLOOKUP('Statistika okresy'!$B7,Body!$B$3:$AR$172,19,FALSE)</f>
        <v>10</v>
      </c>
      <c r="U7" s="264">
        <f>VLOOKUP('Statistika okresy'!$B7,Body!$B$3:$AR$172,20,FALSE)</f>
        <v>7</v>
      </c>
      <c r="V7" s="264">
        <f>VLOOKUP('Statistika okresy'!$B7,Body!$B$3:$AR$172,21,FALSE)</f>
        <v>8</v>
      </c>
      <c r="W7" s="264">
        <f>VLOOKUP('Statistika okresy'!$B7,Body!$B$3:$AR$172,22,FALSE)</f>
        <v>8</v>
      </c>
      <c r="X7" s="264">
        <f>VLOOKUP('Statistika okresy'!$B7,Body!$B$3:$AR$172,23,FALSE)</f>
        <v>10</v>
      </c>
      <c r="Y7" s="264">
        <f>VLOOKUP('Statistika okresy'!$B7,Body!$B$3:$AR$172,24,FALSE)</f>
        <v>10</v>
      </c>
      <c r="Z7" s="264">
        <f>VLOOKUP('Statistika okresy'!$B7,Body!$B$3:$AR$172,25,FALSE)</f>
        <v>10</v>
      </c>
      <c r="AA7" s="264">
        <f>VLOOKUP('Statistika okresy'!$B7,Body!$B$3:$AR$172,26,FALSE)</f>
        <v>5</v>
      </c>
      <c r="AB7" s="264">
        <f>VLOOKUP('Statistika okresy'!$B7,Body!$B$3:$AR$172,27,FALSE)</f>
        <v>5</v>
      </c>
      <c r="AC7" s="265">
        <f>VLOOKUP('Statistika okresy'!$B7,Body!$B$3:$AR$172,35,FALSE)</f>
        <v>8.0000000000000071</v>
      </c>
      <c r="AD7" s="264">
        <f>VLOOKUP('Statistika okresy'!$B7,Body!$B$3:$AR$172,36,FALSE)</f>
        <v>37.68576172235106</v>
      </c>
      <c r="AE7" s="264">
        <f>VLOOKUP('Statistika okresy'!$B7,Body!$B$3:$AR$172,37,FALSE)</f>
        <v>36.395302488142285</v>
      </c>
      <c r="AF7" s="264">
        <f>VLOOKUP('Statistika okresy'!$B7,Body!$B$3:$AR$172,38,FALSE)</f>
        <v>81.864450136623731</v>
      </c>
      <c r="AG7" s="264">
        <f>VLOOKUP('Statistika okresy'!$B7,Body!$B$3:$AR$172,39,FALSE)</f>
        <v>81.864450136623731</v>
      </c>
      <c r="AH7" s="264">
        <f>VLOOKUP('Statistika okresy'!$B7,Body!$B$3:$AR$172,40,FALSE)</f>
        <v>119.55021185897479</v>
      </c>
      <c r="AI7" s="264">
        <f>VLOOKUP('Statistika okresy'!$B7,Body!$B$3:$AR$172,41,FALSE)</f>
        <v>118.25975262476601</v>
      </c>
      <c r="AJ7" s="398"/>
      <c r="AK7" s="407">
        <f>VLOOKUP('Statistika okresy'!$B7,Body!$B$3:$AR$172,43,FALSE)</f>
        <v>245.8099644837408</v>
      </c>
    </row>
    <row r="8" spans="1:37" ht="15.5" x14ac:dyDescent="0.35">
      <c r="A8" s="382">
        <v>4019</v>
      </c>
      <c r="B8" s="156" t="s">
        <v>61</v>
      </c>
      <c r="C8" s="352" t="s">
        <v>959</v>
      </c>
      <c r="D8" s="264">
        <f>VLOOKUP('Statistika okresy'!$B8,Body!$B$3:$AR$172,3,FALSE)</f>
        <v>6</v>
      </c>
      <c r="E8" s="264">
        <f>VLOOKUP('Statistika okresy'!$B8,Body!$B$3:$AR$172,4,FALSE)</f>
        <v>6</v>
      </c>
      <c r="F8" s="264">
        <f>VLOOKUP('Statistika okresy'!$B8,Body!$B$3:$AR$172,5,FALSE)</f>
        <v>8</v>
      </c>
      <c r="G8" s="264">
        <f>VLOOKUP('Statistika okresy'!$B8,Body!$B$3:$AR$172,6,FALSE)</f>
        <v>6</v>
      </c>
      <c r="H8" s="264">
        <f>VLOOKUP('Statistika okresy'!$B8,Body!$B$3:$AR$172,7,FALSE)</f>
        <v>1</v>
      </c>
      <c r="I8" s="264">
        <f>VLOOKUP('Statistika okresy'!$B8,Body!$B$3:$AR$172,8,FALSE)</f>
        <v>1</v>
      </c>
      <c r="J8" s="264">
        <f>VLOOKUP('Statistika okresy'!$B8,Body!$B$3:$AR$172,9,FALSE)</f>
        <v>1</v>
      </c>
      <c r="K8" s="264">
        <f>VLOOKUP('Statistika okresy'!$B8,Body!$B$3:$AR$172,10,FALSE)</f>
        <v>1</v>
      </c>
      <c r="L8" s="264">
        <f>VLOOKUP('Statistika okresy'!$B8,Body!$B$3:$AR$172,11,FALSE)</f>
        <v>9</v>
      </c>
      <c r="M8" s="264">
        <f>VLOOKUP('Statistika okresy'!$B8,Body!$B$3:$AR$172,12,FALSE)</f>
        <v>9</v>
      </c>
      <c r="N8" s="264">
        <f>VLOOKUP('Statistika okresy'!$B8,Body!$B$3:$AR$172,13,FALSE)</f>
        <v>7</v>
      </c>
      <c r="O8" s="264">
        <f>VLOOKUP('Statistika okresy'!$B8,Body!$B$3:$AR$172,14,FALSE)</f>
        <v>7</v>
      </c>
      <c r="P8" s="264">
        <f>VLOOKUP('Statistika okresy'!$B8,Body!$B$3:$AR$172,15,FALSE)</f>
        <v>6</v>
      </c>
      <c r="Q8" s="264">
        <f>VLOOKUP('Statistika okresy'!$B8,Body!$B$3:$AR$172,16,FALSE)</f>
        <v>7</v>
      </c>
      <c r="R8" s="264">
        <f>VLOOKUP('Statistika okresy'!$B8,Body!$B$3:$AR$172,17,FALSE)</f>
        <v>7</v>
      </c>
      <c r="S8" s="264">
        <f>VLOOKUP('Statistika okresy'!$B8,Body!$B$3:$AR$172,18,FALSE)</f>
        <v>4</v>
      </c>
      <c r="T8" s="264">
        <f>VLOOKUP('Statistika okresy'!$B8,Body!$B$3:$AR$172,19,FALSE)</f>
        <v>5</v>
      </c>
      <c r="U8" s="264">
        <f>VLOOKUP('Statistika okresy'!$B8,Body!$B$3:$AR$172,20,FALSE)</f>
        <v>7</v>
      </c>
      <c r="V8" s="264">
        <f>VLOOKUP('Statistika okresy'!$B8,Body!$B$3:$AR$172,21,FALSE)</f>
        <v>7</v>
      </c>
      <c r="W8" s="264">
        <f>VLOOKUP('Statistika okresy'!$B8,Body!$B$3:$AR$172,22,FALSE)</f>
        <v>7</v>
      </c>
      <c r="X8" s="264">
        <f>VLOOKUP('Statistika okresy'!$B8,Body!$B$3:$AR$172,23,FALSE)</f>
        <v>10</v>
      </c>
      <c r="Y8" s="264">
        <f>VLOOKUP('Statistika okresy'!$B8,Body!$B$3:$AR$172,24,FALSE)</f>
        <v>10</v>
      </c>
      <c r="Z8" s="264">
        <f>VLOOKUP('Statistika okresy'!$B8,Body!$B$3:$AR$172,25,FALSE)</f>
        <v>10</v>
      </c>
      <c r="AA8" s="264">
        <f>VLOOKUP('Statistika okresy'!$B8,Body!$B$3:$AR$172,26,FALSE)</f>
        <v>3</v>
      </c>
      <c r="AB8" s="264">
        <f>VLOOKUP('Statistika okresy'!$B8,Body!$B$3:$AR$172,27,FALSE)</f>
        <v>5</v>
      </c>
      <c r="AC8" s="265">
        <f>VLOOKUP('Statistika okresy'!$B8,Body!$B$3:$AR$172,35,FALSE)</f>
        <v>5.3333333333333375</v>
      </c>
      <c r="AD8" s="264">
        <f>VLOOKUP('Statistika okresy'!$B8,Body!$B$3:$AR$172,36,FALSE)</f>
        <v>42.058594350132303</v>
      </c>
      <c r="AE8" s="264">
        <f>VLOOKUP('Statistika okresy'!$B8,Body!$B$3:$AR$172,37,FALSE)</f>
        <v>38.317526232655659</v>
      </c>
      <c r="AF8" s="264">
        <f>VLOOKUP('Statistika okresy'!$B8,Body!$B$3:$AR$172,38,FALSE)</f>
        <v>56.83811318696582</v>
      </c>
      <c r="AG8" s="264">
        <f>VLOOKUP('Statistika okresy'!$B8,Body!$B$3:$AR$172,39,FALSE)</f>
        <v>60.751737144041805</v>
      </c>
      <c r="AH8" s="264">
        <f>VLOOKUP('Statistika okresy'!$B8,Body!$B$3:$AR$172,40,FALSE)</f>
        <v>98.896707537098123</v>
      </c>
      <c r="AI8" s="264">
        <f>VLOOKUP('Statistika okresy'!$B8,Body!$B$3:$AR$172,41,FALSE)</f>
        <v>99.069263376697464</v>
      </c>
      <c r="AJ8" s="390"/>
      <c r="AK8" s="407">
        <f>VLOOKUP('Statistika okresy'!$B8,Body!$B$3:$AR$172,43,FALSE)</f>
        <v>203.29930424712893</v>
      </c>
    </row>
    <row r="9" spans="1:37" ht="15.5" x14ac:dyDescent="0.35">
      <c r="A9" s="382">
        <v>4022</v>
      </c>
      <c r="B9" s="156" t="s">
        <v>300</v>
      </c>
      <c r="C9" s="352" t="s">
        <v>959</v>
      </c>
      <c r="D9" s="264">
        <f>VLOOKUP('Statistika okresy'!$B9,Body!$B$3:$AR$172,3,FALSE)</f>
        <v>8</v>
      </c>
      <c r="E9" s="264">
        <f>VLOOKUP('Statistika okresy'!$B9,Body!$B$3:$AR$172,4,FALSE)</f>
        <v>9</v>
      </c>
      <c r="F9" s="264">
        <f>VLOOKUP('Statistika okresy'!$B9,Body!$B$3:$AR$172,5,FALSE)</f>
        <v>5</v>
      </c>
      <c r="G9" s="264">
        <f>VLOOKUP('Statistika okresy'!$B9,Body!$B$3:$AR$172,6,FALSE)</f>
        <v>4</v>
      </c>
      <c r="H9" s="264">
        <f>VLOOKUP('Statistika okresy'!$B9,Body!$B$3:$AR$172,7,FALSE)</f>
        <v>9</v>
      </c>
      <c r="I9" s="264">
        <f>VLOOKUP('Statistika okresy'!$B9,Body!$B$3:$AR$172,8,FALSE)</f>
        <v>6</v>
      </c>
      <c r="J9" s="264">
        <f>VLOOKUP('Statistika okresy'!$B9,Body!$B$3:$AR$172,9,FALSE)</f>
        <v>2</v>
      </c>
      <c r="K9" s="264">
        <f>VLOOKUP('Statistika okresy'!$B9,Body!$B$3:$AR$172,10,FALSE)</f>
        <v>1</v>
      </c>
      <c r="L9" s="264">
        <f>VLOOKUP('Statistika okresy'!$B9,Body!$B$3:$AR$172,11,FALSE)</f>
        <v>5</v>
      </c>
      <c r="M9" s="264">
        <f>VLOOKUP('Statistika okresy'!$B9,Body!$B$3:$AR$172,12,FALSE)</f>
        <v>5</v>
      </c>
      <c r="N9" s="264">
        <f>VLOOKUP('Statistika okresy'!$B9,Body!$B$3:$AR$172,13,FALSE)</f>
        <v>9</v>
      </c>
      <c r="O9" s="264">
        <f>VLOOKUP('Statistika okresy'!$B9,Body!$B$3:$AR$172,14,FALSE)</f>
        <v>9</v>
      </c>
      <c r="P9" s="264">
        <f>VLOOKUP('Statistika okresy'!$B9,Body!$B$3:$AR$172,15,FALSE)</f>
        <v>3</v>
      </c>
      <c r="Q9" s="264">
        <f>VLOOKUP('Statistika okresy'!$B9,Body!$B$3:$AR$172,16,FALSE)</f>
        <v>7</v>
      </c>
      <c r="R9" s="264">
        <f>VLOOKUP('Statistika okresy'!$B9,Body!$B$3:$AR$172,17,FALSE)</f>
        <v>7</v>
      </c>
      <c r="S9" s="264">
        <f>VLOOKUP('Statistika okresy'!$B9,Body!$B$3:$AR$172,18,FALSE)</f>
        <v>9</v>
      </c>
      <c r="T9" s="264">
        <f>VLOOKUP('Statistika okresy'!$B9,Body!$B$3:$AR$172,19,FALSE)</f>
        <v>7</v>
      </c>
      <c r="U9" s="264">
        <f>VLOOKUP('Statistika okresy'!$B9,Body!$B$3:$AR$172,20,FALSE)</f>
        <v>7</v>
      </c>
      <c r="V9" s="264">
        <f>VLOOKUP('Statistika okresy'!$B9,Body!$B$3:$AR$172,21,FALSE)</f>
        <v>7</v>
      </c>
      <c r="W9" s="264">
        <f>VLOOKUP('Statistika okresy'!$B9,Body!$B$3:$AR$172,22,FALSE)</f>
        <v>5</v>
      </c>
      <c r="X9" s="264">
        <f>VLOOKUP('Statistika okresy'!$B9,Body!$B$3:$AR$172,23,FALSE)</f>
        <v>10</v>
      </c>
      <c r="Y9" s="264">
        <f>VLOOKUP('Statistika okresy'!$B9,Body!$B$3:$AR$172,24,FALSE)</f>
        <v>10</v>
      </c>
      <c r="Z9" s="264">
        <f>VLOOKUP('Statistika okresy'!$B9,Body!$B$3:$AR$172,25,FALSE)</f>
        <v>10</v>
      </c>
      <c r="AA9" s="264">
        <f>VLOOKUP('Statistika okresy'!$B9,Body!$B$3:$AR$172,26,FALSE)</f>
        <v>3</v>
      </c>
      <c r="AB9" s="264">
        <f>VLOOKUP('Statistika okresy'!$B9,Body!$B$3:$AR$172,27,FALSE)</f>
        <v>5</v>
      </c>
      <c r="AC9" s="265">
        <f>VLOOKUP('Statistika okresy'!$B9,Body!$B$3:$AR$172,35,FALSE)</f>
        <v>5.3333333333333375</v>
      </c>
      <c r="AD9" s="264">
        <f>VLOOKUP('Statistika okresy'!$B9,Body!$B$3:$AR$172,36,FALSE)</f>
        <v>35.748107578032958</v>
      </c>
      <c r="AE9" s="264">
        <f>VLOOKUP('Statistika okresy'!$B9,Body!$B$3:$AR$172,37,FALSE)</f>
        <v>33.337481854452086</v>
      </c>
      <c r="AF9" s="264">
        <f>VLOOKUP('Statistika okresy'!$B9,Body!$B$3:$AR$172,38,FALSE)</f>
        <v>76.406232972345762</v>
      </c>
      <c r="AG9" s="264">
        <f>VLOOKUP('Statistika okresy'!$B9,Body!$B$3:$AR$172,39,FALSE)</f>
        <v>65.489798643789811</v>
      </c>
      <c r="AH9" s="264">
        <f>VLOOKUP('Statistika okresy'!$B9,Body!$B$3:$AR$172,40,FALSE)</f>
        <v>112.15434055037872</v>
      </c>
      <c r="AI9" s="264">
        <f>VLOOKUP('Statistika okresy'!$B9,Body!$B$3:$AR$172,41,FALSE)</f>
        <v>98.82728049824189</v>
      </c>
      <c r="AJ9" s="390"/>
      <c r="AK9" s="407">
        <f>VLOOKUP('Statistika okresy'!$B9,Body!$B$3:$AR$172,43,FALSE)</f>
        <v>216.31495438195395</v>
      </c>
    </row>
    <row r="10" spans="1:37" ht="15.5" x14ac:dyDescent="0.35">
      <c r="A10" s="382">
        <v>4025</v>
      </c>
      <c r="B10" s="156" t="s">
        <v>301</v>
      </c>
      <c r="C10" s="352" t="s">
        <v>959</v>
      </c>
      <c r="D10" s="264">
        <f>VLOOKUP('Statistika okresy'!$B10,Body!$B$3:$AR$172,3,FALSE)</f>
        <v>9</v>
      </c>
      <c r="E10" s="264">
        <f>VLOOKUP('Statistika okresy'!$B10,Body!$B$3:$AR$172,4,FALSE)</f>
        <v>9</v>
      </c>
      <c r="F10" s="264">
        <f>VLOOKUP('Statistika okresy'!$B10,Body!$B$3:$AR$172,5,FALSE)</f>
        <v>4</v>
      </c>
      <c r="G10" s="264">
        <f>VLOOKUP('Statistika okresy'!$B10,Body!$B$3:$AR$172,6,FALSE)</f>
        <v>3</v>
      </c>
      <c r="H10" s="264">
        <f>VLOOKUP('Statistika okresy'!$B10,Body!$B$3:$AR$172,7,FALSE)</f>
        <v>10</v>
      </c>
      <c r="I10" s="264">
        <f>VLOOKUP('Statistika okresy'!$B10,Body!$B$3:$AR$172,8,FALSE)</f>
        <v>7</v>
      </c>
      <c r="J10" s="264">
        <f>VLOOKUP('Statistika okresy'!$B10,Body!$B$3:$AR$172,9,FALSE)</f>
        <v>2</v>
      </c>
      <c r="K10" s="264">
        <f>VLOOKUP('Statistika okresy'!$B10,Body!$B$3:$AR$172,10,FALSE)</f>
        <v>1</v>
      </c>
      <c r="L10" s="264">
        <f>VLOOKUP('Statistika okresy'!$B10,Body!$B$3:$AR$172,11,FALSE)</f>
        <v>5</v>
      </c>
      <c r="M10" s="264">
        <f>VLOOKUP('Statistika okresy'!$B10,Body!$B$3:$AR$172,12,FALSE)</f>
        <v>6</v>
      </c>
      <c r="N10" s="264">
        <f>VLOOKUP('Statistika okresy'!$B10,Body!$B$3:$AR$172,13,FALSE)</f>
        <v>9</v>
      </c>
      <c r="O10" s="264">
        <f>VLOOKUP('Statistika okresy'!$B10,Body!$B$3:$AR$172,14,FALSE)</f>
        <v>9</v>
      </c>
      <c r="P10" s="264">
        <f>VLOOKUP('Statistika okresy'!$B10,Body!$B$3:$AR$172,15,FALSE)</f>
        <v>3</v>
      </c>
      <c r="Q10" s="264">
        <f>VLOOKUP('Statistika okresy'!$B10,Body!$B$3:$AR$172,16,FALSE)</f>
        <v>6</v>
      </c>
      <c r="R10" s="264">
        <f>VLOOKUP('Statistika okresy'!$B10,Body!$B$3:$AR$172,17,FALSE)</f>
        <v>8</v>
      </c>
      <c r="S10" s="264">
        <f>VLOOKUP('Statistika okresy'!$B10,Body!$B$3:$AR$172,18,FALSE)</f>
        <v>9</v>
      </c>
      <c r="T10" s="264">
        <f>VLOOKUP('Statistika okresy'!$B10,Body!$B$3:$AR$172,19,FALSE)</f>
        <v>7</v>
      </c>
      <c r="U10" s="264">
        <f>VLOOKUP('Statistika okresy'!$B10,Body!$B$3:$AR$172,20,FALSE)</f>
        <v>7</v>
      </c>
      <c r="V10" s="264">
        <f>VLOOKUP('Statistika okresy'!$B10,Body!$B$3:$AR$172,21,FALSE)</f>
        <v>7</v>
      </c>
      <c r="W10" s="264">
        <f>VLOOKUP('Statistika okresy'!$B10,Body!$B$3:$AR$172,22,FALSE)</f>
        <v>7</v>
      </c>
      <c r="X10" s="264">
        <f>VLOOKUP('Statistika okresy'!$B10,Body!$B$3:$AR$172,23,FALSE)</f>
        <v>10</v>
      </c>
      <c r="Y10" s="264">
        <f>VLOOKUP('Statistika okresy'!$B10,Body!$B$3:$AR$172,24,FALSE)</f>
        <v>10</v>
      </c>
      <c r="Z10" s="264">
        <f>VLOOKUP('Statistika okresy'!$B10,Body!$B$3:$AR$172,25,FALSE)</f>
        <v>10</v>
      </c>
      <c r="AA10" s="264">
        <f>VLOOKUP('Statistika okresy'!$B10,Body!$B$3:$AR$172,26,FALSE)</f>
        <v>3</v>
      </c>
      <c r="AB10" s="264">
        <f>VLOOKUP('Statistika okresy'!$B10,Body!$B$3:$AR$172,27,FALSE)</f>
        <v>5</v>
      </c>
      <c r="AC10" s="265">
        <f>VLOOKUP('Statistika okresy'!$B10,Body!$B$3:$AR$172,35,FALSE)</f>
        <v>5.3333333333333375</v>
      </c>
      <c r="AD10" s="264">
        <f>VLOOKUP('Statistika okresy'!$B10,Body!$B$3:$AR$172,36,FALSE)</f>
        <v>33.237477183546702</v>
      </c>
      <c r="AE10" s="264">
        <f>VLOOKUP('Statistika okresy'!$B10,Body!$B$3:$AR$172,37,FALSE)</f>
        <v>33.546845106048828</v>
      </c>
      <c r="AF10" s="264">
        <f>VLOOKUP('Statistika okresy'!$B10,Body!$B$3:$AR$172,38,FALSE)</f>
        <v>76.406232972345762</v>
      </c>
      <c r="AG10" s="264">
        <f>VLOOKUP('Statistika okresy'!$B10,Body!$B$3:$AR$172,39,FALSE)</f>
        <v>68.578985058193794</v>
      </c>
      <c r="AH10" s="264">
        <f>VLOOKUP('Statistika okresy'!$B10,Body!$B$3:$AR$172,40,FALSE)</f>
        <v>109.64371015589246</v>
      </c>
      <c r="AI10" s="264">
        <f>VLOOKUP('Statistika okresy'!$B10,Body!$B$3:$AR$172,41,FALSE)</f>
        <v>102.12583016424261</v>
      </c>
      <c r="AJ10" s="390"/>
      <c r="AK10" s="407">
        <f>VLOOKUP('Statistika okresy'!$B10,Body!$B$3:$AR$172,43,FALSE)</f>
        <v>217.10287365346844</v>
      </c>
    </row>
    <row r="11" spans="1:37" ht="15.5" x14ac:dyDescent="0.35">
      <c r="A11" s="382">
        <v>4031</v>
      </c>
      <c r="B11" s="156" t="s">
        <v>79</v>
      </c>
      <c r="C11" s="352" t="s">
        <v>959</v>
      </c>
      <c r="D11" s="264">
        <f>VLOOKUP('Statistika okresy'!$B11,Body!$B$3:$AR$172,3,FALSE)</f>
        <v>5</v>
      </c>
      <c r="E11" s="264">
        <f>VLOOKUP('Statistika okresy'!$B11,Body!$B$3:$AR$172,4,FALSE)</f>
        <v>5</v>
      </c>
      <c r="F11" s="264">
        <f>VLOOKUP('Statistika okresy'!$B11,Body!$B$3:$AR$172,5,FALSE)</f>
        <v>5</v>
      </c>
      <c r="G11" s="264">
        <f>VLOOKUP('Statistika okresy'!$B11,Body!$B$3:$AR$172,6,FALSE)</f>
        <v>4</v>
      </c>
      <c r="H11" s="264">
        <f>VLOOKUP('Statistika okresy'!$B11,Body!$B$3:$AR$172,7,FALSE)</f>
        <v>1</v>
      </c>
      <c r="I11" s="264">
        <f>VLOOKUP('Statistika okresy'!$B11,Body!$B$3:$AR$172,8,FALSE)</f>
        <v>1</v>
      </c>
      <c r="J11" s="264">
        <f>VLOOKUP('Statistika okresy'!$B11,Body!$B$3:$AR$172,9,FALSE)</f>
        <v>1</v>
      </c>
      <c r="K11" s="264">
        <f>VLOOKUP('Statistika okresy'!$B11,Body!$B$3:$AR$172,10,FALSE)</f>
        <v>1</v>
      </c>
      <c r="L11" s="264">
        <f>VLOOKUP('Statistika okresy'!$B11,Body!$B$3:$AR$172,11,FALSE)</f>
        <v>3</v>
      </c>
      <c r="M11" s="264">
        <f>VLOOKUP('Statistika okresy'!$B11,Body!$B$3:$AR$172,12,FALSE)</f>
        <v>3</v>
      </c>
      <c r="N11" s="264">
        <f>VLOOKUP('Statistika okresy'!$B11,Body!$B$3:$AR$172,13,FALSE)</f>
        <v>5</v>
      </c>
      <c r="O11" s="264">
        <f>VLOOKUP('Statistika okresy'!$B11,Body!$B$3:$AR$172,14,FALSE)</f>
        <v>5</v>
      </c>
      <c r="P11" s="264">
        <f>VLOOKUP('Statistika okresy'!$B11,Body!$B$3:$AR$172,15,FALSE)</f>
        <v>5</v>
      </c>
      <c r="Q11" s="264">
        <f>VLOOKUP('Statistika okresy'!$B11,Body!$B$3:$AR$172,16,FALSE)</f>
        <v>6</v>
      </c>
      <c r="R11" s="264">
        <f>VLOOKUP('Statistika okresy'!$B11,Body!$B$3:$AR$172,17,FALSE)</f>
        <v>6</v>
      </c>
      <c r="S11" s="264">
        <f>VLOOKUP('Statistika okresy'!$B11,Body!$B$3:$AR$172,18,FALSE)</f>
        <v>9</v>
      </c>
      <c r="T11" s="264">
        <f>VLOOKUP('Statistika okresy'!$B11,Body!$B$3:$AR$172,19,FALSE)</f>
        <v>9</v>
      </c>
      <c r="U11" s="264">
        <f>VLOOKUP('Statistika okresy'!$B11,Body!$B$3:$AR$172,20,FALSE)</f>
        <v>3</v>
      </c>
      <c r="V11" s="264">
        <f>VLOOKUP('Statistika okresy'!$B11,Body!$B$3:$AR$172,21,FALSE)</f>
        <v>6</v>
      </c>
      <c r="W11" s="264">
        <f>VLOOKUP('Statistika okresy'!$B11,Body!$B$3:$AR$172,22,FALSE)</f>
        <v>10</v>
      </c>
      <c r="X11" s="264">
        <f>VLOOKUP('Statistika okresy'!$B11,Body!$B$3:$AR$172,23,FALSE)</f>
        <v>5</v>
      </c>
      <c r="Y11" s="264">
        <f>VLOOKUP('Statistika okresy'!$B11,Body!$B$3:$AR$172,24,FALSE)</f>
        <v>10</v>
      </c>
      <c r="Z11" s="264">
        <f>VLOOKUP('Statistika okresy'!$B11,Body!$B$3:$AR$172,25,FALSE)</f>
        <v>10</v>
      </c>
      <c r="AA11" s="264">
        <f>VLOOKUP('Statistika okresy'!$B11,Body!$B$3:$AR$172,26,FALSE)</f>
        <v>3</v>
      </c>
      <c r="AB11" s="264">
        <f>VLOOKUP('Statistika okresy'!$B11,Body!$B$3:$AR$172,27,FALSE)</f>
        <v>5</v>
      </c>
      <c r="AC11" s="265">
        <f>VLOOKUP('Statistika okresy'!$B11,Body!$B$3:$AR$172,35,FALSE)</f>
        <v>5.3333333333333375</v>
      </c>
      <c r="AD11" s="264">
        <f>VLOOKUP('Statistika okresy'!$B11,Body!$B$3:$AR$172,36,FALSE)</f>
        <v>28.623266295386266</v>
      </c>
      <c r="AE11" s="264">
        <f>VLOOKUP('Statistika okresy'!$B11,Body!$B$3:$AR$172,37,FALSE)</f>
        <v>26.752732236647937</v>
      </c>
      <c r="AF11" s="264">
        <f>VLOOKUP('Statistika okresy'!$B11,Body!$B$3:$AR$172,38,FALSE)</f>
        <v>62.837872491133353</v>
      </c>
      <c r="AG11" s="264">
        <f>VLOOKUP('Statistika okresy'!$B11,Body!$B$3:$AR$172,39,FALSE)</f>
        <v>69.016245319941305</v>
      </c>
      <c r="AH11" s="264">
        <f>VLOOKUP('Statistika okresy'!$B11,Body!$B$3:$AR$172,40,FALSE)</f>
        <v>91.461138786519626</v>
      </c>
      <c r="AI11" s="264">
        <f>VLOOKUP('Statistika okresy'!$B11,Body!$B$3:$AR$172,41,FALSE)</f>
        <v>95.768977556589249</v>
      </c>
      <c r="AJ11" s="390"/>
      <c r="AK11" s="407">
        <f>VLOOKUP('Statistika okresy'!$B11,Body!$B$3:$AR$172,43,FALSE)</f>
        <v>192.56344967644222</v>
      </c>
    </row>
    <row r="12" spans="1:37" ht="15.5" x14ac:dyDescent="0.35">
      <c r="A12" s="382">
        <v>4034</v>
      </c>
      <c r="B12" s="156" t="s">
        <v>98</v>
      </c>
      <c r="C12" s="352" t="s">
        <v>959</v>
      </c>
      <c r="D12" s="264">
        <f>VLOOKUP('Statistika okresy'!$B12,Body!$B$3:$AR$172,3,FALSE)</f>
        <v>4</v>
      </c>
      <c r="E12" s="264">
        <f>VLOOKUP('Statistika okresy'!$B12,Body!$B$3:$AR$172,4,FALSE)</f>
        <v>5</v>
      </c>
      <c r="F12" s="264">
        <f>VLOOKUP('Statistika okresy'!$B12,Body!$B$3:$AR$172,5,FALSE)</f>
        <v>6</v>
      </c>
      <c r="G12" s="264">
        <f>VLOOKUP('Statistika okresy'!$B12,Body!$B$3:$AR$172,6,FALSE)</f>
        <v>4</v>
      </c>
      <c r="H12" s="264">
        <f>VLOOKUP('Statistika okresy'!$B12,Body!$B$3:$AR$172,7,FALSE)</f>
        <v>10</v>
      </c>
      <c r="I12" s="264">
        <f>VLOOKUP('Statistika okresy'!$B12,Body!$B$3:$AR$172,8,FALSE)</f>
        <v>10</v>
      </c>
      <c r="J12" s="264">
        <f>VLOOKUP('Statistika okresy'!$B12,Body!$B$3:$AR$172,9,FALSE)</f>
        <v>1</v>
      </c>
      <c r="K12" s="264">
        <f>VLOOKUP('Statistika okresy'!$B12,Body!$B$3:$AR$172,10,FALSE)</f>
        <v>1</v>
      </c>
      <c r="L12" s="264">
        <f>VLOOKUP('Statistika okresy'!$B12,Body!$B$3:$AR$172,11,FALSE)</f>
        <v>5</v>
      </c>
      <c r="M12" s="264">
        <f>VLOOKUP('Statistika okresy'!$B12,Body!$B$3:$AR$172,12,FALSE)</f>
        <v>5</v>
      </c>
      <c r="N12" s="264">
        <f>VLOOKUP('Statistika okresy'!$B12,Body!$B$3:$AR$172,13,FALSE)</f>
        <v>10</v>
      </c>
      <c r="O12" s="264">
        <f>VLOOKUP('Statistika okresy'!$B12,Body!$B$3:$AR$172,14,FALSE)</f>
        <v>10</v>
      </c>
      <c r="P12" s="264">
        <f>VLOOKUP('Statistika okresy'!$B12,Body!$B$3:$AR$172,15,FALSE)</f>
        <v>3</v>
      </c>
      <c r="Q12" s="264">
        <f>VLOOKUP('Statistika okresy'!$B12,Body!$B$3:$AR$172,16,FALSE)</f>
        <v>6</v>
      </c>
      <c r="R12" s="264">
        <f>VLOOKUP('Statistika okresy'!$B12,Body!$B$3:$AR$172,17,FALSE)</f>
        <v>5</v>
      </c>
      <c r="S12" s="264">
        <f>VLOOKUP('Statistika okresy'!$B12,Body!$B$3:$AR$172,18,FALSE)</f>
        <v>8</v>
      </c>
      <c r="T12" s="264">
        <f>VLOOKUP('Statistika okresy'!$B12,Body!$B$3:$AR$172,19,FALSE)</f>
        <v>8</v>
      </c>
      <c r="U12" s="264">
        <f>VLOOKUP('Statistika okresy'!$B12,Body!$B$3:$AR$172,20,FALSE)</f>
        <v>7</v>
      </c>
      <c r="V12" s="264">
        <f>VLOOKUP('Statistika okresy'!$B12,Body!$B$3:$AR$172,21,FALSE)</f>
        <v>8</v>
      </c>
      <c r="W12" s="264">
        <f>VLOOKUP('Statistika okresy'!$B12,Body!$B$3:$AR$172,22,FALSE)</f>
        <v>6</v>
      </c>
      <c r="X12" s="264">
        <f>VLOOKUP('Statistika okresy'!$B12,Body!$B$3:$AR$172,23,FALSE)</f>
        <v>10</v>
      </c>
      <c r="Y12" s="264">
        <f>VLOOKUP('Statistika okresy'!$B12,Body!$B$3:$AR$172,24,FALSE)</f>
        <v>10</v>
      </c>
      <c r="Z12" s="264">
        <f>VLOOKUP('Statistika okresy'!$B12,Body!$B$3:$AR$172,25,FALSE)</f>
        <v>10</v>
      </c>
      <c r="AA12" s="264">
        <f>VLOOKUP('Statistika okresy'!$B12,Body!$B$3:$AR$172,26,FALSE)</f>
        <v>5</v>
      </c>
      <c r="AB12" s="264">
        <f>VLOOKUP('Statistika okresy'!$B12,Body!$B$3:$AR$172,27,FALSE)</f>
        <v>5</v>
      </c>
      <c r="AC12" s="265">
        <f>VLOOKUP('Statistika okresy'!$B12,Body!$B$3:$AR$172,35,FALSE)</f>
        <v>8.0000000000000071</v>
      </c>
      <c r="AD12" s="264">
        <f>VLOOKUP('Statistika okresy'!$B12,Body!$B$3:$AR$172,36,FALSE)</f>
        <v>35.898569381178554</v>
      </c>
      <c r="AE12" s="264">
        <f>VLOOKUP('Statistika okresy'!$B12,Body!$B$3:$AR$172,37,FALSE)</f>
        <v>31.289698653788367</v>
      </c>
      <c r="AF12" s="264">
        <f>VLOOKUP('Statistika okresy'!$B12,Body!$B$3:$AR$172,38,FALSE)</f>
        <v>74.037202222471763</v>
      </c>
      <c r="AG12" s="264">
        <f>VLOOKUP('Statistika okresy'!$B12,Body!$B$3:$AR$172,39,FALSE)</f>
        <v>70.948015808067794</v>
      </c>
      <c r="AH12" s="264">
        <f>VLOOKUP('Statistika okresy'!$B12,Body!$B$3:$AR$172,40,FALSE)</f>
        <v>109.93577160365032</v>
      </c>
      <c r="AI12" s="264">
        <f>VLOOKUP('Statistika okresy'!$B12,Body!$B$3:$AR$172,41,FALSE)</f>
        <v>102.23771446185616</v>
      </c>
      <c r="AJ12" s="390"/>
      <c r="AK12" s="407">
        <f>VLOOKUP('Statistika okresy'!$B12,Body!$B$3:$AR$172,43,FALSE)</f>
        <v>220.17348606550649</v>
      </c>
    </row>
    <row r="13" spans="1:37" ht="15.5" x14ac:dyDescent="0.35">
      <c r="A13" s="382">
        <v>4037</v>
      </c>
      <c r="B13" s="156" t="s">
        <v>92</v>
      </c>
      <c r="C13" s="352" t="s">
        <v>959</v>
      </c>
      <c r="D13" s="264">
        <f>VLOOKUP('Statistika okresy'!$B13,Body!$B$3:$AR$172,3,FALSE)</f>
        <v>5</v>
      </c>
      <c r="E13" s="264">
        <f>VLOOKUP('Statistika okresy'!$B13,Body!$B$3:$AR$172,4,FALSE)</f>
        <v>6</v>
      </c>
      <c r="F13" s="264">
        <f>VLOOKUP('Statistika okresy'!$B13,Body!$B$3:$AR$172,5,FALSE)</f>
        <v>4</v>
      </c>
      <c r="G13" s="264">
        <f>VLOOKUP('Statistika okresy'!$B13,Body!$B$3:$AR$172,6,FALSE)</f>
        <v>3</v>
      </c>
      <c r="H13" s="264">
        <f>VLOOKUP('Statistika okresy'!$B13,Body!$B$3:$AR$172,7,FALSE)</f>
        <v>4</v>
      </c>
      <c r="I13" s="264">
        <f>VLOOKUP('Statistika okresy'!$B13,Body!$B$3:$AR$172,8,FALSE)</f>
        <v>3</v>
      </c>
      <c r="J13" s="264">
        <f>VLOOKUP('Statistika okresy'!$B13,Body!$B$3:$AR$172,9,FALSE)</f>
        <v>2</v>
      </c>
      <c r="K13" s="264">
        <f>VLOOKUP('Statistika okresy'!$B13,Body!$B$3:$AR$172,10,FALSE)</f>
        <v>2</v>
      </c>
      <c r="L13" s="264">
        <f>VLOOKUP('Statistika okresy'!$B13,Body!$B$3:$AR$172,11,FALSE)</f>
        <v>4</v>
      </c>
      <c r="M13" s="264">
        <f>VLOOKUP('Statistika okresy'!$B13,Body!$B$3:$AR$172,12,FALSE)</f>
        <v>5</v>
      </c>
      <c r="N13" s="264">
        <f>VLOOKUP('Statistika okresy'!$B13,Body!$B$3:$AR$172,13,FALSE)</f>
        <v>10</v>
      </c>
      <c r="O13" s="264">
        <f>VLOOKUP('Statistika okresy'!$B13,Body!$B$3:$AR$172,14,FALSE)</f>
        <v>10</v>
      </c>
      <c r="P13" s="264">
        <f>VLOOKUP('Statistika okresy'!$B13,Body!$B$3:$AR$172,15,FALSE)</f>
        <v>10</v>
      </c>
      <c r="Q13" s="264">
        <f>VLOOKUP('Statistika okresy'!$B13,Body!$B$3:$AR$172,16,FALSE)</f>
        <v>7</v>
      </c>
      <c r="R13" s="264">
        <f>VLOOKUP('Statistika okresy'!$B13,Body!$B$3:$AR$172,17,FALSE)</f>
        <v>7</v>
      </c>
      <c r="S13" s="264">
        <f>VLOOKUP('Statistika okresy'!$B13,Body!$B$3:$AR$172,18,FALSE)</f>
        <v>10</v>
      </c>
      <c r="T13" s="264">
        <f>VLOOKUP('Statistika okresy'!$B13,Body!$B$3:$AR$172,19,FALSE)</f>
        <v>9</v>
      </c>
      <c r="U13" s="264">
        <f>VLOOKUP('Statistika okresy'!$B13,Body!$B$3:$AR$172,20,FALSE)</f>
        <v>5</v>
      </c>
      <c r="V13" s="264">
        <f>VLOOKUP('Statistika okresy'!$B13,Body!$B$3:$AR$172,21,FALSE)</f>
        <v>8</v>
      </c>
      <c r="W13" s="264">
        <f>VLOOKUP('Statistika okresy'!$B13,Body!$B$3:$AR$172,22,FALSE)</f>
        <v>5</v>
      </c>
      <c r="X13" s="264">
        <f>VLOOKUP('Statistika okresy'!$B13,Body!$B$3:$AR$172,23,FALSE)</f>
        <v>9</v>
      </c>
      <c r="Y13" s="264">
        <f>VLOOKUP('Statistika okresy'!$B13,Body!$B$3:$AR$172,24,FALSE)</f>
        <v>5</v>
      </c>
      <c r="Z13" s="264">
        <f>VLOOKUP('Statistika okresy'!$B13,Body!$B$3:$AR$172,25,FALSE)</f>
        <v>10</v>
      </c>
      <c r="AA13" s="264">
        <f>VLOOKUP('Statistika okresy'!$B13,Body!$B$3:$AR$172,26,FALSE)</f>
        <v>3</v>
      </c>
      <c r="AB13" s="264">
        <f>VLOOKUP('Statistika okresy'!$B13,Body!$B$3:$AR$172,27,FALSE)</f>
        <v>5</v>
      </c>
      <c r="AC13" s="265">
        <f>VLOOKUP('Statistika okresy'!$B13,Body!$B$3:$AR$172,35,FALSE)</f>
        <v>5.3333333333333375</v>
      </c>
      <c r="AD13" s="264">
        <f>VLOOKUP('Statistika okresy'!$B13,Body!$B$3:$AR$172,36,FALSE)</f>
        <v>37.474606916834844</v>
      </c>
      <c r="AE13" s="264">
        <f>VLOOKUP('Statistika okresy'!$B13,Body!$B$3:$AR$172,37,FALSE)</f>
        <v>36.360755010186885</v>
      </c>
      <c r="AF13" s="264">
        <f>VLOOKUP('Statistika okresy'!$B13,Body!$B$3:$AR$172,38,FALSE)</f>
        <v>74.667778499892293</v>
      </c>
      <c r="AG13" s="264">
        <f>VLOOKUP('Statistika okresy'!$B13,Body!$B$3:$AR$172,39,FALSE)</f>
        <v>66.120374921210342</v>
      </c>
      <c r="AH13" s="264">
        <f>VLOOKUP('Statistika okresy'!$B13,Body!$B$3:$AR$172,40,FALSE)</f>
        <v>112.14238541672714</v>
      </c>
      <c r="AI13" s="264">
        <f>VLOOKUP('Statistika okresy'!$B13,Body!$B$3:$AR$172,41,FALSE)</f>
        <v>102.48112993139722</v>
      </c>
      <c r="AJ13" s="390"/>
      <c r="AK13" s="407">
        <f>VLOOKUP('Statistika okresy'!$B13,Body!$B$3:$AR$172,43,FALSE)</f>
        <v>219.9568486814577</v>
      </c>
    </row>
    <row r="14" spans="1:37" ht="15.5" x14ac:dyDescent="0.35">
      <c r="A14" s="382">
        <v>4040</v>
      </c>
      <c r="B14" s="156" t="s">
        <v>295</v>
      </c>
      <c r="C14" s="352" t="s">
        <v>959</v>
      </c>
      <c r="D14" s="264">
        <f>VLOOKUP('Statistika okresy'!$B14,Body!$B$3:$AR$172,3,FALSE)</f>
        <v>5</v>
      </c>
      <c r="E14" s="264">
        <f>VLOOKUP('Statistika okresy'!$B14,Body!$B$3:$AR$172,4,FALSE)</f>
        <v>4</v>
      </c>
      <c r="F14" s="264">
        <f>VLOOKUP('Statistika okresy'!$B14,Body!$B$3:$AR$172,5,FALSE)</f>
        <v>5</v>
      </c>
      <c r="G14" s="264">
        <f>VLOOKUP('Statistika okresy'!$B14,Body!$B$3:$AR$172,6,FALSE)</f>
        <v>3</v>
      </c>
      <c r="H14" s="264">
        <f>VLOOKUP('Statistika okresy'!$B14,Body!$B$3:$AR$172,7,FALSE)</f>
        <v>1</v>
      </c>
      <c r="I14" s="264">
        <f>VLOOKUP('Statistika okresy'!$B14,Body!$B$3:$AR$172,8,FALSE)</f>
        <v>1</v>
      </c>
      <c r="J14" s="264">
        <f>VLOOKUP('Statistika okresy'!$B14,Body!$B$3:$AR$172,9,FALSE)</f>
        <v>2</v>
      </c>
      <c r="K14" s="264">
        <f>VLOOKUP('Statistika okresy'!$B14,Body!$B$3:$AR$172,10,FALSE)</f>
        <v>1</v>
      </c>
      <c r="L14" s="264">
        <f>VLOOKUP('Statistika okresy'!$B14,Body!$B$3:$AR$172,11,FALSE)</f>
        <v>2</v>
      </c>
      <c r="M14" s="264">
        <f>VLOOKUP('Statistika okresy'!$B14,Body!$B$3:$AR$172,12,FALSE)</f>
        <v>2</v>
      </c>
      <c r="N14" s="264">
        <f>VLOOKUP('Statistika okresy'!$B14,Body!$B$3:$AR$172,13,FALSE)</f>
        <v>5</v>
      </c>
      <c r="O14" s="264">
        <f>VLOOKUP('Statistika okresy'!$B14,Body!$B$3:$AR$172,14,FALSE)</f>
        <v>3</v>
      </c>
      <c r="P14" s="264">
        <f>VLOOKUP('Statistika okresy'!$B14,Body!$B$3:$AR$172,15,FALSE)</f>
        <v>5</v>
      </c>
      <c r="Q14" s="264">
        <f>VLOOKUP('Statistika okresy'!$B14,Body!$B$3:$AR$172,16,FALSE)</f>
        <v>3</v>
      </c>
      <c r="R14" s="264">
        <f>VLOOKUP('Statistika okresy'!$B14,Body!$B$3:$AR$172,17,FALSE)</f>
        <v>3</v>
      </c>
      <c r="S14" s="264">
        <f>VLOOKUP('Statistika okresy'!$B14,Body!$B$3:$AR$172,18,FALSE)</f>
        <v>7</v>
      </c>
      <c r="T14" s="264">
        <f>VLOOKUP('Statistika okresy'!$B14,Body!$B$3:$AR$172,19,FALSE)</f>
        <v>7</v>
      </c>
      <c r="U14" s="264">
        <f>VLOOKUP('Statistika okresy'!$B14,Body!$B$3:$AR$172,20,FALSE)</f>
        <v>5</v>
      </c>
      <c r="V14" s="264">
        <f>VLOOKUP('Statistika okresy'!$B14,Body!$B$3:$AR$172,21,FALSE)</f>
        <v>6</v>
      </c>
      <c r="W14" s="264">
        <f>VLOOKUP('Statistika okresy'!$B14,Body!$B$3:$AR$172,22,FALSE)</f>
        <v>6</v>
      </c>
      <c r="X14" s="264">
        <f>VLOOKUP('Statistika okresy'!$B14,Body!$B$3:$AR$172,23,FALSE)</f>
        <v>9</v>
      </c>
      <c r="Y14" s="264">
        <f>VLOOKUP('Statistika okresy'!$B14,Body!$B$3:$AR$172,24,FALSE)</f>
        <v>10</v>
      </c>
      <c r="Z14" s="264">
        <f>VLOOKUP('Statistika okresy'!$B14,Body!$B$3:$AR$172,25,FALSE)</f>
        <v>10</v>
      </c>
      <c r="AA14" s="264">
        <f>VLOOKUP('Statistika okresy'!$B14,Body!$B$3:$AR$172,26,FALSE)</f>
        <v>5</v>
      </c>
      <c r="AB14" s="264">
        <f>VLOOKUP('Statistika okresy'!$B14,Body!$B$3:$AR$172,27,FALSE)</f>
        <v>5</v>
      </c>
      <c r="AC14" s="265">
        <f>VLOOKUP('Statistika okresy'!$B14,Body!$B$3:$AR$172,35,FALSE)</f>
        <v>8.0000000000000071</v>
      </c>
      <c r="AD14" s="264">
        <f>VLOOKUP('Statistika okresy'!$B14,Body!$B$3:$AR$172,36,FALSE)</f>
        <v>24.555399885765578</v>
      </c>
      <c r="AE14" s="264">
        <f>VLOOKUP('Statistika okresy'!$B14,Body!$B$3:$AR$172,37,FALSE)</f>
        <v>18.684763137362324</v>
      </c>
      <c r="AF14" s="264">
        <f>VLOOKUP('Statistika okresy'!$B14,Body!$B$3:$AR$172,38,FALSE)</f>
        <v>62.131093016600801</v>
      </c>
      <c r="AG14" s="264">
        <f>VLOOKUP('Statistika okresy'!$B14,Body!$B$3:$AR$172,39,FALSE)</f>
        <v>62.131093016600801</v>
      </c>
      <c r="AH14" s="264">
        <f>VLOOKUP('Statistika okresy'!$B14,Body!$B$3:$AR$172,40,FALSE)</f>
        <v>86.686492902366382</v>
      </c>
      <c r="AI14" s="264">
        <f>VLOOKUP('Statistika okresy'!$B14,Body!$B$3:$AR$172,41,FALSE)</f>
        <v>80.815856153963125</v>
      </c>
      <c r="AJ14" s="390"/>
      <c r="AK14" s="407">
        <f>VLOOKUP('Statistika okresy'!$B14,Body!$B$3:$AR$172,43,FALSE)</f>
        <v>175.50234905632951</v>
      </c>
    </row>
    <row r="15" spans="1:37" ht="15.5" x14ac:dyDescent="0.35">
      <c r="A15" s="382">
        <v>4046</v>
      </c>
      <c r="B15" s="156" t="s">
        <v>107</v>
      </c>
      <c r="C15" s="352" t="s">
        <v>959</v>
      </c>
      <c r="D15" s="264">
        <f>VLOOKUP('Statistika okresy'!$B15,Body!$B$3:$AR$172,3,FALSE)</f>
        <v>5</v>
      </c>
      <c r="E15" s="264">
        <f>VLOOKUP('Statistika okresy'!$B15,Body!$B$3:$AR$172,4,FALSE)</f>
        <v>6</v>
      </c>
      <c r="F15" s="264">
        <f>VLOOKUP('Statistika okresy'!$B15,Body!$B$3:$AR$172,5,FALSE)</f>
        <v>8</v>
      </c>
      <c r="G15" s="264">
        <f>VLOOKUP('Statistika okresy'!$B15,Body!$B$3:$AR$172,6,FALSE)</f>
        <v>5</v>
      </c>
      <c r="H15" s="264">
        <f>VLOOKUP('Statistika okresy'!$B15,Body!$B$3:$AR$172,7,FALSE)</f>
        <v>1</v>
      </c>
      <c r="I15" s="264">
        <f>VLOOKUP('Statistika okresy'!$B15,Body!$B$3:$AR$172,8,FALSE)</f>
        <v>3</v>
      </c>
      <c r="J15" s="264">
        <f>VLOOKUP('Statistika okresy'!$B15,Body!$B$3:$AR$172,9,FALSE)</f>
        <v>1</v>
      </c>
      <c r="K15" s="264">
        <f>VLOOKUP('Statistika okresy'!$B15,Body!$B$3:$AR$172,10,FALSE)</f>
        <v>1</v>
      </c>
      <c r="L15" s="264">
        <f>VLOOKUP('Statistika okresy'!$B15,Body!$B$3:$AR$172,11,FALSE)</f>
        <v>5</v>
      </c>
      <c r="M15" s="264">
        <f>VLOOKUP('Statistika okresy'!$B15,Body!$B$3:$AR$172,12,FALSE)</f>
        <v>4</v>
      </c>
      <c r="N15" s="264">
        <f>VLOOKUP('Statistika okresy'!$B15,Body!$B$3:$AR$172,13,FALSE)</f>
        <v>4</v>
      </c>
      <c r="O15" s="264">
        <f>VLOOKUP('Statistika okresy'!$B15,Body!$B$3:$AR$172,14,FALSE)</f>
        <v>4</v>
      </c>
      <c r="P15" s="264">
        <f>VLOOKUP('Statistika okresy'!$B15,Body!$B$3:$AR$172,15,FALSE)</f>
        <v>10</v>
      </c>
      <c r="Q15" s="264">
        <f>VLOOKUP('Statistika okresy'!$B15,Body!$B$3:$AR$172,16,FALSE)</f>
        <v>4</v>
      </c>
      <c r="R15" s="264">
        <f>VLOOKUP('Statistika okresy'!$B15,Body!$B$3:$AR$172,17,FALSE)</f>
        <v>4</v>
      </c>
      <c r="S15" s="264">
        <f>VLOOKUP('Statistika okresy'!$B15,Body!$B$3:$AR$172,18,FALSE)</f>
        <v>8</v>
      </c>
      <c r="T15" s="264">
        <f>VLOOKUP('Statistika okresy'!$B15,Body!$B$3:$AR$172,19,FALSE)</f>
        <v>8</v>
      </c>
      <c r="U15" s="264">
        <f>VLOOKUP('Statistika okresy'!$B15,Body!$B$3:$AR$172,20,FALSE)</f>
        <v>3</v>
      </c>
      <c r="V15" s="264">
        <f>VLOOKUP('Statistika okresy'!$B15,Body!$B$3:$AR$172,21,FALSE)</f>
        <v>6</v>
      </c>
      <c r="W15" s="264">
        <f>VLOOKUP('Statistika okresy'!$B15,Body!$B$3:$AR$172,22,FALSE)</f>
        <v>5</v>
      </c>
      <c r="X15" s="264">
        <f>VLOOKUP('Statistika okresy'!$B15,Body!$B$3:$AR$172,23,FALSE)</f>
        <v>9</v>
      </c>
      <c r="Y15" s="264">
        <f>VLOOKUP('Statistika okresy'!$B15,Body!$B$3:$AR$172,24,FALSE)</f>
        <v>8</v>
      </c>
      <c r="Z15" s="264">
        <f>VLOOKUP('Statistika okresy'!$B15,Body!$B$3:$AR$172,25,FALSE)</f>
        <v>10</v>
      </c>
      <c r="AA15" s="264">
        <f>VLOOKUP('Statistika okresy'!$B15,Body!$B$3:$AR$172,26,FALSE)</f>
        <v>1</v>
      </c>
      <c r="AB15" s="264">
        <f>VLOOKUP('Statistika okresy'!$B15,Body!$B$3:$AR$172,27,FALSE)</f>
        <v>10</v>
      </c>
      <c r="AC15" s="265">
        <f>VLOOKUP('Statistika okresy'!$B15,Body!$B$3:$AR$172,35,FALSE)</f>
        <v>4.0000000000000036</v>
      </c>
      <c r="AD15" s="264">
        <f>VLOOKUP('Statistika okresy'!$B15,Body!$B$3:$AR$172,36,FALSE)</f>
        <v>36.316887713688402</v>
      </c>
      <c r="AE15" s="264">
        <f>VLOOKUP('Statistika okresy'!$B15,Body!$B$3:$AR$172,37,FALSE)</f>
        <v>30.850395651488494</v>
      </c>
      <c r="AF15" s="264">
        <f>VLOOKUP('Statistika okresy'!$B15,Body!$B$3:$AR$172,38,FALSE)</f>
        <v>60.963125553425769</v>
      </c>
      <c r="AG15" s="264">
        <f>VLOOKUP('Statistika okresy'!$B15,Body!$B$3:$AR$172,39,FALSE)</f>
        <v>59.418532346223785</v>
      </c>
      <c r="AH15" s="264">
        <f>VLOOKUP('Statistika okresy'!$B15,Body!$B$3:$AR$172,40,FALSE)</f>
        <v>97.280013267114171</v>
      </c>
      <c r="AI15" s="264">
        <f>VLOOKUP('Statistika okresy'!$B15,Body!$B$3:$AR$172,41,FALSE)</f>
        <v>90.268927997712282</v>
      </c>
      <c r="AJ15" s="390"/>
      <c r="AK15" s="407">
        <f>VLOOKUP('Statistika okresy'!$B15,Body!$B$3:$AR$172,43,FALSE)</f>
        <v>191.54894126482645</v>
      </c>
    </row>
    <row r="16" spans="1:37" ht="15.5" x14ac:dyDescent="0.35">
      <c r="A16" s="382">
        <v>4049</v>
      </c>
      <c r="B16" s="156" t="s">
        <v>75</v>
      </c>
      <c r="C16" s="352" t="s">
        <v>959</v>
      </c>
      <c r="D16" s="264">
        <f>VLOOKUP('Statistika okresy'!$B16,Body!$B$3:$AR$172,3,FALSE)</f>
        <v>2</v>
      </c>
      <c r="E16" s="264">
        <f>VLOOKUP('Statistika okresy'!$B16,Body!$B$3:$AR$172,4,FALSE)</f>
        <v>1</v>
      </c>
      <c r="F16" s="264">
        <f>VLOOKUP('Statistika okresy'!$B16,Body!$B$3:$AR$172,5,FALSE)</f>
        <v>8</v>
      </c>
      <c r="G16" s="264">
        <f>VLOOKUP('Statistika okresy'!$B16,Body!$B$3:$AR$172,6,FALSE)</f>
        <v>6</v>
      </c>
      <c r="H16" s="264">
        <f>VLOOKUP('Statistika okresy'!$B16,Body!$B$3:$AR$172,7,FALSE)</f>
        <v>2</v>
      </c>
      <c r="I16" s="264">
        <f>VLOOKUP('Statistika okresy'!$B16,Body!$B$3:$AR$172,8,FALSE)</f>
        <v>4</v>
      </c>
      <c r="J16" s="264">
        <f>VLOOKUP('Statistika okresy'!$B16,Body!$B$3:$AR$172,9,FALSE)</f>
        <v>1</v>
      </c>
      <c r="K16" s="264">
        <f>VLOOKUP('Statistika okresy'!$B16,Body!$B$3:$AR$172,10,FALSE)</f>
        <v>1</v>
      </c>
      <c r="L16" s="264">
        <f>VLOOKUP('Statistika okresy'!$B16,Body!$B$3:$AR$172,11,FALSE)</f>
        <v>2</v>
      </c>
      <c r="M16" s="264">
        <f>VLOOKUP('Statistika okresy'!$B16,Body!$B$3:$AR$172,12,FALSE)</f>
        <v>1</v>
      </c>
      <c r="N16" s="264">
        <f>VLOOKUP('Statistika okresy'!$B16,Body!$B$3:$AR$172,13,FALSE)</f>
        <v>10</v>
      </c>
      <c r="O16" s="264">
        <f>VLOOKUP('Statistika okresy'!$B16,Body!$B$3:$AR$172,14,FALSE)</f>
        <v>10</v>
      </c>
      <c r="P16" s="264">
        <f>VLOOKUP('Statistika okresy'!$B16,Body!$B$3:$AR$172,15,FALSE)</f>
        <v>5</v>
      </c>
      <c r="Q16" s="264">
        <f>VLOOKUP('Statistika okresy'!$B16,Body!$B$3:$AR$172,16,FALSE)</f>
        <v>2</v>
      </c>
      <c r="R16" s="264">
        <f>VLOOKUP('Statistika okresy'!$B16,Body!$B$3:$AR$172,17,FALSE)</f>
        <v>2</v>
      </c>
      <c r="S16" s="264">
        <f>VLOOKUP('Statistika okresy'!$B16,Body!$B$3:$AR$172,18,FALSE)</f>
        <v>4</v>
      </c>
      <c r="T16" s="264">
        <f>VLOOKUP('Statistika okresy'!$B16,Body!$B$3:$AR$172,19,FALSE)</f>
        <v>3</v>
      </c>
      <c r="U16" s="264">
        <f>VLOOKUP('Statistika okresy'!$B16,Body!$B$3:$AR$172,20,FALSE)</f>
        <v>5</v>
      </c>
      <c r="V16" s="264">
        <f>VLOOKUP('Statistika okresy'!$B16,Body!$B$3:$AR$172,21,FALSE)</f>
        <v>6</v>
      </c>
      <c r="W16" s="264">
        <f>VLOOKUP('Statistika okresy'!$B16,Body!$B$3:$AR$172,22,FALSE)</f>
        <v>5</v>
      </c>
      <c r="X16" s="264">
        <f>VLOOKUP('Statistika okresy'!$B16,Body!$B$3:$AR$172,23,FALSE)</f>
        <v>9</v>
      </c>
      <c r="Y16" s="264">
        <f>VLOOKUP('Statistika okresy'!$B16,Body!$B$3:$AR$172,24,FALSE)</f>
        <v>8</v>
      </c>
      <c r="Z16" s="264">
        <f>VLOOKUP('Statistika okresy'!$B16,Body!$B$3:$AR$172,25,FALSE)</f>
        <v>10</v>
      </c>
      <c r="AA16" s="264">
        <f>VLOOKUP('Statistika okresy'!$B16,Body!$B$3:$AR$172,26,FALSE)</f>
        <v>5</v>
      </c>
      <c r="AB16" s="264">
        <f>VLOOKUP('Statistika okresy'!$B16,Body!$B$3:$AR$172,27,FALSE)</f>
        <v>5</v>
      </c>
      <c r="AC16" s="265">
        <f>VLOOKUP('Statistika okresy'!$B16,Body!$B$3:$AR$172,35,FALSE)</f>
        <v>8.0000000000000071</v>
      </c>
      <c r="AD16" s="264">
        <f>VLOOKUP('Statistika okresy'!$B16,Body!$B$3:$AR$172,36,FALSE)</f>
        <v>31.980992395639742</v>
      </c>
      <c r="AE16" s="264">
        <f>VLOOKUP('Statistika okresy'!$B16,Body!$B$3:$AR$172,37,FALSE)</f>
        <v>27.710948400238312</v>
      </c>
      <c r="AF16" s="264">
        <f>VLOOKUP('Statistika okresy'!$B16,Body!$B$3:$AR$172,38,FALSE)</f>
        <v>49.472872024436654</v>
      </c>
      <c r="AG16" s="264">
        <f>VLOOKUP('Statistika okresy'!$B16,Body!$B$3:$AR$172,39,FALSE)</f>
        <v>44.014654860158664</v>
      </c>
      <c r="AH16" s="264">
        <f>VLOOKUP('Statistika okresy'!$B16,Body!$B$3:$AR$172,40,FALSE)</f>
        <v>81.4538644200764</v>
      </c>
      <c r="AI16" s="264">
        <f>VLOOKUP('Statistika okresy'!$B16,Body!$B$3:$AR$172,41,FALSE)</f>
        <v>71.72560326039698</v>
      </c>
      <c r="AJ16" s="390"/>
      <c r="AK16" s="407">
        <f>VLOOKUP('Statistika okresy'!$B16,Body!$B$3:$AR$172,43,FALSE)</f>
        <v>161.17946768047338</v>
      </c>
    </row>
    <row r="17" spans="1:37" ht="15.5" x14ac:dyDescent="0.35">
      <c r="A17" s="382">
        <v>4052</v>
      </c>
      <c r="B17" s="156" t="s">
        <v>105</v>
      </c>
      <c r="C17" s="352" t="s">
        <v>959</v>
      </c>
      <c r="D17" s="264">
        <f>VLOOKUP('Statistika okresy'!$B17,Body!$B$3:$AR$172,3,FALSE)</f>
        <v>5</v>
      </c>
      <c r="E17" s="264">
        <f>VLOOKUP('Statistika okresy'!$B17,Body!$B$3:$AR$172,4,FALSE)</f>
        <v>5</v>
      </c>
      <c r="F17" s="264">
        <f>VLOOKUP('Statistika okresy'!$B17,Body!$B$3:$AR$172,5,FALSE)</f>
        <v>6</v>
      </c>
      <c r="G17" s="264">
        <f>VLOOKUP('Statistika okresy'!$B17,Body!$B$3:$AR$172,6,FALSE)</f>
        <v>4</v>
      </c>
      <c r="H17" s="264">
        <f>VLOOKUP('Statistika okresy'!$B17,Body!$B$3:$AR$172,7,FALSE)</f>
        <v>1</v>
      </c>
      <c r="I17" s="264">
        <f>VLOOKUP('Statistika okresy'!$B17,Body!$B$3:$AR$172,8,FALSE)</f>
        <v>1</v>
      </c>
      <c r="J17" s="264">
        <f>VLOOKUP('Statistika okresy'!$B17,Body!$B$3:$AR$172,9,FALSE)</f>
        <v>1</v>
      </c>
      <c r="K17" s="264">
        <f>VLOOKUP('Statistika okresy'!$B17,Body!$B$3:$AR$172,10,FALSE)</f>
        <v>1</v>
      </c>
      <c r="L17" s="264">
        <f>VLOOKUP('Statistika okresy'!$B17,Body!$B$3:$AR$172,11,FALSE)</f>
        <v>3</v>
      </c>
      <c r="M17" s="264">
        <f>VLOOKUP('Statistika okresy'!$B17,Body!$B$3:$AR$172,12,FALSE)</f>
        <v>2</v>
      </c>
      <c r="N17" s="264">
        <f>VLOOKUP('Statistika okresy'!$B17,Body!$B$3:$AR$172,13,FALSE)</f>
        <v>1</v>
      </c>
      <c r="O17" s="264">
        <f>VLOOKUP('Statistika okresy'!$B17,Body!$B$3:$AR$172,14,FALSE)</f>
        <v>2</v>
      </c>
      <c r="P17" s="264">
        <f>VLOOKUP('Statistika okresy'!$B17,Body!$B$3:$AR$172,15,FALSE)</f>
        <v>5</v>
      </c>
      <c r="Q17" s="264">
        <f>VLOOKUP('Statistika okresy'!$B17,Body!$B$3:$AR$172,16,FALSE)</f>
        <v>4</v>
      </c>
      <c r="R17" s="264">
        <f>VLOOKUP('Statistika okresy'!$B17,Body!$B$3:$AR$172,17,FALSE)</f>
        <v>5</v>
      </c>
      <c r="S17" s="264">
        <f>VLOOKUP('Statistika okresy'!$B17,Body!$B$3:$AR$172,18,FALSE)</f>
        <v>7</v>
      </c>
      <c r="T17" s="264">
        <f>VLOOKUP('Statistika okresy'!$B17,Body!$B$3:$AR$172,19,FALSE)</f>
        <v>8</v>
      </c>
      <c r="U17" s="264">
        <f>VLOOKUP('Statistika okresy'!$B17,Body!$B$3:$AR$172,20,FALSE)</f>
        <v>3</v>
      </c>
      <c r="V17" s="264">
        <f>VLOOKUP('Statistika okresy'!$B17,Body!$B$3:$AR$172,21,FALSE)</f>
        <v>7</v>
      </c>
      <c r="W17" s="264">
        <f>VLOOKUP('Statistika okresy'!$B17,Body!$B$3:$AR$172,22,FALSE)</f>
        <v>5</v>
      </c>
      <c r="X17" s="264">
        <f>VLOOKUP('Statistika okresy'!$B17,Body!$B$3:$AR$172,23,FALSE)</f>
        <v>9</v>
      </c>
      <c r="Y17" s="264">
        <f>VLOOKUP('Statistika okresy'!$B17,Body!$B$3:$AR$172,24,FALSE)</f>
        <v>8</v>
      </c>
      <c r="Z17" s="264">
        <f>VLOOKUP('Statistika okresy'!$B17,Body!$B$3:$AR$172,25,FALSE)</f>
        <v>10</v>
      </c>
      <c r="AA17" s="264">
        <f>VLOOKUP('Statistika okresy'!$B17,Body!$B$3:$AR$172,26,FALSE)</f>
        <v>5</v>
      </c>
      <c r="AB17" s="264">
        <f>VLOOKUP('Statistika okresy'!$B17,Body!$B$3:$AR$172,27,FALSE)</f>
        <v>5</v>
      </c>
      <c r="AC17" s="265">
        <f>VLOOKUP('Statistika okresy'!$B17,Body!$B$3:$AR$172,35,FALSE)</f>
        <v>8.0000000000000071</v>
      </c>
      <c r="AD17" s="264">
        <f>VLOOKUP('Statistika okresy'!$B17,Body!$B$3:$AR$172,36,FALSE)</f>
        <v>24.887089549075704</v>
      </c>
      <c r="AE17" s="264">
        <f>VLOOKUP('Statistika okresy'!$B17,Body!$B$3:$AR$172,37,FALSE)</f>
        <v>22.502776505516966</v>
      </c>
      <c r="AF17" s="264">
        <f>VLOOKUP('Statistika okresy'!$B17,Body!$B$3:$AR$172,38,FALSE)</f>
        <v>58.594094803551748</v>
      </c>
      <c r="AG17" s="264">
        <f>VLOOKUP('Statistika okresy'!$B17,Body!$B$3:$AR$172,39,FALSE)</f>
        <v>59.418532346223785</v>
      </c>
      <c r="AH17" s="264">
        <f>VLOOKUP('Statistika okresy'!$B17,Body!$B$3:$AR$172,40,FALSE)</f>
        <v>83.481184352627452</v>
      </c>
      <c r="AI17" s="264">
        <f>VLOOKUP('Statistika okresy'!$B17,Body!$B$3:$AR$172,41,FALSE)</f>
        <v>81.921308851740747</v>
      </c>
      <c r="AJ17" s="390"/>
      <c r="AK17" s="407">
        <f>VLOOKUP('Statistika okresy'!$B17,Body!$B$3:$AR$172,43,FALSE)</f>
        <v>173.4024932043682</v>
      </c>
    </row>
    <row r="18" spans="1:37" ht="15.5" x14ac:dyDescent="0.35">
      <c r="A18" s="382">
        <v>4055</v>
      </c>
      <c r="B18" s="156" t="s">
        <v>99</v>
      </c>
      <c r="C18" s="352" t="s">
        <v>959</v>
      </c>
      <c r="D18" s="264">
        <f>VLOOKUP('Statistika okresy'!$B18,Body!$B$3:$AR$172,3,FALSE)</f>
        <v>5</v>
      </c>
      <c r="E18" s="264">
        <f>VLOOKUP('Statistika okresy'!$B18,Body!$B$3:$AR$172,4,FALSE)</f>
        <v>4</v>
      </c>
      <c r="F18" s="264">
        <f>VLOOKUP('Statistika okresy'!$B18,Body!$B$3:$AR$172,5,FALSE)</f>
        <v>3</v>
      </c>
      <c r="G18" s="264">
        <f>VLOOKUP('Statistika okresy'!$B18,Body!$B$3:$AR$172,6,FALSE)</f>
        <v>2</v>
      </c>
      <c r="H18" s="264">
        <f>VLOOKUP('Statistika okresy'!$B18,Body!$B$3:$AR$172,7,FALSE)</f>
        <v>1</v>
      </c>
      <c r="I18" s="264">
        <f>VLOOKUP('Statistika okresy'!$B18,Body!$B$3:$AR$172,8,FALSE)</f>
        <v>1</v>
      </c>
      <c r="J18" s="264">
        <f>VLOOKUP('Statistika okresy'!$B18,Body!$B$3:$AR$172,9,FALSE)</f>
        <v>1</v>
      </c>
      <c r="K18" s="264">
        <f>VLOOKUP('Statistika okresy'!$B18,Body!$B$3:$AR$172,10,FALSE)</f>
        <v>1</v>
      </c>
      <c r="L18" s="264">
        <f>VLOOKUP('Statistika okresy'!$B18,Body!$B$3:$AR$172,11,FALSE)</f>
        <v>2</v>
      </c>
      <c r="M18" s="264">
        <f>VLOOKUP('Statistika okresy'!$B18,Body!$B$3:$AR$172,12,FALSE)</f>
        <v>2</v>
      </c>
      <c r="N18" s="264">
        <f>VLOOKUP('Statistika okresy'!$B18,Body!$B$3:$AR$172,13,FALSE)</f>
        <v>4</v>
      </c>
      <c r="O18" s="264">
        <f>VLOOKUP('Statistika okresy'!$B18,Body!$B$3:$AR$172,14,FALSE)</f>
        <v>4</v>
      </c>
      <c r="P18" s="264">
        <f>VLOOKUP('Statistika okresy'!$B18,Body!$B$3:$AR$172,15,FALSE)</f>
        <v>5</v>
      </c>
      <c r="Q18" s="264">
        <f>VLOOKUP('Statistika okresy'!$B18,Body!$B$3:$AR$172,16,FALSE)</f>
        <v>5</v>
      </c>
      <c r="R18" s="264">
        <f>VLOOKUP('Statistika okresy'!$B18,Body!$B$3:$AR$172,17,FALSE)</f>
        <v>6</v>
      </c>
      <c r="S18" s="264">
        <f>VLOOKUP('Statistika okresy'!$B18,Body!$B$3:$AR$172,18,FALSE)</f>
        <v>10</v>
      </c>
      <c r="T18" s="264">
        <f>VLOOKUP('Statistika okresy'!$B18,Body!$B$3:$AR$172,19,FALSE)</f>
        <v>10</v>
      </c>
      <c r="U18" s="264">
        <f>VLOOKUP('Statistika okresy'!$B18,Body!$B$3:$AR$172,20,FALSE)</f>
        <v>5</v>
      </c>
      <c r="V18" s="264">
        <f>VLOOKUP('Statistika okresy'!$B18,Body!$B$3:$AR$172,21,FALSE)</f>
        <v>7</v>
      </c>
      <c r="W18" s="264">
        <f>VLOOKUP('Statistika okresy'!$B18,Body!$B$3:$AR$172,22,FALSE)</f>
        <v>7</v>
      </c>
      <c r="X18" s="264">
        <f>VLOOKUP('Statistika okresy'!$B18,Body!$B$3:$AR$172,23,FALSE)</f>
        <v>9</v>
      </c>
      <c r="Y18" s="264">
        <f>VLOOKUP('Statistika okresy'!$B18,Body!$B$3:$AR$172,24,FALSE)</f>
        <v>10</v>
      </c>
      <c r="Z18" s="264">
        <f>VLOOKUP('Statistika okresy'!$B18,Body!$B$3:$AR$172,25,FALSE)</f>
        <v>10</v>
      </c>
      <c r="AA18" s="264">
        <f>VLOOKUP('Statistika okresy'!$B18,Body!$B$3:$AR$172,26,FALSE)</f>
        <v>5</v>
      </c>
      <c r="AB18" s="264">
        <f>VLOOKUP('Statistika okresy'!$B18,Body!$B$3:$AR$172,27,FALSE)</f>
        <v>5</v>
      </c>
      <c r="AC18" s="265">
        <f>VLOOKUP('Statistika okresy'!$B18,Body!$B$3:$AR$172,35,FALSE)</f>
        <v>8.0000000000000071</v>
      </c>
      <c r="AD18" s="264">
        <f>VLOOKUP('Statistika okresy'!$B18,Body!$B$3:$AR$172,36,FALSE)</f>
        <v>22.230752243419634</v>
      </c>
      <c r="AE18" s="264">
        <f>VLOOKUP('Statistika okresy'!$B18,Body!$B$3:$AR$172,37,FALSE)</f>
        <v>21.228020794594826</v>
      </c>
      <c r="AF18" s="264">
        <f>VLOOKUP('Statistika okresy'!$B18,Body!$B$3:$AR$172,38,FALSE)</f>
        <v>75.416558095030766</v>
      </c>
      <c r="AG18" s="264">
        <f>VLOOKUP('Statistika okresy'!$B18,Body!$B$3:$AR$172,39,FALSE)</f>
        <v>75.416558095030766</v>
      </c>
      <c r="AH18" s="264">
        <f>VLOOKUP('Statistika okresy'!$B18,Body!$B$3:$AR$172,40,FALSE)</f>
        <v>97.647310338450396</v>
      </c>
      <c r="AI18" s="264">
        <f>VLOOKUP('Statistika okresy'!$B18,Body!$B$3:$AR$172,41,FALSE)</f>
        <v>96.644578889625592</v>
      </c>
      <c r="AJ18" s="390"/>
      <c r="AK18" s="407">
        <f>VLOOKUP('Statistika okresy'!$B18,Body!$B$3:$AR$172,43,FALSE)</f>
        <v>202.291889228076</v>
      </c>
    </row>
    <row r="19" spans="1:37" ht="15.5" x14ac:dyDescent="0.35">
      <c r="A19" s="382">
        <v>4064</v>
      </c>
      <c r="B19" s="156" t="s">
        <v>104</v>
      </c>
      <c r="C19" s="352" t="s">
        <v>959</v>
      </c>
      <c r="D19" s="264">
        <f>VLOOKUP('Statistika okresy'!$B19,Body!$B$3:$AR$172,3,FALSE)</f>
        <v>6</v>
      </c>
      <c r="E19" s="264">
        <f>VLOOKUP('Statistika okresy'!$B19,Body!$B$3:$AR$172,4,FALSE)</f>
        <v>6</v>
      </c>
      <c r="F19" s="264">
        <f>VLOOKUP('Statistika okresy'!$B19,Body!$B$3:$AR$172,5,FALSE)</f>
        <v>4</v>
      </c>
      <c r="G19" s="264">
        <f>VLOOKUP('Statistika okresy'!$B19,Body!$B$3:$AR$172,6,FALSE)</f>
        <v>3</v>
      </c>
      <c r="H19" s="264">
        <f>VLOOKUP('Statistika okresy'!$B19,Body!$B$3:$AR$172,7,FALSE)</f>
        <v>1</v>
      </c>
      <c r="I19" s="264">
        <f>VLOOKUP('Statistika okresy'!$B19,Body!$B$3:$AR$172,8,FALSE)</f>
        <v>1</v>
      </c>
      <c r="J19" s="264">
        <f>VLOOKUP('Statistika okresy'!$B19,Body!$B$3:$AR$172,9,FALSE)</f>
        <v>5</v>
      </c>
      <c r="K19" s="264">
        <f>VLOOKUP('Statistika okresy'!$B19,Body!$B$3:$AR$172,10,FALSE)</f>
        <v>3</v>
      </c>
      <c r="L19" s="264">
        <f>VLOOKUP('Statistika okresy'!$B19,Body!$B$3:$AR$172,11,FALSE)</f>
        <v>4</v>
      </c>
      <c r="M19" s="264">
        <f>VLOOKUP('Statistika okresy'!$B19,Body!$B$3:$AR$172,12,FALSE)</f>
        <v>3</v>
      </c>
      <c r="N19" s="264">
        <f>VLOOKUP('Statistika okresy'!$B19,Body!$B$3:$AR$172,13,FALSE)</f>
        <v>7</v>
      </c>
      <c r="O19" s="264">
        <f>VLOOKUP('Statistika okresy'!$B19,Body!$B$3:$AR$172,14,FALSE)</f>
        <v>6</v>
      </c>
      <c r="P19" s="264">
        <f>VLOOKUP('Statistika okresy'!$B19,Body!$B$3:$AR$172,15,FALSE)</f>
        <v>3</v>
      </c>
      <c r="Q19" s="264">
        <f>VLOOKUP('Statistika okresy'!$B19,Body!$B$3:$AR$172,16,FALSE)</f>
        <v>6</v>
      </c>
      <c r="R19" s="264">
        <f>VLOOKUP('Statistika okresy'!$B19,Body!$B$3:$AR$172,17,FALSE)</f>
        <v>7</v>
      </c>
      <c r="S19" s="264">
        <f>VLOOKUP('Statistika okresy'!$B19,Body!$B$3:$AR$172,18,FALSE)</f>
        <v>9</v>
      </c>
      <c r="T19" s="264">
        <f>VLOOKUP('Statistika okresy'!$B19,Body!$B$3:$AR$172,19,FALSE)</f>
        <v>9</v>
      </c>
      <c r="U19" s="264">
        <f>VLOOKUP('Statistika okresy'!$B19,Body!$B$3:$AR$172,20,FALSE)</f>
        <v>3</v>
      </c>
      <c r="V19" s="264">
        <f>VLOOKUP('Statistika okresy'!$B19,Body!$B$3:$AR$172,21,FALSE)</f>
        <v>6</v>
      </c>
      <c r="W19" s="264">
        <f>VLOOKUP('Statistika okresy'!$B19,Body!$B$3:$AR$172,22,FALSE)</f>
        <v>5</v>
      </c>
      <c r="X19" s="264">
        <f>VLOOKUP('Statistika okresy'!$B19,Body!$B$3:$AR$172,23,FALSE)</f>
        <v>10</v>
      </c>
      <c r="Y19" s="264">
        <f>VLOOKUP('Statistika okresy'!$B19,Body!$B$3:$AR$172,24,FALSE)</f>
        <v>10</v>
      </c>
      <c r="Z19" s="264">
        <f>VLOOKUP('Statistika okresy'!$B19,Body!$B$3:$AR$172,25,FALSE)</f>
        <v>10</v>
      </c>
      <c r="AA19" s="264">
        <f>VLOOKUP('Statistika okresy'!$B19,Body!$B$3:$AR$172,26,FALSE)</f>
        <v>3</v>
      </c>
      <c r="AB19" s="264">
        <f>VLOOKUP('Statistika okresy'!$B19,Body!$B$3:$AR$172,27,FALSE)</f>
        <v>5</v>
      </c>
      <c r="AC19" s="265">
        <f>VLOOKUP('Statistika okresy'!$B19,Body!$B$3:$AR$172,35,FALSE)</f>
        <v>5.3333333333333375</v>
      </c>
      <c r="AD19" s="264">
        <f>VLOOKUP('Statistika okresy'!$B19,Body!$B$3:$AR$172,36,FALSE)</f>
        <v>28.513184016166637</v>
      </c>
      <c r="AE19" s="264">
        <f>VLOOKUP('Statistika okresy'!$B19,Body!$B$3:$AR$172,37,FALSE)</f>
        <v>26.012863558073857</v>
      </c>
      <c r="AF19" s="264">
        <f>VLOOKUP('Statistika okresy'!$B19,Body!$B$3:$AR$172,38,FALSE)</f>
        <v>66.533155166514078</v>
      </c>
      <c r="AG19" s="264">
        <f>VLOOKUP('Statistika okresy'!$B19,Body!$B$3:$AR$172,39,FALSE)</f>
        <v>64.988561959312094</v>
      </c>
      <c r="AH19" s="264">
        <f>VLOOKUP('Statistika okresy'!$B19,Body!$B$3:$AR$172,40,FALSE)</f>
        <v>95.046339182680711</v>
      </c>
      <c r="AI19" s="264">
        <f>VLOOKUP('Statistika okresy'!$B19,Body!$B$3:$AR$172,41,FALSE)</f>
        <v>91.001425517385954</v>
      </c>
      <c r="AJ19" s="390"/>
      <c r="AK19" s="407">
        <f>VLOOKUP('Statistika okresy'!$B19,Body!$B$3:$AR$172,43,FALSE)</f>
        <v>191.38109803340001</v>
      </c>
    </row>
    <row r="20" spans="1:37" ht="15.5" x14ac:dyDescent="0.35">
      <c r="A20" s="382">
        <v>4067</v>
      </c>
      <c r="B20" s="156" t="s">
        <v>95</v>
      </c>
      <c r="C20" s="352" t="s">
        <v>959</v>
      </c>
      <c r="D20" s="264">
        <f>VLOOKUP('Statistika okresy'!$B20,Body!$B$3:$AR$172,3,FALSE)</f>
        <v>5</v>
      </c>
      <c r="E20" s="264">
        <f>VLOOKUP('Statistika okresy'!$B20,Body!$B$3:$AR$172,4,FALSE)</f>
        <v>5</v>
      </c>
      <c r="F20" s="264">
        <f>VLOOKUP('Statistika okresy'!$B20,Body!$B$3:$AR$172,5,FALSE)</f>
        <v>4</v>
      </c>
      <c r="G20" s="264">
        <f>VLOOKUP('Statistika okresy'!$B20,Body!$B$3:$AR$172,6,FALSE)</f>
        <v>3</v>
      </c>
      <c r="H20" s="264">
        <f>VLOOKUP('Statistika okresy'!$B20,Body!$B$3:$AR$172,7,FALSE)</f>
        <v>1</v>
      </c>
      <c r="I20" s="264">
        <f>VLOOKUP('Statistika okresy'!$B20,Body!$B$3:$AR$172,8,FALSE)</f>
        <v>1</v>
      </c>
      <c r="J20" s="264">
        <f>VLOOKUP('Statistika okresy'!$B20,Body!$B$3:$AR$172,9,FALSE)</f>
        <v>1</v>
      </c>
      <c r="K20" s="264">
        <f>VLOOKUP('Statistika okresy'!$B20,Body!$B$3:$AR$172,10,FALSE)</f>
        <v>1</v>
      </c>
      <c r="L20" s="264">
        <f>VLOOKUP('Statistika okresy'!$B20,Body!$B$3:$AR$172,11,FALSE)</f>
        <v>4</v>
      </c>
      <c r="M20" s="264">
        <f>VLOOKUP('Statistika okresy'!$B20,Body!$B$3:$AR$172,12,FALSE)</f>
        <v>3</v>
      </c>
      <c r="N20" s="264">
        <f>VLOOKUP('Statistika okresy'!$B20,Body!$B$3:$AR$172,13,FALSE)</f>
        <v>5</v>
      </c>
      <c r="O20" s="264">
        <f>VLOOKUP('Statistika okresy'!$B20,Body!$B$3:$AR$172,14,FALSE)</f>
        <v>5</v>
      </c>
      <c r="P20" s="264">
        <f>VLOOKUP('Statistika okresy'!$B20,Body!$B$3:$AR$172,15,FALSE)</f>
        <v>5</v>
      </c>
      <c r="Q20" s="264">
        <f>VLOOKUP('Statistika okresy'!$B20,Body!$B$3:$AR$172,16,FALSE)</f>
        <v>5</v>
      </c>
      <c r="R20" s="264">
        <f>VLOOKUP('Statistika okresy'!$B20,Body!$B$3:$AR$172,17,FALSE)</f>
        <v>7</v>
      </c>
      <c r="S20" s="264">
        <f>VLOOKUP('Statistika okresy'!$B20,Body!$B$3:$AR$172,18,FALSE)</f>
        <v>9</v>
      </c>
      <c r="T20" s="264">
        <f>VLOOKUP('Statistika okresy'!$B20,Body!$B$3:$AR$172,19,FALSE)</f>
        <v>7</v>
      </c>
      <c r="U20" s="264">
        <f>VLOOKUP('Statistika okresy'!$B20,Body!$B$3:$AR$172,20,FALSE)</f>
        <v>5</v>
      </c>
      <c r="V20" s="264">
        <f>VLOOKUP('Statistika okresy'!$B20,Body!$B$3:$AR$172,21,FALSE)</f>
        <v>7</v>
      </c>
      <c r="W20" s="264">
        <f>VLOOKUP('Statistika okresy'!$B20,Body!$B$3:$AR$172,22,FALSE)</f>
        <v>6</v>
      </c>
      <c r="X20" s="264">
        <f>VLOOKUP('Statistika okresy'!$B20,Body!$B$3:$AR$172,23,FALSE)</f>
        <v>9</v>
      </c>
      <c r="Y20" s="264">
        <f>VLOOKUP('Statistika okresy'!$B20,Body!$B$3:$AR$172,24,FALSE)</f>
        <v>10</v>
      </c>
      <c r="Z20" s="264">
        <f>VLOOKUP('Statistika okresy'!$B20,Body!$B$3:$AR$172,25,FALSE)</f>
        <v>10</v>
      </c>
      <c r="AA20" s="264">
        <f>VLOOKUP('Statistika okresy'!$B20,Body!$B$3:$AR$172,26,FALSE)</f>
        <v>5</v>
      </c>
      <c r="AB20" s="264">
        <f>VLOOKUP('Statistika okresy'!$B20,Body!$B$3:$AR$172,27,FALSE)</f>
        <v>5</v>
      </c>
      <c r="AC20" s="265">
        <f>VLOOKUP('Statistika okresy'!$B20,Body!$B$3:$AR$172,35,FALSE)</f>
        <v>8.0000000000000071</v>
      </c>
      <c r="AD20" s="264">
        <f>VLOOKUP('Statistika okresy'!$B20,Body!$B$3:$AR$172,36,FALSE)</f>
        <v>26.195232061050525</v>
      </c>
      <c r="AE20" s="264">
        <f>VLOOKUP('Statistika okresy'!$B20,Body!$B$3:$AR$172,37,FALSE)</f>
        <v>26.087043783793057</v>
      </c>
      <c r="AF20" s="264">
        <f>VLOOKUP('Statistika okresy'!$B20,Body!$B$3:$AR$172,38,FALSE)</f>
        <v>71.502934137954767</v>
      </c>
      <c r="AG20" s="264">
        <f>VLOOKUP('Statistika okresy'!$B20,Body!$B$3:$AR$172,39,FALSE)</f>
        <v>62.131093016600801</v>
      </c>
      <c r="AH20" s="264">
        <f>VLOOKUP('Statistika okresy'!$B20,Body!$B$3:$AR$172,40,FALSE)</f>
        <v>97.6981661990053</v>
      </c>
      <c r="AI20" s="264">
        <f>VLOOKUP('Statistika okresy'!$B20,Body!$B$3:$AR$172,41,FALSE)</f>
        <v>88.218136800393864</v>
      </c>
      <c r="AJ20" s="390"/>
      <c r="AK20" s="407">
        <f>VLOOKUP('Statistika okresy'!$B20,Body!$B$3:$AR$172,43,FALSE)</f>
        <v>193.91630299939916</v>
      </c>
    </row>
    <row r="21" spans="1:37" ht="15.5" x14ac:dyDescent="0.35">
      <c r="A21" s="382">
        <v>5292</v>
      </c>
      <c r="B21" s="156" t="s">
        <v>76</v>
      </c>
      <c r="C21" s="352" t="s">
        <v>960</v>
      </c>
      <c r="D21" s="264">
        <f>VLOOKUP('Statistika okresy'!$B21,Body!$B$3:$AR$172,3,FALSE)</f>
        <v>5</v>
      </c>
      <c r="E21" s="264">
        <f>VLOOKUP('Statistika okresy'!$B21,Body!$B$3:$AR$172,4,FALSE)</f>
        <v>5</v>
      </c>
      <c r="F21" s="264">
        <f>VLOOKUP('Statistika okresy'!$B21,Body!$B$3:$AR$172,5,FALSE)</f>
        <v>8</v>
      </c>
      <c r="G21" s="264">
        <f>VLOOKUP('Statistika okresy'!$B21,Body!$B$3:$AR$172,6,FALSE)</f>
        <v>5</v>
      </c>
      <c r="H21" s="264">
        <f>VLOOKUP('Statistika okresy'!$B21,Body!$B$3:$AR$172,7,FALSE)</f>
        <v>1</v>
      </c>
      <c r="I21" s="264">
        <f>VLOOKUP('Statistika okresy'!$B21,Body!$B$3:$AR$172,8,FALSE)</f>
        <v>1</v>
      </c>
      <c r="J21" s="264">
        <f>VLOOKUP('Statistika okresy'!$B21,Body!$B$3:$AR$172,9,FALSE)</f>
        <v>1</v>
      </c>
      <c r="K21" s="264">
        <f>VLOOKUP('Statistika okresy'!$B21,Body!$B$3:$AR$172,10,FALSE)</f>
        <v>1</v>
      </c>
      <c r="L21" s="264">
        <f>VLOOKUP('Statistika okresy'!$B21,Body!$B$3:$AR$172,11,FALSE)</f>
        <v>10</v>
      </c>
      <c r="M21" s="264">
        <f>VLOOKUP('Statistika okresy'!$B21,Body!$B$3:$AR$172,12,FALSE)</f>
        <v>9</v>
      </c>
      <c r="N21" s="264">
        <f>VLOOKUP('Statistika okresy'!$B21,Body!$B$3:$AR$172,13,FALSE)</f>
        <v>5</v>
      </c>
      <c r="O21" s="264">
        <f>VLOOKUP('Statistika okresy'!$B21,Body!$B$3:$AR$172,14,FALSE)</f>
        <v>5</v>
      </c>
      <c r="P21" s="264">
        <f>VLOOKUP('Statistika okresy'!$B21,Body!$B$3:$AR$172,15,FALSE)</f>
        <v>5</v>
      </c>
      <c r="Q21" s="264">
        <f>VLOOKUP('Statistika okresy'!$B21,Body!$B$3:$AR$172,16,FALSE)</f>
        <v>6</v>
      </c>
      <c r="R21" s="264">
        <f>VLOOKUP('Statistika okresy'!$B21,Body!$B$3:$AR$172,17,FALSE)</f>
        <v>7</v>
      </c>
      <c r="S21" s="264">
        <f>VLOOKUP('Statistika okresy'!$B21,Body!$B$3:$AR$172,18,FALSE)</f>
        <v>5</v>
      </c>
      <c r="T21" s="264">
        <f>VLOOKUP('Statistika okresy'!$B21,Body!$B$3:$AR$172,19,FALSE)</f>
        <v>4</v>
      </c>
      <c r="U21" s="264">
        <f>VLOOKUP('Statistika okresy'!$B21,Body!$B$3:$AR$172,20,FALSE)</f>
        <v>5</v>
      </c>
      <c r="V21" s="264">
        <f>VLOOKUP('Statistika okresy'!$B21,Body!$B$3:$AR$172,21,FALSE)</f>
        <v>5</v>
      </c>
      <c r="W21" s="264">
        <f>VLOOKUP('Statistika okresy'!$B21,Body!$B$3:$AR$172,22,FALSE)</f>
        <v>6</v>
      </c>
      <c r="X21" s="264">
        <f>VLOOKUP('Statistika okresy'!$B21,Body!$B$3:$AR$172,23,FALSE)</f>
        <v>10</v>
      </c>
      <c r="Y21" s="264">
        <f>VLOOKUP('Statistika okresy'!$B21,Body!$B$3:$AR$172,24,FALSE)</f>
        <v>10</v>
      </c>
      <c r="Z21" s="264">
        <f>VLOOKUP('Statistika okresy'!$B21,Body!$B$3:$AR$172,25,FALSE)</f>
        <v>10</v>
      </c>
      <c r="AA21" s="264">
        <f>VLOOKUP('Statistika okresy'!$B21,Body!$B$3:$AR$172,26,FALSE)</f>
        <v>1</v>
      </c>
      <c r="AB21" s="264">
        <f>VLOOKUP('Statistika okresy'!$B21,Body!$B$3:$AR$172,27,FALSE)</f>
        <v>10</v>
      </c>
      <c r="AC21" s="265">
        <f>VLOOKUP('Statistika okresy'!$B21,Body!$B$3:$AR$172,35,FALSE)</f>
        <v>4.0000000000000036</v>
      </c>
      <c r="AD21" s="264">
        <f>VLOOKUP('Statistika okresy'!$B21,Body!$B$3:$AR$172,36,FALSE)</f>
        <v>38.76628648360348</v>
      </c>
      <c r="AE21" s="264">
        <f>VLOOKUP('Statistika okresy'!$B21,Body!$B$3:$AR$172,37,FALSE)</f>
        <v>33.712184482985911</v>
      </c>
      <c r="AF21" s="264">
        <f>VLOOKUP('Statistika okresy'!$B21,Body!$B$3:$AR$172,38,FALSE)</f>
        <v>53.498308430322986</v>
      </c>
      <c r="AG21" s="264">
        <f>VLOOKUP('Statistika okresy'!$B21,Body!$B$3:$AR$172,39,FALSE)</f>
        <v>51.129277680448972</v>
      </c>
      <c r="AH21" s="264">
        <f>VLOOKUP('Statistika okresy'!$B21,Body!$B$3:$AR$172,40,FALSE)</f>
        <v>92.264594913926459</v>
      </c>
      <c r="AI21" s="264">
        <f>VLOOKUP('Statistika okresy'!$B21,Body!$B$3:$AR$172,41,FALSE)</f>
        <v>84.841462163434883</v>
      </c>
      <c r="AJ21" s="390"/>
      <c r="AK21" s="407">
        <f>VLOOKUP('Statistika okresy'!$B21,Body!$B$3:$AR$172,43,FALSE)</f>
        <v>181.10605707736136</v>
      </c>
    </row>
    <row r="22" spans="1:37" ht="15.5" x14ac:dyDescent="0.35">
      <c r="A22" s="382">
        <v>5295</v>
      </c>
      <c r="B22" s="156" t="s">
        <v>298</v>
      </c>
      <c r="C22" s="352" t="s">
        <v>960</v>
      </c>
      <c r="D22" s="264">
        <f>VLOOKUP('Statistika okresy'!$B22,Body!$B$3:$AR$172,3,FALSE)</f>
        <v>5</v>
      </c>
      <c r="E22" s="264">
        <f>VLOOKUP('Statistika okresy'!$B22,Body!$B$3:$AR$172,4,FALSE)</f>
        <v>5</v>
      </c>
      <c r="F22" s="264">
        <f>VLOOKUP('Statistika okresy'!$B22,Body!$B$3:$AR$172,5,FALSE)</f>
        <v>10</v>
      </c>
      <c r="G22" s="264">
        <f>VLOOKUP('Statistika okresy'!$B22,Body!$B$3:$AR$172,6,FALSE)</f>
        <v>8</v>
      </c>
      <c r="H22" s="264">
        <f>VLOOKUP('Statistika okresy'!$B22,Body!$B$3:$AR$172,7,FALSE)</f>
        <v>1</v>
      </c>
      <c r="I22" s="264">
        <f>VLOOKUP('Statistika okresy'!$B22,Body!$B$3:$AR$172,8,FALSE)</f>
        <v>3</v>
      </c>
      <c r="J22" s="264">
        <f>VLOOKUP('Statistika okresy'!$B22,Body!$B$3:$AR$172,9,FALSE)</f>
        <v>1</v>
      </c>
      <c r="K22" s="264">
        <f>VLOOKUP('Statistika okresy'!$B22,Body!$B$3:$AR$172,10,FALSE)</f>
        <v>1</v>
      </c>
      <c r="L22" s="264">
        <f>VLOOKUP('Statistika okresy'!$B22,Body!$B$3:$AR$172,11,FALSE)</f>
        <v>8</v>
      </c>
      <c r="M22" s="264">
        <f>VLOOKUP('Statistika okresy'!$B22,Body!$B$3:$AR$172,12,FALSE)</f>
        <v>6</v>
      </c>
      <c r="N22" s="264">
        <f>VLOOKUP('Statistika okresy'!$B22,Body!$B$3:$AR$172,13,FALSE)</f>
        <v>4</v>
      </c>
      <c r="O22" s="264">
        <f>VLOOKUP('Statistika okresy'!$B22,Body!$B$3:$AR$172,14,FALSE)</f>
        <v>4</v>
      </c>
      <c r="P22" s="264">
        <f>VLOOKUP('Statistika okresy'!$B22,Body!$B$3:$AR$172,15,FALSE)</f>
        <v>5</v>
      </c>
      <c r="Q22" s="264">
        <f>VLOOKUP('Statistika okresy'!$B22,Body!$B$3:$AR$172,16,FALSE)</f>
        <v>5</v>
      </c>
      <c r="R22" s="264">
        <f>VLOOKUP('Statistika okresy'!$B22,Body!$B$3:$AR$172,17,FALSE)</f>
        <v>5</v>
      </c>
      <c r="S22" s="264">
        <f>VLOOKUP('Statistika okresy'!$B22,Body!$B$3:$AR$172,18,FALSE)</f>
        <v>9</v>
      </c>
      <c r="T22" s="264">
        <f>VLOOKUP('Statistika okresy'!$B22,Body!$B$3:$AR$172,19,FALSE)</f>
        <v>9</v>
      </c>
      <c r="U22" s="264">
        <f>VLOOKUP('Statistika okresy'!$B22,Body!$B$3:$AR$172,20,FALSE)</f>
        <v>5</v>
      </c>
      <c r="V22" s="264">
        <f>VLOOKUP('Statistika okresy'!$B22,Body!$B$3:$AR$172,21,FALSE)</f>
        <v>6</v>
      </c>
      <c r="W22" s="264">
        <f>VLOOKUP('Statistika okresy'!$B22,Body!$B$3:$AR$172,22,FALSE)</f>
        <v>7</v>
      </c>
      <c r="X22" s="264">
        <f>VLOOKUP('Statistika okresy'!$B22,Body!$B$3:$AR$172,23,FALSE)</f>
        <v>9</v>
      </c>
      <c r="Y22" s="264">
        <f>VLOOKUP('Statistika okresy'!$B22,Body!$B$3:$AR$172,24,FALSE)</f>
        <v>10</v>
      </c>
      <c r="Z22" s="264">
        <f>VLOOKUP('Statistika okresy'!$B22,Body!$B$3:$AR$172,25,FALSE)</f>
        <v>10</v>
      </c>
      <c r="AA22" s="264">
        <f>VLOOKUP('Statistika okresy'!$B22,Body!$B$3:$AR$172,26,FALSE)</f>
        <v>5</v>
      </c>
      <c r="AB22" s="264">
        <f>VLOOKUP('Statistika okresy'!$B22,Body!$B$3:$AR$172,27,FALSE)</f>
        <v>10</v>
      </c>
      <c r="AC22" s="265">
        <f>VLOOKUP('Statistika okresy'!$B22,Body!$B$3:$AR$172,35,FALSE)</f>
        <v>9.3333333333333428</v>
      </c>
      <c r="AD22" s="264">
        <f>VLOOKUP('Statistika okresy'!$B22,Body!$B$3:$AR$172,36,FALSE)</f>
        <v>39.20856323630413</v>
      </c>
      <c r="AE22" s="264">
        <f>VLOOKUP('Statistika okresy'!$B22,Body!$B$3:$AR$172,37,FALSE)</f>
        <v>34.628216806586586</v>
      </c>
      <c r="AF22" s="264">
        <f>VLOOKUP('Statistika okresy'!$B22,Body!$B$3:$AR$172,38,FALSE)</f>
        <v>69.958340930752783</v>
      </c>
      <c r="AG22" s="264">
        <f>VLOOKUP('Statistika okresy'!$B22,Body!$B$3:$AR$172,39,FALSE)</f>
        <v>71.502934137954767</v>
      </c>
      <c r="AH22" s="264">
        <f>VLOOKUP('Statistika okresy'!$B22,Body!$B$3:$AR$172,40,FALSE)</f>
        <v>109.16690416705691</v>
      </c>
      <c r="AI22" s="264">
        <f>VLOOKUP('Statistika okresy'!$B22,Body!$B$3:$AR$172,41,FALSE)</f>
        <v>106.13115094454136</v>
      </c>
      <c r="AJ22" s="390"/>
      <c r="AK22" s="407">
        <f>VLOOKUP('Statistika okresy'!$B22,Body!$B$3:$AR$172,43,FALSE)</f>
        <v>224.63138844493162</v>
      </c>
    </row>
    <row r="23" spans="1:37" ht="15.5" x14ac:dyDescent="0.35">
      <c r="A23" s="382">
        <v>5298</v>
      </c>
      <c r="B23" s="156" t="s">
        <v>314</v>
      </c>
      <c r="C23" s="352" t="s">
        <v>960</v>
      </c>
      <c r="D23" s="264">
        <f>VLOOKUP('Statistika okresy'!$B23,Body!$B$3:$AR$172,3,FALSE)</f>
        <v>1</v>
      </c>
      <c r="E23" s="264">
        <f>VLOOKUP('Statistika okresy'!$B23,Body!$B$3:$AR$172,4,FALSE)</f>
        <v>1</v>
      </c>
      <c r="F23" s="264">
        <f>VLOOKUP('Statistika okresy'!$B23,Body!$B$3:$AR$172,5,FALSE)</f>
        <v>8</v>
      </c>
      <c r="G23" s="264">
        <f>VLOOKUP('Statistika okresy'!$B23,Body!$B$3:$AR$172,6,FALSE)</f>
        <v>7</v>
      </c>
      <c r="H23" s="264">
        <f>VLOOKUP('Statistika okresy'!$B23,Body!$B$3:$AR$172,7,FALSE)</f>
        <v>4</v>
      </c>
      <c r="I23" s="264">
        <f>VLOOKUP('Statistika okresy'!$B23,Body!$B$3:$AR$172,8,FALSE)</f>
        <v>3</v>
      </c>
      <c r="J23" s="264">
        <f>VLOOKUP('Statistika okresy'!$B23,Body!$B$3:$AR$172,9,FALSE)</f>
        <v>1</v>
      </c>
      <c r="K23" s="264">
        <f>VLOOKUP('Statistika okresy'!$B23,Body!$B$3:$AR$172,10,FALSE)</f>
        <v>1</v>
      </c>
      <c r="L23" s="264">
        <f>VLOOKUP('Statistika okresy'!$B23,Body!$B$3:$AR$172,11,FALSE)</f>
        <v>8</v>
      </c>
      <c r="M23" s="264">
        <f>VLOOKUP('Statistika okresy'!$B23,Body!$B$3:$AR$172,12,FALSE)</f>
        <v>7</v>
      </c>
      <c r="N23" s="264">
        <f>VLOOKUP('Statistika okresy'!$B23,Body!$B$3:$AR$172,13,FALSE)</f>
        <v>10</v>
      </c>
      <c r="O23" s="264">
        <f>VLOOKUP('Statistika okresy'!$B23,Body!$B$3:$AR$172,14,FALSE)</f>
        <v>10</v>
      </c>
      <c r="P23" s="264">
        <f>VLOOKUP('Statistika okresy'!$B23,Body!$B$3:$AR$172,15,FALSE)</f>
        <v>3</v>
      </c>
      <c r="Q23" s="264">
        <f>VLOOKUP('Statistika okresy'!$B23,Body!$B$3:$AR$172,16,FALSE)</f>
        <v>6</v>
      </c>
      <c r="R23" s="264">
        <f>VLOOKUP('Statistika okresy'!$B23,Body!$B$3:$AR$172,17,FALSE)</f>
        <v>6</v>
      </c>
      <c r="S23" s="264">
        <f>VLOOKUP('Statistika okresy'!$B23,Body!$B$3:$AR$172,18,FALSE)</f>
        <v>9</v>
      </c>
      <c r="T23" s="264">
        <f>VLOOKUP('Statistika okresy'!$B23,Body!$B$3:$AR$172,19,FALSE)</f>
        <v>9</v>
      </c>
      <c r="U23" s="264">
        <f>VLOOKUP('Statistika okresy'!$B23,Body!$B$3:$AR$172,20,FALSE)</f>
        <v>7</v>
      </c>
      <c r="V23" s="264">
        <f>VLOOKUP('Statistika okresy'!$B23,Body!$B$3:$AR$172,21,FALSE)</f>
        <v>8</v>
      </c>
      <c r="W23" s="264">
        <f>VLOOKUP('Statistika okresy'!$B23,Body!$B$3:$AR$172,22,FALSE)</f>
        <v>5</v>
      </c>
      <c r="X23" s="264">
        <f>VLOOKUP('Statistika okresy'!$B23,Body!$B$3:$AR$172,23,FALSE)</f>
        <v>10</v>
      </c>
      <c r="Y23" s="264">
        <f>VLOOKUP('Statistika okresy'!$B23,Body!$B$3:$AR$172,24,FALSE)</f>
        <v>10</v>
      </c>
      <c r="Z23" s="264">
        <f>VLOOKUP('Statistika okresy'!$B23,Body!$B$3:$AR$172,25,FALSE)</f>
        <v>10</v>
      </c>
      <c r="AA23" s="264">
        <f>VLOOKUP('Statistika okresy'!$B23,Body!$B$3:$AR$172,26,FALSE)</f>
        <v>1</v>
      </c>
      <c r="AB23" s="264">
        <f>VLOOKUP('Statistika okresy'!$B23,Body!$B$3:$AR$172,27,FALSE)</f>
        <v>5</v>
      </c>
      <c r="AC23" s="265">
        <f>VLOOKUP('Statistika okresy'!$B23,Body!$B$3:$AR$172,35,FALSE)</f>
        <v>2.6666666666666687</v>
      </c>
      <c r="AD23" s="264">
        <f>VLOOKUP('Statistika okresy'!$B23,Body!$B$3:$AR$172,36,FALSE)</f>
        <v>39.204307156609993</v>
      </c>
      <c r="AE23" s="264">
        <f>VLOOKUP('Statistika okresy'!$B23,Body!$B$3:$AR$172,37,FALSE)</f>
        <v>36.458721393420042</v>
      </c>
      <c r="AF23" s="264">
        <f>VLOOKUP('Statistika okresy'!$B23,Body!$B$3:$AR$172,38,FALSE)</f>
        <v>77.950826179547761</v>
      </c>
      <c r="AG23" s="264">
        <f>VLOOKUP('Statistika okresy'!$B23,Body!$B$3:$AR$172,39,FALSE)</f>
        <v>73.317046557941794</v>
      </c>
      <c r="AH23" s="264">
        <f>VLOOKUP('Statistika okresy'!$B23,Body!$B$3:$AR$172,40,FALSE)</f>
        <v>117.15513333615775</v>
      </c>
      <c r="AI23" s="264">
        <f>VLOOKUP('Statistika okresy'!$B23,Body!$B$3:$AR$172,41,FALSE)</f>
        <v>109.77576795136184</v>
      </c>
      <c r="AJ23" s="390"/>
      <c r="AK23" s="407">
        <f>VLOOKUP('Statistika okresy'!$B23,Body!$B$3:$AR$172,43,FALSE)</f>
        <v>229.59756795418625</v>
      </c>
    </row>
    <row r="24" spans="1:37" ht="15.5" x14ac:dyDescent="0.35">
      <c r="A24" s="382">
        <v>5301</v>
      </c>
      <c r="B24" s="156" t="s">
        <v>77</v>
      </c>
      <c r="C24" s="352" t="s">
        <v>960</v>
      </c>
      <c r="D24" s="264">
        <f>VLOOKUP('Statistika okresy'!$B24,Body!$B$3:$AR$172,3,FALSE)</f>
        <v>4</v>
      </c>
      <c r="E24" s="264">
        <f>VLOOKUP('Statistika okresy'!$B24,Body!$B$3:$AR$172,4,FALSE)</f>
        <v>4</v>
      </c>
      <c r="F24" s="264">
        <f>VLOOKUP('Statistika okresy'!$B24,Body!$B$3:$AR$172,5,FALSE)</f>
        <v>7</v>
      </c>
      <c r="G24" s="264">
        <f>VLOOKUP('Statistika okresy'!$B24,Body!$B$3:$AR$172,6,FALSE)</f>
        <v>6</v>
      </c>
      <c r="H24" s="264">
        <f>VLOOKUP('Statistika okresy'!$B24,Body!$B$3:$AR$172,7,FALSE)</f>
        <v>10</v>
      </c>
      <c r="I24" s="264">
        <f>VLOOKUP('Statistika okresy'!$B24,Body!$B$3:$AR$172,8,FALSE)</f>
        <v>9</v>
      </c>
      <c r="J24" s="264">
        <f>VLOOKUP('Statistika okresy'!$B24,Body!$B$3:$AR$172,9,FALSE)</f>
        <v>2</v>
      </c>
      <c r="K24" s="264">
        <f>VLOOKUP('Statistika okresy'!$B24,Body!$B$3:$AR$172,10,FALSE)</f>
        <v>1</v>
      </c>
      <c r="L24" s="264">
        <f>VLOOKUP('Statistika okresy'!$B24,Body!$B$3:$AR$172,11,FALSE)</f>
        <v>9</v>
      </c>
      <c r="M24" s="264">
        <f>VLOOKUP('Statistika okresy'!$B24,Body!$B$3:$AR$172,12,FALSE)</f>
        <v>9</v>
      </c>
      <c r="N24" s="264">
        <f>VLOOKUP('Statistika okresy'!$B24,Body!$B$3:$AR$172,13,FALSE)</f>
        <v>10</v>
      </c>
      <c r="O24" s="264">
        <f>VLOOKUP('Statistika okresy'!$B24,Body!$B$3:$AR$172,14,FALSE)</f>
        <v>10</v>
      </c>
      <c r="P24" s="264">
        <f>VLOOKUP('Statistika okresy'!$B24,Body!$B$3:$AR$172,15,FALSE)</f>
        <v>3</v>
      </c>
      <c r="Q24" s="264">
        <f>VLOOKUP('Statistika okresy'!$B24,Body!$B$3:$AR$172,16,FALSE)</f>
        <v>7</v>
      </c>
      <c r="R24" s="264">
        <f>VLOOKUP('Statistika okresy'!$B24,Body!$B$3:$AR$172,17,FALSE)</f>
        <v>7</v>
      </c>
      <c r="S24" s="264">
        <f>VLOOKUP('Statistika okresy'!$B24,Body!$B$3:$AR$172,18,FALSE)</f>
        <v>6</v>
      </c>
      <c r="T24" s="264">
        <f>VLOOKUP('Statistika okresy'!$B24,Body!$B$3:$AR$172,19,FALSE)</f>
        <v>6</v>
      </c>
      <c r="U24" s="264">
        <f>VLOOKUP('Statistika okresy'!$B24,Body!$B$3:$AR$172,20,FALSE)</f>
        <v>7</v>
      </c>
      <c r="V24" s="264">
        <f>VLOOKUP('Statistika okresy'!$B24,Body!$B$3:$AR$172,21,FALSE)</f>
        <v>7</v>
      </c>
      <c r="W24" s="264">
        <f>VLOOKUP('Statistika okresy'!$B24,Body!$B$3:$AR$172,22,FALSE)</f>
        <v>6</v>
      </c>
      <c r="X24" s="264">
        <f>VLOOKUP('Statistika okresy'!$B24,Body!$B$3:$AR$172,23,FALSE)</f>
        <v>10</v>
      </c>
      <c r="Y24" s="264">
        <f>VLOOKUP('Statistika okresy'!$B24,Body!$B$3:$AR$172,24,FALSE)</f>
        <v>10</v>
      </c>
      <c r="Z24" s="264">
        <f>VLOOKUP('Statistika okresy'!$B24,Body!$B$3:$AR$172,25,FALSE)</f>
        <v>10</v>
      </c>
      <c r="AA24" s="264">
        <f>VLOOKUP('Statistika okresy'!$B24,Body!$B$3:$AR$172,26,FALSE)</f>
        <v>5</v>
      </c>
      <c r="AB24" s="264">
        <f>VLOOKUP('Statistika okresy'!$B24,Body!$B$3:$AR$172,27,FALSE)</f>
        <v>5</v>
      </c>
      <c r="AC24" s="265">
        <f>VLOOKUP('Statistika okresy'!$B24,Body!$B$3:$AR$172,35,FALSE)</f>
        <v>8.0000000000000071</v>
      </c>
      <c r="AD24" s="264">
        <f>VLOOKUP('Statistika okresy'!$B24,Body!$B$3:$AR$172,36,FALSE)</f>
        <v>41.757346605260146</v>
      </c>
      <c r="AE24" s="264">
        <f>VLOOKUP('Statistika okresy'!$B24,Body!$B$3:$AR$172,37,FALSE)</f>
        <v>39.465090434040548</v>
      </c>
      <c r="AF24" s="264">
        <f>VLOOKUP('Statistika okresy'!$B24,Body!$B$3:$AR$172,38,FALSE)</f>
        <v>64.665361101117796</v>
      </c>
      <c r="AG24" s="264">
        <f>VLOOKUP('Statistika okresy'!$B24,Body!$B$3:$AR$172,39,FALSE)</f>
        <v>63.120767893915811</v>
      </c>
      <c r="AH24" s="264">
        <f>VLOOKUP('Statistika okresy'!$B24,Body!$B$3:$AR$172,40,FALSE)</f>
        <v>106.42270770637793</v>
      </c>
      <c r="AI24" s="264">
        <f>VLOOKUP('Statistika okresy'!$B24,Body!$B$3:$AR$172,41,FALSE)</f>
        <v>102.58585832795636</v>
      </c>
      <c r="AJ24" s="390"/>
      <c r="AK24" s="407">
        <f>VLOOKUP('Statistika okresy'!$B24,Body!$B$3:$AR$172,43,FALSE)</f>
        <v>217.00856603433431</v>
      </c>
    </row>
    <row r="25" spans="1:37" ht="15.5" x14ac:dyDescent="0.35">
      <c r="A25" s="382">
        <v>5478</v>
      </c>
      <c r="B25" s="156" t="s">
        <v>308</v>
      </c>
      <c r="C25" s="352" t="s">
        <v>960</v>
      </c>
      <c r="D25" s="264">
        <f>VLOOKUP('Statistika okresy'!$B25,Body!$B$3:$AR$172,3,FALSE)</f>
        <v>5</v>
      </c>
      <c r="E25" s="264">
        <f>VLOOKUP('Statistika okresy'!$B25,Body!$B$3:$AR$172,4,FALSE)</f>
        <v>4</v>
      </c>
      <c r="F25" s="264">
        <f>VLOOKUP('Statistika okresy'!$B25,Body!$B$3:$AR$172,5,FALSE)</f>
        <v>5</v>
      </c>
      <c r="G25" s="264">
        <f>VLOOKUP('Statistika okresy'!$B25,Body!$B$3:$AR$172,6,FALSE)</f>
        <v>4</v>
      </c>
      <c r="H25" s="264">
        <f>VLOOKUP('Statistika okresy'!$B25,Body!$B$3:$AR$172,7,FALSE)</f>
        <v>2</v>
      </c>
      <c r="I25" s="264">
        <f>VLOOKUP('Statistika okresy'!$B25,Body!$B$3:$AR$172,8,FALSE)</f>
        <v>1</v>
      </c>
      <c r="J25" s="264">
        <f>VLOOKUP('Statistika okresy'!$B25,Body!$B$3:$AR$172,9,FALSE)</f>
        <v>1</v>
      </c>
      <c r="K25" s="264">
        <f>VLOOKUP('Statistika okresy'!$B25,Body!$B$3:$AR$172,10,FALSE)</f>
        <v>1</v>
      </c>
      <c r="L25" s="264">
        <f>VLOOKUP('Statistika okresy'!$B25,Body!$B$3:$AR$172,11,FALSE)</f>
        <v>7</v>
      </c>
      <c r="M25" s="264">
        <f>VLOOKUP('Statistika okresy'!$B25,Body!$B$3:$AR$172,12,FALSE)</f>
        <v>7</v>
      </c>
      <c r="N25" s="264">
        <f>VLOOKUP('Statistika okresy'!$B25,Body!$B$3:$AR$172,13,FALSE)</f>
        <v>10</v>
      </c>
      <c r="O25" s="264">
        <f>VLOOKUP('Statistika okresy'!$B25,Body!$B$3:$AR$172,14,FALSE)</f>
        <v>10</v>
      </c>
      <c r="P25" s="264">
        <f>VLOOKUP('Statistika okresy'!$B25,Body!$B$3:$AR$172,15,FALSE)</f>
        <v>3</v>
      </c>
      <c r="Q25" s="264">
        <f>VLOOKUP('Statistika okresy'!$B25,Body!$B$3:$AR$172,16,FALSE)</f>
        <v>7</v>
      </c>
      <c r="R25" s="264">
        <f>VLOOKUP('Statistika okresy'!$B25,Body!$B$3:$AR$172,17,FALSE)</f>
        <v>8</v>
      </c>
      <c r="S25" s="264">
        <f>VLOOKUP('Statistika okresy'!$B25,Body!$B$3:$AR$172,18,FALSE)</f>
        <v>7</v>
      </c>
      <c r="T25" s="264">
        <f>VLOOKUP('Statistika okresy'!$B25,Body!$B$3:$AR$172,19,FALSE)</f>
        <v>6</v>
      </c>
      <c r="U25" s="264">
        <f>VLOOKUP('Statistika okresy'!$B25,Body!$B$3:$AR$172,20,FALSE)</f>
        <v>7</v>
      </c>
      <c r="V25" s="264">
        <f>VLOOKUP('Statistika okresy'!$B25,Body!$B$3:$AR$172,21,FALSE)</f>
        <v>7</v>
      </c>
      <c r="W25" s="264">
        <f>VLOOKUP('Statistika okresy'!$B25,Body!$B$3:$AR$172,22,FALSE)</f>
        <v>6</v>
      </c>
      <c r="X25" s="264">
        <f>VLOOKUP('Statistika okresy'!$B25,Body!$B$3:$AR$172,23,FALSE)</f>
        <v>10</v>
      </c>
      <c r="Y25" s="264">
        <f>VLOOKUP('Statistika okresy'!$B25,Body!$B$3:$AR$172,24,FALSE)</f>
        <v>8</v>
      </c>
      <c r="Z25" s="264">
        <f>VLOOKUP('Statistika okresy'!$B25,Body!$B$3:$AR$172,25,FALSE)</f>
        <v>10</v>
      </c>
      <c r="AA25" s="264">
        <f>VLOOKUP('Statistika okresy'!$B25,Body!$B$3:$AR$172,26,FALSE)</f>
        <v>5</v>
      </c>
      <c r="AB25" s="264">
        <f>VLOOKUP('Statistika okresy'!$B25,Body!$B$3:$AR$172,27,FALSE)</f>
        <v>5</v>
      </c>
      <c r="AC25" s="265">
        <f>VLOOKUP('Statistika okresy'!$B25,Body!$B$3:$AR$172,35,FALSE)</f>
        <v>8.0000000000000071</v>
      </c>
      <c r="AD25" s="264">
        <f>VLOOKUP('Statistika okresy'!$B25,Body!$B$3:$AR$172,36,FALSE)</f>
        <v>35.042964591540922</v>
      </c>
      <c r="AE25" s="264">
        <f>VLOOKUP('Statistika okresy'!$B25,Body!$B$3:$AR$172,37,FALSE)</f>
        <v>33.812526868550528</v>
      </c>
      <c r="AF25" s="264">
        <f>VLOOKUP('Statistika okresy'!$B25,Body!$B$3:$AR$172,38,FALSE)</f>
        <v>67.6616359372576</v>
      </c>
      <c r="AG25" s="264">
        <f>VLOOKUP('Statistika okresy'!$B25,Body!$B$3:$AR$172,39,FALSE)</f>
        <v>62.203418772979639</v>
      </c>
      <c r="AH25" s="264">
        <f>VLOOKUP('Statistika okresy'!$B25,Body!$B$3:$AR$172,40,FALSE)</f>
        <v>102.70460052879852</v>
      </c>
      <c r="AI25" s="264">
        <f>VLOOKUP('Statistika okresy'!$B25,Body!$B$3:$AR$172,41,FALSE)</f>
        <v>96.015945641530166</v>
      </c>
      <c r="AJ25" s="390"/>
      <c r="AK25" s="407">
        <f>VLOOKUP('Statistika okresy'!$B25,Body!$B$3:$AR$172,43,FALSE)</f>
        <v>206.7205461703287</v>
      </c>
    </row>
    <row r="26" spans="1:37" ht="15.5" x14ac:dyDescent="0.35">
      <c r="A26" s="382">
        <v>5481</v>
      </c>
      <c r="B26" s="156" t="s">
        <v>305</v>
      </c>
      <c r="C26" s="352" t="s">
        <v>960</v>
      </c>
      <c r="D26" s="264">
        <f>VLOOKUP('Statistika okresy'!$B26,Body!$B$3:$AR$172,3,FALSE)</f>
        <v>5</v>
      </c>
      <c r="E26" s="264">
        <f>VLOOKUP('Statistika okresy'!$B26,Body!$B$3:$AR$172,4,FALSE)</f>
        <v>3</v>
      </c>
      <c r="F26" s="264">
        <f>VLOOKUP('Statistika okresy'!$B26,Body!$B$3:$AR$172,5,FALSE)</f>
        <v>6</v>
      </c>
      <c r="G26" s="264">
        <f>VLOOKUP('Statistika okresy'!$B26,Body!$B$3:$AR$172,6,FALSE)</f>
        <v>5</v>
      </c>
      <c r="H26" s="264">
        <f>VLOOKUP('Statistika okresy'!$B26,Body!$B$3:$AR$172,7,FALSE)</f>
        <v>5</v>
      </c>
      <c r="I26" s="264">
        <f>VLOOKUP('Statistika okresy'!$B26,Body!$B$3:$AR$172,8,FALSE)</f>
        <v>3</v>
      </c>
      <c r="J26" s="264">
        <f>VLOOKUP('Statistika okresy'!$B26,Body!$B$3:$AR$172,9,FALSE)</f>
        <v>1</v>
      </c>
      <c r="K26" s="264">
        <f>VLOOKUP('Statistika okresy'!$B26,Body!$B$3:$AR$172,10,FALSE)</f>
        <v>1</v>
      </c>
      <c r="L26" s="264">
        <f>VLOOKUP('Statistika okresy'!$B26,Body!$B$3:$AR$172,11,FALSE)</f>
        <v>7</v>
      </c>
      <c r="M26" s="264">
        <f>VLOOKUP('Statistika okresy'!$B26,Body!$B$3:$AR$172,12,FALSE)</f>
        <v>7</v>
      </c>
      <c r="N26" s="264">
        <f>VLOOKUP('Statistika okresy'!$B26,Body!$B$3:$AR$172,13,FALSE)</f>
        <v>10</v>
      </c>
      <c r="O26" s="264">
        <f>VLOOKUP('Statistika okresy'!$B26,Body!$B$3:$AR$172,14,FALSE)</f>
        <v>10</v>
      </c>
      <c r="P26" s="264">
        <f>VLOOKUP('Statistika okresy'!$B26,Body!$B$3:$AR$172,15,FALSE)</f>
        <v>5</v>
      </c>
      <c r="Q26" s="264">
        <f>VLOOKUP('Statistika okresy'!$B26,Body!$B$3:$AR$172,16,FALSE)</f>
        <v>6</v>
      </c>
      <c r="R26" s="264">
        <f>VLOOKUP('Statistika okresy'!$B26,Body!$B$3:$AR$172,17,FALSE)</f>
        <v>7</v>
      </c>
      <c r="S26" s="264">
        <f>VLOOKUP('Statistika okresy'!$B26,Body!$B$3:$AR$172,18,FALSE)</f>
        <v>9</v>
      </c>
      <c r="T26" s="264">
        <f>VLOOKUP('Statistika okresy'!$B26,Body!$B$3:$AR$172,19,FALSE)</f>
        <v>9</v>
      </c>
      <c r="U26" s="264">
        <f>VLOOKUP('Statistika okresy'!$B26,Body!$B$3:$AR$172,20,FALSE)</f>
        <v>7</v>
      </c>
      <c r="V26" s="264">
        <f>VLOOKUP('Statistika okresy'!$B26,Body!$B$3:$AR$172,21,FALSE)</f>
        <v>6</v>
      </c>
      <c r="W26" s="264">
        <f>VLOOKUP('Statistika okresy'!$B26,Body!$B$3:$AR$172,22,FALSE)</f>
        <v>7</v>
      </c>
      <c r="X26" s="264">
        <f>VLOOKUP('Statistika okresy'!$B26,Body!$B$3:$AR$172,23,FALSE)</f>
        <v>9</v>
      </c>
      <c r="Y26" s="264">
        <f>VLOOKUP('Statistika okresy'!$B26,Body!$B$3:$AR$172,24,FALSE)</f>
        <v>10</v>
      </c>
      <c r="Z26" s="264">
        <f>VLOOKUP('Statistika okresy'!$B26,Body!$B$3:$AR$172,25,FALSE)</f>
        <v>10</v>
      </c>
      <c r="AA26" s="264">
        <f>VLOOKUP('Statistika okresy'!$B26,Body!$B$3:$AR$172,26,FALSE)</f>
        <v>5</v>
      </c>
      <c r="AB26" s="264">
        <f>VLOOKUP('Statistika okresy'!$B26,Body!$B$3:$AR$172,27,FALSE)</f>
        <v>5</v>
      </c>
      <c r="AC26" s="265">
        <f>VLOOKUP('Statistika okresy'!$B26,Body!$B$3:$AR$172,35,FALSE)</f>
        <v>8.0000000000000071</v>
      </c>
      <c r="AD26" s="264">
        <f>VLOOKUP('Statistika okresy'!$B26,Body!$B$3:$AR$172,36,FALSE)</f>
        <v>37.99028166353358</v>
      </c>
      <c r="AE26" s="264">
        <f>VLOOKUP('Statistika okresy'!$B26,Body!$B$3:$AR$172,37,FALSE)</f>
        <v>36.19509467040767</v>
      </c>
      <c r="AF26" s="264">
        <f>VLOOKUP('Statistika okresy'!$B26,Body!$B$3:$AR$172,38,FALSE)</f>
        <v>74.122583230067633</v>
      </c>
      <c r="AG26" s="264">
        <f>VLOOKUP('Statistika okresy'!$B26,Body!$B$3:$AR$172,39,FALSE)</f>
        <v>75.667176437269617</v>
      </c>
      <c r="AH26" s="264">
        <f>VLOOKUP('Statistika okresy'!$B26,Body!$B$3:$AR$172,40,FALSE)</f>
        <v>112.11286489360121</v>
      </c>
      <c r="AI26" s="264">
        <f>VLOOKUP('Statistika okresy'!$B26,Body!$B$3:$AR$172,41,FALSE)</f>
        <v>111.86227110767729</v>
      </c>
      <c r="AJ26" s="390"/>
      <c r="AK26" s="407">
        <f>VLOOKUP('Statistika okresy'!$B26,Body!$B$3:$AR$172,43,FALSE)</f>
        <v>231.97513600127849</v>
      </c>
    </row>
    <row r="27" spans="1:37" ht="15.5" x14ac:dyDescent="0.35">
      <c r="A27" s="382">
        <v>5484</v>
      </c>
      <c r="B27" s="156" t="s">
        <v>309</v>
      </c>
      <c r="C27" s="352" t="s">
        <v>960</v>
      </c>
      <c r="D27" s="264">
        <f>VLOOKUP('Statistika okresy'!$B27,Body!$B$3:$AR$172,3,FALSE)</f>
        <v>9</v>
      </c>
      <c r="E27" s="264">
        <f>VLOOKUP('Statistika okresy'!$B27,Body!$B$3:$AR$172,4,FALSE)</f>
        <v>6</v>
      </c>
      <c r="F27" s="264">
        <f>VLOOKUP('Statistika okresy'!$B27,Body!$B$3:$AR$172,5,FALSE)</f>
        <v>5</v>
      </c>
      <c r="G27" s="264">
        <f>VLOOKUP('Statistika okresy'!$B27,Body!$B$3:$AR$172,6,FALSE)</f>
        <v>5</v>
      </c>
      <c r="H27" s="264">
        <f>VLOOKUP('Statistika okresy'!$B27,Body!$B$3:$AR$172,7,FALSE)</f>
        <v>3</v>
      </c>
      <c r="I27" s="264">
        <f>VLOOKUP('Statistika okresy'!$B27,Body!$B$3:$AR$172,8,FALSE)</f>
        <v>2</v>
      </c>
      <c r="J27" s="264">
        <f>VLOOKUP('Statistika okresy'!$B27,Body!$B$3:$AR$172,9,FALSE)</f>
        <v>1</v>
      </c>
      <c r="K27" s="264">
        <f>VLOOKUP('Statistika okresy'!$B27,Body!$B$3:$AR$172,10,FALSE)</f>
        <v>1</v>
      </c>
      <c r="L27" s="264">
        <f>VLOOKUP('Statistika okresy'!$B27,Body!$B$3:$AR$172,11,FALSE)</f>
        <v>5</v>
      </c>
      <c r="M27" s="264">
        <f>VLOOKUP('Statistika okresy'!$B27,Body!$B$3:$AR$172,12,FALSE)</f>
        <v>6</v>
      </c>
      <c r="N27" s="264">
        <f>VLOOKUP('Statistika okresy'!$B27,Body!$B$3:$AR$172,13,FALSE)</f>
        <v>9</v>
      </c>
      <c r="O27" s="264">
        <f>VLOOKUP('Statistika okresy'!$B27,Body!$B$3:$AR$172,14,FALSE)</f>
        <v>10</v>
      </c>
      <c r="P27" s="264">
        <f>VLOOKUP('Statistika okresy'!$B27,Body!$B$3:$AR$172,15,FALSE)</f>
        <v>3</v>
      </c>
      <c r="Q27" s="264">
        <f>VLOOKUP('Statistika okresy'!$B27,Body!$B$3:$AR$172,16,FALSE)</f>
        <v>6</v>
      </c>
      <c r="R27" s="264">
        <f>VLOOKUP('Statistika okresy'!$B27,Body!$B$3:$AR$172,17,FALSE)</f>
        <v>6</v>
      </c>
      <c r="S27" s="264">
        <f>VLOOKUP('Statistika okresy'!$B27,Body!$B$3:$AR$172,18,FALSE)</f>
        <v>10</v>
      </c>
      <c r="T27" s="264">
        <f>VLOOKUP('Statistika okresy'!$B27,Body!$B$3:$AR$172,19,FALSE)</f>
        <v>9</v>
      </c>
      <c r="U27" s="264">
        <f>VLOOKUP('Statistika okresy'!$B27,Body!$B$3:$AR$172,20,FALSE)</f>
        <v>7</v>
      </c>
      <c r="V27" s="264">
        <f>VLOOKUP('Statistika okresy'!$B27,Body!$B$3:$AR$172,21,FALSE)</f>
        <v>7</v>
      </c>
      <c r="W27" s="264">
        <f>VLOOKUP('Statistika okresy'!$B27,Body!$B$3:$AR$172,22,FALSE)</f>
        <v>8</v>
      </c>
      <c r="X27" s="264">
        <f>VLOOKUP('Statistika okresy'!$B27,Body!$B$3:$AR$172,23,FALSE)</f>
        <v>10</v>
      </c>
      <c r="Y27" s="264">
        <f>VLOOKUP('Statistika okresy'!$B27,Body!$B$3:$AR$172,24,FALSE)</f>
        <v>10</v>
      </c>
      <c r="Z27" s="264">
        <f>VLOOKUP('Statistika okresy'!$B27,Body!$B$3:$AR$172,25,FALSE)</f>
        <v>10</v>
      </c>
      <c r="AA27" s="264">
        <f>VLOOKUP('Statistika okresy'!$B27,Body!$B$3:$AR$172,26,FALSE)</f>
        <v>3</v>
      </c>
      <c r="AB27" s="264">
        <f>VLOOKUP('Statistika okresy'!$B27,Body!$B$3:$AR$172,27,FALSE)</f>
        <v>5</v>
      </c>
      <c r="AC27" s="265">
        <f>VLOOKUP('Statistika okresy'!$B27,Body!$B$3:$AR$172,35,FALSE)</f>
        <v>5.3333333333333375</v>
      </c>
      <c r="AD27" s="264">
        <f>VLOOKUP('Statistika okresy'!$B27,Body!$B$3:$AR$172,36,FALSE)</f>
        <v>33.320051484810186</v>
      </c>
      <c r="AE27" s="264">
        <f>VLOOKUP('Statistika okresy'!$B27,Body!$B$3:$AR$172,37,FALSE)</f>
        <v>33.527816551341367</v>
      </c>
      <c r="AF27" s="264">
        <f>VLOOKUP('Statistika okresy'!$B27,Body!$B$3:$AR$172,38,FALSE)</f>
        <v>80.319856929421761</v>
      </c>
      <c r="AG27" s="264">
        <f>VLOOKUP('Statistika okresy'!$B27,Body!$B$3:$AR$172,39,FALSE)</f>
        <v>77.950826179547761</v>
      </c>
      <c r="AH27" s="264">
        <f>VLOOKUP('Statistika okresy'!$B27,Body!$B$3:$AR$172,40,FALSE)</f>
        <v>113.63990841423194</v>
      </c>
      <c r="AI27" s="264">
        <f>VLOOKUP('Statistika okresy'!$B27,Body!$B$3:$AR$172,41,FALSE)</f>
        <v>111.47864273088913</v>
      </c>
      <c r="AJ27" s="390"/>
      <c r="AK27" s="407">
        <f>VLOOKUP('Statistika okresy'!$B27,Body!$B$3:$AR$172,43,FALSE)</f>
        <v>230.45188447845442</v>
      </c>
    </row>
    <row r="28" spans="1:37" ht="15.5" x14ac:dyDescent="0.35">
      <c r="A28" s="382">
        <v>5487</v>
      </c>
      <c r="B28" s="156" t="s">
        <v>294</v>
      </c>
      <c r="C28" s="352" t="s">
        <v>960</v>
      </c>
      <c r="D28" s="264">
        <f>VLOOKUP('Statistika okresy'!$B28,Body!$B$3:$AR$172,3,FALSE)</f>
        <v>10</v>
      </c>
      <c r="E28" s="264">
        <f>VLOOKUP('Statistika okresy'!$B28,Body!$B$3:$AR$172,4,FALSE)</f>
        <v>8</v>
      </c>
      <c r="F28" s="264">
        <f>VLOOKUP('Statistika okresy'!$B28,Body!$B$3:$AR$172,5,FALSE)</f>
        <v>5</v>
      </c>
      <c r="G28" s="264">
        <f>VLOOKUP('Statistika okresy'!$B28,Body!$B$3:$AR$172,6,FALSE)</f>
        <v>4</v>
      </c>
      <c r="H28" s="264">
        <f>VLOOKUP('Statistika okresy'!$B28,Body!$B$3:$AR$172,7,FALSE)</f>
        <v>6</v>
      </c>
      <c r="I28" s="264">
        <f>VLOOKUP('Statistika okresy'!$B28,Body!$B$3:$AR$172,8,FALSE)</f>
        <v>5</v>
      </c>
      <c r="J28" s="264">
        <f>VLOOKUP('Statistika okresy'!$B28,Body!$B$3:$AR$172,9,FALSE)</f>
        <v>1</v>
      </c>
      <c r="K28" s="264">
        <f>VLOOKUP('Statistika okresy'!$B28,Body!$B$3:$AR$172,10,FALSE)</f>
        <v>1</v>
      </c>
      <c r="L28" s="264">
        <f>VLOOKUP('Statistika okresy'!$B28,Body!$B$3:$AR$172,11,FALSE)</f>
        <v>6</v>
      </c>
      <c r="M28" s="264">
        <f>VLOOKUP('Statistika okresy'!$B28,Body!$B$3:$AR$172,12,FALSE)</f>
        <v>7</v>
      </c>
      <c r="N28" s="264">
        <f>VLOOKUP('Statistika okresy'!$B28,Body!$B$3:$AR$172,13,FALSE)</f>
        <v>9</v>
      </c>
      <c r="O28" s="264">
        <f>VLOOKUP('Statistika okresy'!$B28,Body!$B$3:$AR$172,14,FALSE)</f>
        <v>9</v>
      </c>
      <c r="P28" s="264">
        <f>VLOOKUP('Statistika okresy'!$B28,Body!$B$3:$AR$172,15,FALSE)</f>
        <v>3</v>
      </c>
      <c r="Q28" s="264">
        <f>VLOOKUP('Statistika okresy'!$B28,Body!$B$3:$AR$172,16,FALSE)</f>
        <v>6</v>
      </c>
      <c r="R28" s="264">
        <f>VLOOKUP('Statistika okresy'!$B28,Body!$B$3:$AR$172,17,FALSE)</f>
        <v>6</v>
      </c>
      <c r="S28" s="264">
        <f>VLOOKUP('Statistika okresy'!$B28,Body!$B$3:$AR$172,18,FALSE)</f>
        <v>10</v>
      </c>
      <c r="T28" s="264">
        <f>VLOOKUP('Statistika okresy'!$B28,Body!$B$3:$AR$172,19,FALSE)</f>
        <v>9</v>
      </c>
      <c r="U28" s="264">
        <f>VLOOKUP('Statistika okresy'!$B28,Body!$B$3:$AR$172,20,FALSE)</f>
        <v>7</v>
      </c>
      <c r="V28" s="264">
        <f>VLOOKUP('Statistika okresy'!$B28,Body!$B$3:$AR$172,21,FALSE)</f>
        <v>8</v>
      </c>
      <c r="W28" s="264">
        <f>VLOOKUP('Statistika okresy'!$B28,Body!$B$3:$AR$172,22,FALSE)</f>
        <v>8</v>
      </c>
      <c r="X28" s="264">
        <f>VLOOKUP('Statistika okresy'!$B28,Body!$B$3:$AR$172,23,FALSE)</f>
        <v>10</v>
      </c>
      <c r="Y28" s="264">
        <f>VLOOKUP('Statistika okresy'!$B28,Body!$B$3:$AR$172,24,FALSE)</f>
        <v>10</v>
      </c>
      <c r="Z28" s="264">
        <f>VLOOKUP('Statistika okresy'!$B28,Body!$B$3:$AR$172,25,FALSE)</f>
        <v>10</v>
      </c>
      <c r="AA28" s="264">
        <f>VLOOKUP('Statistika okresy'!$B28,Body!$B$3:$AR$172,26,FALSE)</f>
        <v>3</v>
      </c>
      <c r="AB28" s="264">
        <f>VLOOKUP('Statistika okresy'!$B28,Body!$B$3:$AR$172,27,FALSE)</f>
        <v>5</v>
      </c>
      <c r="AC28" s="265">
        <f>VLOOKUP('Statistika okresy'!$B28,Body!$B$3:$AR$172,35,FALSE)</f>
        <v>5.3333333333333375</v>
      </c>
      <c r="AD28" s="264">
        <f>VLOOKUP('Statistika okresy'!$B28,Body!$B$3:$AR$172,36,FALSE)</f>
        <v>34.987558733562913</v>
      </c>
      <c r="AE28" s="264">
        <f>VLOOKUP('Statistika okresy'!$B28,Body!$B$3:$AR$172,37,FALSE)</f>
        <v>32.862577839005191</v>
      </c>
      <c r="AF28" s="264">
        <f>VLOOKUP('Statistika okresy'!$B28,Body!$B$3:$AR$172,38,FALSE)</f>
        <v>81.864450136623731</v>
      </c>
      <c r="AG28" s="264">
        <f>VLOOKUP('Statistika okresy'!$B28,Body!$B$3:$AR$172,39,FALSE)</f>
        <v>77.950826179547761</v>
      </c>
      <c r="AH28" s="264">
        <f>VLOOKUP('Statistika okresy'!$B28,Body!$B$3:$AR$172,40,FALSE)</f>
        <v>116.85200887018664</v>
      </c>
      <c r="AI28" s="264">
        <f>VLOOKUP('Statistika okresy'!$B28,Body!$B$3:$AR$172,41,FALSE)</f>
        <v>110.81340401855294</v>
      </c>
      <c r="AJ28" s="390"/>
      <c r="AK28" s="407">
        <f>VLOOKUP('Statistika okresy'!$B28,Body!$B$3:$AR$172,43,FALSE)</f>
        <v>232.99874622207292</v>
      </c>
    </row>
    <row r="29" spans="1:37" ht="15.5" x14ac:dyDescent="0.35">
      <c r="A29" s="382">
        <v>5490</v>
      </c>
      <c r="B29" s="156" t="s">
        <v>292</v>
      </c>
      <c r="C29" s="352" t="s">
        <v>960</v>
      </c>
      <c r="D29" s="264">
        <f>VLOOKUP('Statistika okresy'!$B29,Body!$B$3:$AR$172,3,FALSE)</f>
        <v>9</v>
      </c>
      <c r="E29" s="264">
        <f>VLOOKUP('Statistika okresy'!$B29,Body!$B$3:$AR$172,4,FALSE)</f>
        <v>10</v>
      </c>
      <c r="F29" s="264">
        <f>VLOOKUP('Statistika okresy'!$B29,Body!$B$3:$AR$172,5,FALSE)</f>
        <v>5</v>
      </c>
      <c r="G29" s="264">
        <f>VLOOKUP('Statistika okresy'!$B29,Body!$B$3:$AR$172,6,FALSE)</f>
        <v>4</v>
      </c>
      <c r="H29" s="264">
        <f>VLOOKUP('Statistika okresy'!$B29,Body!$B$3:$AR$172,7,FALSE)</f>
        <v>10</v>
      </c>
      <c r="I29" s="264">
        <f>VLOOKUP('Statistika okresy'!$B29,Body!$B$3:$AR$172,8,FALSE)</f>
        <v>10</v>
      </c>
      <c r="J29" s="264">
        <f>VLOOKUP('Statistika okresy'!$B29,Body!$B$3:$AR$172,9,FALSE)</f>
        <v>1</v>
      </c>
      <c r="K29" s="264">
        <f>VLOOKUP('Statistika okresy'!$B29,Body!$B$3:$AR$172,10,FALSE)</f>
        <v>1</v>
      </c>
      <c r="L29" s="264">
        <f>VLOOKUP('Statistika okresy'!$B29,Body!$B$3:$AR$172,11,FALSE)</f>
        <v>5</v>
      </c>
      <c r="M29" s="264">
        <f>VLOOKUP('Statistika okresy'!$B29,Body!$B$3:$AR$172,12,FALSE)</f>
        <v>5</v>
      </c>
      <c r="N29" s="264">
        <f>VLOOKUP('Statistika okresy'!$B29,Body!$B$3:$AR$172,13,FALSE)</f>
        <v>7</v>
      </c>
      <c r="O29" s="264">
        <f>VLOOKUP('Statistika okresy'!$B29,Body!$B$3:$AR$172,14,FALSE)</f>
        <v>8</v>
      </c>
      <c r="P29" s="264">
        <f>VLOOKUP('Statistika okresy'!$B29,Body!$B$3:$AR$172,15,FALSE)</f>
        <v>3</v>
      </c>
      <c r="Q29" s="264">
        <f>VLOOKUP('Statistika okresy'!$B29,Body!$B$3:$AR$172,16,FALSE)</f>
        <v>6</v>
      </c>
      <c r="R29" s="264">
        <f>VLOOKUP('Statistika okresy'!$B29,Body!$B$3:$AR$172,17,FALSE)</f>
        <v>7</v>
      </c>
      <c r="S29" s="264">
        <f>VLOOKUP('Statistika okresy'!$B29,Body!$B$3:$AR$172,18,FALSE)</f>
        <v>9</v>
      </c>
      <c r="T29" s="264">
        <f>VLOOKUP('Statistika okresy'!$B29,Body!$B$3:$AR$172,19,FALSE)</f>
        <v>9</v>
      </c>
      <c r="U29" s="264">
        <f>VLOOKUP('Statistika okresy'!$B29,Body!$B$3:$AR$172,20,FALSE)</f>
        <v>7</v>
      </c>
      <c r="V29" s="264">
        <f>VLOOKUP('Statistika okresy'!$B29,Body!$B$3:$AR$172,21,FALSE)</f>
        <v>8</v>
      </c>
      <c r="W29" s="264">
        <f>VLOOKUP('Statistika okresy'!$B29,Body!$B$3:$AR$172,22,FALSE)</f>
        <v>4</v>
      </c>
      <c r="X29" s="264">
        <f>VLOOKUP('Statistika okresy'!$B29,Body!$B$3:$AR$172,23,FALSE)</f>
        <v>10</v>
      </c>
      <c r="Y29" s="264">
        <f>VLOOKUP('Statistika okresy'!$B29,Body!$B$3:$AR$172,24,FALSE)</f>
        <v>10</v>
      </c>
      <c r="Z29" s="264">
        <f>VLOOKUP('Statistika okresy'!$B29,Body!$B$3:$AR$172,25,FALSE)</f>
        <v>10</v>
      </c>
      <c r="AA29" s="264">
        <f>VLOOKUP('Statistika okresy'!$B29,Body!$B$3:$AR$172,26,FALSE)</f>
        <v>3</v>
      </c>
      <c r="AB29" s="264">
        <f>VLOOKUP('Statistika okresy'!$B29,Body!$B$3:$AR$172,27,FALSE)</f>
        <v>5</v>
      </c>
      <c r="AC29" s="265">
        <f>VLOOKUP('Statistika okresy'!$B29,Body!$B$3:$AR$172,35,FALSE)</f>
        <v>5.3333333333333375</v>
      </c>
      <c r="AD29" s="264">
        <f>VLOOKUP('Statistika okresy'!$B29,Body!$B$3:$AR$172,36,FALSE)</f>
        <v>33.315485607328334</v>
      </c>
      <c r="AE29" s="264">
        <f>VLOOKUP('Statistika okresy'!$B29,Body!$B$3:$AR$172,37,FALSE)</f>
        <v>33.786095048763869</v>
      </c>
      <c r="AF29" s="264">
        <f>VLOOKUP('Statistika okresy'!$B29,Body!$B$3:$AR$172,38,FALSE)</f>
        <v>77.950826179547761</v>
      </c>
      <c r="AG29" s="264">
        <f>VLOOKUP('Statistika okresy'!$B29,Body!$B$3:$AR$172,39,FALSE)</f>
        <v>71.772453350739809</v>
      </c>
      <c r="AH29" s="264">
        <f>VLOOKUP('Statistika okresy'!$B29,Body!$B$3:$AR$172,40,FALSE)</f>
        <v>111.26631178687609</v>
      </c>
      <c r="AI29" s="264">
        <f>VLOOKUP('Statistika okresy'!$B29,Body!$B$3:$AR$172,41,FALSE)</f>
        <v>105.55854839950368</v>
      </c>
      <c r="AJ29" s="390"/>
      <c r="AK29" s="407">
        <f>VLOOKUP('Statistika okresy'!$B29,Body!$B$3:$AR$172,43,FALSE)</f>
        <v>222.15819351971311</v>
      </c>
    </row>
    <row r="30" spans="1:37" ht="15.5" x14ac:dyDescent="0.35">
      <c r="A30" s="382">
        <v>5493</v>
      </c>
      <c r="B30" s="156" t="s">
        <v>312</v>
      </c>
      <c r="C30" s="352" t="s">
        <v>960</v>
      </c>
      <c r="D30" s="264">
        <f>VLOOKUP('Statistika okresy'!$B30,Body!$B$3:$AR$172,3,FALSE)</f>
        <v>2</v>
      </c>
      <c r="E30" s="264">
        <f>VLOOKUP('Statistika okresy'!$B30,Body!$B$3:$AR$172,4,FALSE)</f>
        <v>1</v>
      </c>
      <c r="F30" s="264">
        <f>VLOOKUP('Statistika okresy'!$B30,Body!$B$3:$AR$172,5,FALSE)</f>
        <v>9</v>
      </c>
      <c r="G30" s="264">
        <f>VLOOKUP('Statistika okresy'!$B30,Body!$B$3:$AR$172,6,FALSE)</f>
        <v>8</v>
      </c>
      <c r="H30" s="264">
        <f>VLOOKUP('Statistika okresy'!$B30,Body!$B$3:$AR$172,7,FALSE)</f>
        <v>9</v>
      </c>
      <c r="I30" s="264">
        <f>VLOOKUP('Statistika okresy'!$B30,Body!$B$3:$AR$172,8,FALSE)</f>
        <v>6</v>
      </c>
      <c r="J30" s="264">
        <f>VLOOKUP('Statistika okresy'!$B30,Body!$B$3:$AR$172,9,FALSE)</f>
        <v>1</v>
      </c>
      <c r="K30" s="264">
        <f>VLOOKUP('Statistika okresy'!$B30,Body!$B$3:$AR$172,10,FALSE)</f>
        <v>1</v>
      </c>
      <c r="L30" s="264">
        <f>VLOOKUP('Statistika okresy'!$B30,Body!$B$3:$AR$172,11,FALSE)</f>
        <v>10</v>
      </c>
      <c r="M30" s="264">
        <f>VLOOKUP('Statistika okresy'!$B30,Body!$B$3:$AR$172,12,FALSE)</f>
        <v>9</v>
      </c>
      <c r="N30" s="264">
        <f>VLOOKUP('Statistika okresy'!$B30,Body!$B$3:$AR$172,13,FALSE)</f>
        <v>10</v>
      </c>
      <c r="O30" s="264">
        <f>VLOOKUP('Statistika okresy'!$B30,Body!$B$3:$AR$172,14,FALSE)</f>
        <v>10</v>
      </c>
      <c r="P30" s="264">
        <f>VLOOKUP('Statistika okresy'!$B30,Body!$B$3:$AR$172,15,FALSE)</f>
        <v>3</v>
      </c>
      <c r="Q30" s="264">
        <f>VLOOKUP('Statistika okresy'!$B30,Body!$B$3:$AR$172,16,FALSE)</f>
        <v>6</v>
      </c>
      <c r="R30" s="264">
        <f>VLOOKUP('Statistika okresy'!$B30,Body!$B$3:$AR$172,17,FALSE)</f>
        <v>6</v>
      </c>
      <c r="S30" s="264">
        <f>VLOOKUP('Statistika okresy'!$B30,Body!$B$3:$AR$172,18,FALSE)</f>
        <v>7</v>
      </c>
      <c r="T30" s="264">
        <f>VLOOKUP('Statistika okresy'!$B30,Body!$B$3:$AR$172,19,FALSE)</f>
        <v>7</v>
      </c>
      <c r="U30" s="264">
        <f>VLOOKUP('Statistika okresy'!$B30,Body!$B$3:$AR$172,20,FALSE)</f>
        <v>7</v>
      </c>
      <c r="V30" s="264">
        <f>VLOOKUP('Statistika okresy'!$B30,Body!$B$3:$AR$172,21,FALSE)</f>
        <v>6</v>
      </c>
      <c r="W30" s="264">
        <f>VLOOKUP('Statistika okresy'!$B30,Body!$B$3:$AR$172,22,FALSE)</f>
        <v>10</v>
      </c>
      <c r="X30" s="264">
        <f>VLOOKUP('Statistika okresy'!$B30,Body!$B$3:$AR$172,23,FALSE)</f>
        <v>10</v>
      </c>
      <c r="Y30" s="264">
        <f>VLOOKUP('Statistika okresy'!$B30,Body!$B$3:$AR$172,24,FALSE)</f>
        <v>8</v>
      </c>
      <c r="Z30" s="264">
        <f>VLOOKUP('Statistika okresy'!$B30,Body!$B$3:$AR$172,25,FALSE)</f>
        <v>10</v>
      </c>
      <c r="AA30" s="264">
        <f>VLOOKUP('Statistika okresy'!$B30,Body!$B$3:$AR$172,26,FALSE)</f>
        <v>5</v>
      </c>
      <c r="AB30" s="264">
        <f>VLOOKUP('Statistika okresy'!$B30,Body!$B$3:$AR$172,27,FALSE)</f>
        <v>5</v>
      </c>
      <c r="AC30" s="265">
        <f>VLOOKUP('Statistika okresy'!$B30,Body!$B$3:$AR$172,35,FALSE)</f>
        <v>8.0000000000000071</v>
      </c>
      <c r="AD30" s="264">
        <f>VLOOKUP('Statistika okresy'!$B30,Body!$B$3:$AR$172,36,FALSE)</f>
        <v>43.845106442718269</v>
      </c>
      <c r="AE30" s="264">
        <f>VLOOKUP('Statistika okresy'!$B30,Body!$B$3:$AR$172,37,FALSE)</f>
        <v>40.307065135227219</v>
      </c>
      <c r="AF30" s="264">
        <f>VLOOKUP('Statistika okresy'!$B30,Body!$B$3:$AR$172,38,FALSE)</f>
        <v>66.117042730055616</v>
      </c>
      <c r="AG30" s="264">
        <f>VLOOKUP('Statistika okresy'!$B30,Body!$B$3:$AR$172,39,FALSE)</f>
        <v>72.295415558863553</v>
      </c>
      <c r="AH30" s="264">
        <f>VLOOKUP('Statistika okresy'!$B30,Body!$B$3:$AR$172,40,FALSE)</f>
        <v>109.96214917277388</v>
      </c>
      <c r="AI30" s="264">
        <f>VLOOKUP('Statistika okresy'!$B30,Body!$B$3:$AR$172,41,FALSE)</f>
        <v>112.60248069409077</v>
      </c>
      <c r="AJ30" s="390"/>
      <c r="AK30" s="407">
        <f>VLOOKUP('Statistika okresy'!$B30,Body!$B$3:$AR$172,43,FALSE)</f>
        <v>230.56462986686466</v>
      </c>
    </row>
    <row r="31" spans="1:37" ht="15.5" x14ac:dyDescent="0.35">
      <c r="A31" s="382">
        <v>5496</v>
      </c>
      <c r="B31" s="156" t="s">
        <v>78</v>
      </c>
      <c r="C31" s="352" t="s">
        <v>960</v>
      </c>
      <c r="D31" s="264">
        <f>VLOOKUP('Statistika okresy'!$B31,Body!$B$3:$AR$172,3,FALSE)</f>
        <v>6</v>
      </c>
      <c r="E31" s="264">
        <f>VLOOKUP('Statistika okresy'!$B31,Body!$B$3:$AR$172,4,FALSE)</f>
        <v>6</v>
      </c>
      <c r="F31" s="264">
        <f>VLOOKUP('Statistika okresy'!$B31,Body!$B$3:$AR$172,5,FALSE)</f>
        <v>4</v>
      </c>
      <c r="G31" s="264">
        <f>VLOOKUP('Statistika okresy'!$B31,Body!$B$3:$AR$172,6,FALSE)</f>
        <v>3</v>
      </c>
      <c r="H31" s="264">
        <f>VLOOKUP('Statistika okresy'!$B31,Body!$B$3:$AR$172,7,FALSE)</f>
        <v>1</v>
      </c>
      <c r="I31" s="264">
        <f>VLOOKUP('Statistika okresy'!$B31,Body!$B$3:$AR$172,8,FALSE)</f>
        <v>1</v>
      </c>
      <c r="J31" s="264">
        <f>VLOOKUP('Statistika okresy'!$B31,Body!$B$3:$AR$172,9,FALSE)</f>
        <v>1</v>
      </c>
      <c r="K31" s="264">
        <f>VLOOKUP('Statistika okresy'!$B31,Body!$B$3:$AR$172,10,FALSE)</f>
        <v>1</v>
      </c>
      <c r="L31" s="264">
        <f>VLOOKUP('Statistika okresy'!$B31,Body!$B$3:$AR$172,11,FALSE)</f>
        <v>5</v>
      </c>
      <c r="M31" s="264">
        <f>VLOOKUP('Statistika okresy'!$B31,Body!$B$3:$AR$172,12,FALSE)</f>
        <v>7</v>
      </c>
      <c r="N31" s="264">
        <f>VLOOKUP('Statistika okresy'!$B31,Body!$B$3:$AR$172,13,FALSE)</f>
        <v>7</v>
      </c>
      <c r="O31" s="264">
        <f>VLOOKUP('Statistika okresy'!$B31,Body!$B$3:$AR$172,14,FALSE)</f>
        <v>7</v>
      </c>
      <c r="P31" s="264">
        <f>VLOOKUP('Statistika okresy'!$B31,Body!$B$3:$AR$172,15,FALSE)</f>
        <v>3</v>
      </c>
      <c r="Q31" s="264">
        <f>VLOOKUP('Statistika okresy'!$B31,Body!$B$3:$AR$172,16,FALSE)</f>
        <v>7</v>
      </c>
      <c r="R31" s="264">
        <f>VLOOKUP('Statistika okresy'!$B31,Body!$B$3:$AR$172,17,FALSE)</f>
        <v>7</v>
      </c>
      <c r="S31" s="264">
        <f>VLOOKUP('Statistika okresy'!$B31,Body!$B$3:$AR$172,18,FALSE)</f>
        <v>7</v>
      </c>
      <c r="T31" s="264">
        <f>VLOOKUP('Statistika okresy'!$B31,Body!$B$3:$AR$172,19,FALSE)</f>
        <v>7</v>
      </c>
      <c r="U31" s="264">
        <f>VLOOKUP('Statistika okresy'!$B31,Body!$B$3:$AR$172,20,FALSE)</f>
        <v>7</v>
      </c>
      <c r="V31" s="264">
        <f>VLOOKUP('Statistika okresy'!$B31,Body!$B$3:$AR$172,21,FALSE)</f>
        <v>7</v>
      </c>
      <c r="W31" s="264">
        <f>VLOOKUP('Statistika okresy'!$B31,Body!$B$3:$AR$172,22,FALSE)</f>
        <v>6</v>
      </c>
      <c r="X31" s="264">
        <f>VLOOKUP('Statistika okresy'!$B31,Body!$B$3:$AR$172,23,FALSE)</f>
        <v>10</v>
      </c>
      <c r="Y31" s="264">
        <f>VLOOKUP('Statistika okresy'!$B31,Body!$B$3:$AR$172,24,FALSE)</f>
        <v>10</v>
      </c>
      <c r="Z31" s="264">
        <f>VLOOKUP('Statistika okresy'!$B31,Body!$B$3:$AR$172,25,FALSE)</f>
        <v>10</v>
      </c>
      <c r="AA31" s="264">
        <f>VLOOKUP('Statistika okresy'!$B31,Body!$B$3:$AR$172,26,FALSE)</f>
        <v>3</v>
      </c>
      <c r="AB31" s="264">
        <f>VLOOKUP('Statistika okresy'!$B31,Body!$B$3:$AR$172,27,FALSE)</f>
        <v>5</v>
      </c>
      <c r="AC31" s="265">
        <f>VLOOKUP('Statistika okresy'!$B31,Body!$B$3:$AR$172,35,FALSE)</f>
        <v>5.3333333333333375</v>
      </c>
      <c r="AD31" s="264">
        <f>VLOOKUP('Statistika okresy'!$B31,Body!$B$3:$AR$172,36,FALSE)</f>
        <v>29.589311699073374</v>
      </c>
      <c r="AE31" s="264">
        <f>VLOOKUP('Statistika okresy'!$B31,Body!$B$3:$AR$172,37,FALSE)</f>
        <v>29.013468500907113</v>
      </c>
      <c r="AF31" s="264">
        <f>VLOOKUP('Statistika okresy'!$B31,Body!$B$3:$AR$172,38,FALSE)</f>
        <v>68.578985058193794</v>
      </c>
      <c r="AG31" s="264">
        <f>VLOOKUP('Statistika okresy'!$B31,Body!$B$3:$AR$172,39,FALSE)</f>
        <v>67.034391850991796</v>
      </c>
      <c r="AH31" s="264">
        <f>VLOOKUP('Statistika okresy'!$B31,Body!$B$3:$AR$172,40,FALSE)</f>
        <v>98.168296757267171</v>
      </c>
      <c r="AI31" s="264">
        <f>VLOOKUP('Statistika okresy'!$B31,Body!$B$3:$AR$172,41,FALSE)</f>
        <v>96.047860351898905</v>
      </c>
      <c r="AJ31" s="390"/>
      <c r="AK31" s="407">
        <f>VLOOKUP('Statistika okresy'!$B31,Body!$B$3:$AR$172,43,FALSE)</f>
        <v>199.54949044249943</v>
      </c>
    </row>
    <row r="32" spans="1:37" ht="15.5" x14ac:dyDescent="0.35">
      <c r="A32" s="382">
        <v>5499</v>
      </c>
      <c r="B32" s="156" t="s">
        <v>81</v>
      </c>
      <c r="C32" s="352" t="s">
        <v>960</v>
      </c>
      <c r="D32" s="264">
        <f>VLOOKUP('Statistika okresy'!$B32,Body!$B$3:$AR$172,3,FALSE)</f>
        <v>5</v>
      </c>
      <c r="E32" s="264">
        <f>VLOOKUP('Statistika okresy'!$B32,Body!$B$3:$AR$172,4,FALSE)</f>
        <v>5</v>
      </c>
      <c r="F32" s="264">
        <f>VLOOKUP('Statistika okresy'!$B32,Body!$B$3:$AR$172,5,FALSE)</f>
        <v>4</v>
      </c>
      <c r="G32" s="264">
        <f>VLOOKUP('Statistika okresy'!$B32,Body!$B$3:$AR$172,6,FALSE)</f>
        <v>3</v>
      </c>
      <c r="H32" s="264">
        <f>VLOOKUP('Statistika okresy'!$B32,Body!$B$3:$AR$172,7,FALSE)</f>
        <v>1</v>
      </c>
      <c r="I32" s="264">
        <f>VLOOKUP('Statistika okresy'!$B32,Body!$B$3:$AR$172,8,FALSE)</f>
        <v>1</v>
      </c>
      <c r="J32" s="264">
        <f>VLOOKUP('Statistika okresy'!$B32,Body!$B$3:$AR$172,9,FALSE)</f>
        <v>1</v>
      </c>
      <c r="K32" s="264">
        <f>VLOOKUP('Statistika okresy'!$B32,Body!$B$3:$AR$172,10,FALSE)</f>
        <v>1</v>
      </c>
      <c r="L32" s="264">
        <f>VLOOKUP('Statistika okresy'!$B32,Body!$B$3:$AR$172,11,FALSE)</f>
        <v>5</v>
      </c>
      <c r="M32" s="264">
        <f>VLOOKUP('Statistika okresy'!$B32,Body!$B$3:$AR$172,12,FALSE)</f>
        <v>5</v>
      </c>
      <c r="N32" s="264">
        <f>VLOOKUP('Statistika okresy'!$B32,Body!$B$3:$AR$172,13,FALSE)</f>
        <v>10</v>
      </c>
      <c r="O32" s="264">
        <f>VLOOKUP('Statistika okresy'!$B32,Body!$B$3:$AR$172,14,FALSE)</f>
        <v>10</v>
      </c>
      <c r="P32" s="264">
        <f>VLOOKUP('Statistika okresy'!$B32,Body!$B$3:$AR$172,15,FALSE)</f>
        <v>3</v>
      </c>
      <c r="Q32" s="264">
        <f>VLOOKUP('Statistika okresy'!$B32,Body!$B$3:$AR$172,16,FALSE)</f>
        <v>6</v>
      </c>
      <c r="R32" s="264">
        <f>VLOOKUP('Statistika okresy'!$B32,Body!$B$3:$AR$172,17,FALSE)</f>
        <v>7</v>
      </c>
      <c r="S32" s="264">
        <f>VLOOKUP('Statistika okresy'!$B32,Body!$B$3:$AR$172,18,FALSE)</f>
        <v>9</v>
      </c>
      <c r="T32" s="264">
        <f>VLOOKUP('Statistika okresy'!$B32,Body!$B$3:$AR$172,19,FALSE)</f>
        <v>9</v>
      </c>
      <c r="U32" s="264">
        <f>VLOOKUP('Statistika okresy'!$B32,Body!$B$3:$AR$172,20,FALSE)</f>
        <v>5</v>
      </c>
      <c r="V32" s="264">
        <f>VLOOKUP('Statistika okresy'!$B32,Body!$B$3:$AR$172,21,FALSE)</f>
        <v>6</v>
      </c>
      <c r="W32" s="264">
        <f>VLOOKUP('Statistika okresy'!$B32,Body!$B$3:$AR$172,22,FALSE)</f>
        <v>4</v>
      </c>
      <c r="X32" s="264">
        <f>VLOOKUP('Statistika okresy'!$B32,Body!$B$3:$AR$172,23,FALSE)</f>
        <v>10</v>
      </c>
      <c r="Y32" s="264">
        <f>VLOOKUP('Statistika okresy'!$B32,Body!$B$3:$AR$172,24,FALSE)</f>
        <v>10</v>
      </c>
      <c r="Z32" s="264">
        <f>VLOOKUP('Statistika okresy'!$B32,Body!$B$3:$AR$172,25,FALSE)</f>
        <v>10</v>
      </c>
      <c r="AA32" s="264">
        <f>VLOOKUP('Statistika okresy'!$B32,Body!$B$3:$AR$172,26,FALSE)</f>
        <v>3</v>
      </c>
      <c r="AB32" s="264">
        <f>VLOOKUP('Statistika okresy'!$B32,Body!$B$3:$AR$172,27,FALSE)</f>
        <v>5</v>
      </c>
      <c r="AC32" s="265">
        <f>VLOOKUP('Statistika okresy'!$B32,Body!$B$3:$AR$172,35,FALSE)</f>
        <v>5.3333333333333375</v>
      </c>
      <c r="AD32" s="264">
        <f>VLOOKUP('Statistika okresy'!$B32,Body!$B$3:$AR$172,36,FALSE)</f>
        <v>30.445187792181496</v>
      </c>
      <c r="AE32" s="264">
        <f>VLOOKUP('Statistika okresy'!$B32,Body!$B$3:$AR$172,37,FALSE)</f>
        <v>29.779499339326613</v>
      </c>
      <c r="AF32" s="264">
        <f>VLOOKUP('Statistika okresy'!$B32,Body!$B$3:$AR$172,38,FALSE)</f>
        <v>70.697397465828928</v>
      </c>
      <c r="AG32" s="264">
        <f>VLOOKUP('Statistika okresy'!$B32,Body!$B$3:$AR$172,39,FALSE)</f>
        <v>67.608211051424959</v>
      </c>
      <c r="AH32" s="264">
        <f>VLOOKUP('Statistika okresy'!$B32,Body!$B$3:$AR$172,40,FALSE)</f>
        <v>101.14258525801043</v>
      </c>
      <c r="AI32" s="264">
        <f>VLOOKUP('Statistika okresy'!$B32,Body!$B$3:$AR$172,41,FALSE)</f>
        <v>97.387710390751579</v>
      </c>
      <c r="AJ32" s="390"/>
      <c r="AK32" s="407">
        <f>VLOOKUP('Statistika okresy'!$B32,Body!$B$3:$AR$172,43,FALSE)</f>
        <v>203.86362898209535</v>
      </c>
    </row>
    <row r="33" spans="1:37" ht="15.5" x14ac:dyDescent="0.35">
      <c r="A33" s="382">
        <v>5502</v>
      </c>
      <c r="B33" s="156" t="s">
        <v>306</v>
      </c>
      <c r="C33" s="352" t="s">
        <v>960</v>
      </c>
      <c r="D33" s="264">
        <f>VLOOKUP('Statistika okresy'!$B33,Body!$B$3:$AR$172,3,FALSE)</f>
        <v>8</v>
      </c>
      <c r="E33" s="264">
        <f>VLOOKUP('Statistika okresy'!$B33,Body!$B$3:$AR$172,4,FALSE)</f>
        <v>10</v>
      </c>
      <c r="F33" s="264">
        <f>VLOOKUP('Statistika okresy'!$B33,Body!$B$3:$AR$172,5,FALSE)</f>
        <v>4</v>
      </c>
      <c r="G33" s="264">
        <f>VLOOKUP('Statistika okresy'!$B33,Body!$B$3:$AR$172,6,FALSE)</f>
        <v>3</v>
      </c>
      <c r="H33" s="264">
        <f>VLOOKUP('Statistika okresy'!$B33,Body!$B$3:$AR$172,7,FALSE)</f>
        <v>2</v>
      </c>
      <c r="I33" s="264">
        <f>VLOOKUP('Statistika okresy'!$B33,Body!$B$3:$AR$172,8,FALSE)</f>
        <v>1</v>
      </c>
      <c r="J33" s="264">
        <f>VLOOKUP('Statistika okresy'!$B33,Body!$B$3:$AR$172,9,FALSE)</f>
        <v>1</v>
      </c>
      <c r="K33" s="264">
        <f>VLOOKUP('Statistika okresy'!$B33,Body!$B$3:$AR$172,10,FALSE)</f>
        <v>1</v>
      </c>
      <c r="L33" s="264">
        <f>VLOOKUP('Statistika okresy'!$B33,Body!$B$3:$AR$172,11,FALSE)</f>
        <v>10</v>
      </c>
      <c r="M33" s="264">
        <f>VLOOKUP('Statistika okresy'!$B33,Body!$B$3:$AR$172,12,FALSE)</f>
        <v>10</v>
      </c>
      <c r="N33" s="264">
        <f>VLOOKUP('Statistika okresy'!$B33,Body!$B$3:$AR$172,13,FALSE)</f>
        <v>8</v>
      </c>
      <c r="O33" s="264">
        <f>VLOOKUP('Statistika okresy'!$B33,Body!$B$3:$AR$172,14,FALSE)</f>
        <v>9</v>
      </c>
      <c r="P33" s="264">
        <f>VLOOKUP('Statistika okresy'!$B33,Body!$B$3:$AR$172,15,FALSE)</f>
        <v>3</v>
      </c>
      <c r="Q33" s="264">
        <f>VLOOKUP('Statistika okresy'!$B33,Body!$B$3:$AR$172,16,FALSE)</f>
        <v>6</v>
      </c>
      <c r="R33" s="264">
        <f>VLOOKUP('Statistika okresy'!$B33,Body!$B$3:$AR$172,17,FALSE)</f>
        <v>8</v>
      </c>
      <c r="S33" s="264">
        <f>VLOOKUP('Statistika okresy'!$B33,Body!$B$3:$AR$172,18,FALSE)</f>
        <v>9</v>
      </c>
      <c r="T33" s="264">
        <f>VLOOKUP('Statistika okresy'!$B33,Body!$B$3:$AR$172,19,FALSE)</f>
        <v>7</v>
      </c>
      <c r="U33" s="264">
        <f>VLOOKUP('Statistika okresy'!$B33,Body!$B$3:$AR$172,20,FALSE)</f>
        <v>7</v>
      </c>
      <c r="V33" s="264">
        <f>VLOOKUP('Statistika okresy'!$B33,Body!$B$3:$AR$172,21,FALSE)</f>
        <v>7</v>
      </c>
      <c r="W33" s="264">
        <f>VLOOKUP('Statistika okresy'!$B33,Body!$B$3:$AR$172,22,FALSE)</f>
        <v>4</v>
      </c>
      <c r="X33" s="264">
        <f>VLOOKUP('Statistika okresy'!$B33,Body!$B$3:$AR$172,23,FALSE)</f>
        <v>10</v>
      </c>
      <c r="Y33" s="264">
        <f>VLOOKUP('Statistika okresy'!$B33,Body!$B$3:$AR$172,24,FALSE)</f>
        <v>10</v>
      </c>
      <c r="Z33" s="264">
        <f>VLOOKUP('Statistika okresy'!$B33,Body!$B$3:$AR$172,25,FALSE)</f>
        <v>10</v>
      </c>
      <c r="AA33" s="264">
        <f>VLOOKUP('Statistika okresy'!$B33,Body!$B$3:$AR$172,26,FALSE)</f>
        <v>3</v>
      </c>
      <c r="AB33" s="264">
        <f>VLOOKUP('Statistika okresy'!$B33,Body!$B$3:$AR$172,27,FALSE)</f>
        <v>5</v>
      </c>
      <c r="AC33" s="265">
        <f>VLOOKUP('Statistika okresy'!$B33,Body!$B$3:$AR$172,35,FALSE)</f>
        <v>5.3333333333333375</v>
      </c>
      <c r="AD33" s="264">
        <f>VLOOKUP('Statistika okresy'!$B33,Body!$B$3:$AR$172,36,FALSE)</f>
        <v>33.322240409046024</v>
      </c>
      <c r="AE33" s="264">
        <f>VLOOKUP('Statistika okresy'!$B33,Body!$B$3:$AR$172,37,FALSE)</f>
        <v>35.107032178169334</v>
      </c>
      <c r="AF33" s="264">
        <f>VLOOKUP('Statistika okresy'!$B33,Body!$B$3:$AR$172,38,FALSE)</f>
        <v>76.406232972345762</v>
      </c>
      <c r="AG33" s="264">
        <f>VLOOKUP('Statistika okresy'!$B33,Body!$B$3:$AR$172,39,FALSE)</f>
        <v>63.945205436587827</v>
      </c>
      <c r="AH33" s="264">
        <f>VLOOKUP('Statistika okresy'!$B33,Body!$B$3:$AR$172,40,FALSE)</f>
        <v>109.72847338139178</v>
      </c>
      <c r="AI33" s="264">
        <f>VLOOKUP('Statistika okresy'!$B33,Body!$B$3:$AR$172,41,FALSE)</f>
        <v>99.052237614757161</v>
      </c>
      <c r="AJ33" s="390"/>
      <c r="AK33" s="407">
        <f>VLOOKUP('Statistika okresy'!$B33,Body!$B$3:$AR$172,43,FALSE)</f>
        <v>214.11404432948228</v>
      </c>
    </row>
    <row r="34" spans="1:37" ht="15.5" x14ac:dyDescent="0.35">
      <c r="A34" s="382">
        <v>5505</v>
      </c>
      <c r="B34" s="156" t="s">
        <v>307</v>
      </c>
      <c r="C34" s="352" t="s">
        <v>960</v>
      </c>
      <c r="D34" s="264">
        <f>VLOOKUP('Statistika okresy'!$B34,Body!$B$3:$AR$172,3,FALSE)</f>
        <v>5</v>
      </c>
      <c r="E34" s="264">
        <f>VLOOKUP('Statistika okresy'!$B34,Body!$B$3:$AR$172,4,FALSE)</f>
        <v>6</v>
      </c>
      <c r="F34" s="264">
        <f>VLOOKUP('Statistika okresy'!$B34,Body!$B$3:$AR$172,5,FALSE)</f>
        <v>3</v>
      </c>
      <c r="G34" s="264">
        <f>VLOOKUP('Statistika okresy'!$B34,Body!$B$3:$AR$172,6,FALSE)</f>
        <v>2</v>
      </c>
      <c r="H34" s="264">
        <f>VLOOKUP('Statistika okresy'!$B34,Body!$B$3:$AR$172,7,FALSE)</f>
        <v>1</v>
      </c>
      <c r="I34" s="264">
        <f>VLOOKUP('Statistika okresy'!$B34,Body!$B$3:$AR$172,8,FALSE)</f>
        <v>4</v>
      </c>
      <c r="J34" s="264">
        <f>VLOOKUP('Statistika okresy'!$B34,Body!$B$3:$AR$172,9,FALSE)</f>
        <v>1</v>
      </c>
      <c r="K34" s="264">
        <f>VLOOKUP('Statistika okresy'!$B34,Body!$B$3:$AR$172,10,FALSE)</f>
        <v>1</v>
      </c>
      <c r="L34" s="264">
        <f>VLOOKUP('Statistika okresy'!$B34,Body!$B$3:$AR$172,11,FALSE)</f>
        <v>3</v>
      </c>
      <c r="M34" s="264">
        <f>VLOOKUP('Statistika okresy'!$B34,Body!$B$3:$AR$172,12,FALSE)</f>
        <v>4</v>
      </c>
      <c r="N34" s="264">
        <f>VLOOKUP('Statistika okresy'!$B34,Body!$B$3:$AR$172,13,FALSE)</f>
        <v>6</v>
      </c>
      <c r="O34" s="264">
        <f>VLOOKUP('Statistika okresy'!$B34,Body!$B$3:$AR$172,14,FALSE)</f>
        <v>7</v>
      </c>
      <c r="P34" s="264">
        <f>VLOOKUP('Statistika okresy'!$B34,Body!$B$3:$AR$172,15,FALSE)</f>
        <v>6</v>
      </c>
      <c r="Q34" s="264">
        <f>VLOOKUP('Statistika okresy'!$B34,Body!$B$3:$AR$172,16,FALSE)</f>
        <v>6</v>
      </c>
      <c r="R34" s="264">
        <f>VLOOKUP('Statistika okresy'!$B34,Body!$B$3:$AR$172,17,FALSE)</f>
        <v>7</v>
      </c>
      <c r="S34" s="264">
        <f>VLOOKUP('Statistika okresy'!$B34,Body!$B$3:$AR$172,18,FALSE)</f>
        <v>10</v>
      </c>
      <c r="T34" s="264">
        <f>VLOOKUP('Statistika okresy'!$B34,Body!$B$3:$AR$172,19,FALSE)</f>
        <v>9</v>
      </c>
      <c r="U34" s="264">
        <f>VLOOKUP('Statistika okresy'!$B34,Body!$B$3:$AR$172,20,FALSE)</f>
        <v>7</v>
      </c>
      <c r="V34" s="264">
        <f>VLOOKUP('Statistika okresy'!$B34,Body!$B$3:$AR$172,21,FALSE)</f>
        <v>7</v>
      </c>
      <c r="W34" s="264">
        <f>VLOOKUP('Statistika okresy'!$B34,Body!$B$3:$AR$172,22,FALSE)</f>
        <v>6</v>
      </c>
      <c r="X34" s="264">
        <f>VLOOKUP('Statistika okresy'!$B34,Body!$B$3:$AR$172,23,FALSE)</f>
        <v>10</v>
      </c>
      <c r="Y34" s="264">
        <f>VLOOKUP('Statistika okresy'!$B34,Body!$B$3:$AR$172,24,FALSE)</f>
        <v>10</v>
      </c>
      <c r="Z34" s="264">
        <f>VLOOKUP('Statistika okresy'!$B34,Body!$B$3:$AR$172,25,FALSE)</f>
        <v>10</v>
      </c>
      <c r="AA34" s="264">
        <f>VLOOKUP('Statistika okresy'!$B34,Body!$B$3:$AR$172,26,FALSE)</f>
        <v>3</v>
      </c>
      <c r="AB34" s="264">
        <f>VLOOKUP('Statistika okresy'!$B34,Body!$B$3:$AR$172,27,FALSE)</f>
        <v>10</v>
      </c>
      <c r="AC34" s="265">
        <f>VLOOKUP('Statistika okresy'!$B34,Body!$B$3:$AR$172,35,FALSE)</f>
        <v>6.6666666666666714</v>
      </c>
      <c r="AD34" s="264">
        <f>VLOOKUP('Statistika okresy'!$B34,Body!$B$3:$AR$172,36,FALSE)</f>
        <v>26.480707974550608</v>
      </c>
      <c r="AE34" s="264">
        <f>VLOOKUP('Statistika okresy'!$B34,Body!$B$3:$AR$172,37,FALSE)</f>
        <v>28.281781668768947</v>
      </c>
      <c r="AF34" s="264">
        <f>VLOOKUP('Statistika okresy'!$B34,Body!$B$3:$AR$172,38,FALSE)</f>
        <v>80.319856929421761</v>
      </c>
      <c r="AG34" s="264">
        <f>VLOOKUP('Statistika okresy'!$B34,Body!$B$3:$AR$172,39,FALSE)</f>
        <v>74.861639765143778</v>
      </c>
      <c r="AH34" s="264">
        <f>VLOOKUP('Statistika okresy'!$B34,Body!$B$3:$AR$172,40,FALSE)</f>
        <v>106.80056490397237</v>
      </c>
      <c r="AI34" s="264">
        <f>VLOOKUP('Statistika okresy'!$B34,Body!$B$3:$AR$172,41,FALSE)</f>
        <v>103.14342143391272</v>
      </c>
      <c r="AJ34" s="390"/>
      <c r="AK34" s="407">
        <f>VLOOKUP('Statistika okresy'!$B34,Body!$B$3:$AR$172,43,FALSE)</f>
        <v>216.61065300455175</v>
      </c>
    </row>
    <row r="35" spans="1:37" ht="15.5" x14ac:dyDescent="0.35">
      <c r="A35" s="382">
        <v>5508</v>
      </c>
      <c r="B35" s="156" t="s">
        <v>304</v>
      </c>
      <c r="C35" s="352" t="s">
        <v>960</v>
      </c>
      <c r="D35" s="264">
        <f>VLOOKUP('Statistika okresy'!$B35,Body!$B$3:$AR$172,3,FALSE)</f>
        <v>6</v>
      </c>
      <c r="E35" s="264">
        <f>VLOOKUP('Statistika okresy'!$B35,Body!$B$3:$AR$172,4,FALSE)</f>
        <v>5</v>
      </c>
      <c r="F35" s="264">
        <f>VLOOKUP('Statistika okresy'!$B35,Body!$B$3:$AR$172,5,FALSE)</f>
        <v>4</v>
      </c>
      <c r="G35" s="264">
        <f>VLOOKUP('Statistika okresy'!$B35,Body!$B$3:$AR$172,6,FALSE)</f>
        <v>3</v>
      </c>
      <c r="H35" s="264">
        <f>VLOOKUP('Statistika okresy'!$B35,Body!$B$3:$AR$172,7,FALSE)</f>
        <v>1</v>
      </c>
      <c r="I35" s="264">
        <f>VLOOKUP('Statistika okresy'!$B35,Body!$B$3:$AR$172,8,FALSE)</f>
        <v>1</v>
      </c>
      <c r="J35" s="264">
        <f>VLOOKUP('Statistika okresy'!$B35,Body!$B$3:$AR$172,9,FALSE)</f>
        <v>1</v>
      </c>
      <c r="K35" s="264">
        <f>VLOOKUP('Statistika okresy'!$B35,Body!$B$3:$AR$172,10,FALSE)</f>
        <v>1</v>
      </c>
      <c r="L35" s="264">
        <f>VLOOKUP('Statistika okresy'!$B35,Body!$B$3:$AR$172,11,FALSE)</f>
        <v>3</v>
      </c>
      <c r="M35" s="264">
        <f>VLOOKUP('Statistika okresy'!$B35,Body!$B$3:$AR$172,12,FALSE)</f>
        <v>3</v>
      </c>
      <c r="N35" s="264">
        <f>VLOOKUP('Statistika okresy'!$B35,Body!$B$3:$AR$172,13,FALSE)</f>
        <v>6</v>
      </c>
      <c r="O35" s="264">
        <f>VLOOKUP('Statistika okresy'!$B35,Body!$B$3:$AR$172,14,FALSE)</f>
        <v>5</v>
      </c>
      <c r="P35" s="264">
        <f>VLOOKUP('Statistika okresy'!$B35,Body!$B$3:$AR$172,15,FALSE)</f>
        <v>3</v>
      </c>
      <c r="Q35" s="264">
        <f>VLOOKUP('Statistika okresy'!$B35,Body!$B$3:$AR$172,16,FALSE)</f>
        <v>6</v>
      </c>
      <c r="R35" s="264">
        <f>VLOOKUP('Statistika okresy'!$B35,Body!$B$3:$AR$172,17,FALSE)</f>
        <v>6</v>
      </c>
      <c r="S35" s="264">
        <f>VLOOKUP('Statistika okresy'!$B35,Body!$B$3:$AR$172,18,FALSE)</f>
        <v>10</v>
      </c>
      <c r="T35" s="264">
        <f>VLOOKUP('Statistika okresy'!$B35,Body!$B$3:$AR$172,19,FALSE)</f>
        <v>9</v>
      </c>
      <c r="U35" s="264">
        <f>VLOOKUP('Statistika okresy'!$B35,Body!$B$3:$AR$172,20,FALSE)</f>
        <v>5</v>
      </c>
      <c r="V35" s="264">
        <f>VLOOKUP('Statistika okresy'!$B35,Body!$B$3:$AR$172,21,FALSE)</f>
        <v>6</v>
      </c>
      <c r="W35" s="264">
        <f>VLOOKUP('Statistika okresy'!$B35,Body!$B$3:$AR$172,22,FALSE)</f>
        <v>5</v>
      </c>
      <c r="X35" s="264">
        <f>VLOOKUP('Statistika okresy'!$B35,Body!$B$3:$AR$172,23,FALSE)</f>
        <v>10</v>
      </c>
      <c r="Y35" s="264">
        <f>VLOOKUP('Statistika okresy'!$B35,Body!$B$3:$AR$172,24,FALSE)</f>
        <v>8</v>
      </c>
      <c r="Z35" s="264">
        <f>VLOOKUP('Statistika okresy'!$B35,Body!$B$3:$AR$172,25,FALSE)</f>
        <v>10</v>
      </c>
      <c r="AA35" s="264">
        <f>VLOOKUP('Statistika okresy'!$B35,Body!$B$3:$AR$172,26,FALSE)</f>
        <v>3</v>
      </c>
      <c r="AB35" s="264">
        <f>VLOOKUP('Statistika okresy'!$B35,Body!$B$3:$AR$172,27,FALSE)</f>
        <v>5</v>
      </c>
      <c r="AC35" s="265">
        <f>VLOOKUP('Statistika okresy'!$B35,Body!$B$3:$AR$172,35,FALSE)</f>
        <v>5.3333333333333375</v>
      </c>
      <c r="AD35" s="264">
        <f>VLOOKUP('Statistika okresy'!$B35,Body!$B$3:$AR$172,36,FALSE)</f>
        <v>26.290520334297359</v>
      </c>
      <c r="AE35" s="264">
        <f>VLOOKUP('Statistika okresy'!$B35,Body!$B$3:$AR$172,37,FALSE)</f>
        <v>23.283688381268615</v>
      </c>
      <c r="AF35" s="264">
        <f>VLOOKUP('Statistika okresy'!$B35,Body!$B$3:$AR$172,38,FALSE)</f>
        <v>73.693672301968732</v>
      </c>
      <c r="AG35" s="264">
        <f>VLOOKUP('Statistika okresy'!$B35,Body!$B$3:$AR$172,39,FALSE)</f>
        <v>68.235455137690764</v>
      </c>
      <c r="AH35" s="264">
        <f>VLOOKUP('Statistika okresy'!$B35,Body!$B$3:$AR$172,40,FALSE)</f>
        <v>99.984192636266087</v>
      </c>
      <c r="AI35" s="264">
        <f>VLOOKUP('Statistika okresy'!$B35,Body!$B$3:$AR$172,41,FALSE)</f>
        <v>91.519143518959382</v>
      </c>
      <c r="AJ35" s="390"/>
      <c r="AK35" s="407">
        <f>VLOOKUP('Statistika okresy'!$B35,Body!$B$3:$AR$172,43,FALSE)</f>
        <v>196.83666948855881</v>
      </c>
    </row>
    <row r="36" spans="1:37" ht="15.5" x14ac:dyDescent="0.35">
      <c r="A36" s="382">
        <v>5511</v>
      </c>
      <c r="B36" s="156" t="s">
        <v>293</v>
      </c>
      <c r="C36" s="352" t="s">
        <v>960</v>
      </c>
      <c r="D36" s="264">
        <f>VLOOKUP('Statistika okresy'!$B36,Body!$B$3:$AR$172,3,FALSE)</f>
        <v>9</v>
      </c>
      <c r="E36" s="264">
        <f>VLOOKUP('Statistika okresy'!$B36,Body!$B$3:$AR$172,4,FALSE)</f>
        <v>8</v>
      </c>
      <c r="F36" s="264">
        <f>VLOOKUP('Statistika okresy'!$B36,Body!$B$3:$AR$172,5,FALSE)</f>
        <v>3</v>
      </c>
      <c r="G36" s="264">
        <f>VLOOKUP('Statistika okresy'!$B36,Body!$B$3:$AR$172,6,FALSE)</f>
        <v>2</v>
      </c>
      <c r="H36" s="264">
        <f>VLOOKUP('Statistika okresy'!$B36,Body!$B$3:$AR$172,7,FALSE)</f>
        <v>1</v>
      </c>
      <c r="I36" s="264">
        <f>VLOOKUP('Statistika okresy'!$B36,Body!$B$3:$AR$172,8,FALSE)</f>
        <v>1</v>
      </c>
      <c r="J36" s="264">
        <f>VLOOKUP('Statistika okresy'!$B36,Body!$B$3:$AR$172,9,FALSE)</f>
        <v>1</v>
      </c>
      <c r="K36" s="264">
        <f>VLOOKUP('Statistika okresy'!$B36,Body!$B$3:$AR$172,10,FALSE)</f>
        <v>1</v>
      </c>
      <c r="L36" s="264">
        <f>VLOOKUP('Statistika okresy'!$B36,Body!$B$3:$AR$172,11,FALSE)</f>
        <v>3</v>
      </c>
      <c r="M36" s="264">
        <f>VLOOKUP('Statistika okresy'!$B36,Body!$B$3:$AR$172,12,FALSE)</f>
        <v>4</v>
      </c>
      <c r="N36" s="264">
        <f>VLOOKUP('Statistika okresy'!$B36,Body!$B$3:$AR$172,13,FALSE)</f>
        <v>6</v>
      </c>
      <c r="O36" s="264">
        <f>VLOOKUP('Statistika okresy'!$B36,Body!$B$3:$AR$172,14,FALSE)</f>
        <v>6</v>
      </c>
      <c r="P36" s="264">
        <f>VLOOKUP('Statistika okresy'!$B36,Body!$B$3:$AR$172,15,FALSE)</f>
        <v>5</v>
      </c>
      <c r="Q36" s="264">
        <f>VLOOKUP('Statistika okresy'!$B36,Body!$B$3:$AR$172,16,FALSE)</f>
        <v>5</v>
      </c>
      <c r="R36" s="264">
        <f>VLOOKUP('Statistika okresy'!$B36,Body!$B$3:$AR$172,17,FALSE)</f>
        <v>6</v>
      </c>
      <c r="S36" s="264">
        <f>VLOOKUP('Statistika okresy'!$B36,Body!$B$3:$AR$172,18,FALSE)</f>
        <v>10</v>
      </c>
      <c r="T36" s="264">
        <f>VLOOKUP('Statistika okresy'!$B36,Body!$B$3:$AR$172,19,FALSE)</f>
        <v>9</v>
      </c>
      <c r="U36" s="264">
        <f>VLOOKUP('Statistika okresy'!$B36,Body!$B$3:$AR$172,20,FALSE)</f>
        <v>7</v>
      </c>
      <c r="V36" s="264">
        <f>VLOOKUP('Statistika okresy'!$B36,Body!$B$3:$AR$172,21,FALSE)</f>
        <v>6</v>
      </c>
      <c r="W36" s="264">
        <f>VLOOKUP('Statistika okresy'!$B36,Body!$B$3:$AR$172,22,FALSE)</f>
        <v>4</v>
      </c>
      <c r="X36" s="264">
        <f>VLOOKUP('Statistika okresy'!$B36,Body!$B$3:$AR$172,23,FALSE)</f>
        <v>9</v>
      </c>
      <c r="Y36" s="264">
        <f>VLOOKUP('Statistika okresy'!$B36,Body!$B$3:$AR$172,24,FALSE)</f>
        <v>10</v>
      </c>
      <c r="Z36" s="264">
        <f>VLOOKUP('Statistika okresy'!$B36,Body!$B$3:$AR$172,25,FALSE)</f>
        <v>10</v>
      </c>
      <c r="AA36" s="264">
        <f>VLOOKUP('Statistika okresy'!$B36,Body!$B$3:$AR$172,26,FALSE)</f>
        <v>5</v>
      </c>
      <c r="AB36" s="264">
        <f>VLOOKUP('Statistika okresy'!$B36,Body!$B$3:$AR$172,27,FALSE)</f>
        <v>5</v>
      </c>
      <c r="AC36" s="265">
        <f>VLOOKUP('Statistika okresy'!$B36,Body!$B$3:$AR$172,35,FALSE)</f>
        <v>8.0000000000000071</v>
      </c>
      <c r="AD36" s="264">
        <f>VLOOKUP('Statistika okresy'!$B36,Body!$B$3:$AR$172,36,FALSE)</f>
        <v>25.824779454226338</v>
      </c>
      <c r="AE36" s="264">
        <f>VLOOKUP('Statistika okresy'!$B36,Body!$B$3:$AR$172,37,FALSE)</f>
        <v>25.469393435687575</v>
      </c>
      <c r="AF36" s="264">
        <f>VLOOKUP('Statistika okresy'!$B36,Body!$B$3:$AR$172,38,FALSE)</f>
        <v>78.036207187143631</v>
      </c>
      <c r="AG36" s="264">
        <f>VLOOKUP('Statistika okresy'!$B36,Body!$B$3:$AR$172,39,FALSE)</f>
        <v>71.033396815663664</v>
      </c>
      <c r="AH36" s="264">
        <f>VLOOKUP('Statistika okresy'!$B36,Body!$B$3:$AR$172,40,FALSE)</f>
        <v>103.86098664136998</v>
      </c>
      <c r="AI36" s="264">
        <f>VLOOKUP('Statistika okresy'!$B36,Body!$B$3:$AR$172,41,FALSE)</f>
        <v>96.502790251351243</v>
      </c>
      <c r="AJ36" s="390"/>
      <c r="AK36" s="407">
        <f>VLOOKUP('Statistika okresy'!$B36,Body!$B$3:$AR$172,43,FALSE)</f>
        <v>208.36377689272121</v>
      </c>
    </row>
    <row r="37" spans="1:37" ht="15.5" x14ac:dyDescent="0.35">
      <c r="A37" s="382">
        <v>5516</v>
      </c>
      <c r="B37" s="156" t="s">
        <v>303</v>
      </c>
      <c r="C37" s="352" t="s">
        <v>960</v>
      </c>
      <c r="D37" s="264">
        <f>VLOOKUP('Statistika okresy'!$B37,Body!$B$3:$AR$172,3,FALSE)</f>
        <v>7</v>
      </c>
      <c r="E37" s="264">
        <f>VLOOKUP('Statistika okresy'!$B37,Body!$B$3:$AR$172,4,FALSE)</f>
        <v>6</v>
      </c>
      <c r="F37" s="264">
        <f>VLOOKUP('Statistika okresy'!$B37,Body!$B$3:$AR$172,5,FALSE)</f>
        <v>3</v>
      </c>
      <c r="G37" s="264">
        <f>VLOOKUP('Statistika okresy'!$B37,Body!$B$3:$AR$172,6,FALSE)</f>
        <v>2</v>
      </c>
      <c r="H37" s="264">
        <f>VLOOKUP('Statistika okresy'!$B37,Body!$B$3:$AR$172,7,FALSE)</f>
        <v>1</v>
      </c>
      <c r="I37" s="264">
        <f>VLOOKUP('Statistika okresy'!$B37,Body!$B$3:$AR$172,8,FALSE)</f>
        <v>1</v>
      </c>
      <c r="J37" s="264">
        <f>VLOOKUP('Statistika okresy'!$B37,Body!$B$3:$AR$172,9,FALSE)</f>
        <v>1</v>
      </c>
      <c r="K37" s="264">
        <f>VLOOKUP('Statistika okresy'!$B37,Body!$B$3:$AR$172,10,FALSE)</f>
        <v>1</v>
      </c>
      <c r="L37" s="264">
        <f>VLOOKUP('Statistika okresy'!$B37,Body!$B$3:$AR$172,11,FALSE)</f>
        <v>3</v>
      </c>
      <c r="M37" s="264">
        <f>VLOOKUP('Statistika okresy'!$B37,Body!$B$3:$AR$172,12,FALSE)</f>
        <v>3</v>
      </c>
      <c r="N37" s="264">
        <f>VLOOKUP('Statistika okresy'!$B37,Body!$B$3:$AR$172,13,FALSE)</f>
        <v>7</v>
      </c>
      <c r="O37" s="264">
        <f>VLOOKUP('Statistika okresy'!$B37,Body!$B$3:$AR$172,14,FALSE)</f>
        <v>7</v>
      </c>
      <c r="P37" s="264">
        <f>VLOOKUP('Statistika okresy'!$B37,Body!$B$3:$AR$172,15,FALSE)</f>
        <v>3</v>
      </c>
      <c r="Q37" s="264">
        <f>VLOOKUP('Statistika okresy'!$B37,Body!$B$3:$AR$172,16,FALSE)</f>
        <v>5</v>
      </c>
      <c r="R37" s="264">
        <f>VLOOKUP('Statistika okresy'!$B37,Body!$B$3:$AR$172,17,FALSE)</f>
        <v>6</v>
      </c>
      <c r="S37" s="264">
        <f>VLOOKUP('Statistika okresy'!$B37,Body!$B$3:$AR$172,18,FALSE)</f>
        <v>8</v>
      </c>
      <c r="T37" s="264">
        <f>VLOOKUP('Statistika okresy'!$B37,Body!$B$3:$AR$172,19,FALSE)</f>
        <v>10</v>
      </c>
      <c r="U37" s="264">
        <f>VLOOKUP('Statistika okresy'!$B37,Body!$B$3:$AR$172,20,FALSE)</f>
        <v>5</v>
      </c>
      <c r="V37" s="264">
        <f>VLOOKUP('Statistika okresy'!$B37,Body!$B$3:$AR$172,21,FALSE)</f>
        <v>5</v>
      </c>
      <c r="W37" s="264">
        <f>VLOOKUP('Statistika okresy'!$B37,Body!$B$3:$AR$172,22,FALSE)</f>
        <v>4</v>
      </c>
      <c r="X37" s="264">
        <f>VLOOKUP('Statistika okresy'!$B37,Body!$B$3:$AR$172,23,FALSE)</f>
        <v>10</v>
      </c>
      <c r="Y37" s="264">
        <f>VLOOKUP('Statistika okresy'!$B37,Body!$B$3:$AR$172,24,FALSE)</f>
        <v>10</v>
      </c>
      <c r="Z37" s="264">
        <f>VLOOKUP('Statistika okresy'!$B37,Body!$B$3:$AR$172,25,FALSE)</f>
        <v>10</v>
      </c>
      <c r="AA37" s="264">
        <f>VLOOKUP('Statistika okresy'!$B37,Body!$B$3:$AR$172,26,FALSE)</f>
        <v>3</v>
      </c>
      <c r="AB37" s="264">
        <f>VLOOKUP('Statistika okresy'!$B37,Body!$B$3:$AR$172,27,FALSE)</f>
        <v>5</v>
      </c>
      <c r="AC37" s="265">
        <f>VLOOKUP('Statistika okresy'!$B37,Body!$B$3:$AR$172,35,FALSE)</f>
        <v>5.3333333333333375</v>
      </c>
      <c r="AD37" s="264">
        <f>VLOOKUP('Statistika okresy'!$B37,Body!$B$3:$AR$172,36,FALSE)</f>
        <v>24.351438563966003</v>
      </c>
      <c r="AE37" s="264">
        <f>VLOOKUP('Statistika okresy'!$B37,Body!$B$3:$AR$172,37,FALSE)</f>
        <v>23.348707115141202</v>
      </c>
      <c r="AF37" s="264">
        <f>VLOOKUP('Statistika okresy'!$B37,Body!$B$3:$AR$172,38,FALSE)</f>
        <v>65.239180301550959</v>
      </c>
      <c r="AG37" s="264">
        <f>VLOOKUP('Statistika okresy'!$B37,Body!$B$3:$AR$172,39,FALSE)</f>
        <v>71.521835008500943</v>
      </c>
      <c r="AH37" s="264">
        <f>VLOOKUP('Statistika okresy'!$B37,Body!$B$3:$AR$172,40,FALSE)</f>
        <v>89.590618865516959</v>
      </c>
      <c r="AI37" s="264">
        <f>VLOOKUP('Statistika okresy'!$B37,Body!$B$3:$AR$172,41,FALSE)</f>
        <v>94.870542123642139</v>
      </c>
      <c r="AJ37" s="390"/>
      <c r="AK37" s="407">
        <f>VLOOKUP('Statistika okresy'!$B37,Body!$B$3:$AR$172,43,FALSE)</f>
        <v>189.79449432249245</v>
      </c>
    </row>
    <row r="38" spans="1:37" ht="15.5" x14ac:dyDescent="0.35">
      <c r="A38" s="382">
        <v>5519</v>
      </c>
      <c r="B38" s="156" t="s">
        <v>106</v>
      </c>
      <c r="C38" s="352" t="s">
        <v>960</v>
      </c>
      <c r="D38" s="264">
        <f>VLOOKUP('Statistika okresy'!$B38,Body!$B$3:$AR$172,3,FALSE)</f>
        <v>9</v>
      </c>
      <c r="E38" s="264">
        <f>VLOOKUP('Statistika okresy'!$B38,Body!$B$3:$AR$172,4,FALSE)</f>
        <v>9</v>
      </c>
      <c r="F38" s="264">
        <f>VLOOKUP('Statistika okresy'!$B38,Body!$B$3:$AR$172,5,FALSE)</f>
        <v>3</v>
      </c>
      <c r="G38" s="264">
        <f>VLOOKUP('Statistika okresy'!$B38,Body!$B$3:$AR$172,6,FALSE)</f>
        <v>2</v>
      </c>
      <c r="H38" s="264">
        <f>VLOOKUP('Statistika okresy'!$B38,Body!$B$3:$AR$172,7,FALSE)</f>
        <v>2</v>
      </c>
      <c r="I38" s="264">
        <f>VLOOKUP('Statistika okresy'!$B38,Body!$B$3:$AR$172,8,FALSE)</f>
        <v>1</v>
      </c>
      <c r="J38" s="264">
        <f>VLOOKUP('Statistika okresy'!$B38,Body!$B$3:$AR$172,9,FALSE)</f>
        <v>1</v>
      </c>
      <c r="K38" s="264">
        <f>VLOOKUP('Statistika okresy'!$B38,Body!$B$3:$AR$172,10,FALSE)</f>
        <v>1</v>
      </c>
      <c r="L38" s="264">
        <f>VLOOKUP('Statistika okresy'!$B38,Body!$B$3:$AR$172,11,FALSE)</f>
        <v>5</v>
      </c>
      <c r="M38" s="264">
        <f>VLOOKUP('Statistika okresy'!$B38,Body!$B$3:$AR$172,12,FALSE)</f>
        <v>5</v>
      </c>
      <c r="N38" s="264">
        <f>VLOOKUP('Statistika okresy'!$B38,Body!$B$3:$AR$172,13,FALSE)</f>
        <v>8</v>
      </c>
      <c r="O38" s="264">
        <f>VLOOKUP('Statistika okresy'!$B38,Body!$B$3:$AR$172,14,FALSE)</f>
        <v>8</v>
      </c>
      <c r="P38" s="264">
        <f>VLOOKUP('Statistika okresy'!$B38,Body!$B$3:$AR$172,15,FALSE)</f>
        <v>5</v>
      </c>
      <c r="Q38" s="264">
        <f>VLOOKUP('Statistika okresy'!$B38,Body!$B$3:$AR$172,16,FALSE)</f>
        <v>6</v>
      </c>
      <c r="R38" s="264">
        <f>VLOOKUP('Statistika okresy'!$B38,Body!$B$3:$AR$172,17,FALSE)</f>
        <v>7</v>
      </c>
      <c r="S38" s="264">
        <f>VLOOKUP('Statistika okresy'!$B38,Body!$B$3:$AR$172,18,FALSE)</f>
        <v>9</v>
      </c>
      <c r="T38" s="264">
        <f>VLOOKUP('Statistika okresy'!$B38,Body!$B$3:$AR$172,19,FALSE)</f>
        <v>9</v>
      </c>
      <c r="U38" s="264">
        <f>VLOOKUP('Statistika okresy'!$B38,Body!$B$3:$AR$172,20,FALSE)</f>
        <v>5</v>
      </c>
      <c r="V38" s="264">
        <f>VLOOKUP('Statistika okresy'!$B38,Body!$B$3:$AR$172,21,FALSE)</f>
        <v>7</v>
      </c>
      <c r="W38" s="264">
        <f>VLOOKUP('Statistika okresy'!$B38,Body!$B$3:$AR$172,22,FALSE)</f>
        <v>6</v>
      </c>
      <c r="X38" s="264">
        <f>VLOOKUP('Statistika okresy'!$B38,Body!$B$3:$AR$172,23,FALSE)</f>
        <v>9</v>
      </c>
      <c r="Y38" s="264">
        <f>VLOOKUP('Statistika okresy'!$B38,Body!$B$3:$AR$172,24,FALSE)</f>
        <v>8</v>
      </c>
      <c r="Z38" s="264">
        <f>VLOOKUP('Statistika okresy'!$B38,Body!$B$3:$AR$172,25,FALSE)</f>
        <v>10</v>
      </c>
      <c r="AA38" s="264">
        <f>VLOOKUP('Statistika okresy'!$B38,Body!$B$3:$AR$172,26,FALSE)</f>
        <v>5</v>
      </c>
      <c r="AB38" s="264">
        <f>VLOOKUP('Statistika okresy'!$B38,Body!$B$3:$AR$172,27,FALSE)</f>
        <v>5</v>
      </c>
      <c r="AC38" s="265">
        <f>VLOOKUP('Statistika okresy'!$B38,Body!$B$3:$AR$172,35,FALSE)</f>
        <v>8.0000000000000071</v>
      </c>
      <c r="AD38" s="264">
        <f>VLOOKUP('Statistika okresy'!$B38,Body!$B$3:$AR$172,36,FALSE)</f>
        <v>30.150531991488435</v>
      </c>
      <c r="AE38" s="264">
        <f>VLOOKUP('Statistika okresy'!$B38,Body!$B$3:$AR$172,37,FALSE)</f>
        <v>29.257137264467968</v>
      </c>
      <c r="AF38" s="264">
        <f>VLOOKUP('Statistika okresy'!$B38,Body!$B$3:$AR$172,38,FALSE)</f>
        <v>70.585585017018602</v>
      </c>
      <c r="AG38" s="264">
        <f>VLOOKUP('Statistika okresy'!$B38,Body!$B$3:$AR$172,39,FALSE)</f>
        <v>69.040991809816603</v>
      </c>
      <c r="AH38" s="264">
        <f>VLOOKUP('Statistika okresy'!$B38,Body!$B$3:$AR$172,40,FALSE)</f>
        <v>100.73611700850704</v>
      </c>
      <c r="AI38" s="264">
        <f>VLOOKUP('Statistika okresy'!$B38,Body!$B$3:$AR$172,41,FALSE)</f>
        <v>98.298129074284574</v>
      </c>
      <c r="AJ38" s="390"/>
      <c r="AK38" s="407">
        <f>VLOOKUP('Statistika okresy'!$B38,Body!$B$3:$AR$172,43,FALSE)</f>
        <v>207.03424608279161</v>
      </c>
    </row>
    <row r="39" spans="1:37" ht="15.5" x14ac:dyDescent="0.35">
      <c r="A39" s="382">
        <v>5522</v>
      </c>
      <c r="B39" s="156" t="s">
        <v>96</v>
      </c>
      <c r="C39" s="352" t="s">
        <v>960</v>
      </c>
      <c r="D39" s="264">
        <f>VLOOKUP('Statistika okresy'!$B39,Body!$B$3:$AR$172,3,FALSE)</f>
        <v>9</v>
      </c>
      <c r="E39" s="264">
        <f>VLOOKUP('Statistika okresy'!$B39,Body!$B$3:$AR$172,4,FALSE)</f>
        <v>7</v>
      </c>
      <c r="F39" s="264">
        <f>VLOOKUP('Statistika okresy'!$B39,Body!$B$3:$AR$172,5,FALSE)</f>
        <v>4</v>
      </c>
      <c r="G39" s="264">
        <f>VLOOKUP('Statistika okresy'!$B39,Body!$B$3:$AR$172,6,FALSE)</f>
        <v>3</v>
      </c>
      <c r="H39" s="264">
        <f>VLOOKUP('Statistika okresy'!$B39,Body!$B$3:$AR$172,7,FALSE)</f>
        <v>1</v>
      </c>
      <c r="I39" s="264">
        <f>VLOOKUP('Statistika okresy'!$B39,Body!$B$3:$AR$172,8,FALSE)</f>
        <v>1</v>
      </c>
      <c r="J39" s="264">
        <f>VLOOKUP('Statistika okresy'!$B39,Body!$B$3:$AR$172,9,FALSE)</f>
        <v>1</v>
      </c>
      <c r="K39" s="264">
        <f>VLOOKUP('Statistika okresy'!$B39,Body!$B$3:$AR$172,10,FALSE)</f>
        <v>1</v>
      </c>
      <c r="L39" s="264">
        <f>VLOOKUP('Statistika okresy'!$B39,Body!$B$3:$AR$172,11,FALSE)</f>
        <v>5</v>
      </c>
      <c r="M39" s="264">
        <f>VLOOKUP('Statistika okresy'!$B39,Body!$B$3:$AR$172,12,FALSE)</f>
        <v>5</v>
      </c>
      <c r="N39" s="264">
        <f>VLOOKUP('Statistika okresy'!$B39,Body!$B$3:$AR$172,13,FALSE)</f>
        <v>7</v>
      </c>
      <c r="O39" s="264">
        <f>VLOOKUP('Statistika okresy'!$B39,Body!$B$3:$AR$172,14,FALSE)</f>
        <v>7</v>
      </c>
      <c r="P39" s="264">
        <f>VLOOKUP('Statistika okresy'!$B39,Body!$B$3:$AR$172,15,FALSE)</f>
        <v>3</v>
      </c>
      <c r="Q39" s="264">
        <f>VLOOKUP('Statistika okresy'!$B39,Body!$B$3:$AR$172,16,FALSE)</f>
        <v>5</v>
      </c>
      <c r="R39" s="264">
        <f>VLOOKUP('Statistika okresy'!$B39,Body!$B$3:$AR$172,17,FALSE)</f>
        <v>6</v>
      </c>
      <c r="S39" s="264">
        <f>VLOOKUP('Statistika okresy'!$B39,Body!$B$3:$AR$172,18,FALSE)</f>
        <v>10</v>
      </c>
      <c r="T39" s="264">
        <f>VLOOKUP('Statistika okresy'!$B39,Body!$B$3:$AR$172,19,FALSE)</f>
        <v>9</v>
      </c>
      <c r="U39" s="264">
        <f>VLOOKUP('Statistika okresy'!$B39,Body!$B$3:$AR$172,20,FALSE)</f>
        <v>5</v>
      </c>
      <c r="V39" s="264">
        <f>VLOOKUP('Statistika okresy'!$B39,Body!$B$3:$AR$172,21,FALSE)</f>
        <v>7</v>
      </c>
      <c r="W39" s="264">
        <f>VLOOKUP('Statistika okresy'!$B39,Body!$B$3:$AR$172,22,FALSE)</f>
        <v>6</v>
      </c>
      <c r="X39" s="264">
        <f>VLOOKUP('Statistika okresy'!$B39,Body!$B$3:$AR$172,23,FALSE)</f>
        <v>10</v>
      </c>
      <c r="Y39" s="264">
        <f>VLOOKUP('Statistika okresy'!$B39,Body!$B$3:$AR$172,24,FALSE)</f>
        <v>10</v>
      </c>
      <c r="Z39" s="264">
        <f>VLOOKUP('Statistika okresy'!$B39,Body!$B$3:$AR$172,25,FALSE)</f>
        <v>10</v>
      </c>
      <c r="AA39" s="264">
        <f>VLOOKUP('Statistika okresy'!$B39,Body!$B$3:$AR$172,26,FALSE)</f>
        <v>3</v>
      </c>
      <c r="AB39" s="264">
        <f>VLOOKUP('Statistika okresy'!$B39,Body!$B$3:$AR$172,27,FALSE)</f>
        <v>5</v>
      </c>
      <c r="AC39" s="265">
        <f>VLOOKUP('Statistika okresy'!$B39,Body!$B$3:$AR$172,35,FALSE)</f>
        <v>5.3333333333333375</v>
      </c>
      <c r="AD39" s="264">
        <f>VLOOKUP('Statistika okresy'!$B39,Body!$B$3:$AR$172,36,FALSE)</f>
        <v>28.190749475216236</v>
      </c>
      <c r="AE39" s="264">
        <f>VLOOKUP('Statistika okresy'!$B39,Body!$B$3:$AR$172,37,FALSE)</f>
        <v>26.850975030421523</v>
      </c>
      <c r="AF39" s="264">
        <f>VLOOKUP('Statistika okresy'!$B39,Body!$B$3:$AR$172,38,FALSE)</f>
        <v>76.155614630106911</v>
      </c>
      <c r="AG39" s="264">
        <f>VLOOKUP('Statistika okresy'!$B39,Body!$B$3:$AR$172,39,FALSE)</f>
        <v>70.697397465828928</v>
      </c>
      <c r="AH39" s="264">
        <f>VLOOKUP('Statistika okresy'!$B39,Body!$B$3:$AR$172,40,FALSE)</f>
        <v>104.34636410532315</v>
      </c>
      <c r="AI39" s="264">
        <f>VLOOKUP('Statistika okresy'!$B39,Body!$B$3:$AR$172,41,FALSE)</f>
        <v>97.548372496250451</v>
      </c>
      <c r="AJ39" s="390"/>
      <c r="AK39" s="407">
        <f>VLOOKUP('Statistika okresy'!$B39,Body!$B$3:$AR$172,43,FALSE)</f>
        <v>207.22806993490693</v>
      </c>
    </row>
    <row r="40" spans="1:37" ht="15.5" x14ac:dyDescent="0.35">
      <c r="A40" s="382">
        <v>5525</v>
      </c>
      <c r="B40" s="156" t="s">
        <v>103</v>
      </c>
      <c r="C40" s="352" t="s">
        <v>960</v>
      </c>
      <c r="D40" s="264">
        <f>VLOOKUP('Statistika okresy'!$B40,Body!$B$3:$AR$172,3,FALSE)</f>
        <v>6</v>
      </c>
      <c r="E40" s="264">
        <f>VLOOKUP('Statistika okresy'!$B40,Body!$B$3:$AR$172,4,FALSE)</f>
        <v>6</v>
      </c>
      <c r="F40" s="264">
        <f>VLOOKUP('Statistika okresy'!$B40,Body!$B$3:$AR$172,5,FALSE)</f>
        <v>4</v>
      </c>
      <c r="G40" s="264">
        <f>VLOOKUP('Statistika okresy'!$B40,Body!$B$3:$AR$172,6,FALSE)</f>
        <v>3</v>
      </c>
      <c r="H40" s="264">
        <f>VLOOKUP('Statistika okresy'!$B40,Body!$B$3:$AR$172,7,FALSE)</f>
        <v>1</v>
      </c>
      <c r="I40" s="264">
        <f>VLOOKUP('Statistika okresy'!$B40,Body!$B$3:$AR$172,8,FALSE)</f>
        <v>1</v>
      </c>
      <c r="J40" s="264">
        <f>VLOOKUP('Statistika okresy'!$B40,Body!$B$3:$AR$172,9,FALSE)</f>
        <v>1</v>
      </c>
      <c r="K40" s="264">
        <f>VLOOKUP('Statistika okresy'!$B40,Body!$B$3:$AR$172,10,FALSE)</f>
        <v>1</v>
      </c>
      <c r="L40" s="264">
        <f>VLOOKUP('Statistika okresy'!$B40,Body!$B$3:$AR$172,11,FALSE)</f>
        <v>4</v>
      </c>
      <c r="M40" s="264">
        <f>VLOOKUP('Statistika okresy'!$B40,Body!$B$3:$AR$172,12,FALSE)</f>
        <v>4</v>
      </c>
      <c r="N40" s="264">
        <f>VLOOKUP('Statistika okresy'!$B40,Body!$B$3:$AR$172,13,FALSE)</f>
        <v>6</v>
      </c>
      <c r="O40" s="264">
        <f>VLOOKUP('Statistika okresy'!$B40,Body!$B$3:$AR$172,14,FALSE)</f>
        <v>7</v>
      </c>
      <c r="P40" s="264">
        <f>VLOOKUP('Statistika okresy'!$B40,Body!$B$3:$AR$172,15,FALSE)</f>
        <v>3</v>
      </c>
      <c r="Q40" s="264">
        <f>VLOOKUP('Statistika okresy'!$B40,Body!$B$3:$AR$172,16,FALSE)</f>
        <v>5</v>
      </c>
      <c r="R40" s="264">
        <f>VLOOKUP('Statistika okresy'!$B40,Body!$B$3:$AR$172,17,FALSE)</f>
        <v>6</v>
      </c>
      <c r="S40" s="264">
        <f>VLOOKUP('Statistika okresy'!$B40,Body!$B$3:$AR$172,18,FALSE)</f>
        <v>10</v>
      </c>
      <c r="T40" s="264">
        <f>VLOOKUP('Statistika okresy'!$B40,Body!$B$3:$AR$172,19,FALSE)</f>
        <v>9</v>
      </c>
      <c r="U40" s="264">
        <f>VLOOKUP('Statistika okresy'!$B40,Body!$B$3:$AR$172,20,FALSE)</f>
        <v>5</v>
      </c>
      <c r="V40" s="264">
        <f>VLOOKUP('Statistika okresy'!$B40,Body!$B$3:$AR$172,21,FALSE)</f>
        <v>6</v>
      </c>
      <c r="W40" s="264">
        <f>VLOOKUP('Statistika okresy'!$B40,Body!$B$3:$AR$172,22,FALSE)</f>
        <v>5</v>
      </c>
      <c r="X40" s="264">
        <f>VLOOKUP('Statistika okresy'!$B40,Body!$B$3:$AR$172,23,FALSE)</f>
        <v>10</v>
      </c>
      <c r="Y40" s="264">
        <f>VLOOKUP('Statistika okresy'!$B40,Body!$B$3:$AR$172,24,FALSE)</f>
        <v>10</v>
      </c>
      <c r="Z40" s="264">
        <f>VLOOKUP('Statistika okresy'!$B40,Body!$B$3:$AR$172,25,FALSE)</f>
        <v>10</v>
      </c>
      <c r="AA40" s="264">
        <f>VLOOKUP('Statistika okresy'!$B40,Body!$B$3:$AR$172,26,FALSE)</f>
        <v>1</v>
      </c>
      <c r="AB40" s="264">
        <f>VLOOKUP('Statistika okresy'!$B40,Body!$B$3:$AR$172,27,FALSE)</f>
        <v>5</v>
      </c>
      <c r="AC40" s="265">
        <f>VLOOKUP('Statistika okresy'!$B40,Body!$B$3:$AR$172,35,FALSE)</f>
        <v>2.6666666666666687</v>
      </c>
      <c r="AD40" s="264">
        <f>VLOOKUP('Statistika okresy'!$B40,Body!$B$3:$AR$172,36,FALSE)</f>
        <v>25.733020158699947</v>
      </c>
      <c r="AE40" s="264">
        <f>VLOOKUP('Statistika okresy'!$B40,Body!$B$3:$AR$172,37,FALSE)</f>
        <v>25.866586604165562</v>
      </c>
      <c r="AF40" s="264">
        <f>VLOOKUP('Statistika okresy'!$B40,Body!$B$3:$AR$172,38,FALSE)</f>
        <v>74.611021422904926</v>
      </c>
      <c r="AG40" s="264">
        <f>VLOOKUP('Statistika okresy'!$B40,Body!$B$3:$AR$172,39,FALSE)</f>
        <v>69.152804258626944</v>
      </c>
      <c r="AH40" s="264">
        <f>VLOOKUP('Statistika okresy'!$B40,Body!$B$3:$AR$172,40,FALSE)</f>
        <v>100.34404158160487</v>
      </c>
      <c r="AI40" s="264">
        <f>VLOOKUP('Statistika okresy'!$B40,Body!$B$3:$AR$172,41,FALSE)</f>
        <v>95.019390862792505</v>
      </c>
      <c r="AJ40" s="390"/>
      <c r="AK40" s="407">
        <f>VLOOKUP('Statistika okresy'!$B40,Body!$B$3:$AR$172,43,FALSE)</f>
        <v>198.03009911106403</v>
      </c>
    </row>
    <row r="41" spans="1:37" ht="15.5" x14ac:dyDescent="0.35">
      <c r="A41" s="382">
        <v>5528</v>
      </c>
      <c r="B41" s="156" t="s">
        <v>297</v>
      </c>
      <c r="C41" s="352" t="s">
        <v>960</v>
      </c>
      <c r="D41" s="264">
        <f>VLOOKUP('Statistika okresy'!$B41,Body!$B$3:$AR$172,3,FALSE)</f>
        <v>5</v>
      </c>
      <c r="E41" s="264">
        <f>VLOOKUP('Statistika okresy'!$B41,Body!$B$3:$AR$172,4,FALSE)</f>
        <v>5</v>
      </c>
      <c r="F41" s="264">
        <f>VLOOKUP('Statistika okresy'!$B41,Body!$B$3:$AR$172,5,FALSE)</f>
        <v>4</v>
      </c>
      <c r="G41" s="264">
        <f>VLOOKUP('Statistika okresy'!$B41,Body!$B$3:$AR$172,6,FALSE)</f>
        <v>3</v>
      </c>
      <c r="H41" s="264">
        <f>VLOOKUP('Statistika okresy'!$B41,Body!$B$3:$AR$172,7,FALSE)</f>
        <v>1</v>
      </c>
      <c r="I41" s="264">
        <f>VLOOKUP('Statistika okresy'!$B41,Body!$B$3:$AR$172,8,FALSE)</f>
        <v>1</v>
      </c>
      <c r="J41" s="264">
        <f>VLOOKUP('Statistika okresy'!$B41,Body!$B$3:$AR$172,9,FALSE)</f>
        <v>1</v>
      </c>
      <c r="K41" s="264">
        <f>VLOOKUP('Statistika okresy'!$B41,Body!$B$3:$AR$172,10,FALSE)</f>
        <v>1</v>
      </c>
      <c r="L41" s="264">
        <f>VLOOKUP('Statistika okresy'!$B41,Body!$B$3:$AR$172,11,FALSE)</f>
        <v>5</v>
      </c>
      <c r="M41" s="264">
        <f>VLOOKUP('Statistika okresy'!$B41,Body!$B$3:$AR$172,12,FALSE)</f>
        <v>5</v>
      </c>
      <c r="N41" s="264">
        <f>VLOOKUP('Statistika okresy'!$B41,Body!$B$3:$AR$172,13,FALSE)</f>
        <v>6</v>
      </c>
      <c r="O41" s="264">
        <f>VLOOKUP('Statistika okresy'!$B41,Body!$B$3:$AR$172,14,FALSE)</f>
        <v>6</v>
      </c>
      <c r="P41" s="264">
        <f>VLOOKUP('Statistika okresy'!$B41,Body!$B$3:$AR$172,15,FALSE)</f>
        <v>5</v>
      </c>
      <c r="Q41" s="264">
        <f>VLOOKUP('Statistika okresy'!$B41,Body!$B$3:$AR$172,16,FALSE)</f>
        <v>4</v>
      </c>
      <c r="R41" s="264">
        <f>VLOOKUP('Statistika okresy'!$B41,Body!$B$3:$AR$172,17,FALSE)</f>
        <v>5</v>
      </c>
      <c r="S41" s="264">
        <f>VLOOKUP('Statistika okresy'!$B41,Body!$B$3:$AR$172,18,FALSE)</f>
        <v>10</v>
      </c>
      <c r="T41" s="264">
        <f>VLOOKUP('Statistika okresy'!$B41,Body!$B$3:$AR$172,19,FALSE)</f>
        <v>10</v>
      </c>
      <c r="U41" s="264">
        <f>VLOOKUP('Statistika okresy'!$B41,Body!$B$3:$AR$172,20,FALSE)</f>
        <v>5</v>
      </c>
      <c r="V41" s="264">
        <f>VLOOKUP('Statistika okresy'!$B41,Body!$B$3:$AR$172,21,FALSE)</f>
        <v>6</v>
      </c>
      <c r="W41" s="264">
        <f>VLOOKUP('Statistika okresy'!$B41,Body!$B$3:$AR$172,22,FALSE)</f>
        <v>4</v>
      </c>
      <c r="X41" s="264">
        <f>VLOOKUP('Statistika okresy'!$B41,Body!$B$3:$AR$172,23,FALSE)</f>
        <v>9</v>
      </c>
      <c r="Y41" s="264">
        <f>VLOOKUP('Statistika okresy'!$B41,Body!$B$3:$AR$172,24,FALSE)</f>
        <v>10</v>
      </c>
      <c r="Z41" s="264">
        <f>VLOOKUP('Statistika okresy'!$B41,Body!$B$3:$AR$172,25,FALSE)</f>
        <v>10</v>
      </c>
      <c r="AA41" s="264">
        <f>VLOOKUP('Statistika okresy'!$B41,Body!$B$3:$AR$172,26,FALSE)</f>
        <v>5</v>
      </c>
      <c r="AB41" s="264">
        <f>VLOOKUP('Statistika okresy'!$B41,Body!$B$3:$AR$172,27,FALSE)</f>
        <v>5</v>
      </c>
      <c r="AC41" s="265">
        <f>VLOOKUP('Statistika okresy'!$B41,Body!$B$3:$AR$172,35,FALSE)</f>
        <v>8.0000000000000071</v>
      </c>
      <c r="AD41" s="264">
        <f>VLOOKUP('Statistika okresy'!$B41,Body!$B$3:$AR$172,36,FALSE)</f>
        <v>26.436986783773605</v>
      </c>
      <c r="AE41" s="264">
        <f>VLOOKUP('Statistika okresy'!$B41,Body!$B$3:$AR$172,37,FALSE)</f>
        <v>25.771298330918732</v>
      </c>
      <c r="AF41" s="264">
        <f>VLOOKUP('Statistika okresy'!$B41,Body!$B$3:$AR$172,38,FALSE)</f>
        <v>73.871964887828781</v>
      </c>
      <c r="AG41" s="264">
        <f>VLOOKUP('Statistika okresy'!$B41,Body!$B$3:$AR$172,39,FALSE)</f>
        <v>70.782778473424798</v>
      </c>
      <c r="AH41" s="264">
        <f>VLOOKUP('Statistika okresy'!$B41,Body!$B$3:$AR$172,40,FALSE)</f>
        <v>100.30895167160239</v>
      </c>
      <c r="AI41" s="264">
        <f>VLOOKUP('Statistika okresy'!$B41,Body!$B$3:$AR$172,41,FALSE)</f>
        <v>96.554076804343538</v>
      </c>
      <c r="AJ41" s="390"/>
      <c r="AK41" s="407">
        <f>VLOOKUP('Statistika okresy'!$B41,Body!$B$3:$AR$172,43,FALSE)</f>
        <v>204.86302847594592</v>
      </c>
    </row>
    <row r="42" spans="1:37" ht="15.5" x14ac:dyDescent="0.35">
      <c r="A42" s="382">
        <v>5531</v>
      </c>
      <c r="B42" s="156" t="s">
        <v>101</v>
      </c>
      <c r="C42" s="352" t="s">
        <v>960</v>
      </c>
      <c r="D42" s="264">
        <f>VLOOKUP('Statistika okresy'!$B42,Body!$B$3:$AR$172,3,FALSE)</f>
        <v>9</v>
      </c>
      <c r="E42" s="264">
        <f>VLOOKUP('Statistika okresy'!$B42,Body!$B$3:$AR$172,4,FALSE)</f>
        <v>7</v>
      </c>
      <c r="F42" s="264">
        <f>VLOOKUP('Statistika okresy'!$B42,Body!$B$3:$AR$172,5,FALSE)</f>
        <v>4</v>
      </c>
      <c r="G42" s="264">
        <f>VLOOKUP('Statistika okresy'!$B42,Body!$B$3:$AR$172,6,FALSE)</f>
        <v>2</v>
      </c>
      <c r="H42" s="264">
        <f>VLOOKUP('Statistika okresy'!$B42,Body!$B$3:$AR$172,7,FALSE)</f>
        <v>1</v>
      </c>
      <c r="I42" s="264">
        <f>VLOOKUP('Statistika okresy'!$B42,Body!$B$3:$AR$172,8,FALSE)</f>
        <v>1</v>
      </c>
      <c r="J42" s="264">
        <f>VLOOKUP('Statistika okresy'!$B42,Body!$B$3:$AR$172,9,FALSE)</f>
        <v>1</v>
      </c>
      <c r="K42" s="264">
        <f>VLOOKUP('Statistika okresy'!$B42,Body!$B$3:$AR$172,10,FALSE)</f>
        <v>1</v>
      </c>
      <c r="L42" s="264">
        <f>VLOOKUP('Statistika okresy'!$B42,Body!$B$3:$AR$172,11,FALSE)</f>
        <v>4</v>
      </c>
      <c r="M42" s="264">
        <f>VLOOKUP('Statistika okresy'!$B42,Body!$B$3:$AR$172,12,FALSE)</f>
        <v>4</v>
      </c>
      <c r="N42" s="264">
        <f>VLOOKUP('Statistika okresy'!$B42,Body!$B$3:$AR$172,13,FALSE)</f>
        <v>7</v>
      </c>
      <c r="O42" s="264">
        <f>VLOOKUP('Statistika okresy'!$B42,Body!$B$3:$AR$172,14,FALSE)</f>
        <v>7</v>
      </c>
      <c r="P42" s="264">
        <f>VLOOKUP('Statistika okresy'!$B42,Body!$B$3:$AR$172,15,FALSE)</f>
        <v>3</v>
      </c>
      <c r="Q42" s="264">
        <f>VLOOKUP('Statistika okresy'!$B42,Body!$B$3:$AR$172,16,FALSE)</f>
        <v>4</v>
      </c>
      <c r="R42" s="264">
        <f>VLOOKUP('Statistika okresy'!$B42,Body!$B$3:$AR$172,17,FALSE)</f>
        <v>6</v>
      </c>
      <c r="S42" s="264">
        <f>VLOOKUP('Statistika okresy'!$B42,Body!$B$3:$AR$172,18,FALSE)</f>
        <v>8</v>
      </c>
      <c r="T42" s="264">
        <f>VLOOKUP('Statistika okresy'!$B42,Body!$B$3:$AR$172,19,FALSE)</f>
        <v>10</v>
      </c>
      <c r="U42" s="264">
        <f>VLOOKUP('Statistika okresy'!$B42,Body!$B$3:$AR$172,20,FALSE)</f>
        <v>5</v>
      </c>
      <c r="V42" s="264">
        <f>VLOOKUP('Statistika okresy'!$B42,Body!$B$3:$AR$172,21,FALSE)</f>
        <v>6</v>
      </c>
      <c r="W42" s="264">
        <f>VLOOKUP('Statistika okresy'!$B42,Body!$B$3:$AR$172,22,FALSE)</f>
        <v>5</v>
      </c>
      <c r="X42" s="264">
        <f>VLOOKUP('Statistika okresy'!$B42,Body!$B$3:$AR$172,23,FALSE)</f>
        <v>10</v>
      </c>
      <c r="Y42" s="264">
        <f>VLOOKUP('Statistika okresy'!$B42,Body!$B$3:$AR$172,24,FALSE)</f>
        <v>10</v>
      </c>
      <c r="Z42" s="264">
        <f>VLOOKUP('Statistika okresy'!$B42,Body!$B$3:$AR$172,25,FALSE)</f>
        <v>10</v>
      </c>
      <c r="AA42" s="264">
        <f>VLOOKUP('Statistika okresy'!$B42,Body!$B$3:$AR$172,26,FALSE)</f>
        <v>1</v>
      </c>
      <c r="AB42" s="264">
        <f>VLOOKUP('Statistika okresy'!$B42,Body!$B$3:$AR$172,27,FALSE)</f>
        <v>5</v>
      </c>
      <c r="AC42" s="265">
        <f>VLOOKUP('Statistika okresy'!$B42,Body!$B$3:$AR$172,35,FALSE)</f>
        <v>2.6666666666666687</v>
      </c>
      <c r="AD42" s="264">
        <f>VLOOKUP('Statistika okresy'!$B42,Body!$B$3:$AR$172,36,FALSE)</f>
        <v>26.338558439046761</v>
      </c>
      <c r="AE42" s="264">
        <f>VLOOKUP('Statistika okresy'!$B42,Body!$B$3:$AR$172,37,FALSE)</f>
        <v>24.333095541397153</v>
      </c>
      <c r="AF42" s="264">
        <f>VLOOKUP('Statistika okresy'!$B42,Body!$B$3:$AR$172,38,FALSE)</f>
        <v>66.783773508752944</v>
      </c>
      <c r="AG42" s="264">
        <f>VLOOKUP('Statistika okresy'!$B42,Body!$B$3:$AR$172,39,FALSE)</f>
        <v>73.066428215702942</v>
      </c>
      <c r="AH42" s="264">
        <f>VLOOKUP('Statistika okresy'!$B42,Body!$B$3:$AR$172,40,FALSE)</f>
        <v>93.122331947799708</v>
      </c>
      <c r="AI42" s="264">
        <f>VLOOKUP('Statistika okresy'!$B42,Body!$B$3:$AR$172,41,FALSE)</f>
        <v>97.399523757100098</v>
      </c>
      <c r="AJ42" s="390"/>
      <c r="AK42" s="407">
        <f>VLOOKUP('Statistika okresy'!$B42,Body!$B$3:$AR$172,43,FALSE)</f>
        <v>193.18852237156645</v>
      </c>
    </row>
    <row r="43" spans="1:37" ht="15.5" x14ac:dyDescent="0.35">
      <c r="A43" s="382">
        <v>5534</v>
      </c>
      <c r="B43" s="156" t="s">
        <v>93</v>
      </c>
      <c r="C43" s="352" t="s">
        <v>960</v>
      </c>
      <c r="D43" s="264">
        <f>VLOOKUP('Statistika okresy'!$B43,Body!$B$3:$AR$172,3,FALSE)</f>
        <v>10</v>
      </c>
      <c r="E43" s="264">
        <f>VLOOKUP('Statistika okresy'!$B43,Body!$B$3:$AR$172,4,FALSE)</f>
        <v>8</v>
      </c>
      <c r="F43" s="264">
        <f>VLOOKUP('Statistika okresy'!$B43,Body!$B$3:$AR$172,5,FALSE)</f>
        <v>4</v>
      </c>
      <c r="G43" s="264">
        <f>VLOOKUP('Statistika okresy'!$B43,Body!$B$3:$AR$172,6,FALSE)</f>
        <v>2</v>
      </c>
      <c r="H43" s="264">
        <f>VLOOKUP('Statistika okresy'!$B43,Body!$B$3:$AR$172,7,FALSE)</f>
        <v>1</v>
      </c>
      <c r="I43" s="264">
        <f>VLOOKUP('Statistika okresy'!$B43,Body!$B$3:$AR$172,8,FALSE)</f>
        <v>5</v>
      </c>
      <c r="J43" s="264">
        <f>VLOOKUP('Statistika okresy'!$B43,Body!$B$3:$AR$172,9,FALSE)</f>
        <v>1</v>
      </c>
      <c r="K43" s="264">
        <f>VLOOKUP('Statistika okresy'!$B43,Body!$B$3:$AR$172,10,FALSE)</f>
        <v>1</v>
      </c>
      <c r="L43" s="264">
        <f>VLOOKUP('Statistika okresy'!$B43,Body!$B$3:$AR$172,11,FALSE)</f>
        <v>5</v>
      </c>
      <c r="M43" s="264">
        <f>VLOOKUP('Statistika okresy'!$B43,Body!$B$3:$AR$172,12,FALSE)</f>
        <v>4</v>
      </c>
      <c r="N43" s="264">
        <f>VLOOKUP('Statistika okresy'!$B43,Body!$B$3:$AR$172,13,FALSE)</f>
        <v>8</v>
      </c>
      <c r="O43" s="264">
        <f>VLOOKUP('Statistika okresy'!$B43,Body!$B$3:$AR$172,14,FALSE)</f>
        <v>7</v>
      </c>
      <c r="P43" s="264">
        <f>VLOOKUP('Statistika okresy'!$B43,Body!$B$3:$AR$172,15,FALSE)</f>
        <v>5</v>
      </c>
      <c r="Q43" s="264">
        <f>VLOOKUP('Statistika okresy'!$B43,Body!$B$3:$AR$172,16,FALSE)</f>
        <v>6</v>
      </c>
      <c r="R43" s="264">
        <f>VLOOKUP('Statistika okresy'!$B43,Body!$B$3:$AR$172,17,FALSE)</f>
        <v>6</v>
      </c>
      <c r="S43" s="264">
        <f>VLOOKUP('Statistika okresy'!$B43,Body!$B$3:$AR$172,18,FALSE)</f>
        <v>9</v>
      </c>
      <c r="T43" s="264">
        <f>VLOOKUP('Statistika okresy'!$B43,Body!$B$3:$AR$172,19,FALSE)</f>
        <v>9</v>
      </c>
      <c r="U43" s="264">
        <f>VLOOKUP('Statistika okresy'!$B43,Body!$B$3:$AR$172,20,FALSE)</f>
        <v>3</v>
      </c>
      <c r="V43" s="264">
        <f>VLOOKUP('Statistika okresy'!$B43,Body!$B$3:$AR$172,21,FALSE)</f>
        <v>7</v>
      </c>
      <c r="W43" s="264">
        <f>VLOOKUP('Statistika okresy'!$B43,Body!$B$3:$AR$172,22,FALSE)</f>
        <v>5</v>
      </c>
      <c r="X43" s="264">
        <f>VLOOKUP('Statistika okresy'!$B43,Body!$B$3:$AR$172,23,FALSE)</f>
        <v>9</v>
      </c>
      <c r="Y43" s="264">
        <f>VLOOKUP('Statistika okresy'!$B43,Body!$B$3:$AR$172,24,FALSE)</f>
        <v>10</v>
      </c>
      <c r="Z43" s="264">
        <f>VLOOKUP('Statistika okresy'!$B43,Body!$B$3:$AR$172,25,FALSE)</f>
        <v>10</v>
      </c>
      <c r="AA43" s="264">
        <f>VLOOKUP('Statistika okresy'!$B43,Body!$B$3:$AR$172,26,FALSE)</f>
        <v>3</v>
      </c>
      <c r="AB43" s="264">
        <f>VLOOKUP('Statistika okresy'!$B43,Body!$B$3:$AR$172,27,FALSE)</f>
        <v>10</v>
      </c>
      <c r="AC43" s="265">
        <f>VLOOKUP('Statistika okresy'!$B43,Body!$B$3:$AR$172,35,FALSE)</f>
        <v>6.6666666666666714</v>
      </c>
      <c r="AD43" s="264">
        <f>VLOOKUP('Statistika okresy'!$B43,Body!$B$3:$AR$172,36,FALSE)</f>
        <v>32.130402772031097</v>
      </c>
      <c r="AE43" s="264">
        <f>VLOOKUP('Statistika okresy'!$B43,Body!$B$3:$AR$172,37,FALSE)</f>
        <v>27.179473430670434</v>
      </c>
      <c r="AF43" s="264">
        <f>VLOOKUP('Statistika okresy'!$B43,Body!$B$3:$AR$172,38,FALSE)</f>
        <v>67.338691838639932</v>
      </c>
      <c r="AG43" s="264">
        <f>VLOOKUP('Statistika okresy'!$B43,Body!$B$3:$AR$172,39,FALSE)</f>
        <v>64.249505424235963</v>
      </c>
      <c r="AH43" s="264">
        <f>VLOOKUP('Statistika okresy'!$B43,Body!$B$3:$AR$172,40,FALSE)</f>
        <v>99.469094610671021</v>
      </c>
      <c r="AI43" s="264">
        <f>VLOOKUP('Statistika okresy'!$B43,Body!$B$3:$AR$172,41,FALSE)</f>
        <v>91.428978854906404</v>
      </c>
      <c r="AJ43" s="390"/>
      <c r="AK43" s="407">
        <f>VLOOKUP('Statistika okresy'!$B43,Body!$B$3:$AR$172,43,FALSE)</f>
        <v>197.56474013224408</v>
      </c>
    </row>
    <row r="44" spans="1:37" ht="15.5" x14ac:dyDescent="0.35">
      <c r="A44" s="382">
        <v>5537</v>
      </c>
      <c r="B44" s="156" t="s">
        <v>296</v>
      </c>
      <c r="C44" s="352" t="s">
        <v>960</v>
      </c>
      <c r="D44" s="264">
        <f>VLOOKUP('Statistika okresy'!$B44,Body!$B$3:$AR$172,3,FALSE)</f>
        <v>5</v>
      </c>
      <c r="E44" s="264">
        <f>VLOOKUP('Statistika okresy'!$B44,Body!$B$3:$AR$172,4,FALSE)</f>
        <v>5</v>
      </c>
      <c r="F44" s="264">
        <f>VLOOKUP('Statistika okresy'!$B44,Body!$B$3:$AR$172,5,FALSE)</f>
        <v>3</v>
      </c>
      <c r="G44" s="264">
        <f>VLOOKUP('Statistika okresy'!$B44,Body!$B$3:$AR$172,6,FALSE)</f>
        <v>2</v>
      </c>
      <c r="H44" s="264">
        <f>VLOOKUP('Statistika okresy'!$B44,Body!$B$3:$AR$172,7,FALSE)</f>
        <v>1</v>
      </c>
      <c r="I44" s="264">
        <f>VLOOKUP('Statistika okresy'!$B44,Body!$B$3:$AR$172,8,FALSE)</f>
        <v>1</v>
      </c>
      <c r="J44" s="264">
        <f>VLOOKUP('Statistika okresy'!$B44,Body!$B$3:$AR$172,9,FALSE)</f>
        <v>1</v>
      </c>
      <c r="K44" s="264">
        <f>VLOOKUP('Statistika okresy'!$B44,Body!$B$3:$AR$172,10,FALSE)</f>
        <v>1</v>
      </c>
      <c r="L44" s="264">
        <f>VLOOKUP('Statistika okresy'!$B44,Body!$B$3:$AR$172,11,FALSE)</f>
        <v>3</v>
      </c>
      <c r="M44" s="264">
        <f>VLOOKUP('Statistika okresy'!$B44,Body!$B$3:$AR$172,12,FALSE)</f>
        <v>3</v>
      </c>
      <c r="N44" s="264">
        <f>VLOOKUP('Statistika okresy'!$B44,Body!$B$3:$AR$172,13,FALSE)</f>
        <v>4</v>
      </c>
      <c r="O44" s="264">
        <f>VLOOKUP('Statistika okresy'!$B44,Body!$B$3:$AR$172,14,FALSE)</f>
        <v>5</v>
      </c>
      <c r="P44" s="264">
        <f>VLOOKUP('Statistika okresy'!$B44,Body!$B$3:$AR$172,15,FALSE)</f>
        <v>3</v>
      </c>
      <c r="Q44" s="264">
        <f>VLOOKUP('Statistika okresy'!$B44,Body!$B$3:$AR$172,16,FALSE)</f>
        <v>4</v>
      </c>
      <c r="R44" s="264">
        <f>VLOOKUP('Statistika okresy'!$B44,Body!$B$3:$AR$172,17,FALSE)</f>
        <v>6</v>
      </c>
      <c r="S44" s="264">
        <f>VLOOKUP('Statistika okresy'!$B44,Body!$B$3:$AR$172,18,FALSE)</f>
        <v>9</v>
      </c>
      <c r="T44" s="264">
        <f>VLOOKUP('Statistika okresy'!$B44,Body!$B$3:$AR$172,19,FALSE)</f>
        <v>9</v>
      </c>
      <c r="U44" s="264">
        <f>VLOOKUP('Statistika okresy'!$B44,Body!$B$3:$AR$172,20,FALSE)</f>
        <v>5</v>
      </c>
      <c r="V44" s="264">
        <f>VLOOKUP('Statistika okresy'!$B44,Body!$B$3:$AR$172,21,FALSE)</f>
        <v>6</v>
      </c>
      <c r="W44" s="264">
        <f>VLOOKUP('Statistika okresy'!$B44,Body!$B$3:$AR$172,22,FALSE)</f>
        <v>6</v>
      </c>
      <c r="X44" s="264">
        <f>VLOOKUP('Statistika okresy'!$B44,Body!$B$3:$AR$172,23,FALSE)</f>
        <v>8</v>
      </c>
      <c r="Y44" s="264">
        <f>VLOOKUP('Statistika okresy'!$B44,Body!$B$3:$AR$172,24,FALSE)</f>
        <v>10</v>
      </c>
      <c r="Z44" s="264">
        <f>VLOOKUP('Statistika okresy'!$B44,Body!$B$3:$AR$172,25,FALSE)</f>
        <v>10</v>
      </c>
      <c r="AA44" s="264">
        <f>VLOOKUP('Statistika okresy'!$B44,Body!$B$3:$AR$172,26,FALSE)</f>
        <v>3</v>
      </c>
      <c r="AB44" s="264">
        <f>VLOOKUP('Statistika okresy'!$B44,Body!$B$3:$AR$172,27,FALSE)</f>
        <v>5</v>
      </c>
      <c r="AC44" s="265">
        <f>VLOOKUP('Statistika okresy'!$B44,Body!$B$3:$AR$172,35,FALSE)</f>
        <v>5.3333333333333375</v>
      </c>
      <c r="AD44" s="264">
        <f>VLOOKUP('Statistika okresy'!$B44,Body!$B$3:$AR$172,36,FALSE)</f>
        <v>20.074742271181226</v>
      </c>
      <c r="AE44" s="264">
        <f>VLOOKUP('Statistika okresy'!$B44,Body!$B$3:$AR$172,37,FALSE)</f>
        <v>21.413154322530289</v>
      </c>
      <c r="AF44" s="264">
        <f>VLOOKUP('Statistika okresy'!$B44,Body!$B$3:$AR$172,38,FALSE)</f>
        <v>69.219284395676638</v>
      </c>
      <c r="AG44" s="264">
        <f>VLOOKUP('Statistika okresy'!$B44,Body!$B$3:$AR$172,39,FALSE)</f>
        <v>69.219284395676638</v>
      </c>
      <c r="AH44" s="264">
        <f>VLOOKUP('Statistika okresy'!$B44,Body!$B$3:$AR$172,40,FALSE)</f>
        <v>89.29402666685786</v>
      </c>
      <c r="AI44" s="264">
        <f>VLOOKUP('Statistika okresy'!$B44,Body!$B$3:$AR$172,41,FALSE)</f>
        <v>90.632438718206927</v>
      </c>
      <c r="AJ44" s="390"/>
      <c r="AK44" s="407">
        <f>VLOOKUP('Statistika okresy'!$B44,Body!$B$3:$AR$172,43,FALSE)</f>
        <v>185.25979871839812</v>
      </c>
    </row>
    <row r="45" spans="1:37" ht="15.5" x14ac:dyDescent="0.35">
      <c r="A45" s="382">
        <v>5540</v>
      </c>
      <c r="B45" s="156" t="s">
        <v>302</v>
      </c>
      <c r="C45" s="352" t="s">
        <v>960</v>
      </c>
      <c r="D45" s="264">
        <f>VLOOKUP('Statistika okresy'!$B45,Body!$B$3:$AR$172,3,FALSE)</f>
        <v>9</v>
      </c>
      <c r="E45" s="264">
        <f>VLOOKUP('Statistika okresy'!$B45,Body!$B$3:$AR$172,4,FALSE)</f>
        <v>7</v>
      </c>
      <c r="F45" s="264">
        <f>VLOOKUP('Statistika okresy'!$B45,Body!$B$3:$AR$172,5,FALSE)</f>
        <v>4</v>
      </c>
      <c r="G45" s="264">
        <f>VLOOKUP('Statistika okresy'!$B45,Body!$B$3:$AR$172,6,FALSE)</f>
        <v>3</v>
      </c>
      <c r="H45" s="264">
        <f>VLOOKUP('Statistika okresy'!$B45,Body!$B$3:$AR$172,7,FALSE)</f>
        <v>1</v>
      </c>
      <c r="I45" s="264">
        <f>VLOOKUP('Statistika okresy'!$B45,Body!$B$3:$AR$172,8,FALSE)</f>
        <v>1</v>
      </c>
      <c r="J45" s="264">
        <f>VLOOKUP('Statistika okresy'!$B45,Body!$B$3:$AR$172,9,FALSE)</f>
        <v>1</v>
      </c>
      <c r="K45" s="264">
        <f>VLOOKUP('Statistika okresy'!$B45,Body!$B$3:$AR$172,10,FALSE)</f>
        <v>1</v>
      </c>
      <c r="L45" s="264">
        <f>VLOOKUP('Statistika okresy'!$B45,Body!$B$3:$AR$172,11,FALSE)</f>
        <v>4</v>
      </c>
      <c r="M45" s="264">
        <f>VLOOKUP('Statistika okresy'!$B45,Body!$B$3:$AR$172,12,FALSE)</f>
        <v>5</v>
      </c>
      <c r="N45" s="264">
        <f>VLOOKUP('Statistika okresy'!$B45,Body!$B$3:$AR$172,13,FALSE)</f>
        <v>8</v>
      </c>
      <c r="O45" s="264">
        <f>VLOOKUP('Statistika okresy'!$B45,Body!$B$3:$AR$172,14,FALSE)</f>
        <v>8</v>
      </c>
      <c r="P45" s="264">
        <f>VLOOKUP('Statistika okresy'!$B45,Body!$B$3:$AR$172,15,FALSE)</f>
        <v>3</v>
      </c>
      <c r="Q45" s="264">
        <f>VLOOKUP('Statistika okresy'!$B45,Body!$B$3:$AR$172,16,FALSE)</f>
        <v>6</v>
      </c>
      <c r="R45" s="264">
        <f>VLOOKUP('Statistika okresy'!$B45,Body!$B$3:$AR$172,17,FALSE)</f>
        <v>7</v>
      </c>
      <c r="S45" s="264">
        <f>VLOOKUP('Statistika okresy'!$B45,Body!$B$3:$AR$172,18,FALSE)</f>
        <v>10</v>
      </c>
      <c r="T45" s="264">
        <f>VLOOKUP('Statistika okresy'!$B45,Body!$B$3:$AR$172,19,FALSE)</f>
        <v>9</v>
      </c>
      <c r="U45" s="264">
        <f>VLOOKUP('Statistika okresy'!$B45,Body!$B$3:$AR$172,20,FALSE)</f>
        <v>5</v>
      </c>
      <c r="V45" s="264">
        <f>VLOOKUP('Statistika okresy'!$B45,Body!$B$3:$AR$172,21,FALSE)</f>
        <v>6</v>
      </c>
      <c r="W45" s="264">
        <f>VLOOKUP('Statistika okresy'!$B45,Body!$B$3:$AR$172,22,FALSE)</f>
        <v>5</v>
      </c>
      <c r="X45" s="264">
        <f>VLOOKUP('Statistika okresy'!$B45,Body!$B$3:$AR$172,23,FALSE)</f>
        <v>10</v>
      </c>
      <c r="Y45" s="264">
        <f>VLOOKUP('Statistika okresy'!$B45,Body!$B$3:$AR$172,24,FALSE)</f>
        <v>10</v>
      </c>
      <c r="Z45" s="264">
        <f>VLOOKUP('Statistika okresy'!$B45,Body!$B$3:$AR$172,25,FALSE)</f>
        <v>10</v>
      </c>
      <c r="AA45" s="264">
        <f>VLOOKUP('Statistika okresy'!$B45,Body!$B$3:$AR$172,26,FALSE)</f>
        <v>3</v>
      </c>
      <c r="AB45" s="264">
        <f>VLOOKUP('Statistika okresy'!$B45,Body!$B$3:$AR$172,27,FALSE)</f>
        <v>5</v>
      </c>
      <c r="AC45" s="265">
        <f>VLOOKUP('Statistika okresy'!$B45,Body!$B$3:$AR$172,35,FALSE)</f>
        <v>5.3333333333333375</v>
      </c>
      <c r="AD45" s="264">
        <f>VLOOKUP('Statistika okresy'!$B45,Body!$B$3:$AR$172,36,FALSE)</f>
        <v>29.547504549134146</v>
      </c>
      <c r="AE45" s="264">
        <f>VLOOKUP('Statistika okresy'!$B45,Body!$B$3:$AR$172,37,FALSE)</f>
        <v>28.855075534625463</v>
      </c>
      <c r="AF45" s="264">
        <f>VLOOKUP('Statistika okresy'!$B45,Body!$B$3:$AR$172,38,FALSE)</f>
        <v>74.611021422904926</v>
      </c>
      <c r="AG45" s="264">
        <f>VLOOKUP('Statistika okresy'!$B45,Body!$B$3:$AR$172,39,FALSE)</f>
        <v>69.152804258626944</v>
      </c>
      <c r="AH45" s="264">
        <f>VLOOKUP('Statistika okresy'!$B45,Body!$B$3:$AR$172,40,FALSE)</f>
        <v>104.15852597203907</v>
      </c>
      <c r="AI45" s="264">
        <f>VLOOKUP('Statistika okresy'!$B45,Body!$B$3:$AR$172,41,FALSE)</f>
        <v>98.007879793252414</v>
      </c>
      <c r="AJ45" s="390"/>
      <c r="AK45" s="407">
        <f>VLOOKUP('Statistika okresy'!$B45,Body!$B$3:$AR$172,43,FALSE)</f>
        <v>207.49973909862481</v>
      </c>
    </row>
    <row r="46" spans="1:37" ht="15.5" x14ac:dyDescent="0.35">
      <c r="A46" s="382">
        <v>5543</v>
      </c>
      <c r="B46" s="156" t="s">
        <v>102</v>
      </c>
      <c r="C46" s="352" t="s">
        <v>960</v>
      </c>
      <c r="D46" s="264">
        <f>VLOOKUP('Statistika okresy'!$B46,Body!$B$3:$AR$172,3,FALSE)</f>
        <v>9</v>
      </c>
      <c r="E46" s="264">
        <f>VLOOKUP('Statistika okresy'!$B46,Body!$B$3:$AR$172,4,FALSE)</f>
        <v>9</v>
      </c>
      <c r="F46" s="264">
        <f>VLOOKUP('Statistika okresy'!$B46,Body!$B$3:$AR$172,5,FALSE)</f>
        <v>3</v>
      </c>
      <c r="G46" s="264">
        <f>VLOOKUP('Statistika okresy'!$B46,Body!$B$3:$AR$172,6,FALSE)</f>
        <v>2</v>
      </c>
      <c r="H46" s="264">
        <f>VLOOKUP('Statistika okresy'!$B46,Body!$B$3:$AR$172,7,FALSE)</f>
        <v>1</v>
      </c>
      <c r="I46" s="264">
        <f>VLOOKUP('Statistika okresy'!$B46,Body!$B$3:$AR$172,8,FALSE)</f>
        <v>1</v>
      </c>
      <c r="J46" s="264">
        <f>VLOOKUP('Statistika okresy'!$B46,Body!$B$3:$AR$172,9,FALSE)</f>
        <v>1</v>
      </c>
      <c r="K46" s="264">
        <f>VLOOKUP('Statistika okresy'!$B46,Body!$B$3:$AR$172,10,FALSE)</f>
        <v>1</v>
      </c>
      <c r="L46" s="264">
        <f>VLOOKUP('Statistika okresy'!$B46,Body!$B$3:$AR$172,11,FALSE)</f>
        <v>4</v>
      </c>
      <c r="M46" s="264">
        <f>VLOOKUP('Statistika okresy'!$B46,Body!$B$3:$AR$172,12,FALSE)</f>
        <v>4</v>
      </c>
      <c r="N46" s="264">
        <f>VLOOKUP('Statistika okresy'!$B46,Body!$B$3:$AR$172,13,FALSE)</f>
        <v>7</v>
      </c>
      <c r="O46" s="264">
        <f>VLOOKUP('Statistika okresy'!$B46,Body!$B$3:$AR$172,14,FALSE)</f>
        <v>7</v>
      </c>
      <c r="P46" s="264">
        <f>VLOOKUP('Statistika okresy'!$B46,Body!$B$3:$AR$172,15,FALSE)</f>
        <v>5</v>
      </c>
      <c r="Q46" s="264">
        <f>VLOOKUP('Statistika okresy'!$B46,Body!$B$3:$AR$172,16,FALSE)</f>
        <v>3</v>
      </c>
      <c r="R46" s="264">
        <f>VLOOKUP('Statistika okresy'!$B46,Body!$B$3:$AR$172,17,FALSE)</f>
        <v>3</v>
      </c>
      <c r="S46" s="264">
        <f>VLOOKUP('Statistika okresy'!$B46,Body!$B$3:$AR$172,18,FALSE)</f>
        <v>6</v>
      </c>
      <c r="T46" s="264">
        <f>VLOOKUP('Statistika okresy'!$B46,Body!$B$3:$AR$172,19,FALSE)</f>
        <v>4</v>
      </c>
      <c r="U46" s="264">
        <f>VLOOKUP('Statistika okresy'!$B46,Body!$B$3:$AR$172,20,FALSE)</f>
        <v>3</v>
      </c>
      <c r="V46" s="264">
        <f>VLOOKUP('Statistika okresy'!$B46,Body!$B$3:$AR$172,21,FALSE)</f>
        <v>5</v>
      </c>
      <c r="W46" s="264">
        <f>VLOOKUP('Statistika okresy'!$B46,Body!$B$3:$AR$172,22,FALSE)</f>
        <v>9</v>
      </c>
      <c r="X46" s="264">
        <f>VLOOKUP('Statistika okresy'!$B46,Body!$B$3:$AR$172,23,FALSE)</f>
        <v>9</v>
      </c>
      <c r="Y46" s="264">
        <f>VLOOKUP('Statistika okresy'!$B46,Body!$B$3:$AR$172,24,FALSE)</f>
        <v>8</v>
      </c>
      <c r="Z46" s="264">
        <f>VLOOKUP('Statistika okresy'!$B46,Body!$B$3:$AR$172,25,FALSE)</f>
        <v>10</v>
      </c>
      <c r="AA46" s="264">
        <f>VLOOKUP('Statistika okresy'!$B46,Body!$B$3:$AR$172,26,FALSE)</f>
        <v>5</v>
      </c>
      <c r="AB46" s="264">
        <f>VLOOKUP('Statistika okresy'!$B46,Body!$B$3:$AR$172,27,FALSE)</f>
        <v>5</v>
      </c>
      <c r="AC46" s="265">
        <f>VLOOKUP('Statistika okresy'!$B46,Body!$B$3:$AR$172,35,FALSE)</f>
        <v>8.0000000000000071</v>
      </c>
      <c r="AD46" s="264">
        <f>VLOOKUP('Statistika okresy'!$B46,Body!$B$3:$AR$172,36,FALSE)</f>
        <v>24.861688571065979</v>
      </c>
      <c r="AE46" s="264">
        <f>VLOOKUP('Statistika okresy'!$B46,Body!$B$3:$AR$172,37,FALSE)</f>
        <v>22.991154512327654</v>
      </c>
      <c r="AF46" s="264">
        <f>VLOOKUP('Statistika okresy'!$B46,Body!$B$3:$AR$172,38,FALSE)</f>
        <v>51.591284432071795</v>
      </c>
      <c r="AG46" s="264">
        <f>VLOOKUP('Statistika okresy'!$B46,Body!$B$3:$AR$172,39,FALSE)</f>
        <v>49.94240934672775</v>
      </c>
      <c r="AH46" s="264">
        <f>VLOOKUP('Statistika okresy'!$B46,Body!$B$3:$AR$172,40,FALSE)</f>
        <v>76.452973003137771</v>
      </c>
      <c r="AI46" s="264">
        <f>VLOOKUP('Statistika okresy'!$B46,Body!$B$3:$AR$172,41,FALSE)</f>
        <v>72.933563859055397</v>
      </c>
      <c r="AJ46" s="390"/>
      <c r="AK46" s="407">
        <f>VLOOKUP('Statistika okresy'!$B46,Body!$B$3:$AR$172,43,FALSE)</f>
        <v>157.38653686219317</v>
      </c>
    </row>
    <row r="47" spans="1:37" ht="15.5" x14ac:dyDescent="0.35">
      <c r="A47" s="382">
        <v>5546</v>
      </c>
      <c r="B47" s="156" t="s">
        <v>291</v>
      </c>
      <c r="C47" s="352" t="s">
        <v>960</v>
      </c>
      <c r="D47" s="264">
        <f>VLOOKUP('Statistika okresy'!$B47,Body!$B$3:$AR$172,3,FALSE)</f>
        <v>6</v>
      </c>
      <c r="E47" s="264">
        <f>VLOOKUP('Statistika okresy'!$B47,Body!$B$3:$AR$172,4,FALSE)</f>
        <v>6</v>
      </c>
      <c r="F47" s="264">
        <f>VLOOKUP('Statistika okresy'!$B47,Body!$B$3:$AR$172,5,FALSE)</f>
        <v>5</v>
      </c>
      <c r="G47" s="264">
        <f>VLOOKUP('Statistika okresy'!$B47,Body!$B$3:$AR$172,6,FALSE)</f>
        <v>4</v>
      </c>
      <c r="H47" s="264">
        <f>VLOOKUP('Statistika okresy'!$B47,Body!$B$3:$AR$172,7,FALSE)</f>
        <v>4</v>
      </c>
      <c r="I47" s="264">
        <f>VLOOKUP('Statistika okresy'!$B47,Body!$B$3:$AR$172,8,FALSE)</f>
        <v>1</v>
      </c>
      <c r="J47" s="264">
        <f>VLOOKUP('Statistika okresy'!$B47,Body!$B$3:$AR$172,9,FALSE)</f>
        <v>2</v>
      </c>
      <c r="K47" s="264">
        <f>VLOOKUP('Statistika okresy'!$B47,Body!$B$3:$AR$172,10,FALSE)</f>
        <v>2</v>
      </c>
      <c r="L47" s="264">
        <f>VLOOKUP('Statistika okresy'!$B47,Body!$B$3:$AR$172,11,FALSE)</f>
        <v>4</v>
      </c>
      <c r="M47" s="264">
        <f>VLOOKUP('Statistika okresy'!$B47,Body!$B$3:$AR$172,12,FALSE)</f>
        <v>3</v>
      </c>
      <c r="N47" s="264">
        <f>VLOOKUP('Statistika okresy'!$B47,Body!$B$3:$AR$172,13,FALSE)</f>
        <v>9</v>
      </c>
      <c r="O47" s="264">
        <f>VLOOKUP('Statistika okresy'!$B47,Body!$B$3:$AR$172,14,FALSE)</f>
        <v>8</v>
      </c>
      <c r="P47" s="264">
        <f>VLOOKUP('Statistika okresy'!$B47,Body!$B$3:$AR$172,15,FALSE)</f>
        <v>5</v>
      </c>
      <c r="Q47" s="264">
        <f>VLOOKUP('Statistika okresy'!$B47,Body!$B$3:$AR$172,16,FALSE)</f>
        <v>3</v>
      </c>
      <c r="R47" s="264">
        <f>VLOOKUP('Statistika okresy'!$B47,Body!$B$3:$AR$172,17,FALSE)</f>
        <v>3</v>
      </c>
      <c r="S47" s="264">
        <f>VLOOKUP('Statistika okresy'!$B47,Body!$B$3:$AR$172,18,FALSE)</f>
        <v>8</v>
      </c>
      <c r="T47" s="264">
        <f>VLOOKUP('Statistika okresy'!$B47,Body!$B$3:$AR$172,19,FALSE)</f>
        <v>7</v>
      </c>
      <c r="U47" s="264">
        <f>VLOOKUP('Statistika okresy'!$B47,Body!$B$3:$AR$172,20,FALSE)</f>
        <v>5</v>
      </c>
      <c r="V47" s="264">
        <f>VLOOKUP('Statistika okresy'!$B47,Body!$B$3:$AR$172,21,FALSE)</f>
        <v>7</v>
      </c>
      <c r="W47" s="264">
        <f>VLOOKUP('Statistika okresy'!$B47,Body!$B$3:$AR$172,22,FALSE)</f>
        <v>6</v>
      </c>
      <c r="X47" s="264">
        <f>VLOOKUP('Statistika okresy'!$B47,Body!$B$3:$AR$172,23,FALSE)</f>
        <v>5</v>
      </c>
      <c r="Y47" s="264">
        <f>VLOOKUP('Statistika okresy'!$B47,Body!$B$3:$AR$172,24,FALSE)</f>
        <v>10</v>
      </c>
      <c r="Z47" s="264">
        <f>VLOOKUP('Statistika okresy'!$B47,Body!$B$3:$AR$172,25,FALSE)</f>
        <v>10</v>
      </c>
      <c r="AA47" s="264">
        <f>VLOOKUP('Statistika okresy'!$B47,Body!$B$3:$AR$172,26,FALSE)</f>
        <v>5</v>
      </c>
      <c r="AB47" s="264">
        <f>VLOOKUP('Statistika okresy'!$B47,Body!$B$3:$AR$172,27,FALSE)</f>
        <v>5</v>
      </c>
      <c r="AC47" s="265">
        <f>VLOOKUP('Statistika okresy'!$B47,Body!$B$3:$AR$172,35,FALSE)</f>
        <v>8.0000000000000071</v>
      </c>
      <c r="AD47" s="264">
        <f>VLOOKUP('Statistika okresy'!$B47,Body!$B$3:$AR$172,36,FALSE)</f>
        <v>30.067272158086329</v>
      </c>
      <c r="AE47" s="264">
        <f>VLOOKUP('Statistika okresy'!$B47,Body!$B$3:$AR$172,37,FALSE)</f>
        <v>26.067018948244698</v>
      </c>
      <c r="AF47" s="264">
        <f>VLOOKUP('Statistika okresy'!$B47,Body!$B$3:$AR$172,38,FALSE)</f>
        <v>64.633084040574204</v>
      </c>
      <c r="AG47" s="264">
        <f>VLOOKUP('Statistika okresy'!$B47,Body!$B$3:$AR$172,39,FALSE)</f>
        <v>59.174866876296221</v>
      </c>
      <c r="AH47" s="264">
        <f>VLOOKUP('Statistika okresy'!$B47,Body!$B$3:$AR$172,40,FALSE)</f>
        <v>94.700356198660529</v>
      </c>
      <c r="AI47" s="264">
        <f>VLOOKUP('Statistika okresy'!$B47,Body!$B$3:$AR$172,41,FALSE)</f>
        <v>85.241885824540915</v>
      </c>
      <c r="AJ47" s="390"/>
      <c r="AK47" s="407">
        <f>VLOOKUP('Statistika okresy'!$B47,Body!$B$3:$AR$172,43,FALSE)</f>
        <v>187.94224202320146</v>
      </c>
    </row>
    <row r="48" spans="1:37" ht="15.5" x14ac:dyDescent="0.35">
      <c r="A48" s="382">
        <v>5549</v>
      </c>
      <c r="B48" s="156" t="s">
        <v>23</v>
      </c>
      <c r="C48" s="352" t="s">
        <v>960</v>
      </c>
      <c r="D48" s="264">
        <f>VLOOKUP('Statistika okresy'!$B48,Body!$B$3:$AR$172,3,FALSE)</f>
        <v>9</v>
      </c>
      <c r="E48" s="264">
        <f>VLOOKUP('Statistika okresy'!$B48,Body!$B$3:$AR$172,4,FALSE)</f>
        <v>7</v>
      </c>
      <c r="F48" s="264">
        <f>VLOOKUP('Statistika okresy'!$B48,Body!$B$3:$AR$172,5,FALSE)</f>
        <v>5</v>
      </c>
      <c r="G48" s="264">
        <f>VLOOKUP('Statistika okresy'!$B48,Body!$B$3:$AR$172,6,FALSE)</f>
        <v>3</v>
      </c>
      <c r="H48" s="264">
        <f>VLOOKUP('Statistika okresy'!$B48,Body!$B$3:$AR$172,7,FALSE)</f>
        <v>1</v>
      </c>
      <c r="I48" s="264">
        <f>VLOOKUP('Statistika okresy'!$B48,Body!$B$3:$AR$172,8,FALSE)</f>
        <v>1</v>
      </c>
      <c r="J48" s="264">
        <f>VLOOKUP('Statistika okresy'!$B48,Body!$B$3:$AR$172,9,FALSE)</f>
        <v>5</v>
      </c>
      <c r="K48" s="264">
        <f>VLOOKUP('Statistika okresy'!$B48,Body!$B$3:$AR$172,10,FALSE)</f>
        <v>5</v>
      </c>
      <c r="L48" s="264">
        <f>VLOOKUP('Statistika okresy'!$B48,Body!$B$3:$AR$172,11,FALSE)</f>
        <v>4</v>
      </c>
      <c r="M48" s="264">
        <f>VLOOKUP('Statistika okresy'!$B48,Body!$B$3:$AR$172,12,FALSE)</f>
        <v>3</v>
      </c>
      <c r="N48" s="264">
        <f>VLOOKUP('Statistika okresy'!$B48,Body!$B$3:$AR$172,13,FALSE)</f>
        <v>7</v>
      </c>
      <c r="O48" s="264">
        <f>VLOOKUP('Statistika okresy'!$B48,Body!$B$3:$AR$172,14,FALSE)</f>
        <v>6</v>
      </c>
      <c r="P48" s="264">
        <f>VLOOKUP('Statistika okresy'!$B48,Body!$B$3:$AR$172,15,FALSE)</f>
        <v>5</v>
      </c>
      <c r="Q48" s="264">
        <f>VLOOKUP('Statistika okresy'!$B48,Body!$B$3:$AR$172,16,FALSE)</f>
        <v>3</v>
      </c>
      <c r="R48" s="264">
        <f>VLOOKUP('Statistika okresy'!$B48,Body!$B$3:$AR$172,17,FALSE)</f>
        <v>2</v>
      </c>
      <c r="S48" s="264">
        <f>VLOOKUP('Statistika okresy'!$B48,Body!$B$3:$AR$172,18,FALSE)</f>
        <v>7</v>
      </c>
      <c r="T48" s="264">
        <f>VLOOKUP('Statistika okresy'!$B48,Body!$B$3:$AR$172,19,FALSE)</f>
        <v>6</v>
      </c>
      <c r="U48" s="264">
        <f>VLOOKUP('Statistika okresy'!$B48,Body!$B$3:$AR$172,20,FALSE)</f>
        <v>5</v>
      </c>
      <c r="V48" s="264">
        <f>VLOOKUP('Statistika okresy'!$B48,Body!$B$3:$AR$172,21,FALSE)</f>
        <v>6</v>
      </c>
      <c r="W48" s="264">
        <f>VLOOKUP('Statistika okresy'!$B48,Body!$B$3:$AR$172,22,FALSE)</f>
        <v>7</v>
      </c>
      <c r="X48" s="264">
        <f>VLOOKUP('Statistika okresy'!$B48,Body!$B$3:$AR$172,23,FALSE)</f>
        <v>9</v>
      </c>
      <c r="Y48" s="264">
        <f>VLOOKUP('Statistika okresy'!$B48,Body!$B$3:$AR$172,24,FALSE)</f>
        <v>10</v>
      </c>
      <c r="Z48" s="264">
        <f>VLOOKUP('Statistika okresy'!$B48,Body!$B$3:$AR$172,25,FALSE)</f>
        <v>10</v>
      </c>
      <c r="AA48" s="264">
        <f>VLOOKUP('Statistika okresy'!$B48,Body!$B$3:$AR$172,26,FALSE)</f>
        <v>5</v>
      </c>
      <c r="AB48" s="264">
        <f>VLOOKUP('Statistika okresy'!$B48,Body!$B$3:$AR$172,27,FALSE)</f>
        <v>5</v>
      </c>
      <c r="AC48" s="265">
        <f>VLOOKUP('Statistika okresy'!$B48,Body!$B$3:$AR$172,35,FALSE)</f>
        <v>8.0000000000000071</v>
      </c>
      <c r="AD48" s="264">
        <f>VLOOKUP('Statistika okresy'!$B48,Body!$B$3:$AR$172,36,FALSE)</f>
        <v>29.378820041805383</v>
      </c>
      <c r="AE48" s="264">
        <f>VLOOKUP('Statistika okresy'!$B48,Body!$B$3:$AR$172,37,FALSE)</f>
        <v>22.312219997898911</v>
      </c>
      <c r="AF48" s="264">
        <f>VLOOKUP('Statistika okresy'!$B48,Body!$B$3:$AR$172,38,FALSE)</f>
        <v>62.131093016600801</v>
      </c>
      <c r="AG48" s="264">
        <f>VLOOKUP('Statistika okresy'!$B48,Body!$B$3:$AR$172,39,FALSE)</f>
        <v>59.762062266726801</v>
      </c>
      <c r="AH48" s="264">
        <f>VLOOKUP('Statistika okresy'!$B48,Body!$B$3:$AR$172,40,FALSE)</f>
        <v>91.509913058406184</v>
      </c>
      <c r="AI48" s="264">
        <f>VLOOKUP('Statistika okresy'!$B48,Body!$B$3:$AR$172,41,FALSE)</f>
        <v>82.074282264625708</v>
      </c>
      <c r="AJ48" s="390"/>
      <c r="AK48" s="407">
        <f>VLOOKUP('Statistika okresy'!$B48,Body!$B$3:$AR$172,43,FALSE)</f>
        <v>181.58419532303191</v>
      </c>
    </row>
    <row r="49" spans="1:37" ht="15.5" x14ac:dyDescent="0.35">
      <c r="A49" s="382">
        <v>5552</v>
      </c>
      <c r="B49" s="156" t="s">
        <v>311</v>
      </c>
      <c r="C49" s="352" t="s">
        <v>960</v>
      </c>
      <c r="D49" s="264">
        <f>VLOOKUP('Statistika okresy'!$B49,Body!$B$3:$AR$172,3,FALSE)</f>
        <v>5</v>
      </c>
      <c r="E49" s="264">
        <f>VLOOKUP('Statistika okresy'!$B49,Body!$B$3:$AR$172,4,FALSE)</f>
        <v>6</v>
      </c>
      <c r="F49" s="264">
        <f>VLOOKUP('Statistika okresy'!$B49,Body!$B$3:$AR$172,5,FALSE)</f>
        <v>4</v>
      </c>
      <c r="G49" s="264">
        <f>VLOOKUP('Statistika okresy'!$B49,Body!$B$3:$AR$172,6,FALSE)</f>
        <v>3</v>
      </c>
      <c r="H49" s="264">
        <f>VLOOKUP('Statistika okresy'!$B49,Body!$B$3:$AR$172,7,FALSE)</f>
        <v>1</v>
      </c>
      <c r="I49" s="264">
        <f>VLOOKUP('Statistika okresy'!$B49,Body!$B$3:$AR$172,8,FALSE)</f>
        <v>1</v>
      </c>
      <c r="J49" s="264">
        <f>VLOOKUP('Statistika okresy'!$B49,Body!$B$3:$AR$172,9,FALSE)</f>
        <v>3</v>
      </c>
      <c r="K49" s="264">
        <f>VLOOKUP('Statistika okresy'!$B49,Body!$B$3:$AR$172,10,FALSE)</f>
        <v>1</v>
      </c>
      <c r="L49" s="264">
        <f>VLOOKUP('Statistika okresy'!$B49,Body!$B$3:$AR$172,11,FALSE)</f>
        <v>5</v>
      </c>
      <c r="M49" s="264">
        <f>VLOOKUP('Statistika okresy'!$B49,Body!$B$3:$AR$172,12,FALSE)</f>
        <v>4</v>
      </c>
      <c r="N49" s="264">
        <f>VLOOKUP('Statistika okresy'!$B49,Body!$B$3:$AR$172,13,FALSE)</f>
        <v>7</v>
      </c>
      <c r="O49" s="264">
        <f>VLOOKUP('Statistika okresy'!$B49,Body!$B$3:$AR$172,14,FALSE)</f>
        <v>7</v>
      </c>
      <c r="P49" s="264">
        <f>VLOOKUP('Statistika okresy'!$B49,Body!$B$3:$AR$172,15,FALSE)</f>
        <v>5</v>
      </c>
      <c r="Q49" s="264">
        <f>VLOOKUP('Statistika okresy'!$B49,Body!$B$3:$AR$172,16,FALSE)</f>
        <v>3</v>
      </c>
      <c r="R49" s="264">
        <f>VLOOKUP('Statistika okresy'!$B49,Body!$B$3:$AR$172,17,FALSE)</f>
        <v>3</v>
      </c>
      <c r="S49" s="264">
        <f>VLOOKUP('Statistika okresy'!$B49,Body!$B$3:$AR$172,18,FALSE)</f>
        <v>8</v>
      </c>
      <c r="T49" s="264">
        <f>VLOOKUP('Statistika okresy'!$B49,Body!$B$3:$AR$172,19,FALSE)</f>
        <v>6</v>
      </c>
      <c r="U49" s="264">
        <f>VLOOKUP('Statistika okresy'!$B49,Body!$B$3:$AR$172,20,FALSE)</f>
        <v>7</v>
      </c>
      <c r="V49" s="264">
        <f>VLOOKUP('Statistika okresy'!$B49,Body!$B$3:$AR$172,21,FALSE)</f>
        <v>6</v>
      </c>
      <c r="W49" s="264">
        <f>VLOOKUP('Statistika okresy'!$B49,Body!$B$3:$AR$172,22,FALSE)</f>
        <v>3</v>
      </c>
      <c r="X49" s="264">
        <f>VLOOKUP('Statistika okresy'!$B49,Body!$B$3:$AR$172,23,FALSE)</f>
        <v>5</v>
      </c>
      <c r="Y49" s="264">
        <f>VLOOKUP('Statistika okresy'!$B49,Body!$B$3:$AR$172,24,FALSE)</f>
        <v>8</v>
      </c>
      <c r="Z49" s="264">
        <f>VLOOKUP('Statistika okresy'!$B49,Body!$B$3:$AR$172,25,FALSE)</f>
        <v>10</v>
      </c>
      <c r="AA49" s="264">
        <f>VLOOKUP('Statistika okresy'!$B49,Body!$B$3:$AR$172,26,FALSE)</f>
        <v>5</v>
      </c>
      <c r="AB49" s="264">
        <f>VLOOKUP('Statistika okresy'!$B49,Body!$B$3:$AR$172,27,FALSE)</f>
        <v>5</v>
      </c>
      <c r="AC49" s="265">
        <f>VLOOKUP('Statistika okresy'!$B49,Body!$B$3:$AR$172,35,FALSE)</f>
        <v>8.0000000000000071</v>
      </c>
      <c r="AD49" s="264">
        <f>VLOOKUP('Statistika okresy'!$B49,Body!$B$3:$AR$172,36,FALSE)</f>
        <v>26.419427752842033</v>
      </c>
      <c r="AE49" s="264">
        <f>VLOOKUP('Statistika okresy'!$B49,Body!$B$3:$AR$172,37,FALSE)</f>
        <v>23.850559583156219</v>
      </c>
      <c r="AF49" s="264">
        <f>VLOOKUP('Statistika okresy'!$B49,Body!$B$3:$AR$172,38,FALSE)</f>
        <v>66.335384011750875</v>
      </c>
      <c r="AG49" s="264">
        <f>VLOOKUP('Statistika okresy'!$B49,Body!$B$3:$AR$172,39,FALSE)</f>
        <v>53.874356475992947</v>
      </c>
      <c r="AH49" s="264">
        <f>VLOOKUP('Statistika okresy'!$B49,Body!$B$3:$AR$172,40,FALSE)</f>
        <v>92.754811764592915</v>
      </c>
      <c r="AI49" s="264">
        <f>VLOOKUP('Statistika okresy'!$B49,Body!$B$3:$AR$172,41,FALSE)</f>
        <v>77.724916059149166</v>
      </c>
      <c r="AJ49" s="390"/>
      <c r="AK49" s="407">
        <f>VLOOKUP('Statistika okresy'!$B49,Body!$B$3:$AR$172,43,FALSE)</f>
        <v>178.47972782374208</v>
      </c>
    </row>
    <row r="50" spans="1:37" ht="15.5" x14ac:dyDescent="0.35">
      <c r="A50" s="382">
        <v>5555</v>
      </c>
      <c r="B50" s="156" t="s">
        <v>24</v>
      </c>
      <c r="C50" s="352" t="s">
        <v>960</v>
      </c>
      <c r="D50" s="264">
        <f>VLOOKUP('Statistika okresy'!$B50,Body!$B$3:$AR$172,3,FALSE)</f>
        <v>5</v>
      </c>
      <c r="E50" s="264">
        <f>VLOOKUP('Statistika okresy'!$B50,Body!$B$3:$AR$172,4,FALSE)</f>
        <v>5</v>
      </c>
      <c r="F50" s="264">
        <f>VLOOKUP('Statistika okresy'!$B50,Body!$B$3:$AR$172,5,FALSE)</f>
        <v>5</v>
      </c>
      <c r="G50" s="264">
        <f>VLOOKUP('Statistika okresy'!$B50,Body!$B$3:$AR$172,6,FALSE)</f>
        <v>3</v>
      </c>
      <c r="H50" s="264">
        <f>VLOOKUP('Statistika okresy'!$B50,Body!$B$3:$AR$172,7,FALSE)</f>
        <v>1</v>
      </c>
      <c r="I50" s="264">
        <f>VLOOKUP('Statistika okresy'!$B50,Body!$B$3:$AR$172,8,FALSE)</f>
        <v>1</v>
      </c>
      <c r="J50" s="264">
        <f>VLOOKUP('Statistika okresy'!$B50,Body!$B$3:$AR$172,9,FALSE)</f>
        <v>1</v>
      </c>
      <c r="K50" s="264">
        <f>VLOOKUP('Statistika okresy'!$B50,Body!$B$3:$AR$172,10,FALSE)</f>
        <v>1</v>
      </c>
      <c r="L50" s="264">
        <f>VLOOKUP('Statistika okresy'!$B50,Body!$B$3:$AR$172,11,FALSE)</f>
        <v>4</v>
      </c>
      <c r="M50" s="264">
        <f>VLOOKUP('Statistika okresy'!$B50,Body!$B$3:$AR$172,12,FALSE)</f>
        <v>4</v>
      </c>
      <c r="N50" s="264">
        <f>VLOOKUP('Statistika okresy'!$B50,Body!$B$3:$AR$172,13,FALSE)</f>
        <v>5</v>
      </c>
      <c r="O50" s="264">
        <f>VLOOKUP('Statistika okresy'!$B50,Body!$B$3:$AR$172,14,FALSE)</f>
        <v>6</v>
      </c>
      <c r="P50" s="264">
        <f>VLOOKUP('Statistika okresy'!$B50,Body!$B$3:$AR$172,15,FALSE)</f>
        <v>5</v>
      </c>
      <c r="Q50" s="264">
        <f>VLOOKUP('Statistika okresy'!$B50,Body!$B$3:$AR$172,16,FALSE)</f>
        <v>3</v>
      </c>
      <c r="R50" s="264">
        <f>VLOOKUP('Statistika okresy'!$B50,Body!$B$3:$AR$172,17,FALSE)</f>
        <v>3</v>
      </c>
      <c r="S50" s="264">
        <f>VLOOKUP('Statistika okresy'!$B50,Body!$B$3:$AR$172,18,FALSE)</f>
        <v>8</v>
      </c>
      <c r="T50" s="264">
        <f>VLOOKUP('Statistika okresy'!$B50,Body!$B$3:$AR$172,19,FALSE)</f>
        <v>7</v>
      </c>
      <c r="U50" s="264">
        <f>VLOOKUP('Statistika okresy'!$B50,Body!$B$3:$AR$172,20,FALSE)</f>
        <v>5</v>
      </c>
      <c r="V50" s="264">
        <f>VLOOKUP('Statistika okresy'!$B50,Body!$B$3:$AR$172,21,FALSE)</f>
        <v>6</v>
      </c>
      <c r="W50" s="264">
        <f>VLOOKUP('Statistika okresy'!$B50,Body!$B$3:$AR$172,22,FALSE)</f>
        <v>6</v>
      </c>
      <c r="X50" s="264">
        <f>VLOOKUP('Statistika okresy'!$B50,Body!$B$3:$AR$172,23,FALSE)</f>
        <v>5</v>
      </c>
      <c r="Y50" s="264">
        <f>VLOOKUP('Statistika okresy'!$B50,Body!$B$3:$AR$172,24,FALSE)</f>
        <v>8</v>
      </c>
      <c r="Z50" s="264">
        <f>VLOOKUP('Statistika okresy'!$B50,Body!$B$3:$AR$172,25,FALSE)</f>
        <v>10</v>
      </c>
      <c r="AA50" s="264">
        <f>VLOOKUP('Statistika okresy'!$B50,Body!$B$3:$AR$172,26,FALSE)</f>
        <v>5</v>
      </c>
      <c r="AB50" s="264">
        <f>VLOOKUP('Statistika okresy'!$B50,Body!$B$3:$AR$172,27,FALSE)</f>
        <v>5</v>
      </c>
      <c r="AC50" s="265">
        <f>VLOOKUP('Statistika okresy'!$B50,Body!$B$3:$AR$172,35,FALSE)</f>
        <v>8.0000000000000071</v>
      </c>
      <c r="AD50" s="264">
        <f>VLOOKUP('Statistika okresy'!$B50,Body!$B$3:$AR$172,36,FALSE)</f>
        <v>25.65607490802196</v>
      </c>
      <c r="AE50" s="264">
        <f>VLOOKUP('Statistika okresy'!$B50,Body!$B$3:$AR$172,37,FALSE)</f>
        <v>22.714261688865804</v>
      </c>
      <c r="AF50" s="264">
        <f>VLOOKUP('Statistika okresy'!$B50,Body!$B$3:$AR$172,38,FALSE)</f>
        <v>62.171141712436025</v>
      </c>
      <c r="AG50" s="264">
        <f>VLOOKUP('Statistika okresy'!$B50,Body!$B$3:$AR$172,39,FALSE)</f>
        <v>58.257517755360041</v>
      </c>
      <c r="AH50" s="264">
        <f>VLOOKUP('Statistika okresy'!$B50,Body!$B$3:$AR$172,40,FALSE)</f>
        <v>87.827216620457989</v>
      </c>
      <c r="AI50" s="264">
        <f>VLOOKUP('Statistika okresy'!$B50,Body!$B$3:$AR$172,41,FALSE)</f>
        <v>80.971779444225845</v>
      </c>
      <c r="AJ50" s="390"/>
      <c r="AK50" s="407">
        <f>VLOOKUP('Statistika okresy'!$B50,Body!$B$3:$AR$172,43,FALSE)</f>
        <v>176.79899606468382</v>
      </c>
    </row>
    <row r="51" spans="1:37" ht="15.5" x14ac:dyDescent="0.35">
      <c r="A51" s="382">
        <v>5558</v>
      </c>
      <c r="B51" s="156" t="s">
        <v>63</v>
      </c>
      <c r="C51" s="352" t="s">
        <v>960</v>
      </c>
      <c r="D51" s="264">
        <f>VLOOKUP('Statistika okresy'!$B51,Body!$B$3:$AR$172,3,FALSE)</f>
        <v>7</v>
      </c>
      <c r="E51" s="264">
        <f>VLOOKUP('Statistika okresy'!$B51,Body!$B$3:$AR$172,4,FALSE)</f>
        <v>6</v>
      </c>
      <c r="F51" s="264">
        <f>VLOOKUP('Statistika okresy'!$B51,Body!$B$3:$AR$172,5,FALSE)</f>
        <v>5</v>
      </c>
      <c r="G51" s="264">
        <f>VLOOKUP('Statistika okresy'!$B51,Body!$B$3:$AR$172,6,FALSE)</f>
        <v>3</v>
      </c>
      <c r="H51" s="264">
        <f>VLOOKUP('Statistika okresy'!$B51,Body!$B$3:$AR$172,7,FALSE)</f>
        <v>1</v>
      </c>
      <c r="I51" s="264">
        <f>VLOOKUP('Statistika okresy'!$B51,Body!$B$3:$AR$172,8,FALSE)</f>
        <v>1</v>
      </c>
      <c r="J51" s="264">
        <f>VLOOKUP('Statistika okresy'!$B51,Body!$B$3:$AR$172,9,FALSE)</f>
        <v>3</v>
      </c>
      <c r="K51" s="264">
        <f>VLOOKUP('Statistika okresy'!$B51,Body!$B$3:$AR$172,10,FALSE)</f>
        <v>1</v>
      </c>
      <c r="L51" s="264">
        <f>VLOOKUP('Statistika okresy'!$B51,Body!$B$3:$AR$172,11,FALSE)</f>
        <v>4</v>
      </c>
      <c r="M51" s="264">
        <f>VLOOKUP('Statistika okresy'!$B51,Body!$B$3:$AR$172,12,FALSE)</f>
        <v>4</v>
      </c>
      <c r="N51" s="264">
        <f>VLOOKUP('Statistika okresy'!$B51,Body!$B$3:$AR$172,13,FALSE)</f>
        <v>6</v>
      </c>
      <c r="O51" s="264">
        <f>VLOOKUP('Statistika okresy'!$B51,Body!$B$3:$AR$172,14,FALSE)</f>
        <v>6</v>
      </c>
      <c r="P51" s="264">
        <f>VLOOKUP('Statistika okresy'!$B51,Body!$B$3:$AR$172,15,FALSE)</f>
        <v>5</v>
      </c>
      <c r="Q51" s="264">
        <f>VLOOKUP('Statistika okresy'!$B51,Body!$B$3:$AR$172,16,FALSE)</f>
        <v>3</v>
      </c>
      <c r="R51" s="264">
        <f>VLOOKUP('Statistika okresy'!$B51,Body!$B$3:$AR$172,17,FALSE)</f>
        <v>4</v>
      </c>
      <c r="S51" s="264">
        <f>VLOOKUP('Statistika okresy'!$B51,Body!$B$3:$AR$172,18,FALSE)</f>
        <v>8</v>
      </c>
      <c r="T51" s="264">
        <f>VLOOKUP('Statistika okresy'!$B51,Body!$B$3:$AR$172,19,FALSE)</f>
        <v>8</v>
      </c>
      <c r="U51" s="264">
        <f>VLOOKUP('Statistika okresy'!$B51,Body!$B$3:$AR$172,20,FALSE)</f>
        <v>3</v>
      </c>
      <c r="V51" s="264">
        <f>VLOOKUP('Statistika okresy'!$B51,Body!$B$3:$AR$172,21,FALSE)</f>
        <v>6</v>
      </c>
      <c r="W51" s="264">
        <f>VLOOKUP('Statistika okresy'!$B51,Body!$B$3:$AR$172,22,FALSE)</f>
        <v>7</v>
      </c>
      <c r="X51" s="264">
        <f>VLOOKUP('Statistika okresy'!$B51,Body!$B$3:$AR$172,23,FALSE)</f>
        <v>9</v>
      </c>
      <c r="Y51" s="264">
        <f>VLOOKUP('Statistika okresy'!$B51,Body!$B$3:$AR$172,24,FALSE)</f>
        <v>8</v>
      </c>
      <c r="Z51" s="264">
        <f>VLOOKUP('Statistika okresy'!$B51,Body!$B$3:$AR$172,25,FALSE)</f>
        <v>10</v>
      </c>
      <c r="AA51" s="264">
        <f>VLOOKUP('Statistika okresy'!$B51,Body!$B$3:$AR$172,26,FALSE)</f>
        <v>3</v>
      </c>
      <c r="AB51" s="264">
        <f>VLOOKUP('Statistika okresy'!$B51,Body!$B$3:$AR$172,27,FALSE)</f>
        <v>5</v>
      </c>
      <c r="AC51" s="265">
        <f>VLOOKUP('Statistika okresy'!$B51,Body!$B$3:$AR$172,35,FALSE)</f>
        <v>5.3333333333333375</v>
      </c>
      <c r="AD51" s="264">
        <f>VLOOKUP('Statistika okresy'!$B51,Body!$B$3:$AR$172,36,FALSE)</f>
        <v>27.517447474913673</v>
      </c>
      <c r="AE51" s="264">
        <f>VLOOKUP('Statistika okresy'!$B51,Body!$B$3:$AR$172,37,FALSE)</f>
        <v>24.25615029071917</v>
      </c>
      <c r="AF51" s="264">
        <f>VLOOKUP('Statistika okresy'!$B51,Body!$B$3:$AR$172,38,FALSE)</f>
        <v>60.963125553425769</v>
      </c>
      <c r="AG51" s="264">
        <f>VLOOKUP('Statistika okresy'!$B51,Body!$B$3:$AR$172,39,FALSE)</f>
        <v>62.507718760627753</v>
      </c>
      <c r="AH51" s="264">
        <f>VLOOKUP('Statistika okresy'!$B51,Body!$B$3:$AR$172,40,FALSE)</f>
        <v>88.48057302833945</v>
      </c>
      <c r="AI51" s="264">
        <f>VLOOKUP('Statistika okresy'!$B51,Body!$B$3:$AR$172,41,FALSE)</f>
        <v>86.763869051346916</v>
      </c>
      <c r="AJ51" s="390"/>
      <c r="AK51" s="407">
        <f>VLOOKUP('Statistika okresy'!$B51,Body!$B$3:$AR$172,43,FALSE)</f>
        <v>180.57777541301971</v>
      </c>
    </row>
    <row r="52" spans="1:37" ht="15.5" x14ac:dyDescent="0.35">
      <c r="A52" s="382">
        <v>5561</v>
      </c>
      <c r="B52" s="156" t="s">
        <v>25</v>
      </c>
      <c r="C52" s="352" t="s">
        <v>960</v>
      </c>
      <c r="D52" s="264">
        <f>VLOOKUP('Statistika okresy'!$B52,Body!$B$3:$AR$172,3,FALSE)</f>
        <v>6</v>
      </c>
      <c r="E52" s="264">
        <f>VLOOKUP('Statistika okresy'!$B52,Body!$B$3:$AR$172,4,FALSE)</f>
        <v>6</v>
      </c>
      <c r="F52" s="264">
        <f>VLOOKUP('Statistika okresy'!$B52,Body!$B$3:$AR$172,5,FALSE)</f>
        <v>4</v>
      </c>
      <c r="G52" s="264">
        <f>VLOOKUP('Statistika okresy'!$B52,Body!$B$3:$AR$172,6,FALSE)</f>
        <v>3</v>
      </c>
      <c r="H52" s="264">
        <f>VLOOKUP('Statistika okresy'!$B52,Body!$B$3:$AR$172,7,FALSE)</f>
        <v>1</v>
      </c>
      <c r="I52" s="264">
        <f>VLOOKUP('Statistika okresy'!$B52,Body!$B$3:$AR$172,8,FALSE)</f>
        <v>1</v>
      </c>
      <c r="J52" s="264">
        <f>VLOOKUP('Statistika okresy'!$B52,Body!$B$3:$AR$172,9,FALSE)</f>
        <v>1</v>
      </c>
      <c r="K52" s="264">
        <f>VLOOKUP('Statistika okresy'!$B52,Body!$B$3:$AR$172,10,FALSE)</f>
        <v>1</v>
      </c>
      <c r="L52" s="264">
        <f>VLOOKUP('Statistika okresy'!$B52,Body!$B$3:$AR$172,11,FALSE)</f>
        <v>6</v>
      </c>
      <c r="M52" s="264">
        <f>VLOOKUP('Statistika okresy'!$B52,Body!$B$3:$AR$172,12,FALSE)</f>
        <v>6</v>
      </c>
      <c r="N52" s="264">
        <f>VLOOKUP('Statistika okresy'!$B52,Body!$B$3:$AR$172,13,FALSE)</f>
        <v>5</v>
      </c>
      <c r="O52" s="264">
        <f>VLOOKUP('Statistika okresy'!$B52,Body!$B$3:$AR$172,14,FALSE)</f>
        <v>5</v>
      </c>
      <c r="P52" s="264">
        <f>VLOOKUP('Statistika okresy'!$B52,Body!$B$3:$AR$172,15,FALSE)</f>
        <v>5</v>
      </c>
      <c r="Q52" s="264">
        <f>VLOOKUP('Statistika okresy'!$B52,Body!$B$3:$AR$172,16,FALSE)</f>
        <v>3</v>
      </c>
      <c r="R52" s="264">
        <f>VLOOKUP('Statistika okresy'!$B52,Body!$B$3:$AR$172,17,FALSE)</f>
        <v>3</v>
      </c>
      <c r="S52" s="264">
        <f>VLOOKUP('Statistika okresy'!$B52,Body!$B$3:$AR$172,18,FALSE)</f>
        <v>10</v>
      </c>
      <c r="T52" s="264">
        <f>VLOOKUP('Statistika okresy'!$B52,Body!$B$3:$AR$172,19,FALSE)</f>
        <v>8</v>
      </c>
      <c r="U52" s="264">
        <f>VLOOKUP('Statistika okresy'!$B52,Body!$B$3:$AR$172,20,FALSE)</f>
        <v>3</v>
      </c>
      <c r="V52" s="264">
        <f>VLOOKUP('Statistika okresy'!$B52,Body!$B$3:$AR$172,21,FALSE)</f>
        <v>6</v>
      </c>
      <c r="W52" s="264">
        <f>VLOOKUP('Statistika okresy'!$B52,Body!$B$3:$AR$172,22,FALSE)</f>
        <v>8</v>
      </c>
      <c r="X52" s="264">
        <f>VLOOKUP('Statistika okresy'!$B52,Body!$B$3:$AR$172,23,FALSE)</f>
        <v>9</v>
      </c>
      <c r="Y52" s="264">
        <f>VLOOKUP('Statistika okresy'!$B52,Body!$B$3:$AR$172,24,FALSE)</f>
        <v>5</v>
      </c>
      <c r="Z52" s="264">
        <f>VLOOKUP('Statistika okresy'!$B52,Body!$B$3:$AR$172,25,FALSE)</f>
        <v>10</v>
      </c>
      <c r="AA52" s="264">
        <f>VLOOKUP('Statistika okresy'!$B52,Body!$B$3:$AR$172,26,FALSE)</f>
        <v>5</v>
      </c>
      <c r="AB52" s="264">
        <f>VLOOKUP('Statistika okresy'!$B52,Body!$B$3:$AR$172,27,FALSE)</f>
        <v>5</v>
      </c>
      <c r="AC52" s="265">
        <f>VLOOKUP('Statistika okresy'!$B52,Body!$B$3:$AR$172,35,FALSE)</f>
        <v>8.0000000000000071</v>
      </c>
      <c r="AD52" s="264">
        <f>VLOOKUP('Statistika okresy'!$B52,Body!$B$3:$AR$172,36,FALSE)</f>
        <v>25.417274705825619</v>
      </c>
      <c r="AE52" s="264">
        <f>VLOOKUP('Statistika okresy'!$B52,Body!$B$3:$AR$172,37,FALSE)</f>
        <v>23.54674064708729</v>
      </c>
      <c r="AF52" s="264">
        <f>VLOOKUP('Statistika okresy'!$B52,Body!$B$3:$AR$172,38,FALSE)</f>
        <v>67.41434978617346</v>
      </c>
      <c r="AG52" s="264">
        <f>VLOOKUP('Statistika okresy'!$B52,Body!$B$3:$AR$172,39,FALSE)</f>
        <v>62.676288286425461</v>
      </c>
      <c r="AH52" s="264">
        <f>VLOOKUP('Statistika okresy'!$B52,Body!$B$3:$AR$172,40,FALSE)</f>
        <v>92.831624491999079</v>
      </c>
      <c r="AI52" s="264">
        <f>VLOOKUP('Statistika okresy'!$B52,Body!$B$3:$AR$172,41,FALSE)</f>
        <v>86.223028933512751</v>
      </c>
      <c r="AJ52" s="390"/>
      <c r="AK52" s="407">
        <f>VLOOKUP('Statistika okresy'!$B52,Body!$B$3:$AR$172,43,FALSE)</f>
        <v>187.05465342551184</v>
      </c>
    </row>
    <row r="53" spans="1:37" ht="15.5" x14ac:dyDescent="0.35">
      <c r="A53" s="382">
        <v>5564</v>
      </c>
      <c r="B53" s="156" t="s">
        <v>100</v>
      </c>
      <c r="C53" s="352" t="s">
        <v>960</v>
      </c>
      <c r="D53" s="264">
        <f>VLOOKUP('Statistika okresy'!$B53,Body!$B$3:$AR$172,3,FALSE)</f>
        <v>7</v>
      </c>
      <c r="E53" s="264">
        <f>VLOOKUP('Statistika okresy'!$B53,Body!$B$3:$AR$172,4,FALSE)</f>
        <v>7</v>
      </c>
      <c r="F53" s="264">
        <f>VLOOKUP('Statistika okresy'!$B53,Body!$B$3:$AR$172,5,FALSE)</f>
        <v>3</v>
      </c>
      <c r="G53" s="264">
        <f>VLOOKUP('Statistika okresy'!$B53,Body!$B$3:$AR$172,6,FALSE)</f>
        <v>2</v>
      </c>
      <c r="H53" s="264">
        <f>VLOOKUP('Statistika okresy'!$B53,Body!$B$3:$AR$172,7,FALSE)</f>
        <v>1</v>
      </c>
      <c r="I53" s="264">
        <f>VLOOKUP('Statistika okresy'!$B53,Body!$B$3:$AR$172,8,FALSE)</f>
        <v>1</v>
      </c>
      <c r="J53" s="264">
        <f>VLOOKUP('Statistika okresy'!$B53,Body!$B$3:$AR$172,9,FALSE)</f>
        <v>1</v>
      </c>
      <c r="K53" s="264">
        <f>VLOOKUP('Statistika okresy'!$B53,Body!$B$3:$AR$172,10,FALSE)</f>
        <v>1</v>
      </c>
      <c r="L53" s="264">
        <f>VLOOKUP('Statistika okresy'!$B53,Body!$B$3:$AR$172,11,FALSE)</f>
        <v>3</v>
      </c>
      <c r="M53" s="264">
        <f>VLOOKUP('Statistika okresy'!$B53,Body!$B$3:$AR$172,12,FALSE)</f>
        <v>4</v>
      </c>
      <c r="N53" s="264">
        <f>VLOOKUP('Statistika okresy'!$B53,Body!$B$3:$AR$172,13,FALSE)</f>
        <v>6</v>
      </c>
      <c r="O53" s="264">
        <f>VLOOKUP('Statistika okresy'!$B53,Body!$B$3:$AR$172,14,FALSE)</f>
        <v>7</v>
      </c>
      <c r="P53" s="264">
        <f>VLOOKUP('Statistika okresy'!$B53,Body!$B$3:$AR$172,15,FALSE)</f>
        <v>5</v>
      </c>
      <c r="Q53" s="264">
        <f>VLOOKUP('Statistika okresy'!$B53,Body!$B$3:$AR$172,16,FALSE)</f>
        <v>3</v>
      </c>
      <c r="R53" s="264">
        <f>VLOOKUP('Statistika okresy'!$B53,Body!$B$3:$AR$172,17,FALSE)</f>
        <v>3</v>
      </c>
      <c r="S53" s="264">
        <f>VLOOKUP('Statistika okresy'!$B53,Body!$B$3:$AR$172,18,FALSE)</f>
        <v>7</v>
      </c>
      <c r="T53" s="264">
        <f>VLOOKUP('Statistika okresy'!$B53,Body!$B$3:$AR$172,19,FALSE)</f>
        <v>7</v>
      </c>
      <c r="U53" s="264">
        <f>VLOOKUP('Statistika okresy'!$B53,Body!$B$3:$AR$172,20,FALSE)</f>
        <v>3</v>
      </c>
      <c r="V53" s="264">
        <f>VLOOKUP('Statistika okresy'!$B53,Body!$B$3:$AR$172,21,FALSE)</f>
        <v>6</v>
      </c>
      <c r="W53" s="264">
        <f>VLOOKUP('Statistika okresy'!$B53,Body!$B$3:$AR$172,22,FALSE)</f>
        <v>5</v>
      </c>
      <c r="X53" s="264">
        <f>VLOOKUP('Statistika okresy'!$B53,Body!$B$3:$AR$172,23,FALSE)</f>
        <v>9</v>
      </c>
      <c r="Y53" s="264">
        <f>VLOOKUP('Statistika okresy'!$B53,Body!$B$3:$AR$172,24,FALSE)</f>
        <v>10</v>
      </c>
      <c r="Z53" s="264">
        <f>VLOOKUP('Statistika okresy'!$B53,Body!$B$3:$AR$172,25,FALSE)</f>
        <v>10</v>
      </c>
      <c r="AA53" s="264">
        <f>VLOOKUP('Statistika okresy'!$B53,Body!$B$3:$AR$172,26,FALSE)</f>
        <v>3</v>
      </c>
      <c r="AB53" s="264">
        <f>VLOOKUP('Statistika okresy'!$B53,Body!$B$3:$AR$172,27,FALSE)</f>
        <v>5</v>
      </c>
      <c r="AC53" s="265">
        <f>VLOOKUP('Statistika okresy'!$B53,Body!$B$3:$AR$172,35,FALSE)</f>
        <v>5.3333333333333375</v>
      </c>
      <c r="AD53" s="264">
        <f>VLOOKUP('Statistika okresy'!$B53,Body!$B$3:$AR$172,36,FALSE)</f>
        <v>22.741002250519614</v>
      </c>
      <c r="AE53" s="264">
        <f>VLOOKUP('Statistika okresy'!$B53,Body!$B$3:$AR$172,37,FALSE)</f>
        <v>22.317068520387814</v>
      </c>
      <c r="AF53" s="264">
        <f>VLOOKUP('Statistika okresy'!$B53,Body!$B$3:$AR$172,38,FALSE)</f>
        <v>57.966850717285951</v>
      </c>
      <c r="AG53" s="264">
        <f>VLOOKUP('Statistika okresy'!$B53,Body!$B$3:$AR$172,39,FALSE)</f>
        <v>56.422257510083959</v>
      </c>
      <c r="AH53" s="264">
        <f>VLOOKUP('Statistika okresy'!$B53,Body!$B$3:$AR$172,40,FALSE)</f>
        <v>80.707852967805565</v>
      </c>
      <c r="AI53" s="264">
        <f>VLOOKUP('Statistika okresy'!$B53,Body!$B$3:$AR$172,41,FALSE)</f>
        <v>78.739326030471773</v>
      </c>
      <c r="AJ53" s="390"/>
      <c r="AK53" s="407">
        <f>VLOOKUP('Statistika okresy'!$B53,Body!$B$3:$AR$172,43,FALSE)</f>
        <v>164.78051233161068</v>
      </c>
    </row>
    <row r="54" spans="1:37" ht="15.5" x14ac:dyDescent="0.35">
      <c r="A54" s="382">
        <v>5567</v>
      </c>
      <c r="B54" s="156" t="s">
        <v>310</v>
      </c>
      <c r="C54" s="352" t="s">
        <v>960</v>
      </c>
      <c r="D54" s="264">
        <f>VLOOKUP('Statistika okresy'!$B54,Body!$B$3:$AR$172,3,FALSE)</f>
        <v>9</v>
      </c>
      <c r="E54" s="264">
        <f>VLOOKUP('Statistika okresy'!$B54,Body!$B$3:$AR$172,4,FALSE)</f>
        <v>9</v>
      </c>
      <c r="F54" s="264">
        <f>VLOOKUP('Statistika okresy'!$B54,Body!$B$3:$AR$172,5,FALSE)</f>
        <v>6</v>
      </c>
      <c r="G54" s="264">
        <f>VLOOKUP('Statistika okresy'!$B54,Body!$B$3:$AR$172,6,FALSE)</f>
        <v>4</v>
      </c>
      <c r="H54" s="264">
        <f>VLOOKUP('Statistika okresy'!$B54,Body!$B$3:$AR$172,7,FALSE)</f>
        <v>10</v>
      </c>
      <c r="I54" s="264">
        <f>VLOOKUP('Statistika okresy'!$B54,Body!$B$3:$AR$172,8,FALSE)</f>
        <v>10</v>
      </c>
      <c r="J54" s="264">
        <f>VLOOKUP('Statistika okresy'!$B54,Body!$B$3:$AR$172,9,FALSE)</f>
        <v>5</v>
      </c>
      <c r="K54" s="264">
        <f>VLOOKUP('Statistika okresy'!$B54,Body!$B$3:$AR$172,10,FALSE)</f>
        <v>5</v>
      </c>
      <c r="L54" s="264">
        <f>VLOOKUP('Statistika okresy'!$B54,Body!$B$3:$AR$172,11,FALSE)</f>
        <v>5</v>
      </c>
      <c r="M54" s="264">
        <f>VLOOKUP('Statistika okresy'!$B54,Body!$B$3:$AR$172,12,FALSE)</f>
        <v>4</v>
      </c>
      <c r="N54" s="264">
        <f>VLOOKUP('Statistika okresy'!$B54,Body!$B$3:$AR$172,13,FALSE)</f>
        <v>8</v>
      </c>
      <c r="O54" s="264">
        <f>VLOOKUP('Statistika okresy'!$B54,Body!$B$3:$AR$172,14,FALSE)</f>
        <v>8</v>
      </c>
      <c r="P54" s="264">
        <f>VLOOKUP('Statistika okresy'!$B54,Body!$B$3:$AR$172,15,FALSE)</f>
        <v>5</v>
      </c>
      <c r="Q54" s="264">
        <f>VLOOKUP('Statistika okresy'!$B54,Body!$B$3:$AR$172,16,FALSE)</f>
        <v>3</v>
      </c>
      <c r="R54" s="264">
        <f>VLOOKUP('Statistika okresy'!$B54,Body!$B$3:$AR$172,17,FALSE)</f>
        <v>3</v>
      </c>
      <c r="S54" s="264">
        <f>VLOOKUP('Statistika okresy'!$B54,Body!$B$3:$AR$172,18,FALSE)</f>
        <v>7</v>
      </c>
      <c r="T54" s="264">
        <f>VLOOKUP('Statistika okresy'!$B54,Body!$B$3:$AR$172,19,FALSE)</f>
        <v>6</v>
      </c>
      <c r="U54" s="264">
        <f>VLOOKUP('Statistika okresy'!$B54,Body!$B$3:$AR$172,20,FALSE)</f>
        <v>7</v>
      </c>
      <c r="V54" s="264">
        <f>VLOOKUP('Statistika okresy'!$B54,Body!$B$3:$AR$172,21,FALSE)</f>
        <v>5</v>
      </c>
      <c r="W54" s="264">
        <f>VLOOKUP('Statistika okresy'!$B54,Body!$B$3:$AR$172,22,FALSE)</f>
        <v>5</v>
      </c>
      <c r="X54" s="264">
        <f>VLOOKUP('Statistika okresy'!$B54,Body!$B$3:$AR$172,23,FALSE)</f>
        <v>9</v>
      </c>
      <c r="Y54" s="264">
        <f>VLOOKUP('Statistika okresy'!$B54,Body!$B$3:$AR$172,24,FALSE)</f>
        <v>8</v>
      </c>
      <c r="Z54" s="264">
        <f>VLOOKUP('Statistika okresy'!$B54,Body!$B$3:$AR$172,25,FALSE)</f>
        <v>10</v>
      </c>
      <c r="AA54" s="264">
        <f>VLOOKUP('Statistika okresy'!$B54,Body!$B$3:$AR$172,26,FALSE)</f>
        <v>5</v>
      </c>
      <c r="AB54" s="264">
        <f>VLOOKUP('Statistika okresy'!$B54,Body!$B$3:$AR$172,27,FALSE)</f>
        <v>5</v>
      </c>
      <c r="AC54" s="265">
        <f>VLOOKUP('Statistika okresy'!$B54,Body!$B$3:$AR$172,35,FALSE)</f>
        <v>8.0000000000000071</v>
      </c>
      <c r="AD54" s="264">
        <f>VLOOKUP('Statistika okresy'!$B54,Body!$B$3:$AR$172,36,FALSE)</f>
        <v>34.745310896640568</v>
      </c>
      <c r="AE54" s="264">
        <f>VLOOKUP('Statistika okresy'!$B54,Body!$B$3:$AR$172,37,FALSE)</f>
        <v>30.356897348877883</v>
      </c>
      <c r="AF54" s="264">
        <f>VLOOKUP('Statistika okresy'!$B54,Body!$B$3:$AR$172,38,FALSE)</f>
        <v>63.833392987777479</v>
      </c>
      <c r="AG54" s="264">
        <f>VLOOKUP('Statistika okresy'!$B54,Body!$B$3:$AR$172,39,FALSE)</f>
        <v>59.919769030701502</v>
      </c>
      <c r="AH54" s="264">
        <f>VLOOKUP('Statistika okresy'!$B54,Body!$B$3:$AR$172,40,FALSE)</f>
        <v>98.578703884418047</v>
      </c>
      <c r="AI54" s="264">
        <f>VLOOKUP('Statistika okresy'!$B54,Body!$B$3:$AR$172,41,FALSE)</f>
        <v>90.276666379579382</v>
      </c>
      <c r="AJ54" s="390"/>
      <c r="AK54" s="407">
        <f>VLOOKUP('Statistika okresy'!$B54,Body!$B$3:$AR$172,43,FALSE)</f>
        <v>196.85537026399743</v>
      </c>
    </row>
    <row r="55" spans="1:37" ht="15.5" x14ac:dyDescent="0.35">
      <c r="A55" s="382">
        <v>5572</v>
      </c>
      <c r="B55" s="156" t="s">
        <v>91</v>
      </c>
      <c r="C55" s="352" t="s">
        <v>960</v>
      </c>
      <c r="D55" s="264">
        <f>VLOOKUP('Statistika okresy'!$B55,Body!$B$3:$AR$172,3,FALSE)</f>
        <v>5</v>
      </c>
      <c r="E55" s="264">
        <f>VLOOKUP('Statistika okresy'!$B55,Body!$B$3:$AR$172,4,FALSE)</f>
        <v>6</v>
      </c>
      <c r="F55" s="264">
        <f>VLOOKUP('Statistika okresy'!$B55,Body!$B$3:$AR$172,5,FALSE)</f>
        <v>2</v>
      </c>
      <c r="G55" s="264">
        <f>VLOOKUP('Statistika okresy'!$B55,Body!$B$3:$AR$172,6,FALSE)</f>
        <v>2</v>
      </c>
      <c r="H55" s="264">
        <f>VLOOKUP('Statistika okresy'!$B55,Body!$B$3:$AR$172,7,FALSE)</f>
        <v>1</v>
      </c>
      <c r="I55" s="264">
        <f>VLOOKUP('Statistika okresy'!$B55,Body!$B$3:$AR$172,8,FALSE)</f>
        <v>1</v>
      </c>
      <c r="J55" s="264">
        <f>VLOOKUP('Statistika okresy'!$B55,Body!$B$3:$AR$172,9,FALSE)</f>
        <v>1</v>
      </c>
      <c r="K55" s="264">
        <f>VLOOKUP('Statistika okresy'!$B55,Body!$B$3:$AR$172,10,FALSE)</f>
        <v>1</v>
      </c>
      <c r="L55" s="264">
        <f>VLOOKUP('Statistika okresy'!$B55,Body!$B$3:$AR$172,11,FALSE)</f>
        <v>1</v>
      </c>
      <c r="M55" s="264">
        <f>VLOOKUP('Statistika okresy'!$B55,Body!$B$3:$AR$172,12,FALSE)</f>
        <v>1</v>
      </c>
      <c r="N55" s="264">
        <f>VLOOKUP('Statistika okresy'!$B55,Body!$B$3:$AR$172,13,FALSE)</f>
        <v>2</v>
      </c>
      <c r="O55" s="264">
        <f>VLOOKUP('Statistika okresy'!$B55,Body!$B$3:$AR$172,14,FALSE)</f>
        <v>3</v>
      </c>
      <c r="P55" s="264">
        <f>VLOOKUP('Statistika okresy'!$B55,Body!$B$3:$AR$172,15,FALSE)</f>
        <v>5</v>
      </c>
      <c r="Q55" s="264">
        <f>VLOOKUP('Statistika okresy'!$B55,Body!$B$3:$AR$172,16,FALSE)</f>
        <v>2</v>
      </c>
      <c r="R55" s="264">
        <f>VLOOKUP('Statistika okresy'!$B55,Body!$B$3:$AR$172,17,FALSE)</f>
        <v>2</v>
      </c>
      <c r="S55" s="264">
        <f>VLOOKUP('Statistika okresy'!$B55,Body!$B$3:$AR$172,18,FALSE)</f>
        <v>4</v>
      </c>
      <c r="T55" s="264">
        <f>VLOOKUP('Statistika okresy'!$B55,Body!$B$3:$AR$172,19,FALSE)</f>
        <v>3</v>
      </c>
      <c r="U55" s="264">
        <f>VLOOKUP('Statistika okresy'!$B55,Body!$B$3:$AR$172,20,FALSE)</f>
        <v>7</v>
      </c>
      <c r="V55" s="264">
        <f>VLOOKUP('Statistika okresy'!$B55,Body!$B$3:$AR$172,21,FALSE)</f>
        <v>7</v>
      </c>
      <c r="W55" s="264">
        <f>VLOOKUP('Statistika okresy'!$B55,Body!$B$3:$AR$172,22,FALSE)</f>
        <v>5</v>
      </c>
      <c r="X55" s="264">
        <f>VLOOKUP('Statistika okresy'!$B55,Body!$B$3:$AR$172,23,FALSE)</f>
        <v>9</v>
      </c>
      <c r="Y55" s="264">
        <f>VLOOKUP('Statistika okresy'!$B55,Body!$B$3:$AR$172,24,FALSE)</f>
        <v>10</v>
      </c>
      <c r="Z55" s="264">
        <f>VLOOKUP('Statistika okresy'!$B55,Body!$B$3:$AR$172,25,FALSE)</f>
        <v>10</v>
      </c>
      <c r="AA55" s="264">
        <f>VLOOKUP('Statistika okresy'!$B55,Body!$B$3:$AR$172,26,FALSE)</f>
        <v>10</v>
      </c>
      <c r="AB55" s="264">
        <f>VLOOKUP('Statistika okresy'!$B55,Body!$B$3:$AR$172,27,FALSE)</f>
        <v>5</v>
      </c>
      <c r="AC55" s="265">
        <f>VLOOKUP('Statistika okresy'!$B55,Body!$B$3:$AR$172,35,FALSE)</f>
        <v>14.666666666666682</v>
      </c>
      <c r="AD55" s="264">
        <f>VLOOKUP('Statistika okresy'!$B55,Body!$B$3:$AR$172,36,FALSE)</f>
        <v>14.49982614010394</v>
      </c>
      <c r="AE55" s="264">
        <f>VLOOKUP('Statistika okresy'!$B55,Body!$B$3:$AR$172,37,FALSE)</f>
        <v>15.636124034394356</v>
      </c>
      <c r="AF55" s="264">
        <f>VLOOKUP('Statistika okresy'!$B55,Body!$B$3:$AR$172,38,FALSE)</f>
        <v>56.099056651889669</v>
      </c>
      <c r="AG55" s="264">
        <f>VLOOKUP('Statistika okresy'!$B55,Body!$B$3:$AR$172,39,FALSE)</f>
        <v>49.096246280409709</v>
      </c>
      <c r="AH55" s="264">
        <f>VLOOKUP('Statistika okresy'!$B55,Body!$B$3:$AR$172,40,FALSE)</f>
        <v>70.598882791993603</v>
      </c>
      <c r="AI55" s="264">
        <f>VLOOKUP('Statistika okresy'!$B55,Body!$B$3:$AR$172,41,FALSE)</f>
        <v>64.732370314804058</v>
      </c>
      <c r="AJ55" s="390"/>
      <c r="AK55" s="407">
        <f>VLOOKUP('Statistika okresy'!$B55,Body!$B$3:$AR$172,43,FALSE)</f>
        <v>149.99791977346433</v>
      </c>
    </row>
    <row r="56" spans="1:37" ht="15.5" x14ac:dyDescent="0.35">
      <c r="A56" s="382">
        <v>5575</v>
      </c>
      <c r="B56" s="156" t="s">
        <v>315</v>
      </c>
      <c r="C56" s="352" t="s">
        <v>960</v>
      </c>
      <c r="D56" s="264">
        <f>VLOOKUP('Statistika okresy'!$B56,Body!$B$3:$AR$172,3,FALSE)</f>
        <v>10</v>
      </c>
      <c r="E56" s="264">
        <f>VLOOKUP('Statistika okresy'!$B56,Body!$B$3:$AR$172,4,FALSE)</f>
        <v>5</v>
      </c>
      <c r="F56" s="264">
        <f>VLOOKUP('Statistika okresy'!$B56,Body!$B$3:$AR$172,5,FALSE)</f>
        <v>3</v>
      </c>
      <c r="G56" s="264">
        <f>VLOOKUP('Statistika okresy'!$B56,Body!$B$3:$AR$172,6,FALSE)</f>
        <v>2</v>
      </c>
      <c r="H56" s="264">
        <f>VLOOKUP('Statistika okresy'!$B56,Body!$B$3:$AR$172,7,FALSE)</f>
        <v>2</v>
      </c>
      <c r="I56" s="264">
        <f>VLOOKUP('Statistika okresy'!$B56,Body!$B$3:$AR$172,8,FALSE)</f>
        <v>2</v>
      </c>
      <c r="J56" s="264">
        <f>VLOOKUP('Statistika okresy'!$B56,Body!$B$3:$AR$172,9,FALSE)</f>
        <v>1</v>
      </c>
      <c r="K56" s="264">
        <f>VLOOKUP('Statistika okresy'!$B56,Body!$B$3:$AR$172,10,FALSE)</f>
        <v>1</v>
      </c>
      <c r="L56" s="264">
        <f>VLOOKUP('Statistika okresy'!$B56,Body!$B$3:$AR$172,11,FALSE)</f>
        <v>3</v>
      </c>
      <c r="M56" s="264">
        <f>VLOOKUP('Statistika okresy'!$B56,Body!$B$3:$AR$172,12,FALSE)</f>
        <v>2</v>
      </c>
      <c r="N56" s="264">
        <f>VLOOKUP('Statistika okresy'!$B56,Body!$B$3:$AR$172,13,FALSE)</f>
        <v>8</v>
      </c>
      <c r="O56" s="264">
        <f>VLOOKUP('Statistika okresy'!$B56,Body!$B$3:$AR$172,14,FALSE)</f>
        <v>9</v>
      </c>
      <c r="P56" s="264">
        <f>VLOOKUP('Statistika okresy'!$B56,Body!$B$3:$AR$172,15,FALSE)</f>
        <v>3</v>
      </c>
      <c r="Q56" s="264">
        <f>VLOOKUP('Statistika okresy'!$B56,Body!$B$3:$AR$172,16,FALSE)</f>
        <v>3</v>
      </c>
      <c r="R56" s="264">
        <f>VLOOKUP('Statistika okresy'!$B56,Body!$B$3:$AR$172,17,FALSE)</f>
        <v>3</v>
      </c>
      <c r="S56" s="264">
        <f>VLOOKUP('Statistika okresy'!$B56,Body!$B$3:$AR$172,18,FALSE)</f>
        <v>6</v>
      </c>
      <c r="T56" s="264">
        <f>VLOOKUP('Statistika okresy'!$B56,Body!$B$3:$AR$172,19,FALSE)</f>
        <v>4</v>
      </c>
      <c r="U56" s="264">
        <f>VLOOKUP('Statistika okresy'!$B56,Body!$B$3:$AR$172,20,FALSE)</f>
        <v>7</v>
      </c>
      <c r="V56" s="264">
        <f>VLOOKUP('Statistika okresy'!$B56,Body!$B$3:$AR$172,21,FALSE)</f>
        <v>6</v>
      </c>
      <c r="W56" s="264">
        <f>VLOOKUP('Statistika okresy'!$B56,Body!$B$3:$AR$172,22,FALSE)</f>
        <v>5</v>
      </c>
      <c r="X56" s="264">
        <f>VLOOKUP('Statistika okresy'!$B56,Body!$B$3:$AR$172,23,FALSE)</f>
        <v>10</v>
      </c>
      <c r="Y56" s="264">
        <f>VLOOKUP('Statistika okresy'!$B56,Body!$B$3:$AR$172,24,FALSE)</f>
        <v>10</v>
      </c>
      <c r="Z56" s="264">
        <f>VLOOKUP('Statistika okresy'!$B56,Body!$B$3:$AR$172,25,FALSE)</f>
        <v>10</v>
      </c>
      <c r="AA56" s="264">
        <f>VLOOKUP('Statistika okresy'!$B56,Body!$B$3:$AR$172,26,FALSE)</f>
        <v>1</v>
      </c>
      <c r="AB56" s="264">
        <f>VLOOKUP('Statistika okresy'!$B56,Body!$B$3:$AR$172,27,FALSE)</f>
        <v>5</v>
      </c>
      <c r="AC56" s="265">
        <f>VLOOKUP('Statistika okresy'!$B56,Body!$B$3:$AR$172,35,FALSE)</f>
        <v>2.6666666666666687</v>
      </c>
      <c r="AD56" s="264">
        <f>VLOOKUP('Statistika okresy'!$B56,Body!$B$3:$AR$172,36,FALSE)</f>
        <v>23.979837512594962</v>
      </c>
      <c r="AE56" s="264">
        <f>VLOOKUP('Statistika okresy'!$B56,Body!$B$3:$AR$172,37,FALSE)</f>
        <v>20.575997942041493</v>
      </c>
      <c r="AF56" s="264">
        <f>VLOOKUP('Statistika okresy'!$B56,Body!$B$3:$AR$172,38,FALSE)</f>
        <v>63.120767893915811</v>
      </c>
      <c r="AG56" s="264">
        <f>VLOOKUP('Statistika okresy'!$B56,Body!$B$3:$AR$172,39,FALSE)</f>
        <v>53.748926772561845</v>
      </c>
      <c r="AH56" s="264">
        <f>VLOOKUP('Statistika okresy'!$B56,Body!$B$3:$AR$172,40,FALSE)</f>
        <v>87.100605406510766</v>
      </c>
      <c r="AI56" s="264">
        <f>VLOOKUP('Statistika okresy'!$B56,Body!$B$3:$AR$172,41,FALSE)</f>
        <v>74.324924714603341</v>
      </c>
      <c r="AJ56" s="390"/>
      <c r="AK56" s="407">
        <f>VLOOKUP('Statistika okresy'!$B56,Body!$B$3:$AR$172,43,FALSE)</f>
        <v>164.09219678778075</v>
      </c>
    </row>
    <row r="57" spans="1:37" ht="15.5" x14ac:dyDescent="0.35">
      <c r="A57" s="382">
        <v>5580</v>
      </c>
      <c r="B57" s="156" t="s">
        <v>290</v>
      </c>
      <c r="C57" s="352" t="s">
        <v>960</v>
      </c>
      <c r="D57" s="264">
        <f>VLOOKUP('Statistika okresy'!$B57,Body!$B$3:$AR$172,3,FALSE)</f>
        <v>2</v>
      </c>
      <c r="E57" s="264">
        <f>VLOOKUP('Statistika okresy'!$B57,Body!$B$3:$AR$172,4,FALSE)</f>
        <v>4</v>
      </c>
      <c r="F57" s="264">
        <f>VLOOKUP('Statistika okresy'!$B57,Body!$B$3:$AR$172,5,FALSE)</f>
        <v>5</v>
      </c>
      <c r="G57" s="264">
        <f>VLOOKUP('Statistika okresy'!$B57,Body!$B$3:$AR$172,6,FALSE)</f>
        <v>3</v>
      </c>
      <c r="H57" s="264">
        <f>VLOOKUP('Statistika okresy'!$B57,Body!$B$3:$AR$172,7,FALSE)</f>
        <v>5</v>
      </c>
      <c r="I57" s="264">
        <f>VLOOKUP('Statistika okresy'!$B57,Body!$B$3:$AR$172,8,FALSE)</f>
        <v>2</v>
      </c>
      <c r="J57" s="264">
        <f>VLOOKUP('Statistika okresy'!$B57,Body!$B$3:$AR$172,9,FALSE)</f>
        <v>1</v>
      </c>
      <c r="K57" s="264">
        <f>VLOOKUP('Statistika okresy'!$B57,Body!$B$3:$AR$172,10,FALSE)</f>
        <v>1</v>
      </c>
      <c r="L57" s="264">
        <f>VLOOKUP('Statistika okresy'!$B57,Body!$B$3:$AR$172,11,FALSE)</f>
        <v>3</v>
      </c>
      <c r="M57" s="264">
        <f>VLOOKUP('Statistika okresy'!$B57,Body!$B$3:$AR$172,12,FALSE)</f>
        <v>2</v>
      </c>
      <c r="N57" s="264">
        <f>VLOOKUP('Statistika okresy'!$B57,Body!$B$3:$AR$172,13,FALSE)</f>
        <v>10</v>
      </c>
      <c r="O57" s="264">
        <f>VLOOKUP('Statistika okresy'!$B57,Body!$B$3:$AR$172,14,FALSE)</f>
        <v>9</v>
      </c>
      <c r="P57" s="264">
        <f>VLOOKUP('Statistika okresy'!$B57,Body!$B$3:$AR$172,15,FALSE)</f>
        <v>5</v>
      </c>
      <c r="Q57" s="264">
        <f>VLOOKUP('Statistika okresy'!$B57,Body!$B$3:$AR$172,16,FALSE)</f>
        <v>2</v>
      </c>
      <c r="R57" s="264">
        <f>VLOOKUP('Statistika okresy'!$B57,Body!$B$3:$AR$172,17,FALSE)</f>
        <v>2</v>
      </c>
      <c r="S57" s="264">
        <f>VLOOKUP('Statistika okresy'!$B57,Body!$B$3:$AR$172,18,FALSE)</f>
        <v>3</v>
      </c>
      <c r="T57" s="264">
        <f>VLOOKUP('Statistika okresy'!$B57,Body!$B$3:$AR$172,19,FALSE)</f>
        <v>3</v>
      </c>
      <c r="U57" s="264">
        <f>VLOOKUP('Statistika okresy'!$B57,Body!$B$3:$AR$172,20,FALSE)</f>
        <v>7</v>
      </c>
      <c r="V57" s="264">
        <f>VLOOKUP('Statistika okresy'!$B57,Body!$B$3:$AR$172,21,FALSE)</f>
        <v>6</v>
      </c>
      <c r="W57" s="264">
        <f>VLOOKUP('Statistika okresy'!$B57,Body!$B$3:$AR$172,22,FALSE)</f>
        <v>5</v>
      </c>
      <c r="X57" s="264">
        <f>VLOOKUP('Statistika okresy'!$B57,Body!$B$3:$AR$172,23,FALSE)</f>
        <v>10</v>
      </c>
      <c r="Y57" s="264">
        <f>VLOOKUP('Statistika okresy'!$B57,Body!$B$3:$AR$172,24,FALSE)</f>
        <v>10</v>
      </c>
      <c r="Z57" s="264">
        <f>VLOOKUP('Statistika okresy'!$B57,Body!$B$3:$AR$172,25,FALSE)</f>
        <v>10</v>
      </c>
      <c r="AA57" s="264">
        <f>VLOOKUP('Statistika okresy'!$B57,Body!$B$3:$AR$172,26,FALSE)</f>
        <v>10</v>
      </c>
      <c r="AB57" s="264">
        <f>VLOOKUP('Statistika okresy'!$B57,Body!$B$3:$AR$172,27,FALSE)</f>
        <v>5</v>
      </c>
      <c r="AC57" s="265">
        <f>VLOOKUP('Statistika okresy'!$B57,Body!$B$3:$AR$172,35,FALSE)</f>
        <v>14.666666666666682</v>
      </c>
      <c r="AD57" s="264">
        <f>VLOOKUP('Statistika okresy'!$B57,Body!$B$3:$AR$172,36,FALSE)</f>
        <v>27.699854472207569</v>
      </c>
      <c r="AE57" s="264">
        <f>VLOOKUP('Statistika okresy'!$B57,Body!$B$3:$AR$172,37,FALSE)</f>
        <v>22.50315319556745</v>
      </c>
      <c r="AF57" s="264">
        <f>VLOOKUP('Statistika okresy'!$B57,Body!$B$3:$AR$172,38,FALSE)</f>
        <v>51.379896022687838</v>
      </c>
      <c r="AG57" s="264">
        <f>VLOOKUP('Statistika okresy'!$B57,Body!$B$3:$AR$172,39,FALSE)</f>
        <v>49.835302815485846</v>
      </c>
      <c r="AH57" s="264">
        <f>VLOOKUP('Statistika okresy'!$B57,Body!$B$3:$AR$172,40,FALSE)</f>
        <v>79.079750494895407</v>
      </c>
      <c r="AI57" s="264">
        <f>VLOOKUP('Statistika okresy'!$B57,Body!$B$3:$AR$172,41,FALSE)</f>
        <v>72.338456011053296</v>
      </c>
      <c r="AJ57" s="390"/>
      <c r="AK57" s="407">
        <f>VLOOKUP('Statistika okresy'!$B57,Body!$B$3:$AR$172,43,FALSE)</f>
        <v>166.0848731726154</v>
      </c>
    </row>
    <row r="58" spans="1:37" ht="15.5" x14ac:dyDescent="0.35">
      <c r="A58" s="382">
        <v>5585</v>
      </c>
      <c r="B58" s="156" t="s">
        <v>94</v>
      </c>
      <c r="C58" s="352" t="s">
        <v>960</v>
      </c>
      <c r="D58" s="264">
        <f>VLOOKUP('Statistika okresy'!$B58,Body!$B$3:$AR$172,3,FALSE)</f>
        <v>5</v>
      </c>
      <c r="E58" s="264">
        <f>VLOOKUP('Statistika okresy'!$B58,Body!$B$3:$AR$172,4,FALSE)</f>
        <v>4</v>
      </c>
      <c r="F58" s="264">
        <f>VLOOKUP('Statistika okresy'!$B58,Body!$B$3:$AR$172,5,FALSE)</f>
        <v>4</v>
      </c>
      <c r="G58" s="264">
        <f>VLOOKUP('Statistika okresy'!$B58,Body!$B$3:$AR$172,6,FALSE)</f>
        <v>3</v>
      </c>
      <c r="H58" s="264">
        <f>VLOOKUP('Statistika okresy'!$B58,Body!$B$3:$AR$172,7,FALSE)</f>
        <v>1</v>
      </c>
      <c r="I58" s="264">
        <f>VLOOKUP('Statistika okresy'!$B58,Body!$B$3:$AR$172,8,FALSE)</f>
        <v>1</v>
      </c>
      <c r="J58" s="264">
        <f>VLOOKUP('Statistika okresy'!$B58,Body!$B$3:$AR$172,9,FALSE)</f>
        <v>1</v>
      </c>
      <c r="K58" s="264">
        <f>VLOOKUP('Statistika okresy'!$B58,Body!$B$3:$AR$172,10,FALSE)</f>
        <v>1</v>
      </c>
      <c r="L58" s="264">
        <f>VLOOKUP('Statistika okresy'!$B58,Body!$B$3:$AR$172,11,FALSE)</f>
        <v>4</v>
      </c>
      <c r="M58" s="264">
        <f>VLOOKUP('Statistika okresy'!$B58,Body!$B$3:$AR$172,12,FALSE)</f>
        <v>3</v>
      </c>
      <c r="N58" s="264">
        <f>VLOOKUP('Statistika okresy'!$B58,Body!$B$3:$AR$172,13,FALSE)</f>
        <v>10</v>
      </c>
      <c r="O58" s="264">
        <f>VLOOKUP('Statistika okresy'!$B58,Body!$B$3:$AR$172,14,FALSE)</f>
        <v>10</v>
      </c>
      <c r="P58" s="264">
        <f>VLOOKUP('Statistika okresy'!$B58,Body!$B$3:$AR$172,15,FALSE)</f>
        <v>5</v>
      </c>
      <c r="Q58" s="264">
        <f>VLOOKUP('Statistika okresy'!$B58,Body!$B$3:$AR$172,16,FALSE)</f>
        <v>4</v>
      </c>
      <c r="R58" s="264">
        <f>VLOOKUP('Statistika okresy'!$B58,Body!$B$3:$AR$172,17,FALSE)</f>
        <v>4</v>
      </c>
      <c r="S58" s="264">
        <f>VLOOKUP('Statistika okresy'!$B58,Body!$B$3:$AR$172,18,FALSE)</f>
        <v>7</v>
      </c>
      <c r="T58" s="264">
        <f>VLOOKUP('Statistika okresy'!$B58,Body!$B$3:$AR$172,19,FALSE)</f>
        <v>7</v>
      </c>
      <c r="U58" s="264">
        <f>VLOOKUP('Statistika okresy'!$B58,Body!$B$3:$AR$172,20,FALSE)</f>
        <v>7</v>
      </c>
      <c r="V58" s="264">
        <f>VLOOKUP('Statistika okresy'!$B58,Body!$B$3:$AR$172,21,FALSE)</f>
        <v>6</v>
      </c>
      <c r="W58" s="264">
        <f>VLOOKUP('Statistika okresy'!$B58,Body!$B$3:$AR$172,22,FALSE)</f>
        <v>6</v>
      </c>
      <c r="X58" s="264">
        <f>VLOOKUP('Statistika okresy'!$B58,Body!$B$3:$AR$172,23,FALSE)</f>
        <v>9</v>
      </c>
      <c r="Y58" s="264">
        <f>VLOOKUP('Statistika okresy'!$B58,Body!$B$3:$AR$172,24,FALSE)</f>
        <v>8</v>
      </c>
      <c r="Z58" s="264">
        <f>VLOOKUP('Statistika okresy'!$B58,Body!$B$3:$AR$172,25,FALSE)</f>
        <v>10</v>
      </c>
      <c r="AA58" s="264">
        <f>VLOOKUP('Statistika okresy'!$B58,Body!$B$3:$AR$172,26,FALSE)</f>
        <v>5</v>
      </c>
      <c r="AB58" s="264">
        <f>VLOOKUP('Statistika okresy'!$B58,Body!$B$3:$AR$172,27,FALSE)</f>
        <v>5</v>
      </c>
      <c r="AC58" s="265">
        <f>VLOOKUP('Statistika okresy'!$B58,Body!$B$3:$AR$172,35,FALSE)</f>
        <v>8.0000000000000071</v>
      </c>
      <c r="AD58" s="264">
        <f>VLOOKUP('Statistika okresy'!$B58,Body!$B$3:$AR$172,36,FALSE)</f>
        <v>28.986660946769561</v>
      </c>
      <c r="AE58" s="264">
        <f>VLOOKUP('Statistika okresy'!$B58,Body!$B$3:$AR$172,37,FALSE)</f>
        <v>26.131738461775278</v>
      </c>
      <c r="AF58" s="264">
        <f>VLOOKUP('Statistika okresy'!$B58,Body!$B$3:$AR$172,38,FALSE)</f>
        <v>65.377986194979471</v>
      </c>
      <c r="AG58" s="264">
        <f>VLOOKUP('Statistika okresy'!$B58,Body!$B$3:$AR$172,39,FALSE)</f>
        <v>65.377986194979471</v>
      </c>
      <c r="AH58" s="264">
        <f>VLOOKUP('Statistika okresy'!$B58,Body!$B$3:$AR$172,40,FALSE)</f>
        <v>94.364647141749032</v>
      </c>
      <c r="AI58" s="264">
        <f>VLOOKUP('Statistika okresy'!$B58,Body!$B$3:$AR$172,41,FALSE)</f>
        <v>91.509724656754742</v>
      </c>
      <c r="AJ58" s="390"/>
      <c r="AK58" s="407">
        <f>VLOOKUP('Statistika okresy'!$B58,Body!$B$3:$AR$172,43,FALSE)</f>
        <v>193.87437179850377</v>
      </c>
    </row>
    <row r="59" spans="1:37" ht="15.5" x14ac:dyDescent="0.35">
      <c r="A59" s="382">
        <v>5588</v>
      </c>
      <c r="B59" s="156" t="s">
        <v>299</v>
      </c>
      <c r="C59" s="352" t="s">
        <v>960</v>
      </c>
      <c r="D59" s="264">
        <f>VLOOKUP('Statistika okresy'!$B59,Body!$B$3:$AR$172,3,FALSE)</f>
        <v>2</v>
      </c>
      <c r="E59" s="264">
        <f>VLOOKUP('Statistika okresy'!$B59,Body!$B$3:$AR$172,4,FALSE)</f>
        <v>2</v>
      </c>
      <c r="F59" s="264">
        <f>VLOOKUP('Statistika okresy'!$B59,Body!$B$3:$AR$172,5,FALSE)</f>
        <v>4</v>
      </c>
      <c r="G59" s="264">
        <f>VLOOKUP('Statistika okresy'!$B59,Body!$B$3:$AR$172,6,FALSE)</f>
        <v>3</v>
      </c>
      <c r="H59" s="264">
        <f>VLOOKUP('Statistika okresy'!$B59,Body!$B$3:$AR$172,7,FALSE)</f>
        <v>4</v>
      </c>
      <c r="I59" s="264">
        <f>VLOOKUP('Statistika okresy'!$B59,Body!$B$3:$AR$172,8,FALSE)</f>
        <v>2</v>
      </c>
      <c r="J59" s="264">
        <f>VLOOKUP('Statistika okresy'!$B59,Body!$B$3:$AR$172,9,FALSE)</f>
        <v>1</v>
      </c>
      <c r="K59" s="264">
        <f>VLOOKUP('Statistika okresy'!$B59,Body!$B$3:$AR$172,10,FALSE)</f>
        <v>1</v>
      </c>
      <c r="L59" s="264">
        <f>VLOOKUP('Statistika okresy'!$B59,Body!$B$3:$AR$172,11,FALSE)</f>
        <v>8</v>
      </c>
      <c r="M59" s="264">
        <f>VLOOKUP('Statistika okresy'!$B59,Body!$B$3:$AR$172,12,FALSE)</f>
        <v>7</v>
      </c>
      <c r="N59" s="264">
        <f>VLOOKUP('Statistika okresy'!$B59,Body!$B$3:$AR$172,13,FALSE)</f>
        <v>10</v>
      </c>
      <c r="O59" s="264">
        <f>VLOOKUP('Statistika okresy'!$B59,Body!$B$3:$AR$172,14,FALSE)</f>
        <v>10</v>
      </c>
      <c r="P59" s="264">
        <f>VLOOKUP('Statistika okresy'!$B59,Body!$B$3:$AR$172,15,FALSE)</f>
        <v>3</v>
      </c>
      <c r="Q59" s="264">
        <f>VLOOKUP('Statistika okresy'!$B59,Body!$B$3:$AR$172,16,FALSE)</f>
        <v>6</v>
      </c>
      <c r="R59" s="264">
        <f>VLOOKUP('Statistika okresy'!$B59,Body!$B$3:$AR$172,17,FALSE)</f>
        <v>5</v>
      </c>
      <c r="S59" s="264">
        <f>VLOOKUP('Statistika okresy'!$B59,Body!$B$3:$AR$172,18,FALSE)</f>
        <v>9</v>
      </c>
      <c r="T59" s="264">
        <f>VLOOKUP('Statistika okresy'!$B59,Body!$B$3:$AR$172,19,FALSE)</f>
        <v>10</v>
      </c>
      <c r="U59" s="264">
        <f>VLOOKUP('Statistika okresy'!$B59,Body!$B$3:$AR$172,20,FALSE)</f>
        <v>7</v>
      </c>
      <c r="V59" s="264">
        <f>VLOOKUP('Statistika okresy'!$B59,Body!$B$3:$AR$172,21,FALSE)</f>
        <v>7</v>
      </c>
      <c r="W59" s="264">
        <f>VLOOKUP('Statistika okresy'!$B59,Body!$B$3:$AR$172,22,FALSE)</f>
        <v>6</v>
      </c>
      <c r="X59" s="264">
        <f>VLOOKUP('Statistika okresy'!$B59,Body!$B$3:$AR$172,23,FALSE)</f>
        <v>10</v>
      </c>
      <c r="Y59" s="264">
        <f>VLOOKUP('Statistika okresy'!$B59,Body!$B$3:$AR$172,24,FALSE)</f>
        <v>10</v>
      </c>
      <c r="Z59" s="264">
        <f>VLOOKUP('Statistika okresy'!$B59,Body!$B$3:$AR$172,25,FALSE)</f>
        <v>10</v>
      </c>
      <c r="AA59" s="264">
        <f>VLOOKUP('Statistika okresy'!$B59,Body!$B$3:$AR$172,26,FALSE)</f>
        <v>5</v>
      </c>
      <c r="AB59" s="264">
        <f>VLOOKUP('Statistika okresy'!$B59,Body!$B$3:$AR$172,27,FALSE)</f>
        <v>5</v>
      </c>
      <c r="AC59" s="265">
        <f>VLOOKUP('Statistika okresy'!$B59,Body!$B$3:$AR$172,35,FALSE)</f>
        <v>8.0000000000000071</v>
      </c>
      <c r="AD59" s="264">
        <f>VLOOKUP('Statistika okresy'!$B59,Body!$B$3:$AR$172,36,FALSE)</f>
        <v>32.059213917626607</v>
      </c>
      <c r="AE59" s="264">
        <f>VLOOKUP('Statistika okresy'!$B59,Body!$B$3:$AR$172,37,FALSE)</f>
        <v>27.881076274387624</v>
      </c>
      <c r="AF59" s="264">
        <f>VLOOKUP('Statistika okresy'!$B59,Body!$B$3:$AR$172,38,FALSE)</f>
        <v>76.406232972345762</v>
      </c>
      <c r="AG59" s="264">
        <f>VLOOKUP('Statistika okresy'!$B59,Body!$B$3:$AR$172,39,FALSE)</f>
        <v>78.775263722219762</v>
      </c>
      <c r="AH59" s="264">
        <f>VLOOKUP('Statistika okresy'!$B59,Body!$B$3:$AR$172,40,FALSE)</f>
        <v>108.46544688997237</v>
      </c>
      <c r="AI59" s="264">
        <f>VLOOKUP('Statistika okresy'!$B59,Body!$B$3:$AR$172,41,FALSE)</f>
        <v>106.65633999660739</v>
      </c>
      <c r="AJ59" s="390"/>
      <c r="AK59" s="407">
        <f>VLOOKUP('Statistika okresy'!$B59,Body!$B$3:$AR$172,43,FALSE)</f>
        <v>223.12178688657974</v>
      </c>
    </row>
    <row r="60" spans="1:37" ht="16" thickBot="1" x14ac:dyDescent="0.4">
      <c r="A60" s="402">
        <v>5591</v>
      </c>
      <c r="B60" s="403" t="s">
        <v>80</v>
      </c>
      <c r="C60" s="404" t="s">
        <v>960</v>
      </c>
      <c r="D60" s="405">
        <f>VLOOKUP('Statistika okresy'!$B60,Body!$B$3:$AR$172,3,FALSE)</f>
        <v>6</v>
      </c>
      <c r="E60" s="405">
        <f>VLOOKUP('Statistika okresy'!$B60,Body!$B$3:$AR$172,4,FALSE)</f>
        <v>5</v>
      </c>
      <c r="F60" s="405">
        <f>VLOOKUP('Statistika okresy'!$B60,Body!$B$3:$AR$172,5,FALSE)</f>
        <v>4</v>
      </c>
      <c r="G60" s="405">
        <f>VLOOKUP('Statistika okresy'!$B60,Body!$B$3:$AR$172,6,FALSE)</f>
        <v>3</v>
      </c>
      <c r="H60" s="405">
        <f>VLOOKUP('Statistika okresy'!$B60,Body!$B$3:$AR$172,7,FALSE)</f>
        <v>9</v>
      </c>
      <c r="I60" s="405">
        <f>VLOOKUP('Statistika okresy'!$B60,Body!$B$3:$AR$172,8,FALSE)</f>
        <v>5</v>
      </c>
      <c r="J60" s="405">
        <f>VLOOKUP('Statistika okresy'!$B60,Body!$B$3:$AR$172,9,FALSE)</f>
        <v>1</v>
      </c>
      <c r="K60" s="405">
        <f>VLOOKUP('Statistika okresy'!$B60,Body!$B$3:$AR$172,10,FALSE)</f>
        <v>1</v>
      </c>
      <c r="L60" s="405">
        <f>VLOOKUP('Statistika okresy'!$B60,Body!$B$3:$AR$172,11,FALSE)</f>
        <v>3</v>
      </c>
      <c r="M60" s="405">
        <f>VLOOKUP('Statistika okresy'!$B60,Body!$B$3:$AR$172,12,FALSE)</f>
        <v>3</v>
      </c>
      <c r="N60" s="405">
        <f>VLOOKUP('Statistika okresy'!$B60,Body!$B$3:$AR$172,13,FALSE)</f>
        <v>10</v>
      </c>
      <c r="O60" s="405">
        <f>VLOOKUP('Statistika okresy'!$B60,Body!$B$3:$AR$172,14,FALSE)</f>
        <v>10</v>
      </c>
      <c r="P60" s="405">
        <f>VLOOKUP('Statistika okresy'!$B60,Body!$B$3:$AR$172,15,FALSE)</f>
        <v>3</v>
      </c>
      <c r="Q60" s="405">
        <f>VLOOKUP('Statistika okresy'!$B60,Body!$B$3:$AR$172,16,FALSE)</f>
        <v>3</v>
      </c>
      <c r="R60" s="405">
        <f>VLOOKUP('Statistika okresy'!$B60,Body!$B$3:$AR$172,17,FALSE)</f>
        <v>3</v>
      </c>
      <c r="S60" s="405">
        <f>VLOOKUP('Statistika okresy'!$B60,Body!$B$3:$AR$172,18,FALSE)</f>
        <v>8</v>
      </c>
      <c r="T60" s="405">
        <f>VLOOKUP('Statistika okresy'!$B60,Body!$B$3:$AR$172,19,FALSE)</f>
        <v>7</v>
      </c>
      <c r="U60" s="405">
        <f>VLOOKUP('Statistika okresy'!$B60,Body!$B$3:$AR$172,20,FALSE)</f>
        <v>7</v>
      </c>
      <c r="V60" s="405">
        <f>VLOOKUP('Statistika okresy'!$B60,Body!$B$3:$AR$172,21,FALSE)</f>
        <v>8</v>
      </c>
      <c r="W60" s="405">
        <f>VLOOKUP('Statistika okresy'!$B60,Body!$B$3:$AR$172,22,FALSE)</f>
        <v>8</v>
      </c>
      <c r="X60" s="405">
        <f>VLOOKUP('Statistika okresy'!$B60,Body!$B$3:$AR$172,23,FALSE)</f>
        <v>10</v>
      </c>
      <c r="Y60" s="405">
        <f>VLOOKUP('Statistika okresy'!$B60,Body!$B$3:$AR$172,24,FALSE)</f>
        <v>10</v>
      </c>
      <c r="Z60" s="405">
        <f>VLOOKUP('Statistika okresy'!$B60,Body!$B$3:$AR$172,25,FALSE)</f>
        <v>10</v>
      </c>
      <c r="AA60" s="405">
        <f>VLOOKUP('Statistika okresy'!$B60,Body!$B$3:$AR$172,26,FALSE)</f>
        <v>5</v>
      </c>
      <c r="AB60" s="405">
        <f>VLOOKUP('Statistika okresy'!$B60,Body!$B$3:$AR$172,27,FALSE)</f>
        <v>5</v>
      </c>
      <c r="AC60" s="406">
        <f>VLOOKUP('Statistika okresy'!$B60,Body!$B$3:$AR$172,35,FALSE)</f>
        <v>8.0000000000000071</v>
      </c>
      <c r="AD60" s="405">
        <f>VLOOKUP('Statistika okresy'!$B60,Body!$B$3:$AR$172,36,FALSE)</f>
        <v>27.694653303253741</v>
      </c>
      <c r="AE60" s="405">
        <f>VLOOKUP('Statistika okresy'!$B60,Body!$B$3:$AR$172,37,FALSE)</f>
        <v>24.576251151883127</v>
      </c>
      <c r="AF60" s="405">
        <f>VLOOKUP('Statistika okresy'!$B60,Body!$B$3:$AR$172,38,FALSE)</f>
        <v>74.037202222471763</v>
      </c>
      <c r="AG60" s="405">
        <f>VLOOKUP('Statistika okresy'!$B60,Body!$B$3:$AR$172,39,FALSE)</f>
        <v>70.123578265395778</v>
      </c>
      <c r="AH60" s="405">
        <f>VLOOKUP('Statistika okresy'!$B60,Body!$B$3:$AR$172,40,FALSE)</f>
        <v>101.73185552572551</v>
      </c>
      <c r="AI60" s="405">
        <f>VLOOKUP('Statistika okresy'!$B60,Body!$B$3:$AR$172,41,FALSE)</f>
        <v>94.699829417278906</v>
      </c>
      <c r="AJ60" s="390"/>
      <c r="AK60" s="408">
        <f>VLOOKUP('Statistika okresy'!$B60,Body!$B$3:$AR$172,43,FALSE)</f>
        <v>204.43168494300443</v>
      </c>
    </row>
    <row r="61" spans="1:37" ht="15.5" x14ac:dyDescent="0.35">
      <c r="A61" s="399">
        <v>2560</v>
      </c>
      <c r="B61" s="400" t="s">
        <v>586</v>
      </c>
      <c r="C61" s="401" t="s">
        <v>961</v>
      </c>
      <c r="D61" s="361">
        <f>VLOOKUP('Statistika okresy'!$B61,Body!$B$3:$AR$172,3,FALSE)</f>
        <v>7</v>
      </c>
      <c r="E61" s="361">
        <f>VLOOKUP('Statistika okresy'!$B61,Body!$B$3:$AR$172,4,FALSE)</f>
        <v>10</v>
      </c>
      <c r="F61" s="361">
        <f>VLOOKUP('Statistika okresy'!$B61,Body!$B$3:$AR$172,5,FALSE)</f>
        <v>4</v>
      </c>
      <c r="G61" s="361">
        <f>VLOOKUP('Statistika okresy'!$B61,Body!$B$3:$AR$172,6,FALSE)</f>
        <v>3</v>
      </c>
      <c r="H61" s="361">
        <f>VLOOKUP('Statistika okresy'!$B61,Body!$B$3:$AR$172,7,FALSE)</f>
        <v>3</v>
      </c>
      <c r="I61" s="361">
        <f>VLOOKUP('Statistika okresy'!$B61,Body!$B$3:$AR$172,8,FALSE)</f>
        <v>1</v>
      </c>
      <c r="J61" s="361">
        <f>VLOOKUP('Statistika okresy'!$B61,Body!$B$3:$AR$172,9,FALSE)</f>
        <v>2</v>
      </c>
      <c r="K61" s="361">
        <f>VLOOKUP('Statistika okresy'!$B61,Body!$B$3:$AR$172,10,FALSE)</f>
        <v>1</v>
      </c>
      <c r="L61" s="361">
        <f>VLOOKUP('Statistika okresy'!$B61,Body!$B$3:$AR$172,11,FALSE)</f>
        <v>2</v>
      </c>
      <c r="M61" s="361">
        <f>VLOOKUP('Statistika okresy'!$B61,Body!$B$3:$AR$172,12,FALSE)</f>
        <v>2</v>
      </c>
      <c r="N61" s="361">
        <f>VLOOKUP('Statistika okresy'!$B61,Body!$B$3:$AR$172,13,FALSE)</f>
        <v>8</v>
      </c>
      <c r="O61" s="361">
        <f>VLOOKUP('Statistika okresy'!$B61,Body!$B$3:$AR$172,14,FALSE)</f>
        <v>8</v>
      </c>
      <c r="P61" s="361">
        <f>VLOOKUP('Statistika okresy'!$B61,Body!$B$3:$AR$172,15,FALSE)</f>
        <v>6</v>
      </c>
      <c r="Q61" s="361">
        <f>VLOOKUP('Statistika okresy'!$B61,Body!$B$3:$AR$172,16,FALSE)</f>
        <v>3</v>
      </c>
      <c r="R61" s="361">
        <f>VLOOKUP('Statistika okresy'!$B61,Body!$B$3:$AR$172,17,FALSE)</f>
        <v>4</v>
      </c>
      <c r="S61" s="361">
        <f>VLOOKUP('Statistika okresy'!$B61,Body!$B$3:$AR$172,18,FALSE)</f>
        <v>6</v>
      </c>
      <c r="T61" s="361">
        <f>VLOOKUP('Statistika okresy'!$B61,Body!$B$3:$AR$172,19,FALSE)</f>
        <v>6</v>
      </c>
      <c r="U61" s="361">
        <f>VLOOKUP('Statistika okresy'!$B61,Body!$B$3:$AR$172,20,FALSE)</f>
        <v>5</v>
      </c>
      <c r="V61" s="361">
        <f>VLOOKUP('Statistika okresy'!$B61,Body!$B$3:$AR$172,21,FALSE)</f>
        <v>6</v>
      </c>
      <c r="W61" s="361">
        <f>VLOOKUP('Statistika okresy'!$B61,Body!$B$3:$AR$172,22,FALSE)</f>
        <v>4</v>
      </c>
      <c r="X61" s="361">
        <f>VLOOKUP('Statistika okresy'!$B61,Body!$B$3:$AR$172,23,FALSE)</f>
        <v>10</v>
      </c>
      <c r="Y61" s="361">
        <f>VLOOKUP('Statistika okresy'!$B61,Body!$B$3:$AR$172,24,FALSE)</f>
        <v>10</v>
      </c>
      <c r="Z61" s="361">
        <f>VLOOKUP('Statistika okresy'!$B61,Body!$B$3:$AR$172,25,FALSE)</f>
        <v>10</v>
      </c>
      <c r="AA61" s="361">
        <f>VLOOKUP('Statistika okresy'!$B61,Body!$B$3:$AR$172,26,FALSE)</f>
        <v>10</v>
      </c>
      <c r="AB61" s="361">
        <f>VLOOKUP('Statistika okresy'!$B61,Body!$B$3:$AR$172,27,FALSE)</f>
        <v>5</v>
      </c>
      <c r="AC61" s="362">
        <f>VLOOKUP('Statistika okresy'!$B61,Body!$B$3:$AR$172,35,FALSE)</f>
        <v>14.666666666666682</v>
      </c>
      <c r="AD61" s="361">
        <f>VLOOKUP('Statistika okresy'!$B61,Body!$B$3:$AR$172,36,FALSE)</f>
        <v>27.011383960580261</v>
      </c>
      <c r="AE61" s="361">
        <f>VLOOKUP('Statistika okresy'!$B61,Body!$B$3:$AR$172,37,FALSE)</f>
        <v>26.707396108988274</v>
      </c>
      <c r="AF61" s="361">
        <f>VLOOKUP('Statistika okresy'!$B61,Body!$B$3:$AR$172,38,FALSE)</f>
        <v>58.956525594600961</v>
      </c>
      <c r="AG61" s="361">
        <f>VLOOKUP('Statistika okresy'!$B61,Body!$B$3:$AR$172,39,FALSE)</f>
        <v>55.867339180196986</v>
      </c>
      <c r="AH61" s="361">
        <f>VLOOKUP('Statistika okresy'!$B61,Body!$B$3:$AR$172,40,FALSE)</f>
        <v>85.967909555181222</v>
      </c>
      <c r="AI61" s="361">
        <f>VLOOKUP('Statistika okresy'!$B61,Body!$B$3:$AR$172,41,FALSE)</f>
        <v>82.574735289185256</v>
      </c>
      <c r="AJ61" s="390"/>
      <c r="AK61" s="409">
        <f>VLOOKUP('Statistika okresy'!$B61,Body!$B$3:$AR$172,43,FALSE)</f>
        <v>183.20931151103315</v>
      </c>
    </row>
    <row r="62" spans="1:37" ht="15.5" x14ac:dyDescent="0.35">
      <c r="A62" s="382">
        <v>2566</v>
      </c>
      <c r="B62" s="156" t="s">
        <v>624</v>
      </c>
      <c r="C62" s="352" t="s">
        <v>961</v>
      </c>
      <c r="D62" s="264">
        <f>VLOOKUP('Statistika okresy'!$B62,Body!$B$3:$AR$172,3,FALSE)</f>
        <v>7</v>
      </c>
      <c r="E62" s="264">
        <f>VLOOKUP('Statistika okresy'!$B62,Body!$B$3:$AR$172,4,FALSE)</f>
        <v>9</v>
      </c>
      <c r="F62" s="264">
        <f>VLOOKUP('Statistika okresy'!$B62,Body!$B$3:$AR$172,5,FALSE)</f>
        <v>5</v>
      </c>
      <c r="G62" s="264">
        <f>VLOOKUP('Statistika okresy'!$B62,Body!$B$3:$AR$172,6,FALSE)</f>
        <v>3</v>
      </c>
      <c r="H62" s="264">
        <f>VLOOKUP('Statistika okresy'!$B62,Body!$B$3:$AR$172,7,FALSE)</f>
        <v>2</v>
      </c>
      <c r="I62" s="264">
        <f>VLOOKUP('Statistika okresy'!$B62,Body!$B$3:$AR$172,8,FALSE)</f>
        <v>1</v>
      </c>
      <c r="J62" s="264">
        <f>VLOOKUP('Statistika okresy'!$B62,Body!$B$3:$AR$172,9,FALSE)</f>
        <v>1</v>
      </c>
      <c r="K62" s="264">
        <f>VLOOKUP('Statistika okresy'!$B62,Body!$B$3:$AR$172,10,FALSE)</f>
        <v>1</v>
      </c>
      <c r="L62" s="264">
        <f>VLOOKUP('Statistika okresy'!$B62,Body!$B$3:$AR$172,11,FALSE)</f>
        <v>4</v>
      </c>
      <c r="M62" s="264">
        <f>VLOOKUP('Statistika okresy'!$B62,Body!$B$3:$AR$172,12,FALSE)</f>
        <v>4</v>
      </c>
      <c r="N62" s="264">
        <f>VLOOKUP('Statistika okresy'!$B62,Body!$B$3:$AR$172,13,FALSE)</f>
        <v>8</v>
      </c>
      <c r="O62" s="264">
        <f>VLOOKUP('Statistika okresy'!$B62,Body!$B$3:$AR$172,14,FALSE)</f>
        <v>8</v>
      </c>
      <c r="P62" s="264">
        <f>VLOOKUP('Statistika okresy'!$B62,Body!$B$3:$AR$172,15,FALSE)</f>
        <v>3</v>
      </c>
      <c r="Q62" s="264">
        <f>VLOOKUP('Statistika okresy'!$B62,Body!$B$3:$AR$172,16,FALSE)</f>
        <v>5</v>
      </c>
      <c r="R62" s="264">
        <f>VLOOKUP('Statistika okresy'!$B62,Body!$B$3:$AR$172,17,FALSE)</f>
        <v>7</v>
      </c>
      <c r="S62" s="264">
        <f>VLOOKUP('Statistika okresy'!$B62,Body!$B$3:$AR$172,18,FALSE)</f>
        <v>8</v>
      </c>
      <c r="T62" s="264">
        <f>VLOOKUP('Statistika okresy'!$B62,Body!$B$3:$AR$172,19,FALSE)</f>
        <v>10</v>
      </c>
      <c r="U62" s="264">
        <f>VLOOKUP('Statistika okresy'!$B62,Body!$B$3:$AR$172,20,FALSE)</f>
        <v>7</v>
      </c>
      <c r="V62" s="264">
        <f>VLOOKUP('Statistika okresy'!$B62,Body!$B$3:$AR$172,21,FALSE)</f>
        <v>8</v>
      </c>
      <c r="W62" s="264">
        <f>VLOOKUP('Statistika okresy'!$B62,Body!$B$3:$AR$172,22,FALSE)</f>
        <v>5</v>
      </c>
      <c r="X62" s="264">
        <f>VLOOKUP('Statistika okresy'!$B62,Body!$B$3:$AR$172,23,FALSE)</f>
        <v>10</v>
      </c>
      <c r="Y62" s="264">
        <f>VLOOKUP('Statistika okresy'!$B62,Body!$B$3:$AR$172,24,FALSE)</f>
        <v>10</v>
      </c>
      <c r="Z62" s="264">
        <f>VLOOKUP('Statistika okresy'!$B62,Body!$B$3:$AR$172,25,FALSE)</f>
        <v>10</v>
      </c>
      <c r="AA62" s="264">
        <f>VLOOKUP('Statistika okresy'!$B62,Body!$B$3:$AR$172,26,FALSE)</f>
        <v>3</v>
      </c>
      <c r="AB62" s="264">
        <f>VLOOKUP('Statistika okresy'!$B62,Body!$B$3:$AR$172,27,FALSE)</f>
        <v>5</v>
      </c>
      <c r="AC62" s="265">
        <f>VLOOKUP('Statistika okresy'!$B62,Body!$B$3:$AR$172,35,FALSE)</f>
        <v>5.3333333333333375</v>
      </c>
      <c r="AD62" s="264">
        <f>VLOOKUP('Statistika okresy'!$B62,Body!$B$3:$AR$172,36,FALSE)</f>
        <v>29.766813284214784</v>
      </c>
      <c r="AE62" s="264">
        <f>VLOOKUP('Statistika okresy'!$B62,Body!$B$3:$AR$172,37,FALSE)</f>
        <v>28.881816096279266</v>
      </c>
      <c r="AF62" s="264">
        <f>VLOOKUP('Statistika okresy'!$B62,Body!$B$3:$AR$172,38,FALSE)</f>
        <v>74.037202222471763</v>
      </c>
      <c r="AG62" s="264">
        <f>VLOOKUP('Statistika okresy'!$B62,Body!$B$3:$AR$172,39,FALSE)</f>
        <v>77.230670515017792</v>
      </c>
      <c r="AH62" s="264">
        <f>VLOOKUP('Statistika okresy'!$B62,Body!$B$3:$AR$172,40,FALSE)</f>
        <v>103.80401550668654</v>
      </c>
      <c r="AI62" s="264">
        <f>VLOOKUP('Statistika okresy'!$B62,Body!$B$3:$AR$172,41,FALSE)</f>
        <v>106.11248661129706</v>
      </c>
      <c r="AJ62" s="390"/>
      <c r="AK62" s="407">
        <f>VLOOKUP('Statistika okresy'!$B62,Body!$B$3:$AR$172,43,FALSE)</f>
        <v>215.24983545131695</v>
      </c>
    </row>
    <row r="63" spans="1:37" ht="15.5" x14ac:dyDescent="0.35">
      <c r="A63" s="382">
        <v>2569</v>
      </c>
      <c r="B63" s="156" t="s">
        <v>638</v>
      </c>
      <c r="C63" s="352" t="s">
        <v>961</v>
      </c>
      <c r="D63" s="264">
        <f>VLOOKUP('Statistika okresy'!$B63,Body!$B$3:$AR$172,3,FALSE)</f>
        <v>5</v>
      </c>
      <c r="E63" s="264">
        <f>VLOOKUP('Statistika okresy'!$B63,Body!$B$3:$AR$172,4,FALSE)</f>
        <v>7</v>
      </c>
      <c r="F63" s="264">
        <f>VLOOKUP('Statistika okresy'!$B63,Body!$B$3:$AR$172,5,FALSE)</f>
        <v>8</v>
      </c>
      <c r="G63" s="264">
        <f>VLOOKUP('Statistika okresy'!$B63,Body!$B$3:$AR$172,6,FALSE)</f>
        <v>4</v>
      </c>
      <c r="H63" s="264">
        <f>VLOOKUP('Statistika okresy'!$B63,Body!$B$3:$AR$172,7,FALSE)</f>
        <v>3</v>
      </c>
      <c r="I63" s="264">
        <f>VLOOKUP('Statistika okresy'!$B63,Body!$B$3:$AR$172,8,FALSE)</f>
        <v>1</v>
      </c>
      <c r="J63" s="264">
        <f>VLOOKUP('Statistika okresy'!$B63,Body!$B$3:$AR$172,9,FALSE)</f>
        <v>1</v>
      </c>
      <c r="K63" s="264">
        <f>VLOOKUP('Statistika okresy'!$B63,Body!$B$3:$AR$172,10,FALSE)</f>
        <v>1</v>
      </c>
      <c r="L63" s="264">
        <f>VLOOKUP('Statistika okresy'!$B63,Body!$B$3:$AR$172,11,FALSE)</f>
        <v>5</v>
      </c>
      <c r="M63" s="264">
        <f>VLOOKUP('Statistika okresy'!$B63,Body!$B$3:$AR$172,12,FALSE)</f>
        <v>3</v>
      </c>
      <c r="N63" s="264">
        <f>VLOOKUP('Statistika okresy'!$B63,Body!$B$3:$AR$172,13,FALSE)</f>
        <v>10</v>
      </c>
      <c r="O63" s="264">
        <f>VLOOKUP('Statistika okresy'!$B63,Body!$B$3:$AR$172,14,FALSE)</f>
        <v>8</v>
      </c>
      <c r="P63" s="264">
        <f>VLOOKUP('Statistika okresy'!$B63,Body!$B$3:$AR$172,15,FALSE)</f>
        <v>5</v>
      </c>
      <c r="Q63" s="264">
        <f>VLOOKUP('Statistika okresy'!$B63,Body!$B$3:$AR$172,16,FALSE)</f>
        <v>3</v>
      </c>
      <c r="R63" s="264">
        <f>VLOOKUP('Statistika okresy'!$B63,Body!$B$3:$AR$172,17,FALSE)</f>
        <v>3</v>
      </c>
      <c r="S63" s="264">
        <f>VLOOKUP('Statistika okresy'!$B63,Body!$B$3:$AR$172,18,FALSE)</f>
        <v>4</v>
      </c>
      <c r="T63" s="264">
        <f>VLOOKUP('Statistika okresy'!$B63,Body!$B$3:$AR$172,19,FALSE)</f>
        <v>4</v>
      </c>
      <c r="U63" s="264">
        <f>VLOOKUP('Statistika okresy'!$B63,Body!$B$3:$AR$172,20,FALSE)</f>
        <v>7</v>
      </c>
      <c r="V63" s="264">
        <f>VLOOKUP('Statistika okresy'!$B63,Body!$B$3:$AR$172,21,FALSE)</f>
        <v>6</v>
      </c>
      <c r="W63" s="264">
        <f>VLOOKUP('Statistika okresy'!$B63,Body!$B$3:$AR$172,22,FALSE)</f>
        <v>6</v>
      </c>
      <c r="X63" s="264">
        <f>VLOOKUP('Statistika okresy'!$B63,Body!$B$3:$AR$172,23,FALSE)</f>
        <v>10</v>
      </c>
      <c r="Y63" s="264">
        <f>VLOOKUP('Statistika okresy'!$B63,Body!$B$3:$AR$172,24,FALSE)</f>
        <v>10</v>
      </c>
      <c r="Z63" s="264">
        <f>VLOOKUP('Statistika okresy'!$B63,Body!$B$3:$AR$172,25,FALSE)</f>
        <v>10</v>
      </c>
      <c r="AA63" s="264">
        <f>VLOOKUP('Statistika okresy'!$B63,Body!$B$3:$AR$172,26,FALSE)</f>
        <v>10</v>
      </c>
      <c r="AB63" s="264">
        <f>VLOOKUP('Statistika okresy'!$B63,Body!$B$3:$AR$172,27,FALSE)</f>
        <v>5</v>
      </c>
      <c r="AC63" s="265">
        <f>VLOOKUP('Statistika okresy'!$B63,Body!$B$3:$AR$172,35,FALSE)</f>
        <v>14.666666666666682</v>
      </c>
      <c r="AD63" s="264">
        <f>VLOOKUP('Statistika okresy'!$B63,Body!$B$3:$AR$172,36,FALSE)</f>
        <v>36.366709554456641</v>
      </c>
      <c r="AE63" s="264">
        <f>VLOOKUP('Statistika okresy'!$B63,Body!$B$3:$AR$172,37,FALSE)</f>
        <v>26.210046105898929</v>
      </c>
      <c r="AF63" s="264">
        <f>VLOOKUP('Statistika okresy'!$B63,Body!$B$3:$AR$172,38,FALSE)</f>
        <v>55.293519979763829</v>
      </c>
      <c r="AG63" s="264">
        <f>VLOOKUP('Statistika okresy'!$B63,Body!$B$3:$AR$172,39,FALSE)</f>
        <v>55.293519979763829</v>
      </c>
      <c r="AH63" s="264">
        <f>VLOOKUP('Statistika okresy'!$B63,Body!$B$3:$AR$172,40,FALSE)</f>
        <v>91.660229534220463</v>
      </c>
      <c r="AI63" s="264">
        <f>VLOOKUP('Statistika okresy'!$B63,Body!$B$3:$AR$172,41,FALSE)</f>
        <v>81.503566085662754</v>
      </c>
      <c r="AJ63" s="390"/>
      <c r="AK63" s="407">
        <f>VLOOKUP('Statistika okresy'!$B63,Body!$B$3:$AR$172,43,FALSE)</f>
        <v>187.8304622865499</v>
      </c>
    </row>
    <row r="64" spans="1:37" ht="15.5" x14ac:dyDescent="0.35">
      <c r="A64" s="382">
        <v>2572</v>
      </c>
      <c r="B64" s="156" t="s">
        <v>661</v>
      </c>
      <c r="C64" s="352" t="s">
        <v>961</v>
      </c>
      <c r="D64" s="264">
        <f>VLOOKUP('Statistika okresy'!$B64,Body!$B$3:$AR$172,3,FALSE)</f>
        <v>4</v>
      </c>
      <c r="E64" s="264">
        <f>VLOOKUP('Statistika okresy'!$B64,Body!$B$3:$AR$172,4,FALSE)</f>
        <v>4</v>
      </c>
      <c r="F64" s="264">
        <f>VLOOKUP('Statistika okresy'!$B64,Body!$B$3:$AR$172,5,FALSE)</f>
        <v>3</v>
      </c>
      <c r="G64" s="264">
        <f>VLOOKUP('Statistika okresy'!$B64,Body!$B$3:$AR$172,6,FALSE)</f>
        <v>3</v>
      </c>
      <c r="H64" s="264">
        <f>VLOOKUP('Statistika okresy'!$B64,Body!$B$3:$AR$172,7,FALSE)</f>
        <v>1</v>
      </c>
      <c r="I64" s="264">
        <f>VLOOKUP('Statistika okresy'!$B64,Body!$B$3:$AR$172,8,FALSE)</f>
        <v>1</v>
      </c>
      <c r="J64" s="264">
        <f>VLOOKUP('Statistika okresy'!$B64,Body!$B$3:$AR$172,9,FALSE)</f>
        <v>1</v>
      </c>
      <c r="K64" s="264">
        <f>VLOOKUP('Statistika okresy'!$B64,Body!$B$3:$AR$172,10,FALSE)</f>
        <v>1</v>
      </c>
      <c r="L64" s="264">
        <f>VLOOKUP('Statistika okresy'!$B64,Body!$B$3:$AR$172,11,FALSE)</f>
        <v>5</v>
      </c>
      <c r="M64" s="264">
        <f>VLOOKUP('Statistika okresy'!$B64,Body!$B$3:$AR$172,12,FALSE)</f>
        <v>4</v>
      </c>
      <c r="N64" s="264">
        <f>VLOOKUP('Statistika okresy'!$B64,Body!$B$3:$AR$172,13,FALSE)</f>
        <v>9</v>
      </c>
      <c r="O64" s="264">
        <f>VLOOKUP('Statistika okresy'!$B64,Body!$B$3:$AR$172,14,FALSE)</f>
        <v>9</v>
      </c>
      <c r="P64" s="264">
        <f>VLOOKUP('Statistika okresy'!$B64,Body!$B$3:$AR$172,15,FALSE)</f>
        <v>3</v>
      </c>
      <c r="Q64" s="264">
        <f>VLOOKUP('Statistika okresy'!$B64,Body!$B$3:$AR$172,16,FALSE)</f>
        <v>4</v>
      </c>
      <c r="R64" s="264">
        <f>VLOOKUP('Statistika okresy'!$B64,Body!$B$3:$AR$172,17,FALSE)</f>
        <v>4</v>
      </c>
      <c r="S64" s="264">
        <f>VLOOKUP('Statistika okresy'!$B64,Body!$B$3:$AR$172,18,FALSE)</f>
        <v>8</v>
      </c>
      <c r="T64" s="264">
        <f>VLOOKUP('Statistika okresy'!$B64,Body!$B$3:$AR$172,19,FALSE)</f>
        <v>8</v>
      </c>
      <c r="U64" s="264">
        <f>VLOOKUP('Statistika okresy'!$B64,Body!$B$3:$AR$172,20,FALSE)</f>
        <v>7</v>
      </c>
      <c r="V64" s="264">
        <f>VLOOKUP('Statistika okresy'!$B64,Body!$B$3:$AR$172,21,FALSE)</f>
        <v>6</v>
      </c>
      <c r="W64" s="264">
        <f>VLOOKUP('Statistika okresy'!$B64,Body!$B$3:$AR$172,22,FALSE)</f>
        <v>10</v>
      </c>
      <c r="X64" s="264">
        <f>VLOOKUP('Statistika okresy'!$B64,Body!$B$3:$AR$172,23,FALSE)</f>
        <v>10</v>
      </c>
      <c r="Y64" s="264">
        <f>VLOOKUP('Statistika okresy'!$B64,Body!$B$3:$AR$172,24,FALSE)</f>
        <v>10</v>
      </c>
      <c r="Z64" s="264">
        <f>VLOOKUP('Statistika okresy'!$B64,Body!$B$3:$AR$172,25,FALSE)</f>
        <v>10</v>
      </c>
      <c r="AA64" s="264">
        <f>VLOOKUP('Statistika okresy'!$B64,Body!$B$3:$AR$172,26,FALSE)</f>
        <v>5</v>
      </c>
      <c r="AB64" s="264">
        <f>VLOOKUP('Statistika okresy'!$B64,Body!$B$3:$AR$172,27,FALSE)</f>
        <v>5</v>
      </c>
      <c r="AC64" s="265">
        <f>VLOOKUP('Statistika okresy'!$B64,Body!$B$3:$AR$172,35,FALSE)</f>
        <v>8.0000000000000071</v>
      </c>
      <c r="AD64" s="264">
        <f>VLOOKUP('Statistika okresy'!$B64,Body!$B$3:$AR$172,36,FALSE)</f>
        <v>25.028664627385858</v>
      </c>
      <c r="AE64" s="264">
        <f>VLOOKUP('Statistika okresy'!$B64,Body!$B$3:$AR$172,37,FALSE)</f>
        <v>24.38131919709982</v>
      </c>
      <c r="AF64" s="264">
        <f>VLOOKUP('Statistika okresy'!$B64,Body!$B$3:$AR$172,38,FALSE)</f>
        <v>70.948015808067794</v>
      </c>
      <c r="AG64" s="264">
        <f>VLOOKUP('Statistika okresy'!$B64,Body!$B$3:$AR$172,39,FALSE)</f>
        <v>77.126388636875731</v>
      </c>
      <c r="AH64" s="264">
        <f>VLOOKUP('Statistika okresy'!$B64,Body!$B$3:$AR$172,40,FALSE)</f>
        <v>95.976680435453659</v>
      </c>
      <c r="AI64" s="264">
        <f>VLOOKUP('Statistika okresy'!$B64,Body!$B$3:$AR$172,41,FALSE)</f>
        <v>101.50770783397556</v>
      </c>
      <c r="AJ64" s="390"/>
      <c r="AK64" s="407">
        <f>VLOOKUP('Statistika okresy'!$B64,Body!$B$3:$AR$172,43,FALSE)</f>
        <v>205.48438826942922</v>
      </c>
    </row>
    <row r="65" spans="1:37" ht="15.5" x14ac:dyDescent="0.35">
      <c r="A65" s="382">
        <v>2575</v>
      </c>
      <c r="B65" s="156" t="s">
        <v>604</v>
      </c>
      <c r="C65" s="352" t="s">
        <v>961</v>
      </c>
      <c r="D65" s="264">
        <f>VLOOKUP('Statistika okresy'!$B65,Body!$B$3:$AR$172,3,FALSE)</f>
        <v>4</v>
      </c>
      <c r="E65" s="264">
        <f>VLOOKUP('Statistika okresy'!$B65,Body!$B$3:$AR$172,4,FALSE)</f>
        <v>3</v>
      </c>
      <c r="F65" s="264">
        <f>VLOOKUP('Statistika okresy'!$B65,Body!$B$3:$AR$172,5,FALSE)</f>
        <v>8</v>
      </c>
      <c r="G65" s="264">
        <f>VLOOKUP('Statistika okresy'!$B65,Body!$B$3:$AR$172,6,FALSE)</f>
        <v>8</v>
      </c>
      <c r="H65" s="264">
        <f>VLOOKUP('Statistika okresy'!$B65,Body!$B$3:$AR$172,7,FALSE)</f>
        <v>3</v>
      </c>
      <c r="I65" s="264">
        <f>VLOOKUP('Statistika okresy'!$B65,Body!$B$3:$AR$172,8,FALSE)</f>
        <v>1</v>
      </c>
      <c r="J65" s="264">
        <f>VLOOKUP('Statistika okresy'!$B65,Body!$B$3:$AR$172,9,FALSE)</f>
        <v>3</v>
      </c>
      <c r="K65" s="264">
        <f>VLOOKUP('Statistika okresy'!$B65,Body!$B$3:$AR$172,10,FALSE)</f>
        <v>2</v>
      </c>
      <c r="L65" s="264">
        <f>VLOOKUP('Statistika okresy'!$B65,Body!$B$3:$AR$172,11,FALSE)</f>
        <v>10</v>
      </c>
      <c r="M65" s="264">
        <f>VLOOKUP('Statistika okresy'!$B65,Body!$B$3:$AR$172,12,FALSE)</f>
        <v>10</v>
      </c>
      <c r="N65" s="264">
        <f>VLOOKUP('Statistika okresy'!$B65,Body!$B$3:$AR$172,13,FALSE)</f>
        <v>10</v>
      </c>
      <c r="O65" s="264">
        <f>VLOOKUP('Statistika okresy'!$B65,Body!$B$3:$AR$172,14,FALSE)</f>
        <v>10</v>
      </c>
      <c r="P65" s="264">
        <f>VLOOKUP('Statistika okresy'!$B65,Body!$B$3:$AR$172,15,FALSE)</f>
        <v>3</v>
      </c>
      <c r="Q65" s="264">
        <f>VLOOKUP('Statistika okresy'!$B65,Body!$B$3:$AR$172,16,FALSE)</f>
        <v>9</v>
      </c>
      <c r="R65" s="264">
        <f>VLOOKUP('Statistika okresy'!$B65,Body!$B$3:$AR$172,17,FALSE)</f>
        <v>9</v>
      </c>
      <c r="S65" s="264">
        <f>VLOOKUP('Statistika okresy'!$B65,Body!$B$3:$AR$172,18,FALSE)</f>
        <v>4</v>
      </c>
      <c r="T65" s="264">
        <f>VLOOKUP('Statistika okresy'!$B65,Body!$B$3:$AR$172,19,FALSE)</f>
        <v>3</v>
      </c>
      <c r="U65" s="264">
        <f>VLOOKUP('Statistika okresy'!$B65,Body!$B$3:$AR$172,20,FALSE)</f>
        <v>7</v>
      </c>
      <c r="V65" s="264">
        <f>VLOOKUP('Statistika okresy'!$B65,Body!$B$3:$AR$172,21,FALSE)</f>
        <v>8</v>
      </c>
      <c r="W65" s="264">
        <f>VLOOKUP('Statistika okresy'!$B65,Body!$B$3:$AR$172,22,FALSE)</f>
        <v>8</v>
      </c>
      <c r="X65" s="264">
        <f>VLOOKUP('Statistika okresy'!$B65,Body!$B$3:$AR$172,23,FALSE)</f>
        <v>10</v>
      </c>
      <c r="Y65" s="264">
        <f>VLOOKUP('Statistika okresy'!$B65,Body!$B$3:$AR$172,24,FALSE)</f>
        <v>10</v>
      </c>
      <c r="Z65" s="264">
        <f>VLOOKUP('Statistika okresy'!$B65,Body!$B$3:$AR$172,25,FALSE)</f>
        <v>10</v>
      </c>
      <c r="AA65" s="264">
        <f>VLOOKUP('Statistika okresy'!$B65,Body!$B$3:$AR$172,26,FALSE)</f>
        <v>1</v>
      </c>
      <c r="AB65" s="264">
        <f>VLOOKUP('Statistika okresy'!$B65,Body!$B$3:$AR$172,27,FALSE)</f>
        <v>5</v>
      </c>
      <c r="AC65" s="265">
        <f>VLOOKUP('Statistika okresy'!$B65,Body!$B$3:$AR$172,35,FALSE)</f>
        <v>2.6666666666666687</v>
      </c>
      <c r="AD65" s="264">
        <f>VLOOKUP('Statistika okresy'!$B65,Body!$B$3:$AR$172,36,FALSE)</f>
        <v>45.284989225207944</v>
      </c>
      <c r="AE65" s="264">
        <f>VLOOKUP('Statistika okresy'!$B65,Body!$B$3:$AR$172,37,FALSE)</f>
        <v>44.298517842591153</v>
      </c>
      <c r="AF65" s="264">
        <f>VLOOKUP('Statistika okresy'!$B65,Body!$B$3:$AR$172,38,FALSE)</f>
        <v>58.382706394167805</v>
      </c>
      <c r="AG65" s="264">
        <f>VLOOKUP('Statistika okresy'!$B65,Body!$B$3:$AR$172,39,FALSE)</f>
        <v>54.469082437091807</v>
      </c>
      <c r="AH65" s="264">
        <f>VLOOKUP('Statistika okresy'!$B65,Body!$B$3:$AR$172,40,FALSE)</f>
        <v>103.66769561937575</v>
      </c>
      <c r="AI65" s="264">
        <f>VLOOKUP('Statistika okresy'!$B65,Body!$B$3:$AR$172,41,FALSE)</f>
        <v>98.767600279682966</v>
      </c>
      <c r="AJ65" s="390"/>
      <c r="AK65" s="407">
        <f>VLOOKUP('Statistika okresy'!$B65,Body!$B$3:$AR$172,43,FALSE)</f>
        <v>205.10196256572536</v>
      </c>
    </row>
    <row r="66" spans="1:37" ht="15.5" x14ac:dyDescent="0.35">
      <c r="A66" s="382">
        <v>2578</v>
      </c>
      <c r="B66" s="156" t="s">
        <v>639</v>
      </c>
      <c r="C66" s="352" t="s">
        <v>961</v>
      </c>
      <c r="D66" s="264">
        <f>VLOOKUP('Statistika okresy'!$B66,Body!$B$3:$AR$172,3,FALSE)</f>
        <v>2</v>
      </c>
      <c r="E66" s="264">
        <f>VLOOKUP('Statistika okresy'!$B66,Body!$B$3:$AR$172,4,FALSE)</f>
        <v>2</v>
      </c>
      <c r="F66" s="264">
        <f>VLOOKUP('Statistika okresy'!$B66,Body!$B$3:$AR$172,5,FALSE)</f>
        <v>4</v>
      </c>
      <c r="G66" s="264">
        <f>VLOOKUP('Statistika okresy'!$B66,Body!$B$3:$AR$172,6,FALSE)</f>
        <v>2</v>
      </c>
      <c r="H66" s="264">
        <f>VLOOKUP('Statistika okresy'!$B66,Body!$B$3:$AR$172,7,FALSE)</f>
        <v>1</v>
      </c>
      <c r="I66" s="264">
        <f>VLOOKUP('Statistika okresy'!$B66,Body!$B$3:$AR$172,8,FALSE)</f>
        <v>1</v>
      </c>
      <c r="J66" s="264">
        <f>VLOOKUP('Statistika okresy'!$B66,Body!$B$3:$AR$172,9,FALSE)</f>
        <v>2</v>
      </c>
      <c r="K66" s="264">
        <f>VLOOKUP('Statistika okresy'!$B66,Body!$B$3:$AR$172,10,FALSE)</f>
        <v>2</v>
      </c>
      <c r="L66" s="264">
        <f>VLOOKUP('Statistika okresy'!$B66,Body!$B$3:$AR$172,11,FALSE)</f>
        <v>3</v>
      </c>
      <c r="M66" s="264">
        <f>VLOOKUP('Statistika okresy'!$B66,Body!$B$3:$AR$172,12,FALSE)</f>
        <v>5</v>
      </c>
      <c r="N66" s="264">
        <f>VLOOKUP('Statistika okresy'!$B66,Body!$B$3:$AR$172,13,FALSE)</f>
        <v>10</v>
      </c>
      <c r="O66" s="264">
        <f>VLOOKUP('Statistika okresy'!$B66,Body!$B$3:$AR$172,14,FALSE)</f>
        <v>10</v>
      </c>
      <c r="P66" s="264">
        <f>VLOOKUP('Statistika okresy'!$B66,Body!$B$3:$AR$172,15,FALSE)</f>
        <v>5</v>
      </c>
      <c r="Q66" s="264">
        <f>VLOOKUP('Statistika okresy'!$B66,Body!$B$3:$AR$172,16,FALSE)</f>
        <v>4</v>
      </c>
      <c r="R66" s="264">
        <f>VLOOKUP('Statistika okresy'!$B66,Body!$B$3:$AR$172,17,FALSE)</f>
        <v>5</v>
      </c>
      <c r="S66" s="264">
        <f>VLOOKUP('Statistika okresy'!$B66,Body!$B$3:$AR$172,18,FALSE)</f>
        <v>7</v>
      </c>
      <c r="T66" s="264">
        <f>VLOOKUP('Statistika okresy'!$B66,Body!$B$3:$AR$172,19,FALSE)</f>
        <v>10</v>
      </c>
      <c r="U66" s="264">
        <f>VLOOKUP('Statistika okresy'!$B66,Body!$B$3:$AR$172,20,FALSE)</f>
        <v>7</v>
      </c>
      <c r="V66" s="264">
        <f>VLOOKUP('Statistika okresy'!$B66,Body!$B$3:$AR$172,21,FALSE)</f>
        <v>6</v>
      </c>
      <c r="W66" s="264">
        <f>VLOOKUP('Statistika okresy'!$B66,Body!$B$3:$AR$172,22,FALSE)</f>
        <v>4</v>
      </c>
      <c r="X66" s="264">
        <f>VLOOKUP('Statistika okresy'!$B66,Body!$B$3:$AR$172,23,FALSE)</f>
        <v>9</v>
      </c>
      <c r="Y66" s="264">
        <f>VLOOKUP('Statistika okresy'!$B66,Body!$B$3:$AR$172,24,FALSE)</f>
        <v>10</v>
      </c>
      <c r="Z66" s="264">
        <f>VLOOKUP('Statistika okresy'!$B66,Body!$B$3:$AR$172,25,FALSE)</f>
        <v>10</v>
      </c>
      <c r="AA66" s="264">
        <f>VLOOKUP('Statistika okresy'!$B66,Body!$B$3:$AR$172,26,FALSE)</f>
        <v>5</v>
      </c>
      <c r="AB66" s="264">
        <f>VLOOKUP('Statistika okresy'!$B66,Body!$B$3:$AR$172,27,FALSE)</f>
        <v>5</v>
      </c>
      <c r="AC66" s="265">
        <f>VLOOKUP('Statistika okresy'!$B66,Body!$B$3:$AR$172,35,FALSE)</f>
        <v>8.0000000000000071</v>
      </c>
      <c r="AD66" s="264">
        <f>VLOOKUP('Statistika okresy'!$B66,Body!$B$3:$AR$172,36,FALSE)</f>
        <v>27.522202366889452</v>
      </c>
      <c r="AE66" s="264">
        <f>VLOOKUP('Statistika okresy'!$B66,Body!$B$3:$AR$172,37,FALSE)</f>
        <v>26.280670715868311</v>
      </c>
      <c r="AF66" s="264">
        <f>VLOOKUP('Statistika okresy'!$B66,Body!$B$3:$AR$172,38,FALSE)</f>
        <v>66.295335315915651</v>
      </c>
      <c r="AG66" s="264">
        <f>VLOOKUP('Statistika okresy'!$B66,Body!$B$3:$AR$172,39,FALSE)</f>
        <v>74.947020772739648</v>
      </c>
      <c r="AH66" s="264">
        <f>VLOOKUP('Statistika okresy'!$B66,Body!$B$3:$AR$172,40,FALSE)</f>
        <v>93.817537682805096</v>
      </c>
      <c r="AI66" s="264">
        <f>VLOOKUP('Statistika okresy'!$B66,Body!$B$3:$AR$172,41,FALSE)</f>
        <v>101.22769148860796</v>
      </c>
      <c r="AJ66" s="390"/>
      <c r="AK66" s="407">
        <f>VLOOKUP('Statistika okresy'!$B66,Body!$B$3:$AR$172,43,FALSE)</f>
        <v>203.04522917141304</v>
      </c>
    </row>
    <row r="67" spans="1:37" ht="15.5" x14ac:dyDescent="0.35">
      <c r="A67" s="382">
        <v>2581</v>
      </c>
      <c r="B67" s="156" t="s">
        <v>640</v>
      </c>
      <c r="C67" s="352" t="s">
        <v>961</v>
      </c>
      <c r="D67" s="264">
        <f>VLOOKUP('Statistika okresy'!$B67,Body!$B$3:$AR$172,3,FALSE)</f>
        <v>6</v>
      </c>
      <c r="E67" s="264">
        <f>VLOOKUP('Statistika okresy'!$B67,Body!$B$3:$AR$172,4,FALSE)</f>
        <v>7</v>
      </c>
      <c r="F67" s="264">
        <f>VLOOKUP('Statistika okresy'!$B67,Body!$B$3:$AR$172,5,FALSE)</f>
        <v>3</v>
      </c>
      <c r="G67" s="264">
        <f>VLOOKUP('Statistika okresy'!$B67,Body!$B$3:$AR$172,6,FALSE)</f>
        <v>2</v>
      </c>
      <c r="H67" s="264">
        <f>VLOOKUP('Statistika okresy'!$B67,Body!$B$3:$AR$172,7,FALSE)</f>
        <v>1</v>
      </c>
      <c r="I67" s="264">
        <f>VLOOKUP('Statistika okresy'!$B67,Body!$B$3:$AR$172,8,FALSE)</f>
        <v>1</v>
      </c>
      <c r="J67" s="264">
        <f>VLOOKUP('Statistika okresy'!$B67,Body!$B$3:$AR$172,9,FALSE)</f>
        <v>3</v>
      </c>
      <c r="K67" s="264">
        <f>VLOOKUP('Statistika okresy'!$B67,Body!$B$3:$AR$172,10,FALSE)</f>
        <v>1</v>
      </c>
      <c r="L67" s="264">
        <f>VLOOKUP('Statistika okresy'!$B67,Body!$B$3:$AR$172,11,FALSE)</f>
        <v>2</v>
      </c>
      <c r="M67" s="264">
        <f>VLOOKUP('Statistika okresy'!$B67,Body!$B$3:$AR$172,12,FALSE)</f>
        <v>1</v>
      </c>
      <c r="N67" s="264">
        <f>VLOOKUP('Statistika okresy'!$B67,Body!$B$3:$AR$172,13,FALSE)</f>
        <v>6</v>
      </c>
      <c r="O67" s="264">
        <f>VLOOKUP('Statistika okresy'!$B67,Body!$B$3:$AR$172,14,FALSE)</f>
        <v>6</v>
      </c>
      <c r="P67" s="264">
        <f>VLOOKUP('Statistika okresy'!$B67,Body!$B$3:$AR$172,15,FALSE)</f>
        <v>6</v>
      </c>
      <c r="Q67" s="264">
        <f>VLOOKUP('Statistika okresy'!$B67,Body!$B$3:$AR$172,16,FALSE)</f>
        <v>3</v>
      </c>
      <c r="R67" s="264">
        <f>VLOOKUP('Statistika okresy'!$B67,Body!$B$3:$AR$172,17,FALSE)</f>
        <v>2</v>
      </c>
      <c r="S67" s="264">
        <f>VLOOKUP('Statistika okresy'!$B67,Body!$B$3:$AR$172,18,FALSE)</f>
        <v>4</v>
      </c>
      <c r="T67" s="264">
        <f>VLOOKUP('Statistika okresy'!$B67,Body!$B$3:$AR$172,19,FALSE)</f>
        <v>4</v>
      </c>
      <c r="U67" s="264">
        <f>VLOOKUP('Statistika okresy'!$B67,Body!$B$3:$AR$172,20,FALSE)</f>
        <v>7</v>
      </c>
      <c r="V67" s="264">
        <f>VLOOKUP('Statistika okresy'!$B67,Body!$B$3:$AR$172,21,FALSE)</f>
        <v>7</v>
      </c>
      <c r="W67" s="264">
        <f>VLOOKUP('Statistika okresy'!$B67,Body!$B$3:$AR$172,22,FALSE)</f>
        <v>8</v>
      </c>
      <c r="X67" s="264">
        <f>VLOOKUP('Statistika okresy'!$B67,Body!$B$3:$AR$172,23,FALSE)</f>
        <v>9</v>
      </c>
      <c r="Y67" s="264">
        <f>VLOOKUP('Statistika okresy'!$B67,Body!$B$3:$AR$172,24,FALSE)</f>
        <v>10</v>
      </c>
      <c r="Z67" s="264">
        <f>VLOOKUP('Statistika okresy'!$B67,Body!$B$3:$AR$172,25,FALSE)</f>
        <v>10</v>
      </c>
      <c r="AA67" s="264">
        <f>VLOOKUP('Statistika okresy'!$B67,Body!$B$3:$AR$172,26,FALSE)</f>
        <v>10</v>
      </c>
      <c r="AB67" s="264">
        <f>VLOOKUP('Statistika okresy'!$B67,Body!$B$3:$AR$172,27,FALSE)</f>
        <v>5</v>
      </c>
      <c r="AC67" s="265">
        <f>VLOOKUP('Statistika okresy'!$B67,Body!$B$3:$AR$172,35,FALSE)</f>
        <v>14.666666666666682</v>
      </c>
      <c r="AD67" s="264">
        <f>VLOOKUP('Statistika okresy'!$B67,Body!$B$3:$AR$172,36,FALSE)</f>
        <v>22.943900399215526</v>
      </c>
      <c r="AE67" s="264">
        <f>VLOOKUP('Statistika okresy'!$B67,Body!$B$3:$AR$172,37,FALSE)</f>
        <v>19.170186623646266</v>
      </c>
      <c r="AF67" s="264">
        <f>VLOOKUP('Statistika okresy'!$B67,Body!$B$3:$AR$172,38,FALSE)</f>
        <v>56.099056651889669</v>
      </c>
      <c r="AG67" s="264">
        <f>VLOOKUP('Statistika okresy'!$B67,Body!$B$3:$AR$172,39,FALSE)</f>
        <v>57.64364985909166</v>
      </c>
      <c r="AH67" s="264">
        <f>VLOOKUP('Statistika okresy'!$B67,Body!$B$3:$AR$172,40,FALSE)</f>
        <v>79.042957051105191</v>
      </c>
      <c r="AI67" s="264">
        <f>VLOOKUP('Statistika okresy'!$B67,Body!$B$3:$AR$172,41,FALSE)</f>
        <v>76.813836482737926</v>
      </c>
      <c r="AJ67" s="390"/>
      <c r="AK67" s="407">
        <f>VLOOKUP('Statistika okresy'!$B67,Body!$B$3:$AR$172,43,FALSE)</f>
        <v>170.52346020050982</v>
      </c>
    </row>
    <row r="68" spans="1:37" ht="15.5" x14ac:dyDescent="0.35">
      <c r="A68" s="382">
        <v>2584</v>
      </c>
      <c r="B68" s="156" t="s">
        <v>625</v>
      </c>
      <c r="C68" s="352" t="s">
        <v>961</v>
      </c>
      <c r="D68" s="264">
        <f>VLOOKUP('Statistika okresy'!$B68,Body!$B$3:$AR$172,3,FALSE)</f>
        <v>7</v>
      </c>
      <c r="E68" s="264">
        <f>VLOOKUP('Statistika okresy'!$B68,Body!$B$3:$AR$172,4,FALSE)</f>
        <v>4</v>
      </c>
      <c r="F68" s="264">
        <f>VLOOKUP('Statistika okresy'!$B68,Body!$B$3:$AR$172,5,FALSE)</f>
        <v>3</v>
      </c>
      <c r="G68" s="264">
        <f>VLOOKUP('Statistika okresy'!$B68,Body!$B$3:$AR$172,6,FALSE)</f>
        <v>2</v>
      </c>
      <c r="H68" s="264">
        <f>VLOOKUP('Statistika okresy'!$B68,Body!$B$3:$AR$172,7,FALSE)</f>
        <v>8</v>
      </c>
      <c r="I68" s="264">
        <f>VLOOKUP('Statistika okresy'!$B68,Body!$B$3:$AR$172,8,FALSE)</f>
        <v>9</v>
      </c>
      <c r="J68" s="264">
        <f>VLOOKUP('Statistika okresy'!$B68,Body!$B$3:$AR$172,9,FALSE)</f>
        <v>1</v>
      </c>
      <c r="K68" s="264">
        <f>VLOOKUP('Statistika okresy'!$B68,Body!$B$3:$AR$172,10,FALSE)</f>
        <v>1</v>
      </c>
      <c r="L68" s="264">
        <f>VLOOKUP('Statistika okresy'!$B68,Body!$B$3:$AR$172,11,FALSE)</f>
        <v>4</v>
      </c>
      <c r="M68" s="264">
        <f>VLOOKUP('Statistika okresy'!$B68,Body!$B$3:$AR$172,12,FALSE)</f>
        <v>4</v>
      </c>
      <c r="N68" s="264">
        <f>VLOOKUP('Statistika okresy'!$B68,Body!$B$3:$AR$172,13,FALSE)</f>
        <v>9</v>
      </c>
      <c r="O68" s="264">
        <f>VLOOKUP('Statistika okresy'!$B68,Body!$B$3:$AR$172,14,FALSE)</f>
        <v>8</v>
      </c>
      <c r="P68" s="264">
        <f>VLOOKUP('Statistika okresy'!$B68,Body!$B$3:$AR$172,15,FALSE)</f>
        <v>3</v>
      </c>
      <c r="Q68" s="264">
        <f>VLOOKUP('Statistika okresy'!$B68,Body!$B$3:$AR$172,16,FALSE)</f>
        <v>6</v>
      </c>
      <c r="R68" s="264">
        <f>VLOOKUP('Statistika okresy'!$B68,Body!$B$3:$AR$172,17,FALSE)</f>
        <v>7</v>
      </c>
      <c r="S68" s="264">
        <f>VLOOKUP('Statistika okresy'!$B68,Body!$B$3:$AR$172,18,FALSE)</f>
        <v>8</v>
      </c>
      <c r="T68" s="264">
        <f>VLOOKUP('Statistika okresy'!$B68,Body!$B$3:$AR$172,19,FALSE)</f>
        <v>10</v>
      </c>
      <c r="U68" s="264">
        <f>VLOOKUP('Statistika okresy'!$B68,Body!$B$3:$AR$172,20,FALSE)</f>
        <v>7</v>
      </c>
      <c r="V68" s="264">
        <f>VLOOKUP('Statistika okresy'!$B68,Body!$B$3:$AR$172,21,FALSE)</f>
        <v>8</v>
      </c>
      <c r="W68" s="264">
        <f>VLOOKUP('Statistika okresy'!$B68,Body!$B$3:$AR$172,22,FALSE)</f>
        <v>6</v>
      </c>
      <c r="X68" s="264">
        <f>VLOOKUP('Statistika okresy'!$B68,Body!$B$3:$AR$172,23,FALSE)</f>
        <v>10</v>
      </c>
      <c r="Y68" s="264">
        <f>VLOOKUP('Statistika okresy'!$B68,Body!$B$3:$AR$172,24,FALSE)</f>
        <v>10</v>
      </c>
      <c r="Z68" s="264">
        <f>VLOOKUP('Statistika okresy'!$B68,Body!$B$3:$AR$172,25,FALSE)</f>
        <v>10</v>
      </c>
      <c r="AA68" s="264">
        <f>VLOOKUP('Statistika okresy'!$B68,Body!$B$3:$AR$172,26,FALSE)</f>
        <v>5</v>
      </c>
      <c r="AB68" s="264">
        <f>VLOOKUP('Statistika okresy'!$B68,Body!$B$3:$AR$172,27,FALSE)</f>
        <v>5</v>
      </c>
      <c r="AC68" s="265">
        <f>VLOOKUP('Statistika okresy'!$B68,Body!$B$3:$AR$172,35,FALSE)</f>
        <v>8.0000000000000071</v>
      </c>
      <c r="AD68" s="264">
        <f>VLOOKUP('Statistika okresy'!$B68,Body!$B$3:$AR$172,36,FALSE)</f>
        <v>29.39608331593562</v>
      </c>
      <c r="AE68" s="264">
        <f>VLOOKUP('Statistika okresy'!$B68,Body!$B$3:$AR$172,37,FALSE)</f>
        <v>27.147717251016072</v>
      </c>
      <c r="AF68" s="264">
        <f>VLOOKUP('Statistika okresy'!$B68,Body!$B$3:$AR$172,38,FALSE)</f>
        <v>74.037202222471763</v>
      </c>
      <c r="AG68" s="264">
        <f>VLOOKUP('Statistika okresy'!$B68,Body!$B$3:$AR$172,39,FALSE)</f>
        <v>78.775263722219762</v>
      </c>
      <c r="AH68" s="264">
        <f>VLOOKUP('Statistika okresy'!$B68,Body!$B$3:$AR$172,40,FALSE)</f>
        <v>103.43328553840738</v>
      </c>
      <c r="AI68" s="264">
        <f>VLOOKUP('Statistika okresy'!$B68,Body!$B$3:$AR$172,41,FALSE)</f>
        <v>105.92298097323584</v>
      </c>
      <c r="AJ68" s="390"/>
      <c r="AK68" s="407">
        <f>VLOOKUP('Statistika okresy'!$B68,Body!$B$3:$AR$172,43,FALSE)</f>
        <v>217.35626651164321</v>
      </c>
    </row>
    <row r="69" spans="1:37" ht="15.5" x14ac:dyDescent="0.35">
      <c r="A69" s="382">
        <v>2587</v>
      </c>
      <c r="B69" s="156" t="s">
        <v>584</v>
      </c>
      <c r="C69" s="352" t="s">
        <v>961</v>
      </c>
      <c r="D69" s="264">
        <f>VLOOKUP('Statistika okresy'!$B69,Body!$B$3:$AR$172,3,FALSE)</f>
        <v>5</v>
      </c>
      <c r="E69" s="264">
        <f>VLOOKUP('Statistika okresy'!$B69,Body!$B$3:$AR$172,4,FALSE)</f>
        <v>5</v>
      </c>
      <c r="F69" s="264">
        <f>VLOOKUP('Statistika okresy'!$B69,Body!$B$3:$AR$172,5,FALSE)</f>
        <v>3</v>
      </c>
      <c r="G69" s="264">
        <f>VLOOKUP('Statistika okresy'!$B69,Body!$B$3:$AR$172,6,FALSE)</f>
        <v>2</v>
      </c>
      <c r="H69" s="264">
        <f>VLOOKUP('Statistika okresy'!$B69,Body!$B$3:$AR$172,7,FALSE)</f>
        <v>6</v>
      </c>
      <c r="I69" s="264">
        <f>VLOOKUP('Statistika okresy'!$B69,Body!$B$3:$AR$172,8,FALSE)</f>
        <v>4</v>
      </c>
      <c r="J69" s="264">
        <f>VLOOKUP('Statistika okresy'!$B69,Body!$B$3:$AR$172,9,FALSE)</f>
        <v>2</v>
      </c>
      <c r="K69" s="264">
        <f>VLOOKUP('Statistika okresy'!$B69,Body!$B$3:$AR$172,10,FALSE)</f>
        <v>1</v>
      </c>
      <c r="L69" s="264">
        <f>VLOOKUP('Statistika okresy'!$B69,Body!$B$3:$AR$172,11,FALSE)</f>
        <v>3</v>
      </c>
      <c r="M69" s="264">
        <f>VLOOKUP('Statistika okresy'!$B69,Body!$B$3:$AR$172,12,FALSE)</f>
        <v>2</v>
      </c>
      <c r="N69" s="264">
        <f>VLOOKUP('Statistika okresy'!$B69,Body!$B$3:$AR$172,13,FALSE)</f>
        <v>8</v>
      </c>
      <c r="O69" s="264">
        <f>VLOOKUP('Statistika okresy'!$B69,Body!$B$3:$AR$172,14,FALSE)</f>
        <v>8</v>
      </c>
      <c r="P69" s="264">
        <f>VLOOKUP('Statistika okresy'!$B69,Body!$B$3:$AR$172,15,FALSE)</f>
        <v>3</v>
      </c>
      <c r="Q69" s="264">
        <f>VLOOKUP('Statistika okresy'!$B69,Body!$B$3:$AR$172,16,FALSE)</f>
        <v>5</v>
      </c>
      <c r="R69" s="264">
        <f>VLOOKUP('Statistika okresy'!$B69,Body!$B$3:$AR$172,17,FALSE)</f>
        <v>5</v>
      </c>
      <c r="S69" s="264">
        <f>VLOOKUP('Statistika okresy'!$B69,Body!$B$3:$AR$172,18,FALSE)</f>
        <v>8</v>
      </c>
      <c r="T69" s="264">
        <f>VLOOKUP('Statistika okresy'!$B69,Body!$B$3:$AR$172,19,FALSE)</f>
        <v>8</v>
      </c>
      <c r="U69" s="264">
        <f>VLOOKUP('Statistika okresy'!$B69,Body!$B$3:$AR$172,20,FALSE)</f>
        <v>7</v>
      </c>
      <c r="V69" s="264">
        <f>VLOOKUP('Statistika okresy'!$B69,Body!$B$3:$AR$172,21,FALSE)</f>
        <v>6</v>
      </c>
      <c r="W69" s="264">
        <f>VLOOKUP('Statistika okresy'!$B69,Body!$B$3:$AR$172,22,FALSE)</f>
        <v>7</v>
      </c>
      <c r="X69" s="264">
        <f>VLOOKUP('Statistika okresy'!$B69,Body!$B$3:$AR$172,23,FALSE)</f>
        <v>10</v>
      </c>
      <c r="Y69" s="264">
        <f>VLOOKUP('Statistika okresy'!$B69,Body!$B$3:$AR$172,24,FALSE)</f>
        <v>10</v>
      </c>
      <c r="Z69" s="264">
        <f>VLOOKUP('Statistika okresy'!$B69,Body!$B$3:$AR$172,25,FALSE)</f>
        <v>10</v>
      </c>
      <c r="AA69" s="264">
        <f>VLOOKUP('Statistika okresy'!$B69,Body!$B$3:$AR$172,26,FALSE)</f>
        <v>3</v>
      </c>
      <c r="AB69" s="264">
        <f>VLOOKUP('Statistika okresy'!$B69,Body!$B$3:$AR$172,27,FALSE)</f>
        <v>5</v>
      </c>
      <c r="AC69" s="265">
        <f>VLOOKUP('Statistika okresy'!$B69,Body!$B$3:$AR$172,35,FALSE)</f>
        <v>5.3333333333333375</v>
      </c>
      <c r="AD69" s="264">
        <f>VLOOKUP('Statistika okresy'!$B69,Body!$B$3:$AR$172,36,FALSE)</f>
        <v>25.809154679490305</v>
      </c>
      <c r="AE69" s="264">
        <f>VLOOKUP('Statistika okresy'!$B69,Body!$B$3:$AR$172,37,FALSE)</f>
        <v>22.641846803819078</v>
      </c>
      <c r="AF69" s="264">
        <f>VLOOKUP('Statistika okresy'!$B69,Body!$B$3:$AR$172,38,FALSE)</f>
        <v>70.948015808067794</v>
      </c>
      <c r="AG69" s="264">
        <f>VLOOKUP('Statistika okresy'!$B69,Body!$B$3:$AR$172,39,FALSE)</f>
        <v>72.492609015269778</v>
      </c>
      <c r="AH69" s="264">
        <f>VLOOKUP('Statistika okresy'!$B69,Body!$B$3:$AR$172,40,FALSE)</f>
        <v>96.757170487558099</v>
      </c>
      <c r="AI69" s="264">
        <f>VLOOKUP('Statistika okresy'!$B69,Body!$B$3:$AR$172,41,FALSE)</f>
        <v>95.134455819088856</v>
      </c>
      <c r="AJ69" s="390"/>
      <c r="AK69" s="407">
        <f>VLOOKUP('Statistika okresy'!$B69,Body!$B$3:$AR$172,43,FALSE)</f>
        <v>197.22495963998031</v>
      </c>
    </row>
    <row r="70" spans="1:37" ht="15.5" x14ac:dyDescent="0.35">
      <c r="A70" s="382">
        <v>2590</v>
      </c>
      <c r="B70" s="156" t="s">
        <v>627</v>
      </c>
      <c r="C70" s="352" t="s">
        <v>961</v>
      </c>
      <c r="D70" s="264">
        <f>VLOOKUP('Statistika okresy'!$B70,Body!$B$3:$AR$172,3,FALSE)</f>
        <v>1</v>
      </c>
      <c r="E70" s="264">
        <f>VLOOKUP('Statistika okresy'!$B70,Body!$B$3:$AR$172,4,FALSE)</f>
        <v>1</v>
      </c>
      <c r="F70" s="264">
        <f>VLOOKUP('Statistika okresy'!$B70,Body!$B$3:$AR$172,5,FALSE)</f>
        <v>3</v>
      </c>
      <c r="G70" s="264">
        <f>VLOOKUP('Statistika okresy'!$B70,Body!$B$3:$AR$172,6,FALSE)</f>
        <v>2</v>
      </c>
      <c r="H70" s="264">
        <f>VLOOKUP('Statistika okresy'!$B70,Body!$B$3:$AR$172,7,FALSE)</f>
        <v>8</v>
      </c>
      <c r="I70" s="264">
        <f>VLOOKUP('Statistika okresy'!$B70,Body!$B$3:$AR$172,8,FALSE)</f>
        <v>4</v>
      </c>
      <c r="J70" s="264">
        <f>VLOOKUP('Statistika okresy'!$B70,Body!$B$3:$AR$172,9,FALSE)</f>
        <v>1</v>
      </c>
      <c r="K70" s="264">
        <f>VLOOKUP('Statistika okresy'!$B70,Body!$B$3:$AR$172,10,FALSE)</f>
        <v>1</v>
      </c>
      <c r="L70" s="264">
        <f>VLOOKUP('Statistika okresy'!$B70,Body!$B$3:$AR$172,11,FALSE)</f>
        <v>3</v>
      </c>
      <c r="M70" s="264">
        <f>VLOOKUP('Statistika okresy'!$B70,Body!$B$3:$AR$172,12,FALSE)</f>
        <v>4</v>
      </c>
      <c r="N70" s="264">
        <f>VLOOKUP('Statistika okresy'!$B70,Body!$B$3:$AR$172,13,FALSE)</f>
        <v>10</v>
      </c>
      <c r="O70" s="264">
        <f>VLOOKUP('Statistika okresy'!$B70,Body!$B$3:$AR$172,14,FALSE)</f>
        <v>10</v>
      </c>
      <c r="P70" s="264">
        <f>VLOOKUP('Statistika okresy'!$B70,Body!$B$3:$AR$172,15,FALSE)</f>
        <v>3</v>
      </c>
      <c r="Q70" s="264">
        <f>VLOOKUP('Statistika okresy'!$B70,Body!$B$3:$AR$172,16,FALSE)</f>
        <v>6</v>
      </c>
      <c r="R70" s="264">
        <f>VLOOKUP('Statistika okresy'!$B70,Body!$B$3:$AR$172,17,FALSE)</f>
        <v>8</v>
      </c>
      <c r="S70" s="264">
        <f>VLOOKUP('Statistika okresy'!$B70,Body!$B$3:$AR$172,18,FALSE)</f>
        <v>8</v>
      </c>
      <c r="T70" s="264">
        <f>VLOOKUP('Statistika okresy'!$B70,Body!$B$3:$AR$172,19,FALSE)</f>
        <v>9</v>
      </c>
      <c r="U70" s="264">
        <f>VLOOKUP('Statistika okresy'!$B70,Body!$B$3:$AR$172,20,FALSE)</f>
        <v>7</v>
      </c>
      <c r="V70" s="264">
        <f>VLOOKUP('Statistika okresy'!$B70,Body!$B$3:$AR$172,21,FALSE)</f>
        <v>8</v>
      </c>
      <c r="W70" s="264">
        <f>VLOOKUP('Statistika okresy'!$B70,Body!$B$3:$AR$172,22,FALSE)</f>
        <v>5</v>
      </c>
      <c r="X70" s="264">
        <f>VLOOKUP('Statistika okresy'!$B70,Body!$B$3:$AR$172,23,FALSE)</f>
        <v>10</v>
      </c>
      <c r="Y70" s="264">
        <f>VLOOKUP('Statistika okresy'!$B70,Body!$B$3:$AR$172,24,FALSE)</f>
        <v>10</v>
      </c>
      <c r="Z70" s="264">
        <f>VLOOKUP('Statistika okresy'!$B70,Body!$B$3:$AR$172,25,FALSE)</f>
        <v>10</v>
      </c>
      <c r="AA70" s="264">
        <f>VLOOKUP('Statistika okresy'!$B70,Body!$B$3:$AR$172,26,FALSE)</f>
        <v>3</v>
      </c>
      <c r="AB70" s="264">
        <f>VLOOKUP('Statistika okresy'!$B70,Body!$B$3:$AR$172,27,FALSE)</f>
        <v>5</v>
      </c>
      <c r="AC70" s="265">
        <f>VLOOKUP('Statistika okresy'!$B70,Body!$B$3:$AR$172,35,FALSE)</f>
        <v>5.3333333333333375</v>
      </c>
      <c r="AD70" s="264">
        <f>VLOOKUP('Statistika okresy'!$B70,Body!$B$3:$AR$172,36,FALSE)</f>
        <v>27.525734808150563</v>
      </c>
      <c r="AE70" s="264">
        <f>VLOOKUP('Statistika okresy'!$B70,Body!$B$3:$AR$172,37,FALSE)</f>
        <v>27.801412294802788</v>
      </c>
      <c r="AF70" s="264">
        <f>VLOOKUP('Statistika okresy'!$B70,Body!$B$3:$AR$172,38,FALSE)</f>
        <v>74.037202222471763</v>
      </c>
      <c r="AG70" s="264">
        <f>VLOOKUP('Statistika okresy'!$B70,Body!$B$3:$AR$172,39,FALSE)</f>
        <v>73.317046557941794</v>
      </c>
      <c r="AH70" s="264">
        <f>VLOOKUP('Statistika okresy'!$B70,Body!$B$3:$AR$172,40,FALSE)</f>
        <v>101.56293703062232</v>
      </c>
      <c r="AI70" s="264">
        <f>VLOOKUP('Statistika okresy'!$B70,Body!$B$3:$AR$172,41,FALSE)</f>
        <v>101.11845885274458</v>
      </c>
      <c r="AJ70" s="390"/>
      <c r="AK70" s="407">
        <f>VLOOKUP('Statistika okresy'!$B70,Body!$B$3:$AR$172,43,FALSE)</f>
        <v>208.01472921670026</v>
      </c>
    </row>
    <row r="71" spans="1:37" ht="15.5" x14ac:dyDescent="0.35">
      <c r="A71" s="382">
        <v>2593</v>
      </c>
      <c r="B71" s="156" t="s">
        <v>626</v>
      </c>
      <c r="C71" s="352" t="s">
        <v>961</v>
      </c>
      <c r="D71" s="264">
        <f>VLOOKUP('Statistika okresy'!$B71,Body!$B$3:$AR$172,3,FALSE)</f>
        <v>2</v>
      </c>
      <c r="E71" s="264">
        <f>VLOOKUP('Statistika okresy'!$B71,Body!$B$3:$AR$172,4,FALSE)</f>
        <v>2</v>
      </c>
      <c r="F71" s="264">
        <f>VLOOKUP('Statistika okresy'!$B71,Body!$B$3:$AR$172,5,FALSE)</f>
        <v>5</v>
      </c>
      <c r="G71" s="264">
        <f>VLOOKUP('Statistika okresy'!$B71,Body!$B$3:$AR$172,6,FALSE)</f>
        <v>4</v>
      </c>
      <c r="H71" s="264">
        <f>VLOOKUP('Statistika okresy'!$B71,Body!$B$3:$AR$172,7,FALSE)</f>
        <v>1</v>
      </c>
      <c r="I71" s="264">
        <f>VLOOKUP('Statistika okresy'!$B71,Body!$B$3:$AR$172,8,FALSE)</f>
        <v>3</v>
      </c>
      <c r="J71" s="264">
        <f>VLOOKUP('Statistika okresy'!$B71,Body!$B$3:$AR$172,9,FALSE)</f>
        <v>1</v>
      </c>
      <c r="K71" s="264">
        <f>VLOOKUP('Statistika okresy'!$B71,Body!$B$3:$AR$172,10,FALSE)</f>
        <v>1</v>
      </c>
      <c r="L71" s="264">
        <f>VLOOKUP('Statistika okresy'!$B71,Body!$B$3:$AR$172,11,FALSE)</f>
        <v>6</v>
      </c>
      <c r="M71" s="264">
        <f>VLOOKUP('Statistika okresy'!$B71,Body!$B$3:$AR$172,12,FALSE)</f>
        <v>6</v>
      </c>
      <c r="N71" s="264">
        <f>VLOOKUP('Statistika okresy'!$B71,Body!$B$3:$AR$172,13,FALSE)</f>
        <v>9</v>
      </c>
      <c r="O71" s="264">
        <f>VLOOKUP('Statistika okresy'!$B71,Body!$B$3:$AR$172,14,FALSE)</f>
        <v>9</v>
      </c>
      <c r="P71" s="264">
        <f>VLOOKUP('Statistika okresy'!$B71,Body!$B$3:$AR$172,15,FALSE)</f>
        <v>5</v>
      </c>
      <c r="Q71" s="264">
        <f>VLOOKUP('Statistika okresy'!$B71,Body!$B$3:$AR$172,16,FALSE)</f>
        <v>5</v>
      </c>
      <c r="R71" s="264">
        <f>VLOOKUP('Statistika okresy'!$B71,Body!$B$3:$AR$172,17,FALSE)</f>
        <v>5</v>
      </c>
      <c r="S71" s="264">
        <f>VLOOKUP('Statistika okresy'!$B71,Body!$B$3:$AR$172,18,FALSE)</f>
        <v>10</v>
      </c>
      <c r="T71" s="264">
        <f>VLOOKUP('Statistika okresy'!$B71,Body!$B$3:$AR$172,19,FALSE)</f>
        <v>9</v>
      </c>
      <c r="U71" s="264">
        <f>VLOOKUP('Statistika okresy'!$B71,Body!$B$3:$AR$172,20,FALSE)</f>
        <v>8</v>
      </c>
      <c r="V71" s="264">
        <f>VLOOKUP('Statistika okresy'!$B71,Body!$B$3:$AR$172,21,FALSE)</f>
        <v>4</v>
      </c>
      <c r="W71" s="264">
        <f>VLOOKUP('Statistika okresy'!$B71,Body!$B$3:$AR$172,22,FALSE)</f>
        <v>10</v>
      </c>
      <c r="X71" s="264">
        <f>VLOOKUP('Statistika okresy'!$B71,Body!$B$3:$AR$172,23,FALSE)</f>
        <v>10</v>
      </c>
      <c r="Y71" s="264">
        <f>VLOOKUP('Statistika okresy'!$B71,Body!$B$3:$AR$172,24,FALSE)</f>
        <v>10</v>
      </c>
      <c r="Z71" s="264">
        <f>VLOOKUP('Statistika okresy'!$B71,Body!$B$3:$AR$172,25,FALSE)</f>
        <v>10</v>
      </c>
      <c r="AA71" s="264">
        <f>VLOOKUP('Statistika okresy'!$B71,Body!$B$3:$AR$172,26,FALSE)</f>
        <v>10</v>
      </c>
      <c r="AB71" s="264">
        <f>VLOOKUP('Statistika okresy'!$B71,Body!$B$3:$AR$172,27,FALSE)</f>
        <v>10</v>
      </c>
      <c r="AC71" s="265">
        <f>VLOOKUP('Statistika okresy'!$B71,Body!$B$3:$AR$172,35,FALSE)</f>
        <v>16.000000000000014</v>
      </c>
      <c r="AD71" s="264">
        <f>VLOOKUP('Statistika okresy'!$B71,Body!$B$3:$AR$172,36,FALSE)</f>
        <v>31.546347585733148</v>
      </c>
      <c r="AE71" s="264">
        <f>VLOOKUP('Statistika okresy'!$B71,Body!$B$3:$AR$172,37,FALSE)</f>
        <v>30.131226075326005</v>
      </c>
      <c r="AF71" s="264">
        <f>VLOOKUP('Statistika okresy'!$B71,Body!$B$3:$AR$172,38,FALSE)</f>
        <v>77.768198457473233</v>
      </c>
      <c r="AG71" s="264">
        <f>VLOOKUP('Statistika okresy'!$B71,Body!$B$3:$AR$172,39,FALSE)</f>
        <v>83.12213374360914</v>
      </c>
      <c r="AH71" s="264">
        <f>VLOOKUP('Statistika okresy'!$B71,Body!$B$3:$AR$172,40,FALSE)</f>
        <v>109.31454604320638</v>
      </c>
      <c r="AI71" s="264">
        <f>VLOOKUP('Statistika okresy'!$B71,Body!$B$3:$AR$172,41,FALSE)</f>
        <v>113.25335981893514</v>
      </c>
      <c r="AJ71" s="390"/>
      <c r="AK71" s="407">
        <f>VLOOKUP('Statistika okresy'!$B71,Body!$B$3:$AR$172,43,FALSE)</f>
        <v>238.56790586214152</v>
      </c>
    </row>
    <row r="72" spans="1:37" ht="15.5" x14ac:dyDescent="0.35">
      <c r="A72" s="382">
        <v>2599</v>
      </c>
      <c r="B72" s="156" t="s">
        <v>628</v>
      </c>
      <c r="C72" s="352" t="s">
        <v>961</v>
      </c>
      <c r="D72" s="264">
        <f>VLOOKUP('Statistika okresy'!$B72,Body!$B$3:$AR$172,3,FALSE)</f>
        <v>1</v>
      </c>
      <c r="E72" s="264">
        <f>VLOOKUP('Statistika okresy'!$B72,Body!$B$3:$AR$172,4,FALSE)</f>
        <v>1</v>
      </c>
      <c r="F72" s="264">
        <f>VLOOKUP('Statistika okresy'!$B72,Body!$B$3:$AR$172,5,FALSE)</f>
        <v>4</v>
      </c>
      <c r="G72" s="264">
        <f>VLOOKUP('Statistika okresy'!$B72,Body!$B$3:$AR$172,6,FALSE)</f>
        <v>3</v>
      </c>
      <c r="H72" s="264">
        <f>VLOOKUP('Statistika okresy'!$B72,Body!$B$3:$AR$172,7,FALSE)</f>
        <v>3</v>
      </c>
      <c r="I72" s="264">
        <f>VLOOKUP('Statistika okresy'!$B72,Body!$B$3:$AR$172,8,FALSE)</f>
        <v>8</v>
      </c>
      <c r="J72" s="264">
        <f>VLOOKUP('Statistika okresy'!$B72,Body!$B$3:$AR$172,9,FALSE)</f>
        <v>2</v>
      </c>
      <c r="K72" s="264">
        <f>VLOOKUP('Statistika okresy'!$B72,Body!$B$3:$AR$172,10,FALSE)</f>
        <v>1</v>
      </c>
      <c r="L72" s="264">
        <f>VLOOKUP('Statistika okresy'!$B72,Body!$B$3:$AR$172,11,FALSE)</f>
        <v>5</v>
      </c>
      <c r="M72" s="264">
        <f>VLOOKUP('Statistika okresy'!$B72,Body!$B$3:$AR$172,12,FALSE)</f>
        <v>4</v>
      </c>
      <c r="N72" s="264">
        <f>VLOOKUP('Statistika okresy'!$B72,Body!$B$3:$AR$172,13,FALSE)</f>
        <v>10</v>
      </c>
      <c r="O72" s="264">
        <f>VLOOKUP('Statistika okresy'!$B72,Body!$B$3:$AR$172,14,FALSE)</f>
        <v>10</v>
      </c>
      <c r="P72" s="264">
        <f>VLOOKUP('Statistika okresy'!$B72,Body!$B$3:$AR$172,15,FALSE)</f>
        <v>5</v>
      </c>
      <c r="Q72" s="264">
        <f>VLOOKUP('Statistika okresy'!$B72,Body!$B$3:$AR$172,16,FALSE)</f>
        <v>3</v>
      </c>
      <c r="R72" s="264">
        <f>VLOOKUP('Statistika okresy'!$B72,Body!$B$3:$AR$172,17,FALSE)</f>
        <v>6</v>
      </c>
      <c r="S72" s="264">
        <f>VLOOKUP('Statistika okresy'!$B72,Body!$B$3:$AR$172,18,FALSE)</f>
        <v>9</v>
      </c>
      <c r="T72" s="264">
        <f>VLOOKUP('Statistika okresy'!$B72,Body!$B$3:$AR$172,19,FALSE)</f>
        <v>10</v>
      </c>
      <c r="U72" s="264">
        <f>VLOOKUP('Statistika okresy'!$B72,Body!$B$3:$AR$172,20,FALSE)</f>
        <v>8</v>
      </c>
      <c r="V72" s="264">
        <f>VLOOKUP('Statistika okresy'!$B72,Body!$B$3:$AR$172,21,FALSE)</f>
        <v>7</v>
      </c>
      <c r="W72" s="264">
        <f>VLOOKUP('Statistika okresy'!$B72,Body!$B$3:$AR$172,22,FALSE)</f>
        <v>7</v>
      </c>
      <c r="X72" s="264">
        <f>VLOOKUP('Statistika okresy'!$B72,Body!$B$3:$AR$172,23,FALSE)</f>
        <v>10</v>
      </c>
      <c r="Y72" s="264">
        <f>VLOOKUP('Statistika okresy'!$B72,Body!$B$3:$AR$172,24,FALSE)</f>
        <v>10</v>
      </c>
      <c r="Z72" s="264">
        <f>VLOOKUP('Statistika okresy'!$B72,Body!$B$3:$AR$172,25,FALSE)</f>
        <v>10</v>
      </c>
      <c r="AA72" s="264">
        <f>VLOOKUP('Statistika okresy'!$B72,Body!$B$3:$AR$172,26,FALSE)</f>
        <v>10</v>
      </c>
      <c r="AB72" s="264">
        <f>VLOOKUP('Statistika okresy'!$B72,Body!$B$3:$AR$172,27,FALSE)</f>
        <v>10</v>
      </c>
      <c r="AC72" s="265">
        <f>VLOOKUP('Statistika okresy'!$B72,Body!$B$3:$AR$172,35,FALSE)</f>
        <v>16.000000000000014</v>
      </c>
      <c r="AD72" s="264">
        <f>VLOOKUP('Statistika okresy'!$B72,Body!$B$3:$AR$172,36,FALSE)</f>
        <v>27.73041717393934</v>
      </c>
      <c r="AE72" s="264">
        <f>VLOOKUP('Statistika okresy'!$B72,Body!$B$3:$AR$172,37,FALSE)</f>
        <v>29.77159003507759</v>
      </c>
      <c r="AF72" s="264">
        <f>VLOOKUP('Statistika okresy'!$B72,Body!$B$3:$AR$172,38,FALSE)</f>
        <v>78.488354122003187</v>
      </c>
      <c r="AG72" s="264">
        <f>VLOOKUP('Statistika okresy'!$B72,Body!$B$3:$AR$172,39,FALSE)</f>
        <v>82.401978079079186</v>
      </c>
      <c r="AH72" s="264">
        <f>VLOOKUP('Statistika okresy'!$B72,Body!$B$3:$AR$172,40,FALSE)</f>
        <v>106.21877129594253</v>
      </c>
      <c r="AI72" s="264">
        <f>VLOOKUP('Statistika okresy'!$B72,Body!$B$3:$AR$172,41,FALSE)</f>
        <v>112.17356811415678</v>
      </c>
      <c r="AJ72" s="390"/>
      <c r="AK72" s="407">
        <f>VLOOKUP('Statistika okresy'!$B72,Body!$B$3:$AR$172,43,FALSE)</f>
        <v>234.39233941009934</v>
      </c>
    </row>
    <row r="73" spans="1:37" ht="15.5" x14ac:dyDescent="0.35">
      <c r="A73" s="382">
        <v>2602</v>
      </c>
      <c r="B73" s="156" t="s">
        <v>614</v>
      </c>
      <c r="C73" s="352" t="s">
        <v>961</v>
      </c>
      <c r="D73" s="264">
        <f>VLOOKUP('Statistika okresy'!$B73,Body!$B$3:$AR$172,3,FALSE)</f>
        <v>1</v>
      </c>
      <c r="E73" s="264">
        <f>VLOOKUP('Statistika okresy'!$B73,Body!$B$3:$AR$172,4,FALSE)</f>
        <v>1</v>
      </c>
      <c r="F73" s="264">
        <f>VLOOKUP('Statistika okresy'!$B73,Body!$B$3:$AR$172,5,FALSE)</f>
        <v>3</v>
      </c>
      <c r="G73" s="264">
        <f>VLOOKUP('Statistika okresy'!$B73,Body!$B$3:$AR$172,6,FALSE)</f>
        <v>2</v>
      </c>
      <c r="H73" s="264">
        <f>VLOOKUP('Statistika okresy'!$B73,Body!$B$3:$AR$172,7,FALSE)</f>
        <v>2</v>
      </c>
      <c r="I73" s="264">
        <f>VLOOKUP('Statistika okresy'!$B73,Body!$B$3:$AR$172,8,FALSE)</f>
        <v>1</v>
      </c>
      <c r="J73" s="264">
        <f>VLOOKUP('Statistika okresy'!$B73,Body!$B$3:$AR$172,9,FALSE)</f>
        <v>1</v>
      </c>
      <c r="K73" s="264">
        <f>VLOOKUP('Statistika okresy'!$B73,Body!$B$3:$AR$172,10,FALSE)</f>
        <v>1</v>
      </c>
      <c r="L73" s="264">
        <f>VLOOKUP('Statistika okresy'!$B73,Body!$B$3:$AR$172,11,FALSE)</f>
        <v>4</v>
      </c>
      <c r="M73" s="264">
        <f>VLOOKUP('Statistika okresy'!$B73,Body!$B$3:$AR$172,12,FALSE)</f>
        <v>4</v>
      </c>
      <c r="N73" s="264">
        <f>VLOOKUP('Statistika okresy'!$B73,Body!$B$3:$AR$172,13,FALSE)</f>
        <v>9</v>
      </c>
      <c r="O73" s="264">
        <f>VLOOKUP('Statistika okresy'!$B73,Body!$B$3:$AR$172,14,FALSE)</f>
        <v>9</v>
      </c>
      <c r="P73" s="264">
        <f>VLOOKUP('Statistika okresy'!$B73,Body!$B$3:$AR$172,15,FALSE)</f>
        <v>10</v>
      </c>
      <c r="Q73" s="264">
        <f>VLOOKUP('Statistika okresy'!$B73,Body!$B$3:$AR$172,16,FALSE)</f>
        <v>6</v>
      </c>
      <c r="R73" s="264">
        <f>VLOOKUP('Statistika okresy'!$B73,Body!$B$3:$AR$172,17,FALSE)</f>
        <v>7</v>
      </c>
      <c r="S73" s="264">
        <f>VLOOKUP('Statistika okresy'!$B73,Body!$B$3:$AR$172,18,FALSE)</f>
        <v>8</v>
      </c>
      <c r="T73" s="264">
        <f>VLOOKUP('Statistika okresy'!$B73,Body!$B$3:$AR$172,19,FALSE)</f>
        <v>10</v>
      </c>
      <c r="U73" s="264">
        <f>VLOOKUP('Statistika okresy'!$B73,Body!$B$3:$AR$172,20,FALSE)</f>
        <v>7</v>
      </c>
      <c r="V73" s="264">
        <f>VLOOKUP('Statistika okresy'!$B73,Body!$B$3:$AR$172,21,FALSE)</f>
        <v>6</v>
      </c>
      <c r="W73" s="264">
        <f>VLOOKUP('Statistika okresy'!$B73,Body!$B$3:$AR$172,22,FALSE)</f>
        <v>7</v>
      </c>
      <c r="X73" s="264">
        <f>VLOOKUP('Statistika okresy'!$B73,Body!$B$3:$AR$172,23,FALSE)</f>
        <v>8</v>
      </c>
      <c r="Y73" s="264">
        <f>VLOOKUP('Statistika okresy'!$B73,Body!$B$3:$AR$172,24,FALSE)</f>
        <v>8</v>
      </c>
      <c r="Z73" s="264">
        <f>VLOOKUP('Statistika okresy'!$B73,Body!$B$3:$AR$172,25,FALSE)</f>
        <v>10</v>
      </c>
      <c r="AA73" s="264">
        <f>VLOOKUP('Statistika okresy'!$B73,Body!$B$3:$AR$172,26,FALSE)</f>
        <v>10</v>
      </c>
      <c r="AB73" s="264">
        <f>VLOOKUP('Statistika okresy'!$B73,Body!$B$3:$AR$172,27,FALSE)</f>
        <v>5</v>
      </c>
      <c r="AC73" s="265">
        <f>VLOOKUP('Statistika okresy'!$B73,Body!$B$3:$AR$172,35,FALSE)</f>
        <v>14.666666666666682</v>
      </c>
      <c r="AD73" s="264">
        <f>VLOOKUP('Statistika okresy'!$B73,Body!$B$3:$AR$172,36,FALSE)</f>
        <v>31.602371983366023</v>
      </c>
      <c r="AE73" s="264">
        <f>VLOOKUP('Statistika okresy'!$B73,Body!$B$3:$AR$172,37,FALSE)</f>
        <v>30.708977256345555</v>
      </c>
      <c r="AF73" s="264">
        <f>VLOOKUP('Statistika okresy'!$B73,Body!$B$3:$AR$172,38,FALSE)</f>
        <v>68.552553616979324</v>
      </c>
      <c r="AG73" s="264">
        <f>VLOOKUP('Statistika okresy'!$B73,Body!$B$3:$AR$172,39,FALSE)</f>
        <v>77.924394738333291</v>
      </c>
      <c r="AH73" s="264">
        <f>VLOOKUP('Statistika okresy'!$B73,Body!$B$3:$AR$172,40,FALSE)</f>
        <v>100.15492560034535</v>
      </c>
      <c r="AI73" s="264">
        <f>VLOOKUP('Statistika okresy'!$B73,Body!$B$3:$AR$172,41,FALSE)</f>
        <v>108.63337199467884</v>
      </c>
      <c r="AJ73" s="390"/>
      <c r="AK73" s="407">
        <f>VLOOKUP('Statistika okresy'!$B73,Body!$B$3:$AR$172,43,FALSE)</f>
        <v>223.45496426169086</v>
      </c>
    </row>
    <row r="74" spans="1:37" ht="15.5" x14ac:dyDescent="0.35">
      <c r="A74" s="382">
        <v>9107</v>
      </c>
      <c r="B74" s="156" t="s">
        <v>635</v>
      </c>
      <c r="C74" s="352" t="s">
        <v>962</v>
      </c>
      <c r="D74" s="264">
        <f>VLOOKUP('Statistika okresy'!$B74,Body!$B$3:$AR$172,3,FALSE)</f>
        <v>6</v>
      </c>
      <c r="E74" s="264">
        <f>VLOOKUP('Statistika okresy'!$B74,Body!$B$3:$AR$172,4,FALSE)</f>
        <v>7</v>
      </c>
      <c r="F74" s="264">
        <f>VLOOKUP('Statistika okresy'!$B74,Body!$B$3:$AR$172,5,FALSE)</f>
        <v>4</v>
      </c>
      <c r="G74" s="264">
        <f>VLOOKUP('Statistika okresy'!$B74,Body!$B$3:$AR$172,6,FALSE)</f>
        <v>3</v>
      </c>
      <c r="H74" s="264">
        <f>VLOOKUP('Statistika okresy'!$B74,Body!$B$3:$AR$172,7,FALSE)</f>
        <v>1</v>
      </c>
      <c r="I74" s="264">
        <f>VLOOKUP('Statistika okresy'!$B74,Body!$B$3:$AR$172,8,FALSE)</f>
        <v>1</v>
      </c>
      <c r="J74" s="264">
        <f>VLOOKUP('Statistika okresy'!$B74,Body!$B$3:$AR$172,9,FALSE)</f>
        <v>2</v>
      </c>
      <c r="K74" s="264">
        <f>VLOOKUP('Statistika okresy'!$B74,Body!$B$3:$AR$172,10,FALSE)</f>
        <v>1</v>
      </c>
      <c r="L74" s="264">
        <f>VLOOKUP('Statistika okresy'!$B74,Body!$B$3:$AR$172,11,FALSE)</f>
        <v>6</v>
      </c>
      <c r="M74" s="264">
        <f>VLOOKUP('Statistika okresy'!$B74,Body!$B$3:$AR$172,12,FALSE)</f>
        <v>7</v>
      </c>
      <c r="N74" s="264">
        <f>VLOOKUP('Statistika okresy'!$B74,Body!$B$3:$AR$172,13,FALSE)</f>
        <v>8</v>
      </c>
      <c r="O74" s="264">
        <f>VLOOKUP('Statistika okresy'!$B74,Body!$B$3:$AR$172,14,FALSE)</f>
        <v>9</v>
      </c>
      <c r="P74" s="264">
        <f>VLOOKUP('Statistika okresy'!$B74,Body!$B$3:$AR$172,15,FALSE)</f>
        <v>3</v>
      </c>
      <c r="Q74" s="264">
        <f>VLOOKUP('Statistika okresy'!$B74,Body!$B$3:$AR$172,16,FALSE)</f>
        <v>6</v>
      </c>
      <c r="R74" s="264">
        <f>VLOOKUP('Statistika okresy'!$B74,Body!$B$3:$AR$172,17,FALSE)</f>
        <v>6</v>
      </c>
      <c r="S74" s="264">
        <f>VLOOKUP('Statistika okresy'!$B74,Body!$B$3:$AR$172,18,FALSE)</f>
        <v>10</v>
      </c>
      <c r="T74" s="264">
        <f>VLOOKUP('Statistika okresy'!$B74,Body!$B$3:$AR$172,19,FALSE)</f>
        <v>9</v>
      </c>
      <c r="U74" s="264">
        <f>VLOOKUP('Statistika okresy'!$B74,Body!$B$3:$AR$172,20,FALSE)</f>
        <v>7</v>
      </c>
      <c r="V74" s="264">
        <f>VLOOKUP('Statistika okresy'!$B74,Body!$B$3:$AR$172,21,FALSE)</f>
        <v>7</v>
      </c>
      <c r="W74" s="264">
        <f>VLOOKUP('Statistika okresy'!$B74,Body!$B$3:$AR$172,22,FALSE)</f>
        <v>5</v>
      </c>
      <c r="X74" s="264">
        <f>VLOOKUP('Statistika okresy'!$B74,Body!$B$3:$AR$172,23,FALSE)</f>
        <v>10</v>
      </c>
      <c r="Y74" s="264">
        <f>VLOOKUP('Statistika okresy'!$B74,Body!$B$3:$AR$172,24,FALSE)</f>
        <v>10</v>
      </c>
      <c r="Z74" s="264">
        <f>VLOOKUP('Statistika okresy'!$B74,Body!$B$3:$AR$172,25,FALSE)</f>
        <v>10</v>
      </c>
      <c r="AA74" s="264">
        <f>VLOOKUP('Statistika okresy'!$B74,Body!$B$3:$AR$172,26,FALSE)</f>
        <v>1</v>
      </c>
      <c r="AB74" s="264">
        <f>VLOOKUP('Statistika okresy'!$B74,Body!$B$3:$AR$172,27,FALSE)</f>
        <v>5</v>
      </c>
      <c r="AC74" s="265">
        <f>VLOOKUP('Statistika okresy'!$B74,Body!$B$3:$AR$172,35,FALSE)</f>
        <v>2.6666666666666687</v>
      </c>
      <c r="AD74" s="264">
        <f>VLOOKUP('Statistika okresy'!$B74,Body!$B$3:$AR$172,36,FALSE)</f>
        <v>30.025082260112146</v>
      </c>
      <c r="AE74" s="264">
        <f>VLOOKUP('Statistika okresy'!$B74,Body!$B$3:$AR$172,37,FALSE)</f>
        <v>29.744175687634584</v>
      </c>
      <c r="AF74" s="264">
        <f>VLOOKUP('Statistika okresy'!$B74,Body!$B$3:$AR$172,38,FALSE)</f>
        <v>80.319856929421761</v>
      </c>
      <c r="AG74" s="264">
        <f>VLOOKUP('Statistika okresy'!$B74,Body!$B$3:$AR$172,39,FALSE)</f>
        <v>73.317046557941794</v>
      </c>
      <c r="AH74" s="264">
        <f>VLOOKUP('Statistika okresy'!$B74,Body!$B$3:$AR$172,40,FALSE)</f>
        <v>110.3449391895339</v>
      </c>
      <c r="AI74" s="264">
        <f>VLOOKUP('Statistika okresy'!$B74,Body!$B$3:$AR$172,41,FALSE)</f>
        <v>103.06122224557637</v>
      </c>
      <c r="AJ74" s="390"/>
      <c r="AK74" s="407">
        <f>VLOOKUP('Statistika okresy'!$B74,Body!$B$3:$AR$172,43,FALSE)</f>
        <v>216.07282810177693</v>
      </c>
    </row>
    <row r="75" spans="1:37" ht="15.5" x14ac:dyDescent="0.35">
      <c r="A75" s="382">
        <v>9110</v>
      </c>
      <c r="B75" s="156" t="s">
        <v>588</v>
      </c>
      <c r="C75" s="352" t="s">
        <v>962</v>
      </c>
      <c r="D75" s="264">
        <f>VLOOKUP('Statistika okresy'!$B75,Body!$B$3:$AR$172,3,FALSE)</f>
        <v>8</v>
      </c>
      <c r="E75" s="264">
        <f>VLOOKUP('Statistika okresy'!$B75,Body!$B$3:$AR$172,4,FALSE)</f>
        <v>9</v>
      </c>
      <c r="F75" s="264">
        <f>VLOOKUP('Statistika okresy'!$B75,Body!$B$3:$AR$172,5,FALSE)</f>
        <v>6</v>
      </c>
      <c r="G75" s="264">
        <f>VLOOKUP('Statistika okresy'!$B75,Body!$B$3:$AR$172,6,FALSE)</f>
        <v>6</v>
      </c>
      <c r="H75" s="264">
        <f>VLOOKUP('Statistika okresy'!$B75,Body!$B$3:$AR$172,7,FALSE)</f>
        <v>10</v>
      </c>
      <c r="I75" s="264">
        <f>VLOOKUP('Statistika okresy'!$B75,Body!$B$3:$AR$172,8,FALSE)</f>
        <v>10</v>
      </c>
      <c r="J75" s="264">
        <f>VLOOKUP('Statistika okresy'!$B75,Body!$B$3:$AR$172,9,FALSE)</f>
        <v>1</v>
      </c>
      <c r="K75" s="264">
        <f>VLOOKUP('Statistika okresy'!$B75,Body!$B$3:$AR$172,10,FALSE)</f>
        <v>2</v>
      </c>
      <c r="L75" s="264">
        <f>VLOOKUP('Statistika okresy'!$B75,Body!$B$3:$AR$172,11,FALSE)</f>
        <v>8</v>
      </c>
      <c r="M75" s="264">
        <f>VLOOKUP('Statistika okresy'!$B75,Body!$B$3:$AR$172,12,FALSE)</f>
        <v>8</v>
      </c>
      <c r="N75" s="264">
        <f>VLOOKUP('Statistika okresy'!$B75,Body!$B$3:$AR$172,13,FALSE)</f>
        <v>8</v>
      </c>
      <c r="O75" s="264">
        <f>VLOOKUP('Statistika okresy'!$B75,Body!$B$3:$AR$172,14,FALSE)</f>
        <v>8</v>
      </c>
      <c r="P75" s="264">
        <f>VLOOKUP('Statistika okresy'!$B75,Body!$B$3:$AR$172,15,FALSE)</f>
        <v>3</v>
      </c>
      <c r="Q75" s="264">
        <f>VLOOKUP('Statistika okresy'!$B75,Body!$B$3:$AR$172,16,FALSE)</f>
        <v>6</v>
      </c>
      <c r="R75" s="264">
        <f>VLOOKUP('Statistika okresy'!$B75,Body!$B$3:$AR$172,17,FALSE)</f>
        <v>7</v>
      </c>
      <c r="S75" s="264">
        <f>VLOOKUP('Statistika okresy'!$B75,Body!$B$3:$AR$172,18,FALSE)</f>
        <v>10</v>
      </c>
      <c r="T75" s="264">
        <f>VLOOKUP('Statistika okresy'!$B75,Body!$B$3:$AR$172,19,FALSE)</f>
        <v>9</v>
      </c>
      <c r="U75" s="264">
        <f>VLOOKUP('Statistika okresy'!$B75,Body!$B$3:$AR$172,20,FALSE)</f>
        <v>7</v>
      </c>
      <c r="V75" s="264">
        <f>VLOOKUP('Statistika okresy'!$B75,Body!$B$3:$AR$172,21,FALSE)</f>
        <v>7</v>
      </c>
      <c r="W75" s="264">
        <f>VLOOKUP('Statistika okresy'!$B75,Body!$B$3:$AR$172,22,FALSE)</f>
        <v>8</v>
      </c>
      <c r="X75" s="264">
        <f>VLOOKUP('Statistika okresy'!$B75,Body!$B$3:$AR$172,23,FALSE)</f>
        <v>10</v>
      </c>
      <c r="Y75" s="264">
        <f>VLOOKUP('Statistika okresy'!$B75,Body!$B$3:$AR$172,24,FALSE)</f>
        <v>10</v>
      </c>
      <c r="Z75" s="264">
        <f>VLOOKUP('Statistika okresy'!$B75,Body!$B$3:$AR$172,25,FALSE)</f>
        <v>10</v>
      </c>
      <c r="AA75" s="264">
        <f>VLOOKUP('Statistika okresy'!$B75,Body!$B$3:$AR$172,26,FALSE)</f>
        <v>3</v>
      </c>
      <c r="AB75" s="264">
        <f>VLOOKUP('Statistika okresy'!$B75,Body!$B$3:$AR$172,27,FALSE)</f>
        <v>5</v>
      </c>
      <c r="AC75" s="265">
        <f>VLOOKUP('Statistika okresy'!$B75,Body!$B$3:$AR$172,35,FALSE)</f>
        <v>5.3333333333333375</v>
      </c>
      <c r="AD75" s="264">
        <f>VLOOKUP('Statistika okresy'!$B75,Body!$B$3:$AR$172,36,FALSE)</f>
        <v>37.590267859275336</v>
      </c>
      <c r="AE75" s="264">
        <f>VLOOKUP('Statistika okresy'!$B75,Body!$B$3:$AR$172,37,FALSE)</f>
        <v>39.326172299444394</v>
      </c>
      <c r="AF75" s="264">
        <f>VLOOKUP('Statistika okresy'!$B75,Body!$B$3:$AR$172,38,FALSE)</f>
        <v>80.319856929421761</v>
      </c>
      <c r="AG75" s="264">
        <f>VLOOKUP('Statistika okresy'!$B75,Body!$B$3:$AR$172,39,FALSE)</f>
        <v>77.950826179547761</v>
      </c>
      <c r="AH75" s="264">
        <f>VLOOKUP('Statistika okresy'!$B75,Body!$B$3:$AR$172,40,FALSE)</f>
        <v>117.91012478869709</v>
      </c>
      <c r="AI75" s="264">
        <f>VLOOKUP('Statistika okresy'!$B75,Body!$B$3:$AR$172,41,FALSE)</f>
        <v>117.27699847899216</v>
      </c>
      <c r="AJ75" s="390"/>
      <c r="AK75" s="407">
        <f>VLOOKUP('Statistika okresy'!$B75,Body!$B$3:$AR$172,43,FALSE)</f>
        <v>240.52045660102257</v>
      </c>
    </row>
    <row r="76" spans="1:37" ht="15.5" x14ac:dyDescent="0.35">
      <c r="A76" s="382">
        <v>9113</v>
      </c>
      <c r="B76" s="156" t="s">
        <v>622</v>
      </c>
      <c r="C76" s="352" t="s">
        <v>962</v>
      </c>
      <c r="D76" s="264">
        <f>VLOOKUP('Statistika okresy'!$B76,Body!$B$3:$AR$172,3,FALSE)</f>
        <v>4</v>
      </c>
      <c r="E76" s="264">
        <f>VLOOKUP('Statistika okresy'!$B76,Body!$B$3:$AR$172,4,FALSE)</f>
        <v>3</v>
      </c>
      <c r="F76" s="264">
        <f>VLOOKUP('Statistika okresy'!$B76,Body!$B$3:$AR$172,5,FALSE)</f>
        <v>4</v>
      </c>
      <c r="G76" s="264">
        <f>VLOOKUP('Statistika okresy'!$B76,Body!$B$3:$AR$172,6,FALSE)</f>
        <v>3</v>
      </c>
      <c r="H76" s="264">
        <f>VLOOKUP('Statistika okresy'!$B76,Body!$B$3:$AR$172,7,FALSE)</f>
        <v>8</v>
      </c>
      <c r="I76" s="264">
        <f>VLOOKUP('Statistika okresy'!$B76,Body!$B$3:$AR$172,8,FALSE)</f>
        <v>8</v>
      </c>
      <c r="J76" s="264">
        <f>VLOOKUP('Statistika okresy'!$B76,Body!$B$3:$AR$172,9,FALSE)</f>
        <v>1</v>
      </c>
      <c r="K76" s="264">
        <f>VLOOKUP('Statistika okresy'!$B76,Body!$B$3:$AR$172,10,FALSE)</f>
        <v>1</v>
      </c>
      <c r="L76" s="264">
        <f>VLOOKUP('Statistika okresy'!$B76,Body!$B$3:$AR$172,11,FALSE)</f>
        <v>4</v>
      </c>
      <c r="M76" s="264">
        <f>VLOOKUP('Statistika okresy'!$B76,Body!$B$3:$AR$172,12,FALSE)</f>
        <v>4</v>
      </c>
      <c r="N76" s="264">
        <f>VLOOKUP('Statistika okresy'!$B76,Body!$B$3:$AR$172,13,FALSE)</f>
        <v>8</v>
      </c>
      <c r="O76" s="264">
        <f>VLOOKUP('Statistika okresy'!$B76,Body!$B$3:$AR$172,14,FALSE)</f>
        <v>8</v>
      </c>
      <c r="P76" s="264">
        <f>VLOOKUP('Statistika okresy'!$B76,Body!$B$3:$AR$172,15,FALSE)</f>
        <v>3</v>
      </c>
      <c r="Q76" s="264">
        <f>VLOOKUP('Statistika okresy'!$B76,Body!$B$3:$AR$172,16,FALSE)</f>
        <v>5</v>
      </c>
      <c r="R76" s="264">
        <f>VLOOKUP('Statistika okresy'!$B76,Body!$B$3:$AR$172,17,FALSE)</f>
        <v>5</v>
      </c>
      <c r="S76" s="264">
        <f>VLOOKUP('Statistika okresy'!$B76,Body!$B$3:$AR$172,18,FALSE)</f>
        <v>8</v>
      </c>
      <c r="T76" s="264">
        <f>VLOOKUP('Statistika okresy'!$B76,Body!$B$3:$AR$172,19,FALSE)</f>
        <v>10</v>
      </c>
      <c r="U76" s="264">
        <f>VLOOKUP('Statistika okresy'!$B76,Body!$B$3:$AR$172,20,FALSE)</f>
        <v>7</v>
      </c>
      <c r="V76" s="264">
        <f>VLOOKUP('Statistika okresy'!$B76,Body!$B$3:$AR$172,21,FALSE)</f>
        <v>7</v>
      </c>
      <c r="W76" s="264">
        <f>VLOOKUP('Statistika okresy'!$B76,Body!$B$3:$AR$172,22,FALSE)</f>
        <v>5</v>
      </c>
      <c r="X76" s="264">
        <f>VLOOKUP('Statistika okresy'!$B76,Body!$B$3:$AR$172,23,FALSE)</f>
        <v>10</v>
      </c>
      <c r="Y76" s="264">
        <f>VLOOKUP('Statistika okresy'!$B76,Body!$B$3:$AR$172,24,FALSE)</f>
        <v>8</v>
      </c>
      <c r="Z76" s="264">
        <f>VLOOKUP('Statistika okresy'!$B76,Body!$B$3:$AR$172,25,FALSE)</f>
        <v>10</v>
      </c>
      <c r="AA76" s="264">
        <f>VLOOKUP('Statistika okresy'!$B76,Body!$B$3:$AR$172,26,FALSE)</f>
        <v>3</v>
      </c>
      <c r="AB76" s="264">
        <f>VLOOKUP('Statistika okresy'!$B76,Body!$B$3:$AR$172,27,FALSE)</f>
        <v>5</v>
      </c>
      <c r="AC76" s="265">
        <f>VLOOKUP('Statistika okresy'!$B76,Body!$B$3:$AR$172,35,FALSE)</f>
        <v>5.3333333333333375</v>
      </c>
      <c r="AD76" s="264">
        <f>VLOOKUP('Statistika okresy'!$B76,Body!$B$3:$AR$172,36,FALSE)</f>
        <v>28.251387882560241</v>
      </c>
      <c r="AE76" s="264">
        <f>VLOOKUP('Statistika okresy'!$B76,Body!$B$3:$AR$172,37,FALSE)</f>
        <v>26.043810827851988</v>
      </c>
      <c r="AF76" s="264">
        <f>VLOOKUP('Statistika okresy'!$B76,Body!$B$3:$AR$172,38,FALSE)</f>
        <v>71.575259894333584</v>
      </c>
      <c r="AG76" s="264">
        <f>VLOOKUP('Statistika okresy'!$B76,Body!$B$3:$AR$172,39,FALSE)</f>
        <v>76.313321394081598</v>
      </c>
      <c r="AH76" s="264">
        <f>VLOOKUP('Statistika okresy'!$B76,Body!$B$3:$AR$172,40,FALSE)</f>
        <v>99.826647776893822</v>
      </c>
      <c r="AI76" s="264">
        <f>VLOOKUP('Statistika okresy'!$B76,Body!$B$3:$AR$172,41,FALSE)</f>
        <v>102.35713222193358</v>
      </c>
      <c r="AJ76" s="390"/>
      <c r="AK76" s="407">
        <f>VLOOKUP('Statistika okresy'!$B76,Body!$B$3:$AR$172,43,FALSE)</f>
        <v>207.51711333216073</v>
      </c>
    </row>
    <row r="77" spans="1:37" ht="15.5" x14ac:dyDescent="0.35">
      <c r="A77" s="382">
        <v>9116</v>
      </c>
      <c r="B77" s="156" t="s">
        <v>632</v>
      </c>
      <c r="C77" s="352" t="s">
        <v>962</v>
      </c>
      <c r="D77" s="264">
        <f>VLOOKUP('Statistika okresy'!$B77,Body!$B$3:$AR$172,3,FALSE)</f>
        <v>2</v>
      </c>
      <c r="E77" s="264">
        <f>VLOOKUP('Statistika okresy'!$B77,Body!$B$3:$AR$172,4,FALSE)</f>
        <v>4</v>
      </c>
      <c r="F77" s="264">
        <f>VLOOKUP('Statistika okresy'!$B77,Body!$B$3:$AR$172,5,FALSE)</f>
        <v>4</v>
      </c>
      <c r="G77" s="264">
        <f>VLOOKUP('Statistika okresy'!$B77,Body!$B$3:$AR$172,6,FALSE)</f>
        <v>3</v>
      </c>
      <c r="H77" s="264">
        <f>VLOOKUP('Statistika okresy'!$B77,Body!$B$3:$AR$172,7,FALSE)</f>
        <v>8</v>
      </c>
      <c r="I77" s="264">
        <f>VLOOKUP('Statistika okresy'!$B77,Body!$B$3:$AR$172,8,FALSE)</f>
        <v>5</v>
      </c>
      <c r="J77" s="264">
        <f>VLOOKUP('Statistika okresy'!$B77,Body!$B$3:$AR$172,9,FALSE)</f>
        <v>1</v>
      </c>
      <c r="K77" s="264">
        <f>VLOOKUP('Statistika okresy'!$B77,Body!$B$3:$AR$172,10,FALSE)</f>
        <v>1</v>
      </c>
      <c r="L77" s="264">
        <f>VLOOKUP('Statistika okresy'!$B77,Body!$B$3:$AR$172,11,FALSE)</f>
        <v>4</v>
      </c>
      <c r="M77" s="264">
        <f>VLOOKUP('Statistika okresy'!$B77,Body!$B$3:$AR$172,12,FALSE)</f>
        <v>3</v>
      </c>
      <c r="N77" s="264">
        <f>VLOOKUP('Statistika okresy'!$B77,Body!$B$3:$AR$172,13,FALSE)</f>
        <v>10</v>
      </c>
      <c r="O77" s="264">
        <f>VLOOKUP('Statistika okresy'!$B77,Body!$B$3:$AR$172,14,FALSE)</f>
        <v>9</v>
      </c>
      <c r="P77" s="264">
        <f>VLOOKUP('Statistika okresy'!$B77,Body!$B$3:$AR$172,15,FALSE)</f>
        <v>3</v>
      </c>
      <c r="Q77" s="264">
        <f>VLOOKUP('Statistika okresy'!$B77,Body!$B$3:$AR$172,16,FALSE)</f>
        <v>5</v>
      </c>
      <c r="R77" s="264">
        <f>VLOOKUP('Statistika okresy'!$B77,Body!$B$3:$AR$172,17,FALSE)</f>
        <v>5</v>
      </c>
      <c r="S77" s="264">
        <f>VLOOKUP('Statistika okresy'!$B77,Body!$B$3:$AR$172,18,FALSE)</f>
        <v>8</v>
      </c>
      <c r="T77" s="264">
        <f>VLOOKUP('Statistika okresy'!$B77,Body!$B$3:$AR$172,19,FALSE)</f>
        <v>8</v>
      </c>
      <c r="U77" s="264">
        <f>VLOOKUP('Statistika okresy'!$B77,Body!$B$3:$AR$172,20,FALSE)</f>
        <v>7</v>
      </c>
      <c r="V77" s="264">
        <f>VLOOKUP('Statistika okresy'!$B77,Body!$B$3:$AR$172,21,FALSE)</f>
        <v>7</v>
      </c>
      <c r="W77" s="264">
        <f>VLOOKUP('Statistika okresy'!$B77,Body!$B$3:$AR$172,22,FALSE)</f>
        <v>5</v>
      </c>
      <c r="X77" s="264">
        <f>VLOOKUP('Statistika okresy'!$B77,Body!$B$3:$AR$172,23,FALSE)</f>
        <v>10</v>
      </c>
      <c r="Y77" s="264">
        <f>VLOOKUP('Statistika okresy'!$B77,Body!$B$3:$AR$172,24,FALSE)</f>
        <v>10</v>
      </c>
      <c r="Z77" s="264">
        <f>VLOOKUP('Statistika okresy'!$B77,Body!$B$3:$AR$172,25,FALSE)</f>
        <v>10</v>
      </c>
      <c r="AA77" s="264">
        <f>VLOOKUP('Statistika okresy'!$B77,Body!$B$3:$AR$172,26,FALSE)</f>
        <v>3</v>
      </c>
      <c r="AB77" s="264">
        <f>VLOOKUP('Statistika okresy'!$B77,Body!$B$3:$AR$172,27,FALSE)</f>
        <v>5</v>
      </c>
      <c r="AC77" s="265">
        <f>VLOOKUP('Statistika okresy'!$B77,Body!$B$3:$AR$172,35,FALSE)</f>
        <v>5.3333333333333375</v>
      </c>
      <c r="AD77" s="264">
        <f>VLOOKUP('Statistika okresy'!$B77,Body!$B$3:$AR$172,36,FALSE)</f>
        <v>29.175811687261394</v>
      </c>
      <c r="AE77" s="264">
        <f>VLOOKUP('Statistika okresy'!$B77,Body!$B$3:$AR$172,37,FALSE)</f>
        <v>25.8496444693596</v>
      </c>
      <c r="AF77" s="264">
        <f>VLOOKUP('Statistika okresy'!$B77,Body!$B$3:$AR$172,38,FALSE)</f>
        <v>72.492609015269778</v>
      </c>
      <c r="AG77" s="264">
        <f>VLOOKUP('Statistika okresy'!$B77,Body!$B$3:$AR$172,39,FALSE)</f>
        <v>69.403422600865809</v>
      </c>
      <c r="AH77" s="264">
        <f>VLOOKUP('Statistika okresy'!$B77,Body!$B$3:$AR$172,40,FALSE)</f>
        <v>101.66842070253117</v>
      </c>
      <c r="AI77" s="264">
        <f>VLOOKUP('Statistika okresy'!$B77,Body!$B$3:$AR$172,41,FALSE)</f>
        <v>95.253067070225413</v>
      </c>
      <c r="AJ77" s="390"/>
      <c r="AK77" s="407">
        <f>VLOOKUP('Statistika okresy'!$B77,Body!$B$3:$AR$172,43,FALSE)</f>
        <v>202.25482110608991</v>
      </c>
    </row>
    <row r="78" spans="1:37" ht="15.5" x14ac:dyDescent="0.35">
      <c r="A78" s="382">
        <v>9119</v>
      </c>
      <c r="B78" s="156" t="s">
        <v>634</v>
      </c>
      <c r="C78" s="352" t="s">
        <v>962</v>
      </c>
      <c r="D78" s="264">
        <f>VLOOKUP('Statistika okresy'!$B78,Body!$B$3:$AR$172,3,FALSE)</f>
        <v>5</v>
      </c>
      <c r="E78" s="264">
        <f>VLOOKUP('Statistika okresy'!$B78,Body!$B$3:$AR$172,4,FALSE)</f>
        <v>5</v>
      </c>
      <c r="F78" s="264">
        <f>VLOOKUP('Statistika okresy'!$B78,Body!$B$3:$AR$172,5,FALSE)</f>
        <v>3</v>
      </c>
      <c r="G78" s="264">
        <f>VLOOKUP('Statistika okresy'!$B78,Body!$B$3:$AR$172,6,FALSE)</f>
        <v>3</v>
      </c>
      <c r="H78" s="264">
        <f>VLOOKUP('Statistika okresy'!$B78,Body!$B$3:$AR$172,7,FALSE)</f>
        <v>4</v>
      </c>
      <c r="I78" s="264">
        <f>VLOOKUP('Statistika okresy'!$B78,Body!$B$3:$AR$172,8,FALSE)</f>
        <v>2</v>
      </c>
      <c r="J78" s="264">
        <f>VLOOKUP('Statistika okresy'!$B78,Body!$B$3:$AR$172,9,FALSE)</f>
        <v>1</v>
      </c>
      <c r="K78" s="264">
        <f>VLOOKUP('Statistika okresy'!$B78,Body!$B$3:$AR$172,10,FALSE)</f>
        <v>1</v>
      </c>
      <c r="L78" s="264">
        <f>VLOOKUP('Statistika okresy'!$B78,Body!$B$3:$AR$172,11,FALSE)</f>
        <v>4</v>
      </c>
      <c r="M78" s="264">
        <f>VLOOKUP('Statistika okresy'!$B78,Body!$B$3:$AR$172,12,FALSE)</f>
        <v>4</v>
      </c>
      <c r="N78" s="264">
        <f>VLOOKUP('Statistika okresy'!$B78,Body!$B$3:$AR$172,13,FALSE)</f>
        <v>8</v>
      </c>
      <c r="O78" s="264">
        <f>VLOOKUP('Statistika okresy'!$B78,Body!$B$3:$AR$172,14,FALSE)</f>
        <v>8</v>
      </c>
      <c r="P78" s="264">
        <f>VLOOKUP('Statistika okresy'!$B78,Body!$B$3:$AR$172,15,FALSE)</f>
        <v>3</v>
      </c>
      <c r="Q78" s="264">
        <f>VLOOKUP('Statistika okresy'!$B78,Body!$B$3:$AR$172,16,FALSE)</f>
        <v>5</v>
      </c>
      <c r="R78" s="264">
        <f>VLOOKUP('Statistika okresy'!$B78,Body!$B$3:$AR$172,17,FALSE)</f>
        <v>5</v>
      </c>
      <c r="S78" s="264">
        <f>VLOOKUP('Statistika okresy'!$B78,Body!$B$3:$AR$172,18,FALSE)</f>
        <v>7</v>
      </c>
      <c r="T78" s="264">
        <f>VLOOKUP('Statistika okresy'!$B78,Body!$B$3:$AR$172,19,FALSE)</f>
        <v>8</v>
      </c>
      <c r="U78" s="264">
        <f>VLOOKUP('Statistika okresy'!$B78,Body!$B$3:$AR$172,20,FALSE)</f>
        <v>7</v>
      </c>
      <c r="V78" s="264">
        <f>VLOOKUP('Statistika okresy'!$B78,Body!$B$3:$AR$172,21,FALSE)</f>
        <v>6</v>
      </c>
      <c r="W78" s="264">
        <f>VLOOKUP('Statistika okresy'!$B78,Body!$B$3:$AR$172,22,FALSE)</f>
        <v>4</v>
      </c>
      <c r="X78" s="264">
        <f>VLOOKUP('Statistika okresy'!$B78,Body!$B$3:$AR$172,23,FALSE)</f>
        <v>10</v>
      </c>
      <c r="Y78" s="264">
        <f>VLOOKUP('Statistika okresy'!$B78,Body!$B$3:$AR$172,24,FALSE)</f>
        <v>10</v>
      </c>
      <c r="Z78" s="264">
        <f>VLOOKUP('Statistika okresy'!$B78,Body!$B$3:$AR$172,25,FALSE)</f>
        <v>10</v>
      </c>
      <c r="AA78" s="264">
        <f>VLOOKUP('Statistika okresy'!$B78,Body!$B$3:$AR$172,26,FALSE)</f>
        <v>3</v>
      </c>
      <c r="AB78" s="264">
        <f>VLOOKUP('Statistika okresy'!$B78,Body!$B$3:$AR$172,27,FALSE)</f>
        <v>5</v>
      </c>
      <c r="AC78" s="265">
        <f>VLOOKUP('Statistika okresy'!$B78,Body!$B$3:$AR$172,35,FALSE)</f>
        <v>5.3333333333333375</v>
      </c>
      <c r="AD78" s="264">
        <f>VLOOKUP('Statistika okresy'!$B78,Body!$B$3:$AR$172,36,FALSE)</f>
        <v>25.807071723129468</v>
      </c>
      <c r="AE78" s="264">
        <f>VLOOKUP('Statistika okresy'!$B78,Body!$B$3:$AR$172,37,FALSE)</f>
        <v>25.351659174798289</v>
      </c>
      <c r="AF78" s="264">
        <f>VLOOKUP('Statistika okresy'!$B78,Body!$B$3:$AR$172,38,FALSE)</f>
        <v>67.034391850991796</v>
      </c>
      <c r="AG78" s="264">
        <f>VLOOKUP('Statistika okresy'!$B78,Body!$B$3:$AR$172,39,FALSE)</f>
        <v>67.858829393663825</v>
      </c>
      <c r="AH78" s="264">
        <f>VLOOKUP('Statistika okresy'!$B78,Body!$B$3:$AR$172,40,FALSE)</f>
        <v>92.841463574121263</v>
      </c>
      <c r="AI78" s="264">
        <f>VLOOKUP('Statistika okresy'!$B78,Body!$B$3:$AR$172,41,FALSE)</f>
        <v>93.210488568462111</v>
      </c>
      <c r="AJ78" s="390"/>
      <c r="AK78" s="407">
        <f>VLOOKUP('Statistika okresy'!$B78,Body!$B$3:$AR$172,43,FALSE)</f>
        <v>191.38528547591673</v>
      </c>
    </row>
    <row r="79" spans="1:37" ht="15.5" x14ac:dyDescent="0.35">
      <c r="A79" s="382">
        <v>9122</v>
      </c>
      <c r="B79" s="156" t="s">
        <v>596</v>
      </c>
      <c r="C79" s="352" t="s">
        <v>962</v>
      </c>
      <c r="D79" s="264">
        <f>VLOOKUP('Statistika okresy'!$B79,Body!$B$3:$AR$172,3,FALSE)</f>
        <v>7</v>
      </c>
      <c r="E79" s="264">
        <f>VLOOKUP('Statistika okresy'!$B79,Body!$B$3:$AR$172,4,FALSE)</f>
        <v>8</v>
      </c>
      <c r="F79" s="264">
        <f>VLOOKUP('Statistika okresy'!$B79,Body!$B$3:$AR$172,5,FALSE)</f>
        <v>5</v>
      </c>
      <c r="G79" s="264">
        <f>VLOOKUP('Statistika okresy'!$B79,Body!$B$3:$AR$172,6,FALSE)</f>
        <v>3</v>
      </c>
      <c r="H79" s="264">
        <f>VLOOKUP('Statistika okresy'!$B79,Body!$B$3:$AR$172,7,FALSE)</f>
        <v>10</v>
      </c>
      <c r="I79" s="264">
        <f>VLOOKUP('Statistika okresy'!$B79,Body!$B$3:$AR$172,8,FALSE)</f>
        <v>10</v>
      </c>
      <c r="J79" s="264">
        <f>VLOOKUP('Statistika okresy'!$B79,Body!$B$3:$AR$172,9,FALSE)</f>
        <v>2</v>
      </c>
      <c r="K79" s="264">
        <f>VLOOKUP('Statistika okresy'!$B79,Body!$B$3:$AR$172,10,FALSE)</f>
        <v>2</v>
      </c>
      <c r="L79" s="264">
        <f>VLOOKUP('Statistika okresy'!$B79,Body!$B$3:$AR$172,11,FALSE)</f>
        <v>6</v>
      </c>
      <c r="M79" s="264">
        <f>VLOOKUP('Statistika okresy'!$B79,Body!$B$3:$AR$172,12,FALSE)</f>
        <v>7</v>
      </c>
      <c r="N79" s="264">
        <f>VLOOKUP('Statistika okresy'!$B79,Body!$B$3:$AR$172,13,FALSE)</f>
        <v>8</v>
      </c>
      <c r="O79" s="264">
        <f>VLOOKUP('Statistika okresy'!$B79,Body!$B$3:$AR$172,14,FALSE)</f>
        <v>8</v>
      </c>
      <c r="P79" s="264">
        <f>VLOOKUP('Statistika okresy'!$B79,Body!$B$3:$AR$172,15,FALSE)</f>
        <v>3</v>
      </c>
      <c r="Q79" s="264">
        <f>VLOOKUP('Statistika okresy'!$B79,Body!$B$3:$AR$172,16,FALSE)</f>
        <v>6</v>
      </c>
      <c r="R79" s="264">
        <f>VLOOKUP('Statistika okresy'!$B79,Body!$B$3:$AR$172,17,FALSE)</f>
        <v>7</v>
      </c>
      <c r="S79" s="264">
        <f>VLOOKUP('Statistika okresy'!$B79,Body!$B$3:$AR$172,18,FALSE)</f>
        <v>10</v>
      </c>
      <c r="T79" s="264">
        <f>VLOOKUP('Statistika okresy'!$B79,Body!$B$3:$AR$172,19,FALSE)</f>
        <v>9</v>
      </c>
      <c r="U79" s="264">
        <f>VLOOKUP('Statistika okresy'!$B79,Body!$B$3:$AR$172,20,FALSE)</f>
        <v>7</v>
      </c>
      <c r="V79" s="264">
        <f>VLOOKUP('Statistika okresy'!$B79,Body!$B$3:$AR$172,21,FALSE)</f>
        <v>8</v>
      </c>
      <c r="W79" s="264">
        <f>VLOOKUP('Statistika okresy'!$B79,Body!$B$3:$AR$172,22,FALSE)</f>
        <v>5</v>
      </c>
      <c r="X79" s="264">
        <f>VLOOKUP('Statistika okresy'!$B79,Body!$B$3:$AR$172,23,FALSE)</f>
        <v>10</v>
      </c>
      <c r="Y79" s="264">
        <f>VLOOKUP('Statistika okresy'!$B79,Body!$B$3:$AR$172,24,FALSE)</f>
        <v>10</v>
      </c>
      <c r="Z79" s="264">
        <f>VLOOKUP('Statistika okresy'!$B79,Body!$B$3:$AR$172,25,FALSE)</f>
        <v>10</v>
      </c>
      <c r="AA79" s="264">
        <f>VLOOKUP('Statistika okresy'!$B79,Body!$B$3:$AR$172,26,FALSE)</f>
        <v>3</v>
      </c>
      <c r="AB79" s="264">
        <f>VLOOKUP('Statistika okresy'!$B79,Body!$B$3:$AR$172,27,FALSE)</f>
        <v>5</v>
      </c>
      <c r="AC79" s="265">
        <f>VLOOKUP('Statistika okresy'!$B79,Body!$B$3:$AR$172,35,FALSE)</f>
        <v>5.3333333333333375</v>
      </c>
      <c r="AD79" s="264">
        <f>VLOOKUP('Statistika okresy'!$B79,Body!$B$3:$AR$172,36,FALSE)</f>
        <v>34.282015782310715</v>
      </c>
      <c r="AE79" s="264">
        <f>VLOOKUP('Statistika okresy'!$B79,Body!$B$3:$AR$172,37,FALSE)</f>
        <v>32.730181696973467</v>
      </c>
      <c r="AF79" s="264">
        <f>VLOOKUP('Statistika okresy'!$B79,Body!$B$3:$AR$172,38,FALSE)</f>
        <v>81.864450136623731</v>
      </c>
      <c r="AG79" s="264">
        <f>VLOOKUP('Statistika okresy'!$B79,Body!$B$3:$AR$172,39,FALSE)</f>
        <v>73.317046557941794</v>
      </c>
      <c r="AH79" s="264">
        <f>VLOOKUP('Statistika okresy'!$B79,Body!$B$3:$AR$172,40,FALSE)</f>
        <v>116.14646591893444</v>
      </c>
      <c r="AI79" s="264">
        <f>VLOOKUP('Statistika okresy'!$B79,Body!$B$3:$AR$172,41,FALSE)</f>
        <v>106.04722825491527</v>
      </c>
      <c r="AJ79" s="390"/>
      <c r="AK79" s="407">
        <f>VLOOKUP('Statistika okresy'!$B79,Body!$B$3:$AR$172,43,FALSE)</f>
        <v>227.52702750718305</v>
      </c>
    </row>
    <row r="80" spans="1:37" ht="15.5" x14ac:dyDescent="0.35">
      <c r="A80" s="382">
        <v>9125</v>
      </c>
      <c r="B80" s="156" t="s">
        <v>654</v>
      </c>
      <c r="C80" s="352" t="s">
        <v>962</v>
      </c>
      <c r="D80" s="264">
        <f>VLOOKUP('Statistika okresy'!$B80,Body!$B$3:$AR$172,3,FALSE)</f>
        <v>9</v>
      </c>
      <c r="E80" s="264">
        <f>VLOOKUP('Statistika okresy'!$B80,Body!$B$3:$AR$172,4,FALSE)</f>
        <v>9</v>
      </c>
      <c r="F80" s="264">
        <f>VLOOKUP('Statistika okresy'!$B80,Body!$B$3:$AR$172,5,FALSE)</f>
        <v>3</v>
      </c>
      <c r="G80" s="264">
        <f>VLOOKUP('Statistika okresy'!$B80,Body!$B$3:$AR$172,6,FALSE)</f>
        <v>2</v>
      </c>
      <c r="H80" s="264">
        <f>VLOOKUP('Statistika okresy'!$B80,Body!$B$3:$AR$172,7,FALSE)</f>
        <v>5</v>
      </c>
      <c r="I80" s="264">
        <f>VLOOKUP('Statistika okresy'!$B80,Body!$B$3:$AR$172,8,FALSE)</f>
        <v>3</v>
      </c>
      <c r="J80" s="264">
        <f>VLOOKUP('Statistika okresy'!$B80,Body!$B$3:$AR$172,9,FALSE)</f>
        <v>1</v>
      </c>
      <c r="K80" s="264">
        <f>VLOOKUP('Statistika okresy'!$B80,Body!$B$3:$AR$172,10,FALSE)</f>
        <v>1</v>
      </c>
      <c r="L80" s="264">
        <f>VLOOKUP('Statistika okresy'!$B80,Body!$B$3:$AR$172,11,FALSE)</f>
        <v>4</v>
      </c>
      <c r="M80" s="264">
        <f>VLOOKUP('Statistika okresy'!$B80,Body!$B$3:$AR$172,12,FALSE)</f>
        <v>5</v>
      </c>
      <c r="N80" s="264">
        <f>VLOOKUP('Statistika okresy'!$B80,Body!$B$3:$AR$172,13,FALSE)</f>
        <v>9</v>
      </c>
      <c r="O80" s="264">
        <f>VLOOKUP('Statistika okresy'!$B80,Body!$B$3:$AR$172,14,FALSE)</f>
        <v>8</v>
      </c>
      <c r="P80" s="264">
        <f>VLOOKUP('Statistika okresy'!$B80,Body!$B$3:$AR$172,15,FALSE)</f>
        <v>3</v>
      </c>
      <c r="Q80" s="264">
        <f>VLOOKUP('Statistika okresy'!$B80,Body!$B$3:$AR$172,16,FALSE)</f>
        <v>6</v>
      </c>
      <c r="R80" s="264">
        <f>VLOOKUP('Statistika okresy'!$B80,Body!$B$3:$AR$172,17,FALSE)</f>
        <v>7</v>
      </c>
      <c r="S80" s="264">
        <f>VLOOKUP('Statistika okresy'!$B80,Body!$B$3:$AR$172,18,FALSE)</f>
        <v>10</v>
      </c>
      <c r="T80" s="264">
        <f>VLOOKUP('Statistika okresy'!$B80,Body!$B$3:$AR$172,19,FALSE)</f>
        <v>10</v>
      </c>
      <c r="U80" s="264">
        <f>VLOOKUP('Statistika okresy'!$B80,Body!$B$3:$AR$172,20,FALSE)</f>
        <v>5</v>
      </c>
      <c r="V80" s="264">
        <f>VLOOKUP('Statistika okresy'!$B80,Body!$B$3:$AR$172,21,FALSE)</f>
        <v>6</v>
      </c>
      <c r="W80" s="264">
        <f>VLOOKUP('Statistika okresy'!$B80,Body!$B$3:$AR$172,22,FALSE)</f>
        <v>5</v>
      </c>
      <c r="X80" s="264">
        <f>VLOOKUP('Statistika okresy'!$B80,Body!$B$3:$AR$172,23,FALSE)</f>
        <v>10</v>
      </c>
      <c r="Y80" s="264">
        <f>VLOOKUP('Statistika okresy'!$B80,Body!$B$3:$AR$172,24,FALSE)</f>
        <v>5</v>
      </c>
      <c r="Z80" s="264">
        <f>VLOOKUP('Statistika okresy'!$B80,Body!$B$3:$AR$172,25,FALSE)</f>
        <v>10</v>
      </c>
      <c r="AA80" s="264">
        <f>VLOOKUP('Statistika okresy'!$B80,Body!$B$3:$AR$172,26,FALSE)</f>
        <v>5</v>
      </c>
      <c r="AB80" s="264">
        <f>VLOOKUP('Statistika okresy'!$B80,Body!$B$3:$AR$172,27,FALSE)</f>
        <v>5</v>
      </c>
      <c r="AC80" s="265">
        <f>VLOOKUP('Statistika okresy'!$B80,Body!$B$3:$AR$172,35,FALSE)</f>
        <v>8.0000000000000071</v>
      </c>
      <c r="AD80" s="264">
        <f>VLOOKUP('Statistika okresy'!$B80,Body!$B$3:$AR$172,36,FALSE)</f>
        <v>29.387050485378687</v>
      </c>
      <c r="AE80" s="264">
        <f>VLOOKUP('Statistika okresy'!$B80,Body!$B$3:$AR$172,37,FALSE)</f>
        <v>28.11404001615816</v>
      </c>
      <c r="AF80" s="264">
        <f>VLOOKUP('Statistika okresy'!$B80,Body!$B$3:$AR$172,38,FALSE)</f>
        <v>72.317648620564469</v>
      </c>
      <c r="AG80" s="264">
        <f>VLOOKUP('Statistika okresy'!$B80,Body!$B$3:$AR$172,39,FALSE)</f>
        <v>70.773055413362485</v>
      </c>
      <c r="AH80" s="264">
        <f>VLOOKUP('Statistika okresy'!$B80,Body!$B$3:$AR$172,40,FALSE)</f>
        <v>101.70469910594315</v>
      </c>
      <c r="AI80" s="264">
        <f>VLOOKUP('Statistika okresy'!$B80,Body!$B$3:$AR$172,41,FALSE)</f>
        <v>98.887095429520642</v>
      </c>
      <c r="AJ80" s="390"/>
      <c r="AK80" s="407">
        <f>VLOOKUP('Statistika okresy'!$B80,Body!$B$3:$AR$172,43,FALSE)</f>
        <v>208.59179453546381</v>
      </c>
    </row>
    <row r="81" spans="1:37" ht="15.5" x14ac:dyDescent="0.35">
      <c r="A81" s="382">
        <v>9128</v>
      </c>
      <c r="B81" s="156" t="s">
        <v>671</v>
      </c>
      <c r="C81" s="352" t="s">
        <v>962</v>
      </c>
      <c r="D81" s="264">
        <f>VLOOKUP('Statistika okresy'!$B81,Body!$B$3:$AR$172,3,FALSE)</f>
        <v>6</v>
      </c>
      <c r="E81" s="264">
        <f>VLOOKUP('Statistika okresy'!$B81,Body!$B$3:$AR$172,4,FALSE)</f>
        <v>6</v>
      </c>
      <c r="F81" s="264">
        <f>VLOOKUP('Statistika okresy'!$B81,Body!$B$3:$AR$172,5,FALSE)</f>
        <v>4</v>
      </c>
      <c r="G81" s="264">
        <f>VLOOKUP('Statistika okresy'!$B81,Body!$B$3:$AR$172,6,FALSE)</f>
        <v>2</v>
      </c>
      <c r="H81" s="264">
        <f>VLOOKUP('Statistika okresy'!$B81,Body!$B$3:$AR$172,7,FALSE)</f>
        <v>1</v>
      </c>
      <c r="I81" s="264">
        <f>VLOOKUP('Statistika okresy'!$B81,Body!$B$3:$AR$172,8,FALSE)</f>
        <v>1</v>
      </c>
      <c r="J81" s="264">
        <f>VLOOKUP('Statistika okresy'!$B81,Body!$B$3:$AR$172,9,FALSE)</f>
        <v>1</v>
      </c>
      <c r="K81" s="264">
        <f>VLOOKUP('Statistika okresy'!$B81,Body!$B$3:$AR$172,10,FALSE)</f>
        <v>1</v>
      </c>
      <c r="L81" s="264">
        <f>VLOOKUP('Statistika okresy'!$B81,Body!$B$3:$AR$172,11,FALSE)</f>
        <v>4</v>
      </c>
      <c r="M81" s="264">
        <f>VLOOKUP('Statistika okresy'!$B81,Body!$B$3:$AR$172,12,FALSE)</f>
        <v>4</v>
      </c>
      <c r="N81" s="264">
        <f>VLOOKUP('Statistika okresy'!$B81,Body!$B$3:$AR$172,13,FALSE)</f>
        <v>6</v>
      </c>
      <c r="O81" s="264">
        <f>VLOOKUP('Statistika okresy'!$B81,Body!$B$3:$AR$172,14,FALSE)</f>
        <v>7</v>
      </c>
      <c r="P81" s="264">
        <f>VLOOKUP('Statistika okresy'!$B81,Body!$B$3:$AR$172,15,FALSE)</f>
        <v>3</v>
      </c>
      <c r="Q81" s="264">
        <f>VLOOKUP('Statistika okresy'!$B81,Body!$B$3:$AR$172,16,FALSE)</f>
        <v>5</v>
      </c>
      <c r="R81" s="264">
        <f>VLOOKUP('Statistika okresy'!$B81,Body!$B$3:$AR$172,17,FALSE)</f>
        <v>7</v>
      </c>
      <c r="S81" s="264">
        <f>VLOOKUP('Statistika okresy'!$B81,Body!$B$3:$AR$172,18,FALSE)</f>
        <v>8</v>
      </c>
      <c r="T81" s="264">
        <f>VLOOKUP('Statistika okresy'!$B81,Body!$B$3:$AR$172,19,FALSE)</f>
        <v>10</v>
      </c>
      <c r="U81" s="264">
        <f>VLOOKUP('Statistika okresy'!$B81,Body!$B$3:$AR$172,20,FALSE)</f>
        <v>5</v>
      </c>
      <c r="V81" s="264">
        <f>VLOOKUP('Statistika okresy'!$B81,Body!$B$3:$AR$172,21,FALSE)</f>
        <v>6</v>
      </c>
      <c r="W81" s="264">
        <f>VLOOKUP('Statistika okresy'!$B81,Body!$B$3:$AR$172,22,FALSE)</f>
        <v>6</v>
      </c>
      <c r="X81" s="264">
        <f>VLOOKUP('Statistika okresy'!$B81,Body!$B$3:$AR$172,23,FALSE)</f>
        <v>10</v>
      </c>
      <c r="Y81" s="264">
        <f>VLOOKUP('Statistika okresy'!$B81,Body!$B$3:$AR$172,24,FALSE)</f>
        <v>8</v>
      </c>
      <c r="Z81" s="264">
        <f>VLOOKUP('Statistika okresy'!$B81,Body!$B$3:$AR$172,25,FALSE)</f>
        <v>10</v>
      </c>
      <c r="AA81" s="264">
        <f>VLOOKUP('Statistika okresy'!$B81,Body!$B$3:$AR$172,26,FALSE)</f>
        <v>3</v>
      </c>
      <c r="AB81" s="264">
        <f>VLOOKUP('Statistika okresy'!$B81,Body!$B$3:$AR$172,27,FALSE)</f>
        <v>5</v>
      </c>
      <c r="AC81" s="265">
        <f>VLOOKUP('Statistika okresy'!$B81,Body!$B$3:$AR$172,35,FALSE)</f>
        <v>5.3333333333333375</v>
      </c>
      <c r="AD81" s="264">
        <f>VLOOKUP('Statistika okresy'!$B81,Body!$B$3:$AR$172,36,FALSE)</f>
        <v>25.733020158699947</v>
      </c>
      <c r="AE81" s="264">
        <f>VLOOKUP('Statistika okresy'!$B81,Body!$B$3:$AR$172,37,FALSE)</f>
        <v>25.200898151310682</v>
      </c>
      <c r="AF81" s="264">
        <f>VLOOKUP('Statistika okresy'!$B81,Body!$B$3:$AR$172,38,FALSE)</f>
        <v>65.86642438781675</v>
      </c>
      <c r="AG81" s="264">
        <f>VLOOKUP('Statistika okresy'!$B81,Body!$B$3:$AR$172,39,FALSE)</f>
        <v>73.693672301968732</v>
      </c>
      <c r="AH81" s="264">
        <f>VLOOKUP('Statistika okresy'!$B81,Body!$B$3:$AR$172,40,FALSE)</f>
        <v>91.599444546516693</v>
      </c>
      <c r="AI81" s="264">
        <f>VLOOKUP('Statistika okresy'!$B81,Body!$B$3:$AR$172,41,FALSE)</f>
        <v>98.894570453279414</v>
      </c>
      <c r="AJ81" s="390"/>
      <c r="AK81" s="407">
        <f>VLOOKUP('Statistika okresy'!$B81,Body!$B$3:$AR$172,43,FALSE)</f>
        <v>195.82734833312944</v>
      </c>
    </row>
    <row r="82" spans="1:37" ht="15.5" x14ac:dyDescent="0.35">
      <c r="A82" s="382">
        <v>9131</v>
      </c>
      <c r="B82" s="156" t="s">
        <v>595</v>
      </c>
      <c r="C82" s="352" t="s">
        <v>962</v>
      </c>
      <c r="D82" s="264">
        <f>VLOOKUP('Statistika okresy'!$B82,Body!$B$3:$AR$172,3,FALSE)</f>
        <v>4</v>
      </c>
      <c r="E82" s="264">
        <f>VLOOKUP('Statistika okresy'!$B82,Body!$B$3:$AR$172,4,FALSE)</f>
        <v>7</v>
      </c>
      <c r="F82" s="264">
        <f>VLOOKUP('Statistika okresy'!$B82,Body!$B$3:$AR$172,5,FALSE)</f>
        <v>3</v>
      </c>
      <c r="G82" s="264">
        <f>VLOOKUP('Statistika okresy'!$B82,Body!$B$3:$AR$172,6,FALSE)</f>
        <v>2</v>
      </c>
      <c r="H82" s="264">
        <f>VLOOKUP('Statistika okresy'!$B82,Body!$B$3:$AR$172,7,FALSE)</f>
        <v>10</v>
      </c>
      <c r="I82" s="264">
        <f>VLOOKUP('Statistika okresy'!$B82,Body!$B$3:$AR$172,8,FALSE)</f>
        <v>6</v>
      </c>
      <c r="J82" s="264">
        <f>VLOOKUP('Statistika okresy'!$B82,Body!$B$3:$AR$172,9,FALSE)</f>
        <v>3</v>
      </c>
      <c r="K82" s="264">
        <f>VLOOKUP('Statistika okresy'!$B82,Body!$B$3:$AR$172,10,FALSE)</f>
        <v>2</v>
      </c>
      <c r="L82" s="264">
        <f>VLOOKUP('Statistika okresy'!$B82,Body!$B$3:$AR$172,11,FALSE)</f>
        <v>3</v>
      </c>
      <c r="M82" s="264">
        <f>VLOOKUP('Statistika okresy'!$B82,Body!$B$3:$AR$172,12,FALSE)</f>
        <v>3</v>
      </c>
      <c r="N82" s="264">
        <f>VLOOKUP('Statistika okresy'!$B82,Body!$B$3:$AR$172,13,FALSE)</f>
        <v>8</v>
      </c>
      <c r="O82" s="264">
        <f>VLOOKUP('Statistika okresy'!$B82,Body!$B$3:$AR$172,14,FALSE)</f>
        <v>8</v>
      </c>
      <c r="P82" s="264">
        <f>VLOOKUP('Statistika okresy'!$B82,Body!$B$3:$AR$172,15,FALSE)</f>
        <v>3</v>
      </c>
      <c r="Q82" s="264">
        <f>VLOOKUP('Statistika okresy'!$B82,Body!$B$3:$AR$172,16,FALSE)</f>
        <v>4</v>
      </c>
      <c r="R82" s="264">
        <f>VLOOKUP('Statistika okresy'!$B82,Body!$B$3:$AR$172,17,FALSE)</f>
        <v>5</v>
      </c>
      <c r="S82" s="264">
        <f>VLOOKUP('Statistika okresy'!$B82,Body!$B$3:$AR$172,18,FALSE)</f>
        <v>8</v>
      </c>
      <c r="T82" s="264">
        <f>VLOOKUP('Statistika okresy'!$B82,Body!$B$3:$AR$172,19,FALSE)</f>
        <v>8</v>
      </c>
      <c r="U82" s="264">
        <f>VLOOKUP('Statistika okresy'!$B82,Body!$B$3:$AR$172,20,FALSE)</f>
        <v>7</v>
      </c>
      <c r="V82" s="264">
        <f>VLOOKUP('Statistika okresy'!$B82,Body!$B$3:$AR$172,21,FALSE)</f>
        <v>7</v>
      </c>
      <c r="W82" s="264">
        <f>VLOOKUP('Statistika okresy'!$B82,Body!$B$3:$AR$172,22,FALSE)</f>
        <v>6</v>
      </c>
      <c r="X82" s="264">
        <f>VLOOKUP('Statistika okresy'!$B82,Body!$B$3:$AR$172,23,FALSE)</f>
        <v>10</v>
      </c>
      <c r="Y82" s="264">
        <f>VLOOKUP('Statistika okresy'!$B82,Body!$B$3:$AR$172,24,FALSE)</f>
        <v>10</v>
      </c>
      <c r="Z82" s="264">
        <f>VLOOKUP('Statistika okresy'!$B82,Body!$B$3:$AR$172,25,FALSE)</f>
        <v>10</v>
      </c>
      <c r="AA82" s="264">
        <f>VLOOKUP('Statistika okresy'!$B82,Body!$B$3:$AR$172,26,FALSE)</f>
        <v>3</v>
      </c>
      <c r="AB82" s="264">
        <f>VLOOKUP('Statistika okresy'!$B82,Body!$B$3:$AR$172,27,FALSE)</f>
        <v>5</v>
      </c>
      <c r="AC82" s="265">
        <f>VLOOKUP('Statistika okresy'!$B82,Body!$B$3:$AR$172,35,FALSE)</f>
        <v>5.3333333333333375</v>
      </c>
      <c r="AD82" s="264">
        <f>VLOOKUP('Statistika okresy'!$B82,Body!$B$3:$AR$172,36,FALSE)</f>
        <v>25.372107012614993</v>
      </c>
      <c r="AE82" s="264">
        <f>VLOOKUP('Statistika okresy'!$B82,Body!$B$3:$AR$172,37,FALSE)</f>
        <v>24.612706612691813</v>
      </c>
      <c r="AF82" s="264">
        <f>VLOOKUP('Statistika okresy'!$B82,Body!$B$3:$AR$172,38,FALSE)</f>
        <v>72.492609015269778</v>
      </c>
      <c r="AG82" s="264">
        <f>VLOOKUP('Statistika okresy'!$B82,Body!$B$3:$AR$172,39,FALSE)</f>
        <v>70.948015808067794</v>
      </c>
      <c r="AH82" s="264">
        <f>VLOOKUP('Statistika okresy'!$B82,Body!$B$3:$AR$172,40,FALSE)</f>
        <v>97.864716027884768</v>
      </c>
      <c r="AI82" s="264">
        <f>VLOOKUP('Statistika okresy'!$B82,Body!$B$3:$AR$172,41,FALSE)</f>
        <v>95.560722420759603</v>
      </c>
      <c r="AJ82" s="390"/>
      <c r="AK82" s="407">
        <f>VLOOKUP('Statistika okresy'!$B82,Body!$B$3:$AR$172,43,FALSE)</f>
        <v>198.75877178197771</v>
      </c>
    </row>
    <row r="83" spans="1:37" ht="15.5" x14ac:dyDescent="0.35">
      <c r="A83" s="382">
        <v>9134</v>
      </c>
      <c r="B83" s="156" t="s">
        <v>633</v>
      </c>
      <c r="C83" s="352" t="s">
        <v>962</v>
      </c>
      <c r="D83" s="264">
        <f>VLOOKUP('Statistika okresy'!$B83,Body!$B$3:$AR$172,3,FALSE)</f>
        <v>6</v>
      </c>
      <c r="E83" s="264">
        <f>VLOOKUP('Statistika okresy'!$B83,Body!$B$3:$AR$172,4,FALSE)</f>
        <v>6</v>
      </c>
      <c r="F83" s="264">
        <f>VLOOKUP('Statistika okresy'!$B83,Body!$B$3:$AR$172,5,FALSE)</f>
        <v>3</v>
      </c>
      <c r="G83" s="264">
        <f>VLOOKUP('Statistika okresy'!$B83,Body!$B$3:$AR$172,6,FALSE)</f>
        <v>2</v>
      </c>
      <c r="H83" s="264">
        <f>VLOOKUP('Statistika okresy'!$B83,Body!$B$3:$AR$172,7,FALSE)</f>
        <v>3</v>
      </c>
      <c r="I83" s="264">
        <f>VLOOKUP('Statistika okresy'!$B83,Body!$B$3:$AR$172,8,FALSE)</f>
        <v>2</v>
      </c>
      <c r="J83" s="264">
        <f>VLOOKUP('Statistika okresy'!$B83,Body!$B$3:$AR$172,9,FALSE)</f>
        <v>1</v>
      </c>
      <c r="K83" s="264">
        <f>VLOOKUP('Statistika okresy'!$B83,Body!$B$3:$AR$172,10,FALSE)</f>
        <v>1</v>
      </c>
      <c r="L83" s="264">
        <f>VLOOKUP('Statistika okresy'!$B83,Body!$B$3:$AR$172,11,FALSE)</f>
        <v>3</v>
      </c>
      <c r="M83" s="264">
        <f>VLOOKUP('Statistika okresy'!$B83,Body!$B$3:$AR$172,12,FALSE)</f>
        <v>3</v>
      </c>
      <c r="N83" s="264">
        <f>VLOOKUP('Statistika okresy'!$B83,Body!$B$3:$AR$172,13,FALSE)</f>
        <v>8</v>
      </c>
      <c r="O83" s="264">
        <f>VLOOKUP('Statistika okresy'!$B83,Body!$B$3:$AR$172,14,FALSE)</f>
        <v>8</v>
      </c>
      <c r="P83" s="264">
        <f>VLOOKUP('Statistika okresy'!$B83,Body!$B$3:$AR$172,15,FALSE)</f>
        <v>3</v>
      </c>
      <c r="Q83" s="264">
        <f>VLOOKUP('Statistika okresy'!$B83,Body!$B$3:$AR$172,16,FALSE)</f>
        <v>5</v>
      </c>
      <c r="R83" s="264">
        <f>VLOOKUP('Statistika okresy'!$B83,Body!$B$3:$AR$172,17,FALSE)</f>
        <v>6</v>
      </c>
      <c r="S83" s="264">
        <f>VLOOKUP('Statistika okresy'!$B83,Body!$B$3:$AR$172,18,FALSE)</f>
        <v>8</v>
      </c>
      <c r="T83" s="264">
        <f>VLOOKUP('Statistika okresy'!$B83,Body!$B$3:$AR$172,19,FALSE)</f>
        <v>8</v>
      </c>
      <c r="U83" s="264">
        <f>VLOOKUP('Statistika okresy'!$B83,Body!$B$3:$AR$172,20,FALSE)</f>
        <v>7</v>
      </c>
      <c r="V83" s="264">
        <f>VLOOKUP('Statistika okresy'!$B83,Body!$B$3:$AR$172,21,FALSE)</f>
        <v>8</v>
      </c>
      <c r="W83" s="264">
        <f>VLOOKUP('Statistika okresy'!$B83,Body!$B$3:$AR$172,22,FALSE)</f>
        <v>5</v>
      </c>
      <c r="X83" s="264">
        <f>VLOOKUP('Statistika okresy'!$B83,Body!$B$3:$AR$172,23,FALSE)</f>
        <v>10</v>
      </c>
      <c r="Y83" s="264">
        <f>VLOOKUP('Statistika okresy'!$B83,Body!$B$3:$AR$172,24,FALSE)</f>
        <v>10</v>
      </c>
      <c r="Z83" s="264">
        <f>VLOOKUP('Statistika okresy'!$B83,Body!$B$3:$AR$172,25,FALSE)</f>
        <v>10</v>
      </c>
      <c r="AA83" s="264">
        <f>VLOOKUP('Statistika okresy'!$B83,Body!$B$3:$AR$172,26,FALSE)</f>
        <v>3</v>
      </c>
      <c r="AB83" s="264">
        <f>VLOOKUP('Statistika okresy'!$B83,Body!$B$3:$AR$172,27,FALSE)</f>
        <v>5</v>
      </c>
      <c r="AC83" s="265">
        <f>VLOOKUP('Statistika okresy'!$B83,Body!$B$3:$AR$172,35,FALSE)</f>
        <v>5.3333333333333375</v>
      </c>
      <c r="AD83" s="264">
        <f>VLOOKUP('Statistika okresy'!$B83,Body!$B$3:$AR$172,36,FALSE)</f>
        <v>25.269063014647763</v>
      </c>
      <c r="AE83" s="264">
        <f>VLOOKUP('Statistika okresy'!$B83,Body!$B$3:$AR$172,37,FALSE)</f>
        <v>24.375668287627288</v>
      </c>
      <c r="AF83" s="264">
        <f>VLOOKUP('Statistika okresy'!$B83,Body!$B$3:$AR$172,38,FALSE)</f>
        <v>74.037202222471763</v>
      </c>
      <c r="AG83" s="264">
        <f>VLOOKUP('Statistika okresy'!$B83,Body!$B$3:$AR$172,39,FALSE)</f>
        <v>69.403422600865809</v>
      </c>
      <c r="AH83" s="264">
        <f>VLOOKUP('Statistika okresy'!$B83,Body!$B$3:$AR$172,40,FALSE)</f>
        <v>99.306265237119533</v>
      </c>
      <c r="AI83" s="264">
        <f>VLOOKUP('Statistika okresy'!$B83,Body!$B$3:$AR$172,41,FALSE)</f>
        <v>93.779090888493101</v>
      </c>
      <c r="AJ83" s="390"/>
      <c r="AK83" s="407">
        <f>VLOOKUP('Statistika okresy'!$B83,Body!$B$3:$AR$172,43,FALSE)</f>
        <v>198.41868945894598</v>
      </c>
    </row>
    <row r="84" spans="1:37" ht="15.5" x14ac:dyDescent="0.35">
      <c r="A84" s="382">
        <v>9137</v>
      </c>
      <c r="B84" s="156" t="s">
        <v>652</v>
      </c>
      <c r="C84" s="352" t="s">
        <v>962</v>
      </c>
      <c r="D84" s="264">
        <f>VLOOKUP('Statistika okresy'!$B84,Body!$B$3:$AR$172,3,FALSE)</f>
        <v>7</v>
      </c>
      <c r="E84" s="264">
        <f>VLOOKUP('Statistika okresy'!$B84,Body!$B$3:$AR$172,4,FALSE)</f>
        <v>9</v>
      </c>
      <c r="F84" s="264">
        <f>VLOOKUP('Statistika okresy'!$B84,Body!$B$3:$AR$172,5,FALSE)</f>
        <v>4</v>
      </c>
      <c r="G84" s="264">
        <f>VLOOKUP('Statistika okresy'!$B84,Body!$B$3:$AR$172,6,FALSE)</f>
        <v>3</v>
      </c>
      <c r="H84" s="264">
        <f>VLOOKUP('Statistika okresy'!$B84,Body!$B$3:$AR$172,7,FALSE)</f>
        <v>1</v>
      </c>
      <c r="I84" s="264">
        <f>VLOOKUP('Statistika okresy'!$B84,Body!$B$3:$AR$172,8,FALSE)</f>
        <v>1</v>
      </c>
      <c r="J84" s="264">
        <f>VLOOKUP('Statistika okresy'!$B84,Body!$B$3:$AR$172,9,FALSE)</f>
        <v>1</v>
      </c>
      <c r="K84" s="264">
        <f>VLOOKUP('Statistika okresy'!$B84,Body!$B$3:$AR$172,10,FALSE)</f>
        <v>1</v>
      </c>
      <c r="L84" s="264">
        <f>VLOOKUP('Statistika okresy'!$B84,Body!$B$3:$AR$172,11,FALSE)</f>
        <v>4</v>
      </c>
      <c r="M84" s="264">
        <f>VLOOKUP('Statistika okresy'!$B84,Body!$B$3:$AR$172,12,FALSE)</f>
        <v>3</v>
      </c>
      <c r="N84" s="264">
        <f>VLOOKUP('Statistika okresy'!$B84,Body!$B$3:$AR$172,13,FALSE)</f>
        <v>8</v>
      </c>
      <c r="O84" s="264">
        <f>VLOOKUP('Statistika okresy'!$B84,Body!$B$3:$AR$172,14,FALSE)</f>
        <v>8</v>
      </c>
      <c r="P84" s="264">
        <f>VLOOKUP('Statistika okresy'!$B84,Body!$B$3:$AR$172,15,FALSE)</f>
        <v>3</v>
      </c>
      <c r="Q84" s="264">
        <f>VLOOKUP('Statistika okresy'!$B84,Body!$B$3:$AR$172,16,FALSE)</f>
        <v>5</v>
      </c>
      <c r="R84" s="264">
        <f>VLOOKUP('Statistika okresy'!$B84,Body!$B$3:$AR$172,17,FALSE)</f>
        <v>6</v>
      </c>
      <c r="S84" s="264">
        <f>VLOOKUP('Statistika okresy'!$B84,Body!$B$3:$AR$172,18,FALSE)</f>
        <v>10</v>
      </c>
      <c r="T84" s="264">
        <f>VLOOKUP('Statistika okresy'!$B84,Body!$B$3:$AR$172,19,FALSE)</f>
        <v>10</v>
      </c>
      <c r="U84" s="264">
        <f>VLOOKUP('Statistika okresy'!$B84,Body!$B$3:$AR$172,20,FALSE)</f>
        <v>7</v>
      </c>
      <c r="V84" s="264">
        <f>VLOOKUP('Statistika okresy'!$B84,Body!$B$3:$AR$172,21,FALSE)</f>
        <v>7</v>
      </c>
      <c r="W84" s="264">
        <f>VLOOKUP('Statistika okresy'!$B84,Body!$B$3:$AR$172,22,FALSE)</f>
        <v>6</v>
      </c>
      <c r="X84" s="264">
        <f>VLOOKUP('Statistika okresy'!$B84,Body!$B$3:$AR$172,23,FALSE)</f>
        <v>10</v>
      </c>
      <c r="Y84" s="264">
        <f>VLOOKUP('Statistika okresy'!$B84,Body!$B$3:$AR$172,24,FALSE)</f>
        <v>10</v>
      </c>
      <c r="Z84" s="264">
        <f>VLOOKUP('Statistika okresy'!$B84,Body!$B$3:$AR$172,25,FALSE)</f>
        <v>10</v>
      </c>
      <c r="AA84" s="264">
        <f>VLOOKUP('Statistika okresy'!$B84,Body!$B$3:$AR$172,26,FALSE)</f>
        <v>3</v>
      </c>
      <c r="AB84" s="264">
        <f>VLOOKUP('Statistika okresy'!$B84,Body!$B$3:$AR$172,27,FALSE)</f>
        <v>5</v>
      </c>
      <c r="AC84" s="265">
        <f>VLOOKUP('Statistika okresy'!$B84,Body!$B$3:$AR$172,35,FALSE)</f>
        <v>5.3333333333333375</v>
      </c>
      <c r="AD84" s="264">
        <f>VLOOKUP('Statistika okresy'!$B84,Body!$B$3:$AR$172,36,FALSE)</f>
        <v>27.668572951310857</v>
      </c>
      <c r="AE84" s="264">
        <f>VLOOKUP('Statistika okresy'!$B84,Body!$B$3:$AR$172,37,FALSE)</f>
        <v>27.029625060109783</v>
      </c>
      <c r="AF84" s="264">
        <f>VLOOKUP('Statistika okresy'!$B84,Body!$B$3:$AR$172,38,FALSE)</f>
        <v>80.319856929421761</v>
      </c>
      <c r="AG84" s="264">
        <f>VLOOKUP('Statistika okresy'!$B84,Body!$B$3:$AR$172,39,FALSE)</f>
        <v>78.775263722219762</v>
      </c>
      <c r="AH84" s="264">
        <f>VLOOKUP('Statistika okresy'!$B84,Body!$B$3:$AR$172,40,FALSE)</f>
        <v>107.98842988073261</v>
      </c>
      <c r="AI84" s="264">
        <f>VLOOKUP('Statistika okresy'!$B84,Body!$B$3:$AR$172,41,FALSE)</f>
        <v>105.80488878232954</v>
      </c>
      <c r="AJ84" s="390"/>
      <c r="AK84" s="407">
        <f>VLOOKUP('Statistika okresy'!$B84,Body!$B$3:$AR$172,43,FALSE)</f>
        <v>219.12665199639551</v>
      </c>
    </row>
    <row r="85" spans="1:37" ht="15.5" x14ac:dyDescent="0.35">
      <c r="A85" s="382">
        <v>9140</v>
      </c>
      <c r="B85" s="156" t="s">
        <v>672</v>
      </c>
      <c r="C85" s="352" t="s">
        <v>962</v>
      </c>
      <c r="D85" s="264">
        <f>VLOOKUP('Statistika okresy'!$B85,Body!$B$3:$AR$172,3,FALSE)</f>
        <v>6</v>
      </c>
      <c r="E85" s="264">
        <f>VLOOKUP('Statistika okresy'!$B85,Body!$B$3:$AR$172,4,FALSE)</f>
        <v>6</v>
      </c>
      <c r="F85" s="264">
        <f>VLOOKUP('Statistika okresy'!$B85,Body!$B$3:$AR$172,5,FALSE)</f>
        <v>2</v>
      </c>
      <c r="G85" s="264">
        <f>VLOOKUP('Statistika okresy'!$B85,Body!$B$3:$AR$172,6,FALSE)</f>
        <v>2</v>
      </c>
      <c r="H85" s="264">
        <f>VLOOKUP('Statistika okresy'!$B85,Body!$B$3:$AR$172,7,FALSE)</f>
        <v>1</v>
      </c>
      <c r="I85" s="264">
        <f>VLOOKUP('Statistika okresy'!$B85,Body!$B$3:$AR$172,8,FALSE)</f>
        <v>1</v>
      </c>
      <c r="J85" s="264">
        <f>VLOOKUP('Statistika okresy'!$B85,Body!$B$3:$AR$172,9,FALSE)</f>
        <v>1</v>
      </c>
      <c r="K85" s="264">
        <f>VLOOKUP('Statistika okresy'!$B85,Body!$B$3:$AR$172,10,FALSE)</f>
        <v>1</v>
      </c>
      <c r="L85" s="264">
        <f>VLOOKUP('Statistika okresy'!$B85,Body!$B$3:$AR$172,11,FALSE)</f>
        <v>3</v>
      </c>
      <c r="M85" s="264">
        <f>VLOOKUP('Statistika okresy'!$B85,Body!$B$3:$AR$172,12,FALSE)</f>
        <v>3</v>
      </c>
      <c r="N85" s="264">
        <f>VLOOKUP('Statistika okresy'!$B85,Body!$B$3:$AR$172,13,FALSE)</f>
        <v>5</v>
      </c>
      <c r="O85" s="264">
        <f>VLOOKUP('Statistika okresy'!$B85,Body!$B$3:$AR$172,14,FALSE)</f>
        <v>5</v>
      </c>
      <c r="P85" s="264">
        <f>VLOOKUP('Statistika okresy'!$B85,Body!$B$3:$AR$172,15,FALSE)</f>
        <v>3</v>
      </c>
      <c r="Q85" s="264">
        <f>VLOOKUP('Statistika okresy'!$B85,Body!$B$3:$AR$172,16,FALSE)</f>
        <v>5</v>
      </c>
      <c r="R85" s="264">
        <f>VLOOKUP('Statistika okresy'!$B85,Body!$B$3:$AR$172,17,FALSE)</f>
        <v>5</v>
      </c>
      <c r="S85" s="264">
        <f>VLOOKUP('Statistika okresy'!$B85,Body!$B$3:$AR$172,18,FALSE)</f>
        <v>7</v>
      </c>
      <c r="T85" s="264">
        <f>VLOOKUP('Statistika okresy'!$B85,Body!$B$3:$AR$172,19,FALSE)</f>
        <v>8</v>
      </c>
      <c r="U85" s="264">
        <f>VLOOKUP('Statistika okresy'!$B85,Body!$B$3:$AR$172,20,FALSE)</f>
        <v>5</v>
      </c>
      <c r="V85" s="264">
        <f>VLOOKUP('Statistika okresy'!$B85,Body!$B$3:$AR$172,21,FALSE)</f>
        <v>7</v>
      </c>
      <c r="W85" s="264">
        <f>VLOOKUP('Statistika okresy'!$B85,Body!$B$3:$AR$172,22,FALSE)</f>
        <v>5</v>
      </c>
      <c r="X85" s="264">
        <f>VLOOKUP('Statistika okresy'!$B85,Body!$B$3:$AR$172,23,FALSE)</f>
        <v>10</v>
      </c>
      <c r="Y85" s="264">
        <f>VLOOKUP('Statistika okresy'!$B85,Body!$B$3:$AR$172,24,FALSE)</f>
        <v>10</v>
      </c>
      <c r="Z85" s="264">
        <f>VLOOKUP('Statistika okresy'!$B85,Body!$B$3:$AR$172,25,FALSE)</f>
        <v>10</v>
      </c>
      <c r="AA85" s="264">
        <f>VLOOKUP('Statistika okresy'!$B85,Body!$B$3:$AR$172,26,FALSE)</f>
        <v>3</v>
      </c>
      <c r="AB85" s="264">
        <f>VLOOKUP('Statistika okresy'!$B85,Body!$B$3:$AR$172,27,FALSE)</f>
        <v>5</v>
      </c>
      <c r="AC85" s="265">
        <f>VLOOKUP('Statistika okresy'!$B85,Body!$B$3:$AR$172,35,FALSE)</f>
        <v>5.3333333333333375</v>
      </c>
      <c r="AD85" s="264">
        <f>VLOOKUP('Statistika okresy'!$B85,Body!$B$3:$AR$172,36,FALSE)</f>
        <v>20.545351712616764</v>
      </c>
      <c r="AE85" s="264">
        <f>VLOOKUP('Statistika okresy'!$B85,Body!$B$3:$AR$172,37,FALSE)</f>
        <v>20.545351712616764</v>
      </c>
      <c r="AF85" s="264">
        <f>VLOOKUP('Statistika okresy'!$B85,Body!$B$3:$AR$172,38,FALSE)</f>
        <v>64.414742758878944</v>
      </c>
      <c r="AG85" s="264">
        <f>VLOOKUP('Statistika okresy'!$B85,Body!$B$3:$AR$172,39,FALSE)</f>
        <v>65.239180301550959</v>
      </c>
      <c r="AH85" s="264">
        <f>VLOOKUP('Statistika okresy'!$B85,Body!$B$3:$AR$172,40,FALSE)</f>
        <v>84.960094471495708</v>
      </c>
      <c r="AI85" s="264">
        <f>VLOOKUP('Statistika okresy'!$B85,Body!$B$3:$AR$172,41,FALSE)</f>
        <v>85.784532014167723</v>
      </c>
      <c r="AJ85" s="390"/>
      <c r="AK85" s="407">
        <f>VLOOKUP('Statistika okresy'!$B85,Body!$B$3:$AR$172,43,FALSE)</f>
        <v>176.07795981899679</v>
      </c>
    </row>
    <row r="86" spans="1:37" ht="15.5" x14ac:dyDescent="0.35">
      <c r="A86" s="382">
        <v>9143</v>
      </c>
      <c r="B86" s="156" t="s">
        <v>585</v>
      </c>
      <c r="C86" s="352" t="s">
        <v>962</v>
      </c>
      <c r="D86" s="264">
        <f>VLOOKUP('Statistika okresy'!$B86,Body!$B$3:$AR$172,3,FALSE)</f>
        <v>6</v>
      </c>
      <c r="E86" s="264">
        <f>VLOOKUP('Statistika okresy'!$B86,Body!$B$3:$AR$172,4,FALSE)</f>
        <v>6</v>
      </c>
      <c r="F86" s="264">
        <f>VLOOKUP('Statistika okresy'!$B86,Body!$B$3:$AR$172,5,FALSE)</f>
        <v>3</v>
      </c>
      <c r="G86" s="264">
        <f>VLOOKUP('Statistika okresy'!$B86,Body!$B$3:$AR$172,6,FALSE)</f>
        <v>2</v>
      </c>
      <c r="H86" s="264">
        <f>VLOOKUP('Statistika okresy'!$B86,Body!$B$3:$AR$172,7,FALSE)</f>
        <v>1</v>
      </c>
      <c r="I86" s="264">
        <f>VLOOKUP('Statistika okresy'!$B86,Body!$B$3:$AR$172,8,FALSE)</f>
        <v>1</v>
      </c>
      <c r="J86" s="264">
        <f>VLOOKUP('Statistika okresy'!$B86,Body!$B$3:$AR$172,9,FALSE)</f>
        <v>1</v>
      </c>
      <c r="K86" s="264">
        <f>VLOOKUP('Statistika okresy'!$B86,Body!$B$3:$AR$172,10,FALSE)</f>
        <v>1</v>
      </c>
      <c r="L86" s="264">
        <f>VLOOKUP('Statistika okresy'!$B86,Body!$B$3:$AR$172,11,FALSE)</f>
        <v>1</v>
      </c>
      <c r="M86" s="264">
        <f>VLOOKUP('Statistika okresy'!$B86,Body!$B$3:$AR$172,12,FALSE)</f>
        <v>1</v>
      </c>
      <c r="N86" s="264">
        <f>VLOOKUP('Statistika okresy'!$B86,Body!$B$3:$AR$172,13,FALSE)</f>
        <v>4</v>
      </c>
      <c r="O86" s="264">
        <f>VLOOKUP('Statistika okresy'!$B86,Body!$B$3:$AR$172,14,FALSE)</f>
        <v>5</v>
      </c>
      <c r="P86" s="264">
        <f>VLOOKUP('Statistika okresy'!$B86,Body!$B$3:$AR$172,15,FALSE)</f>
        <v>6</v>
      </c>
      <c r="Q86" s="264">
        <f>VLOOKUP('Statistika okresy'!$B86,Body!$B$3:$AR$172,16,FALSE)</f>
        <v>3</v>
      </c>
      <c r="R86" s="264">
        <f>VLOOKUP('Statistika okresy'!$B86,Body!$B$3:$AR$172,17,FALSE)</f>
        <v>3</v>
      </c>
      <c r="S86" s="264">
        <f>VLOOKUP('Statistika okresy'!$B86,Body!$B$3:$AR$172,18,FALSE)</f>
        <v>4</v>
      </c>
      <c r="T86" s="264">
        <f>VLOOKUP('Statistika okresy'!$B86,Body!$B$3:$AR$172,19,FALSE)</f>
        <v>6</v>
      </c>
      <c r="U86" s="264">
        <f>VLOOKUP('Statistika okresy'!$B86,Body!$B$3:$AR$172,20,FALSE)</f>
        <v>7</v>
      </c>
      <c r="V86" s="264">
        <f>VLOOKUP('Statistika okresy'!$B86,Body!$B$3:$AR$172,21,FALSE)</f>
        <v>6</v>
      </c>
      <c r="W86" s="264">
        <f>VLOOKUP('Statistika okresy'!$B86,Body!$B$3:$AR$172,22,FALSE)</f>
        <v>4</v>
      </c>
      <c r="X86" s="264">
        <f>VLOOKUP('Statistika okresy'!$B86,Body!$B$3:$AR$172,23,FALSE)</f>
        <v>10</v>
      </c>
      <c r="Y86" s="264">
        <f>VLOOKUP('Statistika okresy'!$B86,Body!$B$3:$AR$172,24,FALSE)</f>
        <v>10</v>
      </c>
      <c r="Z86" s="264">
        <f>VLOOKUP('Statistika okresy'!$B86,Body!$B$3:$AR$172,25,FALSE)</f>
        <v>10</v>
      </c>
      <c r="AA86" s="264">
        <f>VLOOKUP('Statistika okresy'!$B86,Body!$B$3:$AR$172,26,FALSE)</f>
        <v>10</v>
      </c>
      <c r="AB86" s="264">
        <f>VLOOKUP('Statistika okresy'!$B86,Body!$B$3:$AR$172,27,FALSE)</f>
        <v>5</v>
      </c>
      <c r="AC86" s="265">
        <f>VLOOKUP('Statistika okresy'!$B86,Body!$B$3:$AR$172,35,FALSE)</f>
        <v>14.666666666666682</v>
      </c>
      <c r="AD86" s="264">
        <f>VLOOKUP('Statistika okresy'!$B86,Body!$B$3:$AR$172,36,FALSE)</f>
        <v>20.31001349565712</v>
      </c>
      <c r="AE86" s="264">
        <f>VLOOKUP('Statistika okresy'!$B86,Body!$B$3:$AR$172,37,FALSE)</f>
        <v>19.238734335239293</v>
      </c>
      <c r="AF86" s="264">
        <f>VLOOKUP('Statistika okresy'!$B86,Body!$B$3:$AR$172,38,FALSE)</f>
        <v>55.293519979763829</v>
      </c>
      <c r="AG86" s="264">
        <f>VLOOKUP('Statistika okresy'!$B86,Body!$B$3:$AR$172,39,FALSE)</f>
        <v>60.031581479511843</v>
      </c>
      <c r="AH86" s="264">
        <f>VLOOKUP('Statistika okresy'!$B86,Body!$B$3:$AR$172,40,FALSE)</f>
        <v>75.603533475420946</v>
      </c>
      <c r="AI86" s="264">
        <f>VLOOKUP('Statistika okresy'!$B86,Body!$B$3:$AR$172,41,FALSE)</f>
        <v>79.270315814751143</v>
      </c>
      <c r="AJ86" s="390"/>
      <c r="AK86" s="407">
        <f>VLOOKUP('Statistika okresy'!$B86,Body!$B$3:$AR$172,43,FALSE)</f>
        <v>169.54051595683876</v>
      </c>
    </row>
    <row r="87" spans="1:37" ht="15.5" x14ac:dyDescent="0.35">
      <c r="A87" s="382">
        <v>9146</v>
      </c>
      <c r="B87" s="156" t="s">
        <v>583</v>
      </c>
      <c r="C87" s="352" t="s">
        <v>962</v>
      </c>
      <c r="D87" s="264">
        <f>VLOOKUP('Statistika okresy'!$B87,Body!$B$3:$AR$172,3,FALSE)</f>
        <v>6</v>
      </c>
      <c r="E87" s="264">
        <f>VLOOKUP('Statistika okresy'!$B87,Body!$B$3:$AR$172,4,FALSE)</f>
        <v>6</v>
      </c>
      <c r="F87" s="264">
        <f>VLOOKUP('Statistika okresy'!$B87,Body!$B$3:$AR$172,5,FALSE)</f>
        <v>3</v>
      </c>
      <c r="G87" s="264">
        <f>VLOOKUP('Statistika okresy'!$B87,Body!$B$3:$AR$172,6,FALSE)</f>
        <v>2</v>
      </c>
      <c r="H87" s="264">
        <f>VLOOKUP('Statistika okresy'!$B87,Body!$B$3:$AR$172,7,FALSE)</f>
        <v>1</v>
      </c>
      <c r="I87" s="264">
        <f>VLOOKUP('Statistika okresy'!$B87,Body!$B$3:$AR$172,8,FALSE)</f>
        <v>1</v>
      </c>
      <c r="J87" s="264">
        <f>VLOOKUP('Statistika okresy'!$B87,Body!$B$3:$AR$172,9,FALSE)</f>
        <v>1</v>
      </c>
      <c r="K87" s="264">
        <f>VLOOKUP('Statistika okresy'!$B87,Body!$B$3:$AR$172,10,FALSE)</f>
        <v>1</v>
      </c>
      <c r="L87" s="264">
        <f>VLOOKUP('Statistika okresy'!$B87,Body!$B$3:$AR$172,11,FALSE)</f>
        <v>1</v>
      </c>
      <c r="M87" s="264">
        <f>VLOOKUP('Statistika okresy'!$B87,Body!$B$3:$AR$172,12,FALSE)</f>
        <v>1</v>
      </c>
      <c r="N87" s="264">
        <f>VLOOKUP('Statistika okresy'!$B87,Body!$B$3:$AR$172,13,FALSE)</f>
        <v>3</v>
      </c>
      <c r="O87" s="264">
        <f>VLOOKUP('Statistika okresy'!$B87,Body!$B$3:$AR$172,14,FALSE)</f>
        <v>3</v>
      </c>
      <c r="P87" s="264">
        <f>VLOOKUP('Statistika okresy'!$B87,Body!$B$3:$AR$172,15,FALSE)</f>
        <v>6</v>
      </c>
      <c r="Q87" s="264">
        <f>VLOOKUP('Statistika okresy'!$B87,Body!$B$3:$AR$172,16,FALSE)</f>
        <v>3</v>
      </c>
      <c r="R87" s="264">
        <f>VLOOKUP('Statistika okresy'!$B87,Body!$B$3:$AR$172,17,FALSE)</f>
        <v>3</v>
      </c>
      <c r="S87" s="264">
        <f>VLOOKUP('Statistika okresy'!$B87,Body!$B$3:$AR$172,18,FALSE)</f>
        <v>6</v>
      </c>
      <c r="T87" s="264">
        <f>VLOOKUP('Statistika okresy'!$B87,Body!$B$3:$AR$172,19,FALSE)</f>
        <v>6</v>
      </c>
      <c r="U87" s="264">
        <f>VLOOKUP('Statistika okresy'!$B87,Body!$B$3:$AR$172,20,FALSE)</f>
        <v>7</v>
      </c>
      <c r="V87" s="264">
        <f>VLOOKUP('Statistika okresy'!$B87,Body!$B$3:$AR$172,21,FALSE)</f>
        <v>8</v>
      </c>
      <c r="W87" s="264">
        <f>VLOOKUP('Statistika okresy'!$B87,Body!$B$3:$AR$172,22,FALSE)</f>
        <v>7</v>
      </c>
      <c r="X87" s="264">
        <f>VLOOKUP('Statistika okresy'!$B87,Body!$B$3:$AR$172,23,FALSE)</f>
        <v>10</v>
      </c>
      <c r="Y87" s="264">
        <f>VLOOKUP('Statistika okresy'!$B87,Body!$B$3:$AR$172,24,FALSE)</f>
        <v>8</v>
      </c>
      <c r="Z87" s="264">
        <f>VLOOKUP('Statistika okresy'!$B87,Body!$B$3:$AR$172,25,FALSE)</f>
        <v>10</v>
      </c>
      <c r="AA87" s="264">
        <f>VLOOKUP('Statistika okresy'!$B87,Body!$B$3:$AR$172,26,FALSE)</f>
        <v>10</v>
      </c>
      <c r="AB87" s="264">
        <f>VLOOKUP('Statistika okresy'!$B87,Body!$B$3:$AR$172,27,FALSE)</f>
        <v>5</v>
      </c>
      <c r="AC87" s="265">
        <f>VLOOKUP('Statistika okresy'!$B87,Body!$B$3:$AR$172,35,FALSE)</f>
        <v>14.666666666666682</v>
      </c>
      <c r="AD87" s="264">
        <f>VLOOKUP('Statistika okresy'!$B87,Body!$B$3:$AR$172,36,FALSE)</f>
        <v>19.510758597336622</v>
      </c>
      <c r="AE87" s="264">
        <f>VLOOKUP('Statistika okresy'!$B87,Body!$B$3:$AR$172,37,FALSE)</f>
        <v>17.640224538598297</v>
      </c>
      <c r="AF87" s="264">
        <f>VLOOKUP('Statistika okresy'!$B87,Body!$B$3:$AR$172,38,FALSE)</f>
        <v>65.292605187383614</v>
      </c>
      <c r="AG87" s="264">
        <f>VLOOKUP('Statistika okresy'!$B87,Body!$B$3:$AR$172,39,FALSE)</f>
        <v>63.748011980181623</v>
      </c>
      <c r="AH87" s="264">
        <f>VLOOKUP('Statistika okresy'!$B87,Body!$B$3:$AR$172,40,FALSE)</f>
        <v>84.803363784720233</v>
      </c>
      <c r="AI87" s="264">
        <f>VLOOKUP('Statistika okresy'!$B87,Body!$B$3:$AR$172,41,FALSE)</f>
        <v>81.388236518779919</v>
      </c>
      <c r="AJ87" s="390"/>
      <c r="AK87" s="407">
        <f>VLOOKUP('Statistika okresy'!$B87,Body!$B$3:$AR$172,43,FALSE)</f>
        <v>180.85826697016682</v>
      </c>
    </row>
    <row r="88" spans="1:37" ht="15.5" x14ac:dyDescent="0.35">
      <c r="A88" s="382">
        <v>9149</v>
      </c>
      <c r="B88" s="156" t="s">
        <v>641</v>
      </c>
      <c r="C88" s="352" t="s">
        <v>962</v>
      </c>
      <c r="D88" s="264">
        <f>VLOOKUP('Statistika okresy'!$B88,Body!$B$3:$AR$172,3,FALSE)</f>
        <v>7</v>
      </c>
      <c r="E88" s="264">
        <f>VLOOKUP('Statistika okresy'!$B88,Body!$B$3:$AR$172,4,FALSE)</f>
        <v>9</v>
      </c>
      <c r="F88" s="264">
        <f>VLOOKUP('Statistika okresy'!$B88,Body!$B$3:$AR$172,5,FALSE)</f>
        <v>3</v>
      </c>
      <c r="G88" s="264">
        <f>VLOOKUP('Statistika okresy'!$B88,Body!$B$3:$AR$172,6,FALSE)</f>
        <v>2</v>
      </c>
      <c r="H88" s="264">
        <f>VLOOKUP('Statistika okresy'!$B88,Body!$B$3:$AR$172,7,FALSE)</f>
        <v>1</v>
      </c>
      <c r="I88" s="264">
        <f>VLOOKUP('Statistika okresy'!$B88,Body!$B$3:$AR$172,8,FALSE)</f>
        <v>1</v>
      </c>
      <c r="J88" s="264">
        <f>VLOOKUP('Statistika okresy'!$B88,Body!$B$3:$AR$172,9,FALSE)</f>
        <v>2</v>
      </c>
      <c r="K88" s="264">
        <f>VLOOKUP('Statistika okresy'!$B88,Body!$B$3:$AR$172,10,FALSE)</f>
        <v>1</v>
      </c>
      <c r="L88" s="264">
        <f>VLOOKUP('Statistika okresy'!$B88,Body!$B$3:$AR$172,11,FALSE)</f>
        <v>1</v>
      </c>
      <c r="M88" s="264">
        <f>VLOOKUP('Statistika okresy'!$B88,Body!$B$3:$AR$172,12,FALSE)</f>
        <v>1</v>
      </c>
      <c r="N88" s="264">
        <f>VLOOKUP('Statistika okresy'!$B88,Body!$B$3:$AR$172,13,FALSE)</f>
        <v>7</v>
      </c>
      <c r="O88" s="264">
        <f>VLOOKUP('Statistika okresy'!$B88,Body!$B$3:$AR$172,14,FALSE)</f>
        <v>7</v>
      </c>
      <c r="P88" s="264">
        <f>VLOOKUP('Statistika okresy'!$B88,Body!$B$3:$AR$172,15,FALSE)</f>
        <v>6</v>
      </c>
      <c r="Q88" s="264">
        <f>VLOOKUP('Statistika okresy'!$B88,Body!$B$3:$AR$172,16,FALSE)</f>
        <v>3</v>
      </c>
      <c r="R88" s="264">
        <f>VLOOKUP('Statistika okresy'!$B88,Body!$B$3:$AR$172,17,FALSE)</f>
        <v>2</v>
      </c>
      <c r="S88" s="264">
        <f>VLOOKUP('Statistika okresy'!$B88,Body!$B$3:$AR$172,18,FALSE)</f>
        <v>4</v>
      </c>
      <c r="T88" s="264">
        <f>VLOOKUP('Statistika okresy'!$B88,Body!$B$3:$AR$172,19,FALSE)</f>
        <v>4</v>
      </c>
      <c r="U88" s="264">
        <f>VLOOKUP('Statistika okresy'!$B88,Body!$B$3:$AR$172,20,FALSE)</f>
        <v>7</v>
      </c>
      <c r="V88" s="264">
        <f>VLOOKUP('Statistika okresy'!$B88,Body!$B$3:$AR$172,21,FALSE)</f>
        <v>6</v>
      </c>
      <c r="W88" s="264">
        <f>VLOOKUP('Statistika okresy'!$B88,Body!$B$3:$AR$172,22,FALSE)</f>
        <v>4</v>
      </c>
      <c r="X88" s="264">
        <f>VLOOKUP('Statistika okresy'!$B88,Body!$B$3:$AR$172,23,FALSE)</f>
        <v>9</v>
      </c>
      <c r="Y88" s="264">
        <f>VLOOKUP('Statistika okresy'!$B88,Body!$B$3:$AR$172,24,FALSE)</f>
        <v>10</v>
      </c>
      <c r="Z88" s="264">
        <f>VLOOKUP('Statistika okresy'!$B88,Body!$B$3:$AR$172,25,FALSE)</f>
        <v>10</v>
      </c>
      <c r="AA88" s="264">
        <f>VLOOKUP('Statistika okresy'!$B88,Body!$B$3:$AR$172,26,FALSE)</f>
        <v>10</v>
      </c>
      <c r="AB88" s="264">
        <f>VLOOKUP('Statistika okresy'!$B88,Body!$B$3:$AR$172,27,FALSE)</f>
        <v>5</v>
      </c>
      <c r="AC88" s="265">
        <f>VLOOKUP('Statistika okresy'!$B88,Body!$B$3:$AR$172,35,FALSE)</f>
        <v>14.666666666666682</v>
      </c>
      <c r="AD88" s="264">
        <f>VLOOKUP('Statistika okresy'!$B88,Body!$B$3:$AR$172,36,FALSE)</f>
        <v>23.238837024904221</v>
      </c>
      <c r="AE88" s="264">
        <f>VLOOKUP('Statistika okresy'!$B88,Body!$B$3:$AR$172,37,FALSE)</f>
        <v>20.643527513906605</v>
      </c>
      <c r="AF88" s="264">
        <f>VLOOKUP('Statistika okresy'!$B88,Body!$B$3:$AR$172,38,FALSE)</f>
        <v>54.554463444687684</v>
      </c>
      <c r="AG88" s="264">
        <f>VLOOKUP('Statistika okresy'!$B88,Body!$B$3:$AR$172,39,FALSE)</f>
        <v>51.465277030283708</v>
      </c>
      <c r="AH88" s="264">
        <f>VLOOKUP('Statistika okresy'!$B88,Body!$B$3:$AR$172,40,FALSE)</f>
        <v>77.793300469591912</v>
      </c>
      <c r="AI88" s="264">
        <f>VLOOKUP('Statistika okresy'!$B88,Body!$B$3:$AR$172,41,FALSE)</f>
        <v>72.10880454419032</v>
      </c>
      <c r="AJ88" s="390"/>
      <c r="AK88" s="407">
        <f>VLOOKUP('Statistika okresy'!$B88,Body!$B$3:$AR$172,43,FALSE)</f>
        <v>164.56877168044892</v>
      </c>
    </row>
    <row r="89" spans="1:37" ht="15.5" x14ac:dyDescent="0.35">
      <c r="A89" s="382">
        <v>9152</v>
      </c>
      <c r="B89" s="156" t="s">
        <v>601</v>
      </c>
      <c r="C89" s="352" t="s">
        <v>962</v>
      </c>
      <c r="D89" s="264">
        <f>VLOOKUP('Statistika okresy'!$B89,Body!$B$3:$AR$172,3,FALSE)</f>
        <v>9</v>
      </c>
      <c r="E89" s="264">
        <f>VLOOKUP('Statistika okresy'!$B89,Body!$B$3:$AR$172,4,FALSE)</f>
        <v>10</v>
      </c>
      <c r="F89" s="264">
        <f>VLOOKUP('Statistika okresy'!$B89,Body!$B$3:$AR$172,5,FALSE)</f>
        <v>3</v>
      </c>
      <c r="G89" s="264">
        <f>VLOOKUP('Statistika okresy'!$B89,Body!$B$3:$AR$172,6,FALSE)</f>
        <v>2</v>
      </c>
      <c r="H89" s="264">
        <f>VLOOKUP('Statistika okresy'!$B89,Body!$B$3:$AR$172,7,FALSE)</f>
        <v>1</v>
      </c>
      <c r="I89" s="264">
        <f>VLOOKUP('Statistika okresy'!$B89,Body!$B$3:$AR$172,8,FALSE)</f>
        <v>1</v>
      </c>
      <c r="J89" s="264">
        <f>VLOOKUP('Statistika okresy'!$B89,Body!$B$3:$AR$172,9,FALSE)</f>
        <v>3</v>
      </c>
      <c r="K89" s="264">
        <f>VLOOKUP('Statistika okresy'!$B89,Body!$B$3:$AR$172,10,FALSE)</f>
        <v>2</v>
      </c>
      <c r="L89" s="264">
        <f>VLOOKUP('Statistika okresy'!$B89,Body!$B$3:$AR$172,11,FALSE)</f>
        <v>2</v>
      </c>
      <c r="M89" s="264">
        <f>VLOOKUP('Statistika okresy'!$B89,Body!$B$3:$AR$172,12,FALSE)</f>
        <v>2</v>
      </c>
      <c r="N89" s="264">
        <f>VLOOKUP('Statistika okresy'!$B89,Body!$B$3:$AR$172,13,FALSE)</f>
        <v>7</v>
      </c>
      <c r="O89" s="264">
        <f>VLOOKUP('Statistika okresy'!$B89,Body!$B$3:$AR$172,14,FALSE)</f>
        <v>8</v>
      </c>
      <c r="P89" s="264">
        <f>VLOOKUP('Statistika okresy'!$B89,Body!$B$3:$AR$172,15,FALSE)</f>
        <v>3</v>
      </c>
      <c r="Q89" s="264">
        <f>VLOOKUP('Statistika okresy'!$B89,Body!$B$3:$AR$172,16,FALSE)</f>
        <v>3</v>
      </c>
      <c r="R89" s="264">
        <f>VLOOKUP('Statistika okresy'!$B89,Body!$B$3:$AR$172,17,FALSE)</f>
        <v>4</v>
      </c>
      <c r="S89" s="264">
        <f>VLOOKUP('Statistika okresy'!$B89,Body!$B$3:$AR$172,18,FALSE)</f>
        <v>6</v>
      </c>
      <c r="T89" s="264">
        <f>VLOOKUP('Statistika okresy'!$B89,Body!$B$3:$AR$172,19,FALSE)</f>
        <v>7</v>
      </c>
      <c r="U89" s="264">
        <f>VLOOKUP('Statistika okresy'!$B89,Body!$B$3:$AR$172,20,FALSE)</f>
        <v>7</v>
      </c>
      <c r="V89" s="264">
        <f>VLOOKUP('Statistika okresy'!$B89,Body!$B$3:$AR$172,21,FALSE)</f>
        <v>7</v>
      </c>
      <c r="W89" s="264">
        <f>VLOOKUP('Statistika okresy'!$B89,Body!$B$3:$AR$172,22,FALSE)</f>
        <v>5</v>
      </c>
      <c r="X89" s="264">
        <f>VLOOKUP('Statistika okresy'!$B89,Body!$B$3:$AR$172,23,FALSE)</f>
        <v>10</v>
      </c>
      <c r="Y89" s="264">
        <f>VLOOKUP('Statistika okresy'!$B89,Body!$B$3:$AR$172,24,FALSE)</f>
        <v>8</v>
      </c>
      <c r="Z89" s="264">
        <f>VLOOKUP('Statistika okresy'!$B89,Body!$B$3:$AR$172,25,FALSE)</f>
        <v>10</v>
      </c>
      <c r="AA89" s="264">
        <f>VLOOKUP('Statistika okresy'!$B89,Body!$B$3:$AR$172,26,FALSE)</f>
        <v>5</v>
      </c>
      <c r="AB89" s="264">
        <f>VLOOKUP('Statistika okresy'!$B89,Body!$B$3:$AR$172,27,FALSE)</f>
        <v>5</v>
      </c>
      <c r="AC89" s="265">
        <f>VLOOKUP('Statistika okresy'!$B89,Body!$B$3:$AR$172,35,FALSE)</f>
        <v>8.0000000000000071</v>
      </c>
      <c r="AD89" s="264">
        <f>VLOOKUP('Statistika okresy'!$B89,Body!$B$3:$AR$172,36,FALSE)</f>
        <v>22.356519590484297</v>
      </c>
      <c r="AE89" s="264">
        <f>VLOOKUP('Statistika okresy'!$B89,Body!$B$3:$AR$172,37,FALSE)</f>
        <v>22.633113193604146</v>
      </c>
      <c r="AF89" s="264">
        <f>VLOOKUP('Statistika okresy'!$B89,Body!$B$3:$AR$172,38,FALSE)</f>
        <v>63.748011980181623</v>
      </c>
      <c r="AG89" s="264">
        <f>VLOOKUP('Statistika okresy'!$B89,Body!$B$3:$AR$172,39,FALSE)</f>
        <v>64.572449522853631</v>
      </c>
      <c r="AH89" s="264">
        <f>VLOOKUP('Statistika okresy'!$B89,Body!$B$3:$AR$172,40,FALSE)</f>
        <v>86.104531570665927</v>
      </c>
      <c r="AI89" s="264">
        <f>VLOOKUP('Statistika okresy'!$B89,Body!$B$3:$AR$172,41,FALSE)</f>
        <v>87.205562716457777</v>
      </c>
      <c r="AJ89" s="390"/>
      <c r="AK89" s="407">
        <f>VLOOKUP('Statistika okresy'!$B89,Body!$B$3:$AR$172,43,FALSE)</f>
        <v>181.31009428712372</v>
      </c>
    </row>
    <row r="90" spans="1:37" ht="15.5" x14ac:dyDescent="0.35">
      <c r="A90" s="382">
        <v>9155</v>
      </c>
      <c r="B90" s="156" t="s">
        <v>603</v>
      </c>
      <c r="C90" s="352" t="s">
        <v>962</v>
      </c>
      <c r="D90" s="264">
        <f>VLOOKUP('Statistika okresy'!$B90,Body!$B$3:$AR$172,3,FALSE)</f>
        <v>10</v>
      </c>
      <c r="E90" s="264">
        <f>VLOOKUP('Statistika okresy'!$B90,Body!$B$3:$AR$172,4,FALSE)</f>
        <v>10</v>
      </c>
      <c r="F90" s="264">
        <f>VLOOKUP('Statistika okresy'!$B90,Body!$B$3:$AR$172,5,FALSE)</f>
        <v>5</v>
      </c>
      <c r="G90" s="264">
        <f>VLOOKUP('Statistika okresy'!$B90,Body!$B$3:$AR$172,6,FALSE)</f>
        <v>4</v>
      </c>
      <c r="H90" s="264">
        <f>VLOOKUP('Statistika okresy'!$B90,Body!$B$3:$AR$172,7,FALSE)</f>
        <v>1</v>
      </c>
      <c r="I90" s="264">
        <f>VLOOKUP('Statistika okresy'!$B90,Body!$B$3:$AR$172,8,FALSE)</f>
        <v>1</v>
      </c>
      <c r="J90" s="264">
        <f>VLOOKUP('Statistika okresy'!$B90,Body!$B$3:$AR$172,9,FALSE)</f>
        <v>2</v>
      </c>
      <c r="K90" s="264">
        <f>VLOOKUP('Statistika okresy'!$B90,Body!$B$3:$AR$172,10,FALSE)</f>
        <v>2</v>
      </c>
      <c r="L90" s="264">
        <f>VLOOKUP('Statistika okresy'!$B90,Body!$B$3:$AR$172,11,FALSE)</f>
        <v>8</v>
      </c>
      <c r="M90" s="264">
        <f>VLOOKUP('Statistika okresy'!$B90,Body!$B$3:$AR$172,12,FALSE)</f>
        <v>10</v>
      </c>
      <c r="N90" s="264">
        <f>VLOOKUP('Statistika okresy'!$B90,Body!$B$3:$AR$172,13,FALSE)</f>
        <v>8</v>
      </c>
      <c r="O90" s="264">
        <f>VLOOKUP('Statistika okresy'!$B90,Body!$B$3:$AR$172,14,FALSE)</f>
        <v>9</v>
      </c>
      <c r="P90" s="264">
        <f>VLOOKUP('Statistika okresy'!$B90,Body!$B$3:$AR$172,15,FALSE)</f>
        <v>3</v>
      </c>
      <c r="Q90" s="264">
        <f>VLOOKUP('Statistika okresy'!$B90,Body!$B$3:$AR$172,16,FALSE)</f>
        <v>8</v>
      </c>
      <c r="R90" s="264">
        <f>VLOOKUP('Statistika okresy'!$B90,Body!$B$3:$AR$172,17,FALSE)</f>
        <v>9</v>
      </c>
      <c r="S90" s="264">
        <f>VLOOKUP('Statistika okresy'!$B90,Body!$B$3:$AR$172,18,FALSE)</f>
        <v>5</v>
      </c>
      <c r="T90" s="264">
        <f>VLOOKUP('Statistika okresy'!$B90,Body!$B$3:$AR$172,19,FALSE)</f>
        <v>3</v>
      </c>
      <c r="U90" s="264">
        <f>VLOOKUP('Statistika okresy'!$B90,Body!$B$3:$AR$172,20,FALSE)</f>
        <v>7</v>
      </c>
      <c r="V90" s="264">
        <f>VLOOKUP('Statistika okresy'!$B90,Body!$B$3:$AR$172,21,FALSE)</f>
        <v>7</v>
      </c>
      <c r="W90" s="264">
        <f>VLOOKUP('Statistika okresy'!$B90,Body!$B$3:$AR$172,22,FALSE)</f>
        <v>10</v>
      </c>
      <c r="X90" s="264">
        <f>VLOOKUP('Statistika okresy'!$B90,Body!$B$3:$AR$172,23,FALSE)</f>
        <v>10</v>
      </c>
      <c r="Y90" s="264">
        <f>VLOOKUP('Statistika okresy'!$B90,Body!$B$3:$AR$172,24,FALSE)</f>
        <v>10</v>
      </c>
      <c r="Z90" s="264">
        <f>VLOOKUP('Statistika okresy'!$B90,Body!$B$3:$AR$172,25,FALSE)</f>
        <v>10</v>
      </c>
      <c r="AA90" s="264">
        <f>VLOOKUP('Statistika okresy'!$B90,Body!$B$3:$AR$172,26,FALSE)</f>
        <v>3</v>
      </c>
      <c r="AB90" s="264">
        <f>VLOOKUP('Statistika okresy'!$B90,Body!$B$3:$AR$172,27,FALSE)</f>
        <v>5</v>
      </c>
      <c r="AC90" s="265">
        <f>VLOOKUP('Statistika okresy'!$B90,Body!$B$3:$AR$172,35,FALSE)</f>
        <v>5.3333333333333375</v>
      </c>
      <c r="AD90" s="264">
        <f>VLOOKUP('Statistika okresy'!$B90,Body!$B$3:$AR$172,36,FALSE)</f>
        <v>36.948170375069111</v>
      </c>
      <c r="AE90" s="264">
        <f>VLOOKUP('Statistika okresy'!$B90,Body!$B$3:$AR$172,37,FALSE)</f>
        <v>38.37642768110679</v>
      </c>
      <c r="AF90" s="264">
        <f>VLOOKUP('Statistika okresy'!$B90,Body!$B$3:$AR$172,38,FALSE)</f>
        <v>60.751737144041805</v>
      </c>
      <c r="AG90" s="264">
        <f>VLOOKUP('Statistika okresy'!$B90,Body!$B$3:$AR$172,39,FALSE)</f>
        <v>57.558268851495782</v>
      </c>
      <c r="AH90" s="264">
        <f>VLOOKUP('Statistika okresy'!$B90,Body!$B$3:$AR$172,40,FALSE)</f>
        <v>97.699907519110923</v>
      </c>
      <c r="AI90" s="264">
        <f>VLOOKUP('Statistika okresy'!$B90,Body!$B$3:$AR$172,41,FALSE)</f>
        <v>95.934696532602572</v>
      </c>
      <c r="AJ90" s="390"/>
      <c r="AK90" s="407">
        <f>VLOOKUP('Statistika okresy'!$B90,Body!$B$3:$AR$172,43,FALSE)</f>
        <v>198.96793738504684</v>
      </c>
    </row>
    <row r="91" spans="1:37" ht="15.5" x14ac:dyDescent="0.35">
      <c r="A91" s="382">
        <v>9158</v>
      </c>
      <c r="B91" s="156" t="s">
        <v>594</v>
      </c>
      <c r="C91" s="352" t="s">
        <v>962</v>
      </c>
      <c r="D91" s="264">
        <f>VLOOKUP('Statistika okresy'!$B91,Body!$B$3:$AR$172,3,FALSE)</f>
        <v>7</v>
      </c>
      <c r="E91" s="264">
        <f>VLOOKUP('Statistika okresy'!$B91,Body!$B$3:$AR$172,4,FALSE)</f>
        <v>9</v>
      </c>
      <c r="F91" s="264">
        <f>VLOOKUP('Statistika okresy'!$B91,Body!$B$3:$AR$172,5,FALSE)</f>
        <v>7</v>
      </c>
      <c r="G91" s="264">
        <f>VLOOKUP('Statistika okresy'!$B91,Body!$B$3:$AR$172,6,FALSE)</f>
        <v>5</v>
      </c>
      <c r="H91" s="264">
        <f>VLOOKUP('Statistika okresy'!$B91,Body!$B$3:$AR$172,7,FALSE)</f>
        <v>3</v>
      </c>
      <c r="I91" s="264">
        <f>VLOOKUP('Statistika okresy'!$B91,Body!$B$3:$AR$172,8,FALSE)</f>
        <v>2</v>
      </c>
      <c r="J91" s="264">
        <f>VLOOKUP('Statistika okresy'!$B91,Body!$B$3:$AR$172,9,FALSE)</f>
        <v>10</v>
      </c>
      <c r="K91" s="264">
        <f>VLOOKUP('Statistika okresy'!$B91,Body!$B$3:$AR$172,10,FALSE)</f>
        <v>10</v>
      </c>
      <c r="L91" s="264">
        <f>VLOOKUP('Statistika okresy'!$B91,Body!$B$3:$AR$172,11,FALSE)</f>
        <v>10</v>
      </c>
      <c r="M91" s="264">
        <f>VLOOKUP('Statistika okresy'!$B91,Body!$B$3:$AR$172,12,FALSE)</f>
        <v>10</v>
      </c>
      <c r="N91" s="264">
        <f>VLOOKUP('Statistika okresy'!$B91,Body!$B$3:$AR$172,13,FALSE)</f>
        <v>7</v>
      </c>
      <c r="O91" s="264">
        <f>VLOOKUP('Statistika okresy'!$B91,Body!$B$3:$AR$172,14,FALSE)</f>
        <v>8</v>
      </c>
      <c r="P91" s="264">
        <f>VLOOKUP('Statistika okresy'!$B91,Body!$B$3:$AR$172,15,FALSE)</f>
        <v>5</v>
      </c>
      <c r="Q91" s="264">
        <f>VLOOKUP('Statistika okresy'!$B91,Body!$B$3:$AR$172,16,FALSE)</f>
        <v>5</v>
      </c>
      <c r="R91" s="264">
        <f>VLOOKUP('Statistika okresy'!$B91,Body!$B$3:$AR$172,17,FALSE)</f>
        <v>5</v>
      </c>
      <c r="S91" s="264">
        <f>VLOOKUP('Statistika okresy'!$B91,Body!$B$3:$AR$172,18,FALSE)</f>
        <v>8</v>
      </c>
      <c r="T91" s="264">
        <f>VLOOKUP('Statistika okresy'!$B91,Body!$B$3:$AR$172,19,FALSE)</f>
        <v>8</v>
      </c>
      <c r="U91" s="264">
        <f>VLOOKUP('Statistika okresy'!$B91,Body!$B$3:$AR$172,20,FALSE)</f>
        <v>7</v>
      </c>
      <c r="V91" s="264">
        <f>VLOOKUP('Statistika okresy'!$B91,Body!$B$3:$AR$172,21,FALSE)</f>
        <v>6</v>
      </c>
      <c r="W91" s="264">
        <f>VLOOKUP('Statistika okresy'!$B91,Body!$B$3:$AR$172,22,FALSE)</f>
        <v>9</v>
      </c>
      <c r="X91" s="264">
        <f>VLOOKUP('Statistika okresy'!$B91,Body!$B$3:$AR$172,23,FALSE)</f>
        <v>9</v>
      </c>
      <c r="Y91" s="264">
        <f>VLOOKUP('Statistika okresy'!$B91,Body!$B$3:$AR$172,24,FALSE)</f>
        <v>10</v>
      </c>
      <c r="Z91" s="264">
        <f>VLOOKUP('Statistika okresy'!$B91,Body!$B$3:$AR$172,25,FALSE)</f>
        <v>10</v>
      </c>
      <c r="AA91" s="264">
        <f>VLOOKUP('Statistika okresy'!$B91,Body!$B$3:$AR$172,26,FALSE)</f>
        <v>3</v>
      </c>
      <c r="AB91" s="264">
        <f>VLOOKUP('Statistika okresy'!$B91,Body!$B$3:$AR$172,27,FALSE)</f>
        <v>5</v>
      </c>
      <c r="AC91" s="265">
        <f>VLOOKUP('Statistika okresy'!$B91,Body!$B$3:$AR$172,35,FALSE)</f>
        <v>5.3333333333333375</v>
      </c>
      <c r="AD91" s="264">
        <f>VLOOKUP('Statistika okresy'!$B91,Body!$B$3:$AR$172,36,FALSE)</f>
        <v>40.165057700734906</v>
      </c>
      <c r="AE91" s="264">
        <f>VLOOKUP('Statistika okresy'!$B91,Body!$B$3:$AR$172,37,FALSE)</f>
        <v>37.669624199353002</v>
      </c>
      <c r="AF91" s="264">
        <f>VLOOKUP('Statistika okresy'!$B91,Body!$B$3:$AR$172,38,FALSE)</f>
        <v>70.208959272991649</v>
      </c>
      <c r="AG91" s="264">
        <f>VLOOKUP('Statistika okresy'!$B91,Body!$B$3:$AR$172,39,FALSE)</f>
        <v>74.842738894597602</v>
      </c>
      <c r="AH91" s="264">
        <f>VLOOKUP('Statistika okresy'!$B91,Body!$B$3:$AR$172,40,FALSE)</f>
        <v>110.37401697372655</v>
      </c>
      <c r="AI91" s="264">
        <f>VLOOKUP('Statistika okresy'!$B91,Body!$B$3:$AR$172,41,FALSE)</f>
        <v>112.5123630939506</v>
      </c>
      <c r="AJ91" s="390"/>
      <c r="AK91" s="407">
        <f>VLOOKUP('Statistika okresy'!$B91,Body!$B$3:$AR$172,43,FALSE)</f>
        <v>228.21971340101049</v>
      </c>
    </row>
    <row r="92" spans="1:37" ht="15.5" x14ac:dyDescent="0.35">
      <c r="A92" s="382">
        <v>9161</v>
      </c>
      <c r="B92" s="156" t="s">
        <v>656</v>
      </c>
      <c r="C92" s="352" t="s">
        <v>962</v>
      </c>
      <c r="D92" s="264">
        <f>VLOOKUP('Statistika okresy'!$B92,Body!$B$3:$AR$172,3,FALSE)</f>
        <v>7</v>
      </c>
      <c r="E92" s="264">
        <f>VLOOKUP('Statistika okresy'!$B92,Body!$B$3:$AR$172,4,FALSE)</f>
        <v>6</v>
      </c>
      <c r="F92" s="264">
        <f>VLOOKUP('Statistika okresy'!$B92,Body!$B$3:$AR$172,5,FALSE)</f>
        <v>5</v>
      </c>
      <c r="G92" s="264">
        <f>VLOOKUP('Statistika okresy'!$B92,Body!$B$3:$AR$172,6,FALSE)</f>
        <v>3</v>
      </c>
      <c r="H92" s="264">
        <f>VLOOKUP('Statistika okresy'!$B92,Body!$B$3:$AR$172,7,FALSE)</f>
        <v>4</v>
      </c>
      <c r="I92" s="264">
        <f>VLOOKUP('Statistika okresy'!$B92,Body!$B$3:$AR$172,8,FALSE)</f>
        <v>10</v>
      </c>
      <c r="J92" s="264">
        <f>VLOOKUP('Statistika okresy'!$B92,Body!$B$3:$AR$172,9,FALSE)</f>
        <v>3</v>
      </c>
      <c r="K92" s="264">
        <f>VLOOKUP('Statistika okresy'!$B92,Body!$B$3:$AR$172,10,FALSE)</f>
        <v>2</v>
      </c>
      <c r="L92" s="264">
        <f>VLOOKUP('Statistika okresy'!$B92,Body!$B$3:$AR$172,11,FALSE)</f>
        <v>4</v>
      </c>
      <c r="M92" s="264">
        <f>VLOOKUP('Statistika okresy'!$B92,Body!$B$3:$AR$172,12,FALSE)</f>
        <v>5</v>
      </c>
      <c r="N92" s="264">
        <f>VLOOKUP('Statistika okresy'!$B92,Body!$B$3:$AR$172,13,FALSE)</f>
        <v>7</v>
      </c>
      <c r="O92" s="264">
        <f>VLOOKUP('Statistika okresy'!$B92,Body!$B$3:$AR$172,14,FALSE)</f>
        <v>7</v>
      </c>
      <c r="P92" s="264">
        <f>VLOOKUP('Statistika okresy'!$B92,Body!$B$3:$AR$172,15,FALSE)</f>
        <v>6</v>
      </c>
      <c r="Q92" s="264">
        <f>VLOOKUP('Statistika okresy'!$B92,Body!$B$3:$AR$172,16,FALSE)</f>
        <v>3</v>
      </c>
      <c r="R92" s="264">
        <f>VLOOKUP('Statistika okresy'!$B92,Body!$B$3:$AR$172,17,FALSE)</f>
        <v>5</v>
      </c>
      <c r="S92" s="264">
        <f>VLOOKUP('Statistika okresy'!$B92,Body!$B$3:$AR$172,18,FALSE)</f>
        <v>7</v>
      </c>
      <c r="T92" s="264">
        <f>VLOOKUP('Statistika okresy'!$B92,Body!$B$3:$AR$172,19,FALSE)</f>
        <v>8</v>
      </c>
      <c r="U92" s="264">
        <f>VLOOKUP('Statistika okresy'!$B92,Body!$B$3:$AR$172,20,FALSE)</f>
        <v>5</v>
      </c>
      <c r="V92" s="264">
        <f>VLOOKUP('Statistika okresy'!$B92,Body!$B$3:$AR$172,21,FALSE)</f>
        <v>8</v>
      </c>
      <c r="W92" s="264">
        <f>VLOOKUP('Statistika okresy'!$B92,Body!$B$3:$AR$172,22,FALSE)</f>
        <v>10</v>
      </c>
      <c r="X92" s="264">
        <f>VLOOKUP('Statistika okresy'!$B92,Body!$B$3:$AR$172,23,FALSE)</f>
        <v>10</v>
      </c>
      <c r="Y92" s="264">
        <f>VLOOKUP('Statistika okresy'!$B92,Body!$B$3:$AR$172,24,FALSE)</f>
        <v>10</v>
      </c>
      <c r="Z92" s="264">
        <f>VLOOKUP('Statistika okresy'!$B92,Body!$B$3:$AR$172,25,FALSE)</f>
        <v>10</v>
      </c>
      <c r="AA92" s="264">
        <f>VLOOKUP('Statistika okresy'!$B92,Body!$B$3:$AR$172,26,FALSE)</f>
        <v>3</v>
      </c>
      <c r="AB92" s="264">
        <f>VLOOKUP('Statistika okresy'!$B92,Body!$B$3:$AR$172,27,FALSE)</f>
        <v>10</v>
      </c>
      <c r="AC92" s="265">
        <f>VLOOKUP('Statistika okresy'!$B92,Body!$B$3:$AR$172,35,FALSE)</f>
        <v>6.6666666666666714</v>
      </c>
      <c r="AD92" s="264">
        <f>VLOOKUP('Statistika okresy'!$B92,Body!$B$3:$AR$172,36,FALSE)</f>
        <v>29.79907609405144</v>
      </c>
      <c r="AE92" s="264">
        <f>VLOOKUP('Statistika okresy'!$B92,Body!$B$3:$AR$172,37,FALSE)</f>
        <v>29.950223429335651</v>
      </c>
      <c r="AF92" s="264">
        <f>VLOOKUP('Statistika okresy'!$B92,Body!$B$3:$AR$172,38,FALSE)</f>
        <v>65.959335966080928</v>
      </c>
      <c r="AG92" s="264">
        <f>VLOOKUP('Statistika okresy'!$B92,Body!$B$3:$AR$172,39,FALSE)</f>
        <v>72.962146337560867</v>
      </c>
      <c r="AH92" s="264">
        <f>VLOOKUP('Statistika okresy'!$B92,Body!$B$3:$AR$172,40,FALSE)</f>
        <v>95.758412060132372</v>
      </c>
      <c r="AI92" s="264">
        <f>VLOOKUP('Statistika okresy'!$B92,Body!$B$3:$AR$172,41,FALSE)</f>
        <v>102.91236976689652</v>
      </c>
      <c r="AJ92" s="390"/>
      <c r="AK92" s="407">
        <f>VLOOKUP('Statistika okresy'!$B92,Body!$B$3:$AR$172,43,FALSE)</f>
        <v>205.33744849369555</v>
      </c>
    </row>
    <row r="93" spans="1:37" ht="15.5" x14ac:dyDescent="0.35">
      <c r="A93" s="382">
        <v>9164</v>
      </c>
      <c r="B93" s="156" t="s">
        <v>629</v>
      </c>
      <c r="C93" s="352" t="s">
        <v>962</v>
      </c>
      <c r="D93" s="264">
        <f>VLOOKUP('Statistika okresy'!$B93,Body!$B$3:$AR$172,3,FALSE)</f>
        <v>9</v>
      </c>
      <c r="E93" s="264">
        <f>VLOOKUP('Statistika okresy'!$B93,Body!$B$3:$AR$172,4,FALSE)</f>
        <v>6</v>
      </c>
      <c r="F93" s="264">
        <f>VLOOKUP('Statistika okresy'!$B93,Body!$B$3:$AR$172,5,FALSE)</f>
        <v>3</v>
      </c>
      <c r="G93" s="264">
        <f>VLOOKUP('Statistika okresy'!$B93,Body!$B$3:$AR$172,6,FALSE)</f>
        <v>2</v>
      </c>
      <c r="H93" s="264">
        <f>VLOOKUP('Statistika okresy'!$B93,Body!$B$3:$AR$172,7,FALSE)</f>
        <v>4</v>
      </c>
      <c r="I93" s="264">
        <f>VLOOKUP('Statistika okresy'!$B93,Body!$B$3:$AR$172,8,FALSE)</f>
        <v>2</v>
      </c>
      <c r="J93" s="264">
        <f>VLOOKUP('Statistika okresy'!$B93,Body!$B$3:$AR$172,9,FALSE)</f>
        <v>5</v>
      </c>
      <c r="K93" s="264">
        <f>VLOOKUP('Statistika okresy'!$B93,Body!$B$3:$AR$172,10,FALSE)</f>
        <v>3</v>
      </c>
      <c r="L93" s="264">
        <f>VLOOKUP('Statistika okresy'!$B93,Body!$B$3:$AR$172,11,FALSE)</f>
        <v>2</v>
      </c>
      <c r="M93" s="264">
        <f>VLOOKUP('Statistika okresy'!$B93,Body!$B$3:$AR$172,12,FALSE)</f>
        <v>1</v>
      </c>
      <c r="N93" s="264">
        <f>VLOOKUP('Statistika okresy'!$B93,Body!$B$3:$AR$172,13,FALSE)</f>
        <v>6</v>
      </c>
      <c r="O93" s="264">
        <f>VLOOKUP('Statistika okresy'!$B93,Body!$B$3:$AR$172,14,FALSE)</f>
        <v>5</v>
      </c>
      <c r="P93" s="264">
        <f>VLOOKUP('Statistika okresy'!$B93,Body!$B$3:$AR$172,15,FALSE)</f>
        <v>6</v>
      </c>
      <c r="Q93" s="264">
        <f>VLOOKUP('Statistika okresy'!$B93,Body!$B$3:$AR$172,16,FALSE)</f>
        <v>2</v>
      </c>
      <c r="R93" s="264">
        <f>VLOOKUP('Statistika okresy'!$B93,Body!$B$3:$AR$172,17,FALSE)</f>
        <v>2</v>
      </c>
      <c r="S93" s="264">
        <f>VLOOKUP('Statistika okresy'!$B93,Body!$B$3:$AR$172,18,FALSE)</f>
        <v>4</v>
      </c>
      <c r="T93" s="264">
        <f>VLOOKUP('Statistika okresy'!$B93,Body!$B$3:$AR$172,19,FALSE)</f>
        <v>3</v>
      </c>
      <c r="U93" s="264">
        <f>VLOOKUP('Statistika okresy'!$B93,Body!$B$3:$AR$172,20,FALSE)</f>
        <v>5</v>
      </c>
      <c r="V93" s="264">
        <f>VLOOKUP('Statistika okresy'!$B93,Body!$B$3:$AR$172,21,FALSE)</f>
        <v>8</v>
      </c>
      <c r="W93" s="264">
        <f>VLOOKUP('Statistika okresy'!$B93,Body!$B$3:$AR$172,22,FALSE)</f>
        <v>4</v>
      </c>
      <c r="X93" s="264">
        <f>VLOOKUP('Statistika okresy'!$B93,Body!$B$3:$AR$172,23,FALSE)</f>
        <v>10</v>
      </c>
      <c r="Y93" s="264">
        <f>VLOOKUP('Statistika okresy'!$B93,Body!$B$3:$AR$172,24,FALSE)</f>
        <v>8</v>
      </c>
      <c r="Z93" s="264">
        <f>VLOOKUP('Statistika okresy'!$B93,Body!$B$3:$AR$172,25,FALSE)</f>
        <v>10</v>
      </c>
      <c r="AA93" s="264">
        <f>VLOOKUP('Statistika okresy'!$B93,Body!$B$3:$AR$172,26,FALSE)</f>
        <v>10</v>
      </c>
      <c r="AB93" s="264">
        <f>VLOOKUP('Statistika okresy'!$B93,Body!$B$3:$AR$172,27,FALSE)</f>
        <v>5</v>
      </c>
      <c r="AC93" s="265">
        <f>VLOOKUP('Statistika okresy'!$B93,Body!$B$3:$AR$172,35,FALSE)</f>
        <v>14.666666666666682</v>
      </c>
      <c r="AD93" s="264">
        <f>VLOOKUP('Statistika okresy'!$B93,Body!$B$3:$AR$172,36,FALSE)</f>
        <v>23.821334280369992</v>
      </c>
      <c r="AE93" s="264">
        <f>VLOOKUP('Statistika okresy'!$B93,Body!$B$3:$AR$172,37,FALSE)</f>
        <v>18.649626680152814</v>
      </c>
      <c r="AF93" s="264">
        <f>VLOOKUP('Statistika okresy'!$B93,Body!$B$3:$AR$172,38,FALSE)</f>
        <v>53.301114973916768</v>
      </c>
      <c r="AG93" s="264">
        <f>VLOOKUP('Statistika okresy'!$B93,Body!$B$3:$AR$172,39,FALSE)</f>
        <v>43.209118188032832</v>
      </c>
      <c r="AH93" s="264">
        <f>VLOOKUP('Statistika okresy'!$B93,Body!$B$3:$AR$172,40,FALSE)</f>
        <v>77.122449254286764</v>
      </c>
      <c r="AI93" s="264">
        <f>VLOOKUP('Statistika okresy'!$B93,Body!$B$3:$AR$172,41,FALSE)</f>
        <v>61.858744868185646</v>
      </c>
      <c r="AJ93" s="390"/>
      <c r="AK93" s="407">
        <f>VLOOKUP('Statistika okresy'!$B93,Body!$B$3:$AR$172,43,FALSE)</f>
        <v>153.64786078913909</v>
      </c>
    </row>
    <row r="94" spans="1:37" ht="15.5" x14ac:dyDescent="0.35">
      <c r="A94" s="382">
        <v>9167</v>
      </c>
      <c r="B94" s="156" t="s">
        <v>597</v>
      </c>
      <c r="C94" s="352" t="s">
        <v>962</v>
      </c>
      <c r="D94" s="264">
        <f>VLOOKUP('Statistika okresy'!$B94,Body!$B$3:$AR$172,3,FALSE)</f>
        <v>4</v>
      </c>
      <c r="E94" s="264">
        <f>VLOOKUP('Statistika okresy'!$B94,Body!$B$3:$AR$172,4,FALSE)</f>
        <v>4</v>
      </c>
      <c r="F94" s="264">
        <f>VLOOKUP('Statistika okresy'!$B94,Body!$B$3:$AR$172,5,FALSE)</f>
        <v>3</v>
      </c>
      <c r="G94" s="264">
        <f>VLOOKUP('Statistika okresy'!$B94,Body!$B$3:$AR$172,6,FALSE)</f>
        <v>2</v>
      </c>
      <c r="H94" s="264">
        <f>VLOOKUP('Statistika okresy'!$B94,Body!$B$3:$AR$172,7,FALSE)</f>
        <v>5</v>
      </c>
      <c r="I94" s="264">
        <f>VLOOKUP('Statistika okresy'!$B94,Body!$B$3:$AR$172,8,FALSE)</f>
        <v>4</v>
      </c>
      <c r="J94" s="264">
        <f>VLOOKUP('Statistika okresy'!$B94,Body!$B$3:$AR$172,9,FALSE)</f>
        <v>2</v>
      </c>
      <c r="K94" s="264">
        <f>VLOOKUP('Statistika okresy'!$B94,Body!$B$3:$AR$172,10,FALSE)</f>
        <v>1</v>
      </c>
      <c r="L94" s="264">
        <f>VLOOKUP('Statistika okresy'!$B94,Body!$B$3:$AR$172,11,FALSE)</f>
        <v>1</v>
      </c>
      <c r="M94" s="264">
        <f>VLOOKUP('Statistika okresy'!$B94,Body!$B$3:$AR$172,12,FALSE)</f>
        <v>1</v>
      </c>
      <c r="N94" s="264">
        <f>VLOOKUP('Statistika okresy'!$B94,Body!$B$3:$AR$172,13,FALSE)</f>
        <v>3</v>
      </c>
      <c r="O94" s="264">
        <f>VLOOKUP('Statistika okresy'!$B94,Body!$B$3:$AR$172,14,FALSE)</f>
        <v>4</v>
      </c>
      <c r="P94" s="264">
        <f>VLOOKUP('Statistika okresy'!$B94,Body!$B$3:$AR$172,15,FALSE)</f>
        <v>3</v>
      </c>
      <c r="Q94" s="264">
        <f>VLOOKUP('Statistika okresy'!$B94,Body!$B$3:$AR$172,16,FALSE)</f>
        <v>2</v>
      </c>
      <c r="R94" s="264">
        <f>VLOOKUP('Statistika okresy'!$B94,Body!$B$3:$AR$172,17,FALSE)</f>
        <v>2</v>
      </c>
      <c r="S94" s="264">
        <f>VLOOKUP('Statistika okresy'!$B94,Body!$B$3:$AR$172,18,FALSE)</f>
        <v>4</v>
      </c>
      <c r="T94" s="264">
        <f>VLOOKUP('Statistika okresy'!$B94,Body!$B$3:$AR$172,19,FALSE)</f>
        <v>4</v>
      </c>
      <c r="U94" s="264">
        <f>VLOOKUP('Statistika okresy'!$B94,Body!$B$3:$AR$172,20,FALSE)</f>
        <v>7</v>
      </c>
      <c r="V94" s="264">
        <f>VLOOKUP('Statistika okresy'!$B94,Body!$B$3:$AR$172,21,FALSE)</f>
        <v>8</v>
      </c>
      <c r="W94" s="264">
        <f>VLOOKUP('Statistika okresy'!$B94,Body!$B$3:$AR$172,22,FALSE)</f>
        <v>6</v>
      </c>
      <c r="X94" s="264">
        <f>VLOOKUP('Statistika okresy'!$B94,Body!$B$3:$AR$172,23,FALSE)</f>
        <v>10</v>
      </c>
      <c r="Y94" s="264">
        <f>VLOOKUP('Statistika okresy'!$B94,Body!$B$3:$AR$172,24,FALSE)</f>
        <v>10</v>
      </c>
      <c r="Z94" s="264">
        <f>VLOOKUP('Statistika okresy'!$B94,Body!$B$3:$AR$172,25,FALSE)</f>
        <v>10</v>
      </c>
      <c r="AA94" s="264">
        <f>VLOOKUP('Statistika okresy'!$B94,Body!$B$3:$AR$172,26,FALSE)</f>
        <v>3</v>
      </c>
      <c r="AB94" s="264">
        <f>VLOOKUP('Statistika okresy'!$B94,Body!$B$3:$AR$172,27,FALSE)</f>
        <v>5</v>
      </c>
      <c r="AC94" s="265">
        <f>VLOOKUP('Statistika okresy'!$B94,Body!$B$3:$AR$172,35,FALSE)</f>
        <v>5.3333333333333375</v>
      </c>
      <c r="AD94" s="264">
        <f>VLOOKUP('Statistika okresy'!$B94,Body!$B$3:$AR$172,36,FALSE)</f>
        <v>16.338903239529898</v>
      </c>
      <c r="AE94" s="264">
        <f>VLOOKUP('Statistika okresy'!$B94,Body!$B$3:$AR$172,37,FALSE)</f>
        <v>14.845901966630793</v>
      </c>
      <c r="AF94" s="264">
        <f>VLOOKUP('Statistika okresy'!$B94,Body!$B$3:$AR$172,38,FALSE)</f>
        <v>58.382706394167805</v>
      </c>
      <c r="AG94" s="264">
        <f>VLOOKUP('Statistika okresy'!$B94,Body!$B$3:$AR$172,39,FALSE)</f>
        <v>55.293519979763829</v>
      </c>
      <c r="AH94" s="264">
        <f>VLOOKUP('Statistika okresy'!$B94,Body!$B$3:$AR$172,40,FALSE)</f>
        <v>74.72160963369771</v>
      </c>
      <c r="AI94" s="264">
        <f>VLOOKUP('Statistika okresy'!$B94,Body!$B$3:$AR$172,41,FALSE)</f>
        <v>70.13942194639462</v>
      </c>
      <c r="AJ94" s="390"/>
      <c r="AK94" s="407">
        <f>VLOOKUP('Statistika okresy'!$B94,Body!$B$3:$AR$172,43,FALSE)</f>
        <v>150.19436491342569</v>
      </c>
    </row>
    <row r="95" spans="1:37" ht="15.5" x14ac:dyDescent="0.35">
      <c r="A95" s="382">
        <v>9170</v>
      </c>
      <c r="B95" s="156" t="s">
        <v>642</v>
      </c>
      <c r="C95" s="352" t="s">
        <v>962</v>
      </c>
      <c r="D95" s="264">
        <f>VLOOKUP('Statistika okresy'!$B95,Body!$B$3:$AR$172,3,FALSE)</f>
        <v>7</v>
      </c>
      <c r="E95" s="264">
        <f>VLOOKUP('Statistika okresy'!$B95,Body!$B$3:$AR$172,4,FALSE)</f>
        <v>5</v>
      </c>
      <c r="F95" s="264">
        <f>VLOOKUP('Statistika okresy'!$B95,Body!$B$3:$AR$172,5,FALSE)</f>
        <v>5</v>
      </c>
      <c r="G95" s="264">
        <f>VLOOKUP('Statistika okresy'!$B95,Body!$B$3:$AR$172,6,FALSE)</f>
        <v>3</v>
      </c>
      <c r="H95" s="264">
        <f>VLOOKUP('Statistika okresy'!$B95,Body!$B$3:$AR$172,7,FALSE)</f>
        <v>1</v>
      </c>
      <c r="I95" s="264">
        <f>VLOOKUP('Statistika okresy'!$B95,Body!$B$3:$AR$172,8,FALSE)</f>
        <v>1</v>
      </c>
      <c r="J95" s="264">
        <f>VLOOKUP('Statistika okresy'!$B95,Body!$B$3:$AR$172,9,FALSE)</f>
        <v>1</v>
      </c>
      <c r="K95" s="264">
        <f>VLOOKUP('Statistika okresy'!$B95,Body!$B$3:$AR$172,10,FALSE)</f>
        <v>1</v>
      </c>
      <c r="L95" s="264">
        <f>VLOOKUP('Statistika okresy'!$B95,Body!$B$3:$AR$172,11,FALSE)</f>
        <v>4</v>
      </c>
      <c r="M95" s="264">
        <f>VLOOKUP('Statistika okresy'!$B95,Body!$B$3:$AR$172,12,FALSE)</f>
        <v>2</v>
      </c>
      <c r="N95" s="264">
        <f>VLOOKUP('Statistika okresy'!$B95,Body!$B$3:$AR$172,13,FALSE)</f>
        <v>8</v>
      </c>
      <c r="O95" s="264">
        <f>VLOOKUP('Statistika okresy'!$B95,Body!$B$3:$AR$172,14,FALSE)</f>
        <v>8</v>
      </c>
      <c r="P95" s="264">
        <f>VLOOKUP('Statistika okresy'!$B95,Body!$B$3:$AR$172,15,FALSE)</f>
        <v>3</v>
      </c>
      <c r="Q95" s="264">
        <f>VLOOKUP('Statistika okresy'!$B95,Body!$B$3:$AR$172,16,FALSE)</f>
        <v>2</v>
      </c>
      <c r="R95" s="264">
        <f>VLOOKUP('Statistika okresy'!$B95,Body!$B$3:$AR$172,17,FALSE)</f>
        <v>2</v>
      </c>
      <c r="S95" s="264">
        <f>VLOOKUP('Statistika okresy'!$B95,Body!$B$3:$AR$172,18,FALSE)</f>
        <v>4</v>
      </c>
      <c r="T95" s="264">
        <f>VLOOKUP('Statistika okresy'!$B95,Body!$B$3:$AR$172,19,FALSE)</f>
        <v>4</v>
      </c>
      <c r="U95" s="264">
        <f>VLOOKUP('Statistika okresy'!$B95,Body!$B$3:$AR$172,20,FALSE)</f>
        <v>7</v>
      </c>
      <c r="V95" s="264">
        <f>VLOOKUP('Statistika okresy'!$B95,Body!$B$3:$AR$172,21,FALSE)</f>
        <v>6</v>
      </c>
      <c r="W95" s="264">
        <f>VLOOKUP('Statistika okresy'!$B95,Body!$B$3:$AR$172,22,FALSE)</f>
        <v>7</v>
      </c>
      <c r="X95" s="264">
        <f>VLOOKUP('Statistika okresy'!$B95,Body!$B$3:$AR$172,23,FALSE)</f>
        <v>10</v>
      </c>
      <c r="Y95" s="264">
        <f>VLOOKUP('Statistika okresy'!$B95,Body!$B$3:$AR$172,24,FALSE)</f>
        <v>10</v>
      </c>
      <c r="Z95" s="264">
        <f>VLOOKUP('Statistika okresy'!$B95,Body!$B$3:$AR$172,25,FALSE)</f>
        <v>10</v>
      </c>
      <c r="AA95" s="264">
        <f>VLOOKUP('Statistika okresy'!$B95,Body!$B$3:$AR$172,26,FALSE)</f>
        <v>5</v>
      </c>
      <c r="AB95" s="264">
        <f>VLOOKUP('Statistika okresy'!$B95,Body!$B$3:$AR$172,27,FALSE)</f>
        <v>5</v>
      </c>
      <c r="AC95" s="265">
        <f>VLOOKUP('Statistika okresy'!$B95,Body!$B$3:$AR$172,35,FALSE)</f>
        <v>8.0000000000000071</v>
      </c>
      <c r="AD95" s="264">
        <f>VLOOKUP('Statistika okresy'!$B95,Body!$B$3:$AR$172,36,FALSE)</f>
        <v>25.924570192398846</v>
      </c>
      <c r="AE95" s="264">
        <f>VLOOKUP('Statistika okresy'!$B95,Body!$B$3:$AR$172,37,FALSE)</f>
        <v>20.214725222410291</v>
      </c>
      <c r="AF95" s="264">
        <f>VLOOKUP('Statistika okresy'!$B95,Body!$B$3:$AR$172,38,FALSE)</f>
        <v>55.293519979763829</v>
      </c>
      <c r="AG95" s="264">
        <f>VLOOKUP('Statistika okresy'!$B95,Body!$B$3:$AR$172,39,FALSE)</f>
        <v>56.83811318696582</v>
      </c>
      <c r="AH95" s="264">
        <f>VLOOKUP('Statistika okresy'!$B95,Body!$B$3:$AR$172,40,FALSE)</f>
        <v>81.218090172162675</v>
      </c>
      <c r="AI95" s="264">
        <f>VLOOKUP('Statistika okresy'!$B95,Body!$B$3:$AR$172,41,FALSE)</f>
        <v>77.052838409376108</v>
      </c>
      <c r="AJ95" s="390"/>
      <c r="AK95" s="407">
        <f>VLOOKUP('Statistika okresy'!$B95,Body!$B$3:$AR$172,43,FALSE)</f>
        <v>166.27092858153878</v>
      </c>
    </row>
    <row r="96" spans="1:37" ht="15.5" x14ac:dyDescent="0.35">
      <c r="A96" s="382">
        <v>9173</v>
      </c>
      <c r="B96" s="156" t="s">
        <v>602</v>
      </c>
      <c r="C96" s="352" t="s">
        <v>962</v>
      </c>
      <c r="D96" s="264">
        <f>VLOOKUP('Statistika okresy'!$B96,Body!$B$3:$AR$172,3,FALSE)</f>
        <v>4</v>
      </c>
      <c r="E96" s="264">
        <f>VLOOKUP('Statistika okresy'!$B96,Body!$B$3:$AR$172,4,FALSE)</f>
        <v>4</v>
      </c>
      <c r="F96" s="264">
        <f>VLOOKUP('Statistika okresy'!$B96,Body!$B$3:$AR$172,5,FALSE)</f>
        <v>5</v>
      </c>
      <c r="G96" s="264">
        <f>VLOOKUP('Statistika okresy'!$B96,Body!$B$3:$AR$172,6,FALSE)</f>
        <v>4</v>
      </c>
      <c r="H96" s="264">
        <f>VLOOKUP('Statistika okresy'!$B96,Body!$B$3:$AR$172,7,FALSE)</f>
        <v>8</v>
      </c>
      <c r="I96" s="264">
        <f>VLOOKUP('Statistika okresy'!$B96,Body!$B$3:$AR$172,8,FALSE)</f>
        <v>5</v>
      </c>
      <c r="J96" s="264">
        <f>VLOOKUP('Statistika okresy'!$B96,Body!$B$3:$AR$172,9,FALSE)</f>
        <v>3</v>
      </c>
      <c r="K96" s="264">
        <f>VLOOKUP('Statistika okresy'!$B96,Body!$B$3:$AR$172,10,FALSE)</f>
        <v>2</v>
      </c>
      <c r="L96" s="264">
        <f>VLOOKUP('Statistika okresy'!$B96,Body!$B$3:$AR$172,11,FALSE)</f>
        <v>10</v>
      </c>
      <c r="M96" s="264">
        <f>VLOOKUP('Statistika okresy'!$B96,Body!$B$3:$AR$172,12,FALSE)</f>
        <v>10</v>
      </c>
      <c r="N96" s="264">
        <f>VLOOKUP('Statistika okresy'!$B96,Body!$B$3:$AR$172,13,FALSE)</f>
        <v>10</v>
      </c>
      <c r="O96" s="264">
        <f>VLOOKUP('Statistika okresy'!$B96,Body!$B$3:$AR$172,14,FALSE)</f>
        <v>10</v>
      </c>
      <c r="P96" s="264">
        <f>VLOOKUP('Statistika okresy'!$B96,Body!$B$3:$AR$172,15,FALSE)</f>
        <v>3</v>
      </c>
      <c r="Q96" s="264">
        <f>VLOOKUP('Statistika okresy'!$B96,Body!$B$3:$AR$172,16,FALSE)</f>
        <v>9</v>
      </c>
      <c r="R96" s="264">
        <f>VLOOKUP('Statistika okresy'!$B96,Body!$B$3:$AR$172,17,FALSE)</f>
        <v>9</v>
      </c>
      <c r="S96" s="264">
        <f>VLOOKUP('Statistika okresy'!$B96,Body!$B$3:$AR$172,18,FALSE)</f>
        <v>2</v>
      </c>
      <c r="T96" s="264">
        <f>VLOOKUP('Statistika okresy'!$B96,Body!$B$3:$AR$172,19,FALSE)</f>
        <v>2</v>
      </c>
      <c r="U96" s="264">
        <f>VLOOKUP('Statistika okresy'!$B96,Body!$B$3:$AR$172,20,FALSE)</f>
        <v>5</v>
      </c>
      <c r="V96" s="264">
        <f>VLOOKUP('Statistika okresy'!$B96,Body!$B$3:$AR$172,21,FALSE)</f>
        <v>7</v>
      </c>
      <c r="W96" s="264">
        <f>VLOOKUP('Statistika okresy'!$B96,Body!$B$3:$AR$172,22,FALSE)</f>
        <v>9</v>
      </c>
      <c r="X96" s="264">
        <f>VLOOKUP('Statistika okresy'!$B96,Body!$B$3:$AR$172,23,FALSE)</f>
        <v>10</v>
      </c>
      <c r="Y96" s="264">
        <f>VLOOKUP('Statistika okresy'!$B96,Body!$B$3:$AR$172,24,FALSE)</f>
        <v>10</v>
      </c>
      <c r="Z96" s="264">
        <f>VLOOKUP('Statistika okresy'!$B96,Body!$B$3:$AR$172,25,FALSE)</f>
        <v>10</v>
      </c>
      <c r="AA96" s="264">
        <f>VLOOKUP('Statistika okresy'!$B96,Body!$B$3:$AR$172,26,FALSE)</f>
        <v>5</v>
      </c>
      <c r="AB96" s="264">
        <f>VLOOKUP('Statistika okresy'!$B96,Body!$B$3:$AR$172,27,FALSE)</f>
        <v>5</v>
      </c>
      <c r="AC96" s="265">
        <f>VLOOKUP('Statistika okresy'!$B96,Body!$B$3:$AR$172,35,FALSE)</f>
        <v>8.0000000000000071</v>
      </c>
      <c r="AD96" s="264">
        <f>VLOOKUP('Statistika okresy'!$B96,Body!$B$3:$AR$172,36,FALSE)</f>
        <v>40.811918419820927</v>
      </c>
      <c r="AE96" s="264">
        <f>VLOOKUP('Statistika okresy'!$B96,Body!$B$3:$AR$172,37,FALSE)</f>
        <v>38.064249700270139</v>
      </c>
      <c r="AF96" s="264">
        <f>VLOOKUP('Statistika okresy'!$B96,Body!$B$3:$AR$172,38,FALSE)</f>
        <v>44.846622973498981</v>
      </c>
      <c r="AG96" s="264">
        <f>VLOOKUP('Statistika okresy'!$B96,Body!$B$3:$AR$172,39,FALSE)</f>
        <v>47.93580938790295</v>
      </c>
      <c r="AH96" s="264">
        <f>VLOOKUP('Statistika okresy'!$B96,Body!$B$3:$AR$172,40,FALSE)</f>
        <v>85.658541393319908</v>
      </c>
      <c r="AI96" s="264">
        <f>VLOOKUP('Statistika okresy'!$B96,Body!$B$3:$AR$172,41,FALSE)</f>
        <v>86.000059088173089</v>
      </c>
      <c r="AJ96" s="390"/>
      <c r="AK96" s="407">
        <f>VLOOKUP('Statistika okresy'!$B96,Body!$B$3:$AR$172,43,FALSE)</f>
        <v>179.65860048149301</v>
      </c>
    </row>
    <row r="97" spans="1:37" ht="15.5" x14ac:dyDescent="0.35">
      <c r="A97" s="382">
        <v>9176</v>
      </c>
      <c r="B97" s="156" t="s">
        <v>663</v>
      </c>
      <c r="C97" s="352" t="s">
        <v>962</v>
      </c>
      <c r="D97" s="264">
        <f>VLOOKUP('Statistika okresy'!$B97,Body!$B$3:$AR$172,3,FALSE)</f>
        <v>4</v>
      </c>
      <c r="E97" s="264">
        <f>VLOOKUP('Statistika okresy'!$B97,Body!$B$3:$AR$172,4,FALSE)</f>
        <v>4</v>
      </c>
      <c r="F97" s="264">
        <f>VLOOKUP('Statistika okresy'!$B97,Body!$B$3:$AR$172,5,FALSE)</f>
        <v>3</v>
      </c>
      <c r="G97" s="264">
        <f>VLOOKUP('Statistika okresy'!$B97,Body!$B$3:$AR$172,6,FALSE)</f>
        <v>3</v>
      </c>
      <c r="H97" s="264">
        <f>VLOOKUP('Statistika okresy'!$B97,Body!$B$3:$AR$172,7,FALSE)</f>
        <v>6</v>
      </c>
      <c r="I97" s="264">
        <f>VLOOKUP('Statistika okresy'!$B97,Body!$B$3:$AR$172,8,FALSE)</f>
        <v>4</v>
      </c>
      <c r="J97" s="264">
        <f>VLOOKUP('Statistika okresy'!$B97,Body!$B$3:$AR$172,9,FALSE)</f>
        <v>1</v>
      </c>
      <c r="K97" s="264">
        <f>VLOOKUP('Statistika okresy'!$B97,Body!$B$3:$AR$172,10,FALSE)</f>
        <v>1</v>
      </c>
      <c r="L97" s="264">
        <f>VLOOKUP('Statistika okresy'!$B97,Body!$B$3:$AR$172,11,FALSE)</f>
        <v>8</v>
      </c>
      <c r="M97" s="264">
        <f>VLOOKUP('Statistika okresy'!$B97,Body!$B$3:$AR$172,12,FALSE)</f>
        <v>8</v>
      </c>
      <c r="N97" s="264">
        <f>VLOOKUP('Statistika okresy'!$B97,Body!$B$3:$AR$172,13,FALSE)</f>
        <v>10</v>
      </c>
      <c r="O97" s="264">
        <f>VLOOKUP('Statistika okresy'!$B97,Body!$B$3:$AR$172,14,FALSE)</f>
        <v>10</v>
      </c>
      <c r="P97" s="264">
        <f>VLOOKUP('Statistika okresy'!$B97,Body!$B$3:$AR$172,15,FALSE)</f>
        <v>5</v>
      </c>
      <c r="Q97" s="264">
        <f>VLOOKUP('Statistika okresy'!$B97,Body!$B$3:$AR$172,16,FALSE)</f>
        <v>8</v>
      </c>
      <c r="R97" s="264">
        <f>VLOOKUP('Statistika okresy'!$B97,Body!$B$3:$AR$172,17,FALSE)</f>
        <v>8</v>
      </c>
      <c r="S97" s="264">
        <f>VLOOKUP('Statistika okresy'!$B97,Body!$B$3:$AR$172,18,FALSE)</f>
        <v>5</v>
      </c>
      <c r="T97" s="264">
        <f>VLOOKUP('Statistika okresy'!$B97,Body!$B$3:$AR$172,19,FALSE)</f>
        <v>4</v>
      </c>
      <c r="U97" s="264">
        <f>VLOOKUP('Statistika okresy'!$B97,Body!$B$3:$AR$172,20,FALSE)</f>
        <v>7</v>
      </c>
      <c r="V97" s="264">
        <f>VLOOKUP('Statistika okresy'!$B97,Body!$B$3:$AR$172,21,FALSE)</f>
        <v>6</v>
      </c>
      <c r="W97" s="264">
        <f>VLOOKUP('Statistika okresy'!$B97,Body!$B$3:$AR$172,22,FALSE)</f>
        <v>5</v>
      </c>
      <c r="X97" s="264">
        <f>VLOOKUP('Statistika okresy'!$B97,Body!$B$3:$AR$172,23,FALSE)</f>
        <v>9</v>
      </c>
      <c r="Y97" s="264">
        <f>VLOOKUP('Statistika okresy'!$B97,Body!$B$3:$AR$172,24,FALSE)</f>
        <v>10</v>
      </c>
      <c r="Z97" s="264">
        <f>VLOOKUP('Statistika okresy'!$B97,Body!$B$3:$AR$172,25,FALSE)</f>
        <v>10</v>
      </c>
      <c r="AA97" s="264">
        <f>VLOOKUP('Statistika okresy'!$B97,Body!$B$3:$AR$172,26,FALSE)</f>
        <v>1</v>
      </c>
      <c r="AB97" s="264">
        <f>VLOOKUP('Statistika okresy'!$B97,Body!$B$3:$AR$172,27,FALSE)</f>
        <v>5</v>
      </c>
      <c r="AC97" s="265">
        <f>VLOOKUP('Statistika okresy'!$B97,Body!$B$3:$AR$172,35,FALSE)</f>
        <v>2.6666666666666687</v>
      </c>
      <c r="AD97" s="264">
        <f>VLOOKUP('Statistika okresy'!$B97,Body!$B$3:$AR$172,36,FALSE)</f>
        <v>35.326379407567195</v>
      </c>
      <c r="AE97" s="264">
        <f>VLOOKUP('Statistika okresy'!$B97,Body!$B$3:$AR$172,37,FALSE)</f>
        <v>34.870966859236006</v>
      </c>
      <c r="AF97" s="264">
        <f>VLOOKUP('Statistika okresy'!$B97,Body!$B$3:$AR$172,38,FALSE)</f>
        <v>58.468087401763675</v>
      </c>
      <c r="AG97" s="264">
        <f>VLOOKUP('Statistika okresy'!$B97,Body!$B$3:$AR$172,39,FALSE)</f>
        <v>53.0098702374857</v>
      </c>
      <c r="AH97" s="264">
        <f>VLOOKUP('Statistika okresy'!$B97,Body!$B$3:$AR$172,40,FALSE)</f>
        <v>93.794466809330871</v>
      </c>
      <c r="AI97" s="264">
        <f>VLOOKUP('Statistika okresy'!$B97,Body!$B$3:$AR$172,41,FALSE)</f>
        <v>87.880837096721706</v>
      </c>
      <c r="AJ97" s="390"/>
      <c r="AK97" s="407">
        <f>VLOOKUP('Statistika okresy'!$B97,Body!$B$3:$AR$172,43,FALSE)</f>
        <v>184.34197057271925</v>
      </c>
    </row>
    <row r="98" spans="1:37" ht="15.5" x14ac:dyDescent="0.35">
      <c r="A98" s="382">
        <v>9179</v>
      </c>
      <c r="B98" s="156" t="s">
        <v>623</v>
      </c>
      <c r="C98" s="352" t="s">
        <v>962</v>
      </c>
      <c r="D98" s="264">
        <f>VLOOKUP('Statistika okresy'!$B98,Body!$B$3:$AR$172,3,FALSE)</f>
        <v>9</v>
      </c>
      <c r="E98" s="264">
        <f>VLOOKUP('Statistika okresy'!$B98,Body!$B$3:$AR$172,4,FALSE)</f>
        <v>7</v>
      </c>
      <c r="F98" s="264">
        <f>VLOOKUP('Statistika okresy'!$B98,Body!$B$3:$AR$172,5,FALSE)</f>
        <v>4</v>
      </c>
      <c r="G98" s="264">
        <f>VLOOKUP('Statistika okresy'!$B98,Body!$B$3:$AR$172,6,FALSE)</f>
        <v>2</v>
      </c>
      <c r="H98" s="264">
        <f>VLOOKUP('Statistika okresy'!$B98,Body!$B$3:$AR$172,7,FALSE)</f>
        <v>5</v>
      </c>
      <c r="I98" s="264">
        <f>VLOOKUP('Statistika okresy'!$B98,Body!$B$3:$AR$172,8,FALSE)</f>
        <v>2</v>
      </c>
      <c r="J98" s="264">
        <f>VLOOKUP('Statistika okresy'!$B98,Body!$B$3:$AR$172,9,FALSE)</f>
        <v>1</v>
      </c>
      <c r="K98" s="264">
        <f>VLOOKUP('Statistika okresy'!$B98,Body!$B$3:$AR$172,10,FALSE)</f>
        <v>1</v>
      </c>
      <c r="L98" s="264">
        <f>VLOOKUP('Statistika okresy'!$B98,Body!$B$3:$AR$172,11,FALSE)</f>
        <v>5</v>
      </c>
      <c r="M98" s="264">
        <f>VLOOKUP('Statistika okresy'!$B98,Body!$B$3:$AR$172,12,FALSE)</f>
        <v>4</v>
      </c>
      <c r="N98" s="264">
        <f>VLOOKUP('Statistika okresy'!$B98,Body!$B$3:$AR$172,13,FALSE)</f>
        <v>8</v>
      </c>
      <c r="O98" s="264">
        <f>VLOOKUP('Statistika okresy'!$B98,Body!$B$3:$AR$172,14,FALSE)</f>
        <v>8</v>
      </c>
      <c r="P98" s="264">
        <f>VLOOKUP('Statistika okresy'!$B98,Body!$B$3:$AR$172,15,FALSE)</f>
        <v>3</v>
      </c>
      <c r="Q98" s="264">
        <f>VLOOKUP('Statistika okresy'!$B98,Body!$B$3:$AR$172,16,FALSE)</f>
        <v>6</v>
      </c>
      <c r="R98" s="264">
        <f>VLOOKUP('Statistika okresy'!$B98,Body!$B$3:$AR$172,17,FALSE)</f>
        <v>5</v>
      </c>
      <c r="S98" s="264">
        <f>VLOOKUP('Statistika okresy'!$B98,Body!$B$3:$AR$172,18,FALSE)</f>
        <v>8</v>
      </c>
      <c r="T98" s="264">
        <f>VLOOKUP('Statistika okresy'!$B98,Body!$B$3:$AR$172,19,FALSE)</f>
        <v>8</v>
      </c>
      <c r="U98" s="264">
        <f>VLOOKUP('Statistika okresy'!$B98,Body!$B$3:$AR$172,20,FALSE)</f>
        <v>7</v>
      </c>
      <c r="V98" s="264">
        <f>VLOOKUP('Statistika okresy'!$B98,Body!$B$3:$AR$172,21,FALSE)</f>
        <v>6</v>
      </c>
      <c r="W98" s="264">
        <f>VLOOKUP('Statistika okresy'!$B98,Body!$B$3:$AR$172,22,FALSE)</f>
        <v>4</v>
      </c>
      <c r="X98" s="264">
        <f>VLOOKUP('Statistika okresy'!$B98,Body!$B$3:$AR$172,23,FALSE)</f>
        <v>10</v>
      </c>
      <c r="Y98" s="264">
        <f>VLOOKUP('Statistika okresy'!$B98,Body!$B$3:$AR$172,24,FALSE)</f>
        <v>10</v>
      </c>
      <c r="Z98" s="264">
        <f>VLOOKUP('Statistika okresy'!$B98,Body!$B$3:$AR$172,25,FALSE)</f>
        <v>10</v>
      </c>
      <c r="AA98" s="264">
        <f>VLOOKUP('Statistika okresy'!$B98,Body!$B$3:$AR$172,26,FALSE)</f>
        <v>3</v>
      </c>
      <c r="AB98" s="264">
        <f>VLOOKUP('Statistika okresy'!$B98,Body!$B$3:$AR$172,27,FALSE)</f>
        <v>5</v>
      </c>
      <c r="AC98" s="265">
        <f>VLOOKUP('Statistika okresy'!$B98,Body!$B$3:$AR$172,35,FALSE)</f>
        <v>5.3333333333333375</v>
      </c>
      <c r="AD98" s="264">
        <f>VLOOKUP('Statistika okresy'!$B98,Body!$B$3:$AR$172,36,FALSE)</f>
        <v>31.105675076082548</v>
      </c>
      <c r="AE98" s="264">
        <f>VLOOKUP('Statistika okresy'!$B98,Body!$B$3:$AR$172,37,FALSE)</f>
        <v>24.155211107999797</v>
      </c>
      <c r="AF98" s="264">
        <f>VLOOKUP('Statistika okresy'!$B98,Body!$B$3:$AR$172,38,FALSE)</f>
        <v>70.948015808067794</v>
      </c>
      <c r="AG98" s="264">
        <f>VLOOKUP('Statistika okresy'!$B98,Body!$B$3:$AR$172,39,FALSE)</f>
        <v>67.858829393663825</v>
      </c>
      <c r="AH98" s="264">
        <f>VLOOKUP('Statistika okresy'!$B98,Body!$B$3:$AR$172,40,FALSE)</f>
        <v>102.05369088415034</v>
      </c>
      <c r="AI98" s="264">
        <f>VLOOKUP('Statistika okresy'!$B98,Body!$B$3:$AR$172,41,FALSE)</f>
        <v>92.014040501663629</v>
      </c>
      <c r="AJ98" s="390"/>
      <c r="AK98" s="407">
        <f>VLOOKUP('Statistika okresy'!$B98,Body!$B$3:$AR$172,43,FALSE)</f>
        <v>199.40106471914731</v>
      </c>
    </row>
    <row r="99" spans="1:37" ht="15.5" x14ac:dyDescent="0.35">
      <c r="A99" s="382">
        <v>9182</v>
      </c>
      <c r="B99" s="156" t="s">
        <v>605</v>
      </c>
      <c r="C99" s="352" t="s">
        <v>962</v>
      </c>
      <c r="D99" s="264">
        <f>VLOOKUP('Statistika okresy'!$B99,Body!$B$3:$AR$172,3,FALSE)</f>
        <v>4</v>
      </c>
      <c r="E99" s="264">
        <f>VLOOKUP('Statistika okresy'!$B99,Body!$B$3:$AR$172,4,FALSE)</f>
        <v>4</v>
      </c>
      <c r="F99" s="264">
        <f>VLOOKUP('Statistika okresy'!$B99,Body!$B$3:$AR$172,5,FALSE)</f>
        <v>3</v>
      </c>
      <c r="G99" s="264">
        <f>VLOOKUP('Statistika okresy'!$B99,Body!$B$3:$AR$172,6,FALSE)</f>
        <v>2</v>
      </c>
      <c r="H99" s="264">
        <f>VLOOKUP('Statistika okresy'!$B99,Body!$B$3:$AR$172,7,FALSE)</f>
        <v>4</v>
      </c>
      <c r="I99" s="264">
        <f>VLOOKUP('Statistika okresy'!$B99,Body!$B$3:$AR$172,8,FALSE)</f>
        <v>2</v>
      </c>
      <c r="J99" s="264">
        <f>VLOOKUP('Statistika okresy'!$B99,Body!$B$3:$AR$172,9,FALSE)</f>
        <v>5</v>
      </c>
      <c r="K99" s="264">
        <f>VLOOKUP('Statistika okresy'!$B99,Body!$B$3:$AR$172,10,FALSE)</f>
        <v>3</v>
      </c>
      <c r="L99" s="264">
        <f>VLOOKUP('Statistika okresy'!$B99,Body!$B$3:$AR$172,11,FALSE)</f>
        <v>7</v>
      </c>
      <c r="M99" s="264">
        <f>VLOOKUP('Statistika okresy'!$B99,Body!$B$3:$AR$172,12,FALSE)</f>
        <v>8</v>
      </c>
      <c r="N99" s="264">
        <f>VLOOKUP('Statistika okresy'!$B99,Body!$B$3:$AR$172,13,FALSE)</f>
        <v>10</v>
      </c>
      <c r="O99" s="264">
        <f>VLOOKUP('Statistika okresy'!$B99,Body!$B$3:$AR$172,14,FALSE)</f>
        <v>10</v>
      </c>
      <c r="P99" s="264">
        <f>VLOOKUP('Statistika okresy'!$B99,Body!$B$3:$AR$172,15,FALSE)</f>
        <v>3</v>
      </c>
      <c r="Q99" s="264">
        <f>VLOOKUP('Statistika okresy'!$B99,Body!$B$3:$AR$172,16,FALSE)</f>
        <v>7</v>
      </c>
      <c r="R99" s="264">
        <f>VLOOKUP('Statistika okresy'!$B99,Body!$B$3:$AR$172,17,FALSE)</f>
        <v>8</v>
      </c>
      <c r="S99" s="264">
        <f>VLOOKUP('Statistika okresy'!$B99,Body!$B$3:$AR$172,18,FALSE)</f>
        <v>9</v>
      </c>
      <c r="T99" s="264">
        <f>VLOOKUP('Statistika okresy'!$B99,Body!$B$3:$AR$172,19,FALSE)</f>
        <v>6</v>
      </c>
      <c r="U99" s="264">
        <f>VLOOKUP('Statistika okresy'!$B99,Body!$B$3:$AR$172,20,FALSE)</f>
        <v>7</v>
      </c>
      <c r="V99" s="264">
        <f>VLOOKUP('Statistika okresy'!$B99,Body!$B$3:$AR$172,21,FALSE)</f>
        <v>6</v>
      </c>
      <c r="W99" s="264">
        <f>VLOOKUP('Statistika okresy'!$B99,Body!$B$3:$AR$172,22,FALSE)</f>
        <v>5</v>
      </c>
      <c r="X99" s="264">
        <f>VLOOKUP('Statistika okresy'!$B99,Body!$B$3:$AR$172,23,FALSE)</f>
        <v>10</v>
      </c>
      <c r="Y99" s="264">
        <f>VLOOKUP('Statistika okresy'!$B99,Body!$B$3:$AR$172,24,FALSE)</f>
        <v>10</v>
      </c>
      <c r="Z99" s="264">
        <f>VLOOKUP('Statistika okresy'!$B99,Body!$B$3:$AR$172,25,FALSE)</f>
        <v>10</v>
      </c>
      <c r="AA99" s="264">
        <f>VLOOKUP('Statistika okresy'!$B99,Body!$B$3:$AR$172,26,FALSE)</f>
        <v>1</v>
      </c>
      <c r="AB99" s="264">
        <f>VLOOKUP('Statistika okresy'!$B99,Body!$B$3:$AR$172,27,FALSE)</f>
        <v>5</v>
      </c>
      <c r="AC99" s="265">
        <f>VLOOKUP('Statistika okresy'!$B99,Body!$B$3:$AR$172,35,FALSE)</f>
        <v>2.6666666666666687</v>
      </c>
      <c r="AD99" s="264">
        <f>VLOOKUP('Statistika okresy'!$B99,Body!$B$3:$AR$172,36,FALSE)</f>
        <v>32.196329379688287</v>
      </c>
      <c r="AE99" s="264">
        <f>VLOOKUP('Statistika okresy'!$B99,Body!$B$3:$AR$172,37,FALSE)</f>
        <v>31.33454213215688</v>
      </c>
      <c r="AF99" s="264">
        <f>VLOOKUP('Statistika okresy'!$B99,Body!$B$3:$AR$172,38,FALSE)</f>
        <v>74.861639765143778</v>
      </c>
      <c r="AG99" s="264">
        <f>VLOOKUP('Statistika okresy'!$B99,Body!$B$3:$AR$172,39,FALSE)</f>
        <v>61.576174686713827</v>
      </c>
      <c r="AH99" s="264">
        <f>VLOOKUP('Statistika okresy'!$B99,Body!$B$3:$AR$172,40,FALSE)</f>
        <v>107.05796914483207</v>
      </c>
      <c r="AI99" s="264">
        <f>VLOOKUP('Statistika okresy'!$B99,Body!$B$3:$AR$172,41,FALSE)</f>
        <v>92.910716818870711</v>
      </c>
      <c r="AJ99" s="390"/>
      <c r="AK99" s="407">
        <f>VLOOKUP('Statistika okresy'!$B99,Body!$B$3:$AR$172,43,FALSE)</f>
        <v>202.63535263036945</v>
      </c>
    </row>
    <row r="100" spans="1:37" ht="15.5" x14ac:dyDescent="0.35">
      <c r="A100" s="382">
        <v>9185</v>
      </c>
      <c r="B100" s="156" t="s">
        <v>655</v>
      </c>
      <c r="C100" s="352" t="s">
        <v>962</v>
      </c>
      <c r="D100" s="264">
        <f>VLOOKUP('Statistika okresy'!$B100,Body!$B$3:$AR$172,3,FALSE)</f>
        <v>7</v>
      </c>
      <c r="E100" s="264">
        <f>VLOOKUP('Statistika okresy'!$B100,Body!$B$3:$AR$172,4,FALSE)</f>
        <v>6</v>
      </c>
      <c r="F100" s="264">
        <f>VLOOKUP('Statistika okresy'!$B100,Body!$B$3:$AR$172,5,FALSE)</f>
        <v>7</v>
      </c>
      <c r="G100" s="264">
        <f>VLOOKUP('Statistika okresy'!$B100,Body!$B$3:$AR$172,6,FALSE)</f>
        <v>5</v>
      </c>
      <c r="H100" s="264">
        <f>VLOOKUP('Statistika okresy'!$B100,Body!$B$3:$AR$172,7,FALSE)</f>
        <v>1</v>
      </c>
      <c r="I100" s="264">
        <f>VLOOKUP('Statistika okresy'!$B100,Body!$B$3:$AR$172,8,FALSE)</f>
        <v>1</v>
      </c>
      <c r="J100" s="264">
        <f>VLOOKUP('Statistika okresy'!$B100,Body!$B$3:$AR$172,9,FALSE)</f>
        <v>1</v>
      </c>
      <c r="K100" s="264">
        <f>VLOOKUP('Statistika okresy'!$B100,Body!$B$3:$AR$172,10,FALSE)</f>
        <v>1</v>
      </c>
      <c r="L100" s="264">
        <f>VLOOKUP('Statistika okresy'!$B100,Body!$B$3:$AR$172,11,FALSE)</f>
        <v>6</v>
      </c>
      <c r="M100" s="264">
        <f>VLOOKUP('Statistika okresy'!$B100,Body!$B$3:$AR$172,12,FALSE)</f>
        <v>5</v>
      </c>
      <c r="N100" s="264">
        <f>VLOOKUP('Statistika okresy'!$B100,Body!$B$3:$AR$172,13,FALSE)</f>
        <v>7</v>
      </c>
      <c r="O100" s="264">
        <f>VLOOKUP('Statistika okresy'!$B100,Body!$B$3:$AR$172,14,FALSE)</f>
        <v>7</v>
      </c>
      <c r="P100" s="264">
        <f>VLOOKUP('Statistika okresy'!$B100,Body!$B$3:$AR$172,15,FALSE)</f>
        <v>3</v>
      </c>
      <c r="Q100" s="264">
        <f>VLOOKUP('Statistika okresy'!$B100,Body!$B$3:$AR$172,16,FALSE)</f>
        <v>3</v>
      </c>
      <c r="R100" s="264">
        <f>VLOOKUP('Statistika okresy'!$B100,Body!$B$3:$AR$172,17,FALSE)</f>
        <v>3</v>
      </c>
      <c r="S100" s="264">
        <f>VLOOKUP('Statistika okresy'!$B100,Body!$B$3:$AR$172,18,FALSE)</f>
        <v>6</v>
      </c>
      <c r="T100" s="264">
        <f>VLOOKUP('Statistika okresy'!$B100,Body!$B$3:$AR$172,19,FALSE)</f>
        <v>7</v>
      </c>
      <c r="U100" s="264">
        <f>VLOOKUP('Statistika okresy'!$B100,Body!$B$3:$AR$172,20,FALSE)</f>
        <v>5</v>
      </c>
      <c r="V100" s="264">
        <f>VLOOKUP('Statistika okresy'!$B100,Body!$B$3:$AR$172,21,FALSE)</f>
        <v>7</v>
      </c>
      <c r="W100" s="264">
        <f>VLOOKUP('Statistika okresy'!$B100,Body!$B$3:$AR$172,22,FALSE)</f>
        <v>6</v>
      </c>
      <c r="X100" s="264">
        <f>VLOOKUP('Statistika okresy'!$B100,Body!$B$3:$AR$172,23,FALSE)</f>
        <v>10</v>
      </c>
      <c r="Y100" s="264">
        <f>VLOOKUP('Statistika okresy'!$B100,Body!$B$3:$AR$172,24,FALSE)</f>
        <v>10</v>
      </c>
      <c r="Z100" s="264">
        <f>VLOOKUP('Statistika okresy'!$B100,Body!$B$3:$AR$172,25,FALSE)</f>
        <v>10</v>
      </c>
      <c r="AA100" s="264">
        <f>VLOOKUP('Statistika okresy'!$B100,Body!$B$3:$AR$172,26,FALSE)</f>
        <v>5</v>
      </c>
      <c r="AB100" s="264">
        <f>VLOOKUP('Statistika okresy'!$B100,Body!$B$3:$AR$172,27,FALSE)</f>
        <v>5</v>
      </c>
      <c r="AC100" s="265">
        <f>VLOOKUP('Statistika okresy'!$B100,Body!$B$3:$AR$172,35,FALSE)</f>
        <v>8.0000000000000071</v>
      </c>
      <c r="AD100" s="264">
        <f>VLOOKUP('Statistika okresy'!$B100,Body!$B$3:$AR$172,36,FALSE)</f>
        <v>31.365919878010516</v>
      </c>
      <c r="AE100" s="264">
        <f>VLOOKUP('Statistika okresy'!$B100,Body!$B$3:$AR$172,37,FALSE)</f>
        <v>26.640463334277914</v>
      </c>
      <c r="AF100" s="264">
        <f>VLOOKUP('Statistika okresy'!$B100,Body!$B$3:$AR$172,38,FALSE)</f>
        <v>60.501118801802946</v>
      </c>
      <c r="AG100" s="264">
        <f>VLOOKUP('Statistika okresy'!$B100,Body!$B$3:$AR$172,39,FALSE)</f>
        <v>62.870149551676953</v>
      </c>
      <c r="AH100" s="264">
        <f>VLOOKUP('Statistika okresy'!$B100,Body!$B$3:$AR$172,40,FALSE)</f>
        <v>91.867038679813461</v>
      </c>
      <c r="AI100" s="264">
        <f>VLOOKUP('Statistika okresy'!$B100,Body!$B$3:$AR$172,41,FALSE)</f>
        <v>89.51061288595487</v>
      </c>
      <c r="AJ100" s="390"/>
      <c r="AK100" s="407">
        <f>VLOOKUP('Statistika okresy'!$B100,Body!$B$3:$AR$172,43,FALSE)</f>
        <v>189.37765156576833</v>
      </c>
    </row>
    <row r="101" spans="1:37" ht="15.5" x14ac:dyDescent="0.35">
      <c r="A101" s="382">
        <v>9188</v>
      </c>
      <c r="B101" s="156" t="s">
        <v>653</v>
      </c>
      <c r="C101" s="352" t="s">
        <v>962</v>
      </c>
      <c r="D101" s="264">
        <f>VLOOKUP('Statistika okresy'!$B101,Body!$B$3:$AR$172,3,FALSE)</f>
        <v>7</v>
      </c>
      <c r="E101" s="264">
        <f>VLOOKUP('Statistika okresy'!$B101,Body!$B$3:$AR$172,4,FALSE)</f>
        <v>8</v>
      </c>
      <c r="F101" s="264">
        <f>VLOOKUP('Statistika okresy'!$B101,Body!$B$3:$AR$172,5,FALSE)</f>
        <v>6</v>
      </c>
      <c r="G101" s="264">
        <f>VLOOKUP('Statistika okresy'!$B101,Body!$B$3:$AR$172,6,FALSE)</f>
        <v>4</v>
      </c>
      <c r="H101" s="264">
        <f>VLOOKUP('Statistika okresy'!$B101,Body!$B$3:$AR$172,7,FALSE)</f>
        <v>1</v>
      </c>
      <c r="I101" s="264">
        <f>VLOOKUP('Statistika okresy'!$B101,Body!$B$3:$AR$172,8,FALSE)</f>
        <v>4</v>
      </c>
      <c r="J101" s="264">
        <f>VLOOKUP('Statistika okresy'!$B101,Body!$B$3:$AR$172,9,FALSE)</f>
        <v>1</v>
      </c>
      <c r="K101" s="264">
        <f>VLOOKUP('Statistika okresy'!$B101,Body!$B$3:$AR$172,10,FALSE)</f>
        <v>1</v>
      </c>
      <c r="L101" s="264">
        <f>VLOOKUP('Statistika okresy'!$B101,Body!$B$3:$AR$172,11,FALSE)</f>
        <v>6</v>
      </c>
      <c r="M101" s="264">
        <f>VLOOKUP('Statistika okresy'!$B101,Body!$B$3:$AR$172,12,FALSE)</f>
        <v>5</v>
      </c>
      <c r="N101" s="264">
        <f>VLOOKUP('Statistika okresy'!$B101,Body!$B$3:$AR$172,13,FALSE)</f>
        <v>7</v>
      </c>
      <c r="O101" s="264">
        <f>VLOOKUP('Statistika okresy'!$B101,Body!$B$3:$AR$172,14,FALSE)</f>
        <v>7</v>
      </c>
      <c r="P101" s="264">
        <f>VLOOKUP('Statistika okresy'!$B101,Body!$B$3:$AR$172,15,FALSE)</f>
        <v>6</v>
      </c>
      <c r="Q101" s="264">
        <f>VLOOKUP('Statistika okresy'!$B101,Body!$B$3:$AR$172,16,FALSE)</f>
        <v>4</v>
      </c>
      <c r="R101" s="264">
        <f>VLOOKUP('Statistika okresy'!$B101,Body!$B$3:$AR$172,17,FALSE)</f>
        <v>4</v>
      </c>
      <c r="S101" s="264">
        <f>VLOOKUP('Statistika okresy'!$B101,Body!$B$3:$AR$172,18,FALSE)</f>
        <v>10</v>
      </c>
      <c r="T101" s="264">
        <f>VLOOKUP('Statistika okresy'!$B101,Body!$B$3:$AR$172,19,FALSE)</f>
        <v>10</v>
      </c>
      <c r="U101" s="264">
        <f>VLOOKUP('Statistika okresy'!$B101,Body!$B$3:$AR$172,20,FALSE)</f>
        <v>7</v>
      </c>
      <c r="V101" s="264">
        <f>VLOOKUP('Statistika okresy'!$B101,Body!$B$3:$AR$172,21,FALSE)</f>
        <v>6</v>
      </c>
      <c r="W101" s="264">
        <f>VLOOKUP('Statistika okresy'!$B101,Body!$B$3:$AR$172,22,FALSE)</f>
        <v>10</v>
      </c>
      <c r="X101" s="264">
        <f>VLOOKUP('Statistika okresy'!$B101,Body!$B$3:$AR$172,23,FALSE)</f>
        <v>10</v>
      </c>
      <c r="Y101" s="264">
        <f>VLOOKUP('Statistika okresy'!$B101,Body!$B$3:$AR$172,24,FALSE)</f>
        <v>10</v>
      </c>
      <c r="Z101" s="264">
        <f>VLOOKUP('Statistika okresy'!$B101,Body!$B$3:$AR$172,25,FALSE)</f>
        <v>10</v>
      </c>
      <c r="AA101" s="264">
        <f>VLOOKUP('Statistika okresy'!$B101,Body!$B$3:$AR$172,26,FALSE)</f>
        <v>3</v>
      </c>
      <c r="AB101" s="264">
        <f>VLOOKUP('Statistika okresy'!$B101,Body!$B$3:$AR$172,27,FALSE)</f>
        <v>10</v>
      </c>
      <c r="AC101" s="265">
        <f>VLOOKUP('Statistika okresy'!$B101,Body!$B$3:$AR$172,35,FALSE)</f>
        <v>6.6666666666666714</v>
      </c>
      <c r="AD101" s="264">
        <f>VLOOKUP('Statistika okresy'!$B101,Body!$B$3:$AR$172,36,FALSE)</f>
        <v>33.097996120117124</v>
      </c>
      <c r="AE101" s="264">
        <f>VLOOKUP('Statistika okresy'!$B101,Body!$B$3:$AR$172,37,FALSE)</f>
        <v>29.729744390821139</v>
      </c>
      <c r="AF101" s="264">
        <f>VLOOKUP('Statistika okresy'!$B101,Body!$B$3:$AR$172,38,FALSE)</f>
        <v>78.775263722219762</v>
      </c>
      <c r="AG101" s="264">
        <f>VLOOKUP('Statistika okresy'!$B101,Body!$B$3:$AR$172,39,FALSE)</f>
        <v>84.953636551027699</v>
      </c>
      <c r="AH101" s="264">
        <f>VLOOKUP('Statistika okresy'!$B101,Body!$B$3:$AR$172,40,FALSE)</f>
        <v>111.87325984233689</v>
      </c>
      <c r="AI101" s="264">
        <f>VLOOKUP('Statistika okresy'!$B101,Body!$B$3:$AR$172,41,FALSE)</f>
        <v>114.68338094184884</v>
      </c>
      <c r="AJ101" s="390"/>
      <c r="AK101" s="407">
        <f>VLOOKUP('Statistika okresy'!$B101,Body!$B$3:$AR$172,43,FALSE)</f>
        <v>233.22330745085242</v>
      </c>
    </row>
    <row r="102" spans="1:37" ht="15.5" x14ac:dyDescent="0.35">
      <c r="A102" s="382">
        <v>9191</v>
      </c>
      <c r="B102" s="156" t="s">
        <v>662</v>
      </c>
      <c r="C102" s="352" t="s">
        <v>962</v>
      </c>
      <c r="D102" s="264">
        <f>VLOOKUP('Statistika okresy'!$B102,Body!$B$3:$AR$172,3,FALSE)</f>
        <v>7</v>
      </c>
      <c r="E102" s="264">
        <f>VLOOKUP('Statistika okresy'!$B102,Body!$B$3:$AR$172,4,FALSE)</f>
        <v>6</v>
      </c>
      <c r="F102" s="264">
        <f>VLOOKUP('Statistika okresy'!$B102,Body!$B$3:$AR$172,5,FALSE)</f>
        <v>4</v>
      </c>
      <c r="G102" s="264">
        <f>VLOOKUP('Statistika okresy'!$B102,Body!$B$3:$AR$172,6,FALSE)</f>
        <v>3</v>
      </c>
      <c r="H102" s="264">
        <f>VLOOKUP('Statistika okresy'!$B102,Body!$B$3:$AR$172,7,FALSE)</f>
        <v>1</v>
      </c>
      <c r="I102" s="264">
        <f>VLOOKUP('Statistika okresy'!$B102,Body!$B$3:$AR$172,8,FALSE)</f>
        <v>4</v>
      </c>
      <c r="J102" s="264">
        <f>VLOOKUP('Statistika okresy'!$B102,Body!$B$3:$AR$172,9,FALSE)</f>
        <v>1</v>
      </c>
      <c r="K102" s="264">
        <f>VLOOKUP('Statistika okresy'!$B102,Body!$B$3:$AR$172,10,FALSE)</f>
        <v>1</v>
      </c>
      <c r="L102" s="264">
        <f>VLOOKUP('Statistika okresy'!$B102,Body!$B$3:$AR$172,11,FALSE)</f>
        <v>5</v>
      </c>
      <c r="M102" s="264">
        <f>VLOOKUP('Statistika okresy'!$B102,Body!$B$3:$AR$172,12,FALSE)</f>
        <v>5</v>
      </c>
      <c r="N102" s="264">
        <f>VLOOKUP('Statistika okresy'!$B102,Body!$B$3:$AR$172,13,FALSE)</f>
        <v>7</v>
      </c>
      <c r="O102" s="264">
        <f>VLOOKUP('Statistika okresy'!$B102,Body!$B$3:$AR$172,14,FALSE)</f>
        <v>7</v>
      </c>
      <c r="P102" s="264">
        <f>VLOOKUP('Statistika okresy'!$B102,Body!$B$3:$AR$172,15,FALSE)</f>
        <v>6</v>
      </c>
      <c r="Q102" s="264">
        <f>VLOOKUP('Statistika okresy'!$B102,Body!$B$3:$AR$172,16,FALSE)</f>
        <v>4</v>
      </c>
      <c r="R102" s="264">
        <f>VLOOKUP('Statistika okresy'!$B102,Body!$B$3:$AR$172,17,FALSE)</f>
        <v>5</v>
      </c>
      <c r="S102" s="264">
        <f>VLOOKUP('Statistika okresy'!$B102,Body!$B$3:$AR$172,18,FALSE)</f>
        <v>8</v>
      </c>
      <c r="T102" s="264">
        <f>VLOOKUP('Statistika okresy'!$B102,Body!$B$3:$AR$172,19,FALSE)</f>
        <v>10</v>
      </c>
      <c r="U102" s="264">
        <f>VLOOKUP('Statistika okresy'!$B102,Body!$B$3:$AR$172,20,FALSE)</f>
        <v>5</v>
      </c>
      <c r="V102" s="264">
        <f>VLOOKUP('Statistika okresy'!$B102,Body!$B$3:$AR$172,21,FALSE)</f>
        <v>7</v>
      </c>
      <c r="W102" s="264">
        <f>VLOOKUP('Statistika okresy'!$B102,Body!$B$3:$AR$172,22,FALSE)</f>
        <v>5</v>
      </c>
      <c r="X102" s="264">
        <f>VLOOKUP('Statistika okresy'!$B102,Body!$B$3:$AR$172,23,FALSE)</f>
        <v>9</v>
      </c>
      <c r="Y102" s="264">
        <f>VLOOKUP('Statistika okresy'!$B102,Body!$B$3:$AR$172,24,FALSE)</f>
        <v>5</v>
      </c>
      <c r="Z102" s="264">
        <f>VLOOKUP('Statistika okresy'!$B102,Body!$B$3:$AR$172,25,FALSE)</f>
        <v>1</v>
      </c>
      <c r="AA102" s="264">
        <f>VLOOKUP('Statistika okresy'!$B102,Body!$B$3:$AR$172,26,FALSE)</f>
        <v>5</v>
      </c>
      <c r="AB102" s="264">
        <f>VLOOKUP('Statistika okresy'!$B102,Body!$B$3:$AR$172,27,FALSE)</f>
        <v>10</v>
      </c>
      <c r="AC102" s="265">
        <f>VLOOKUP('Statistika okresy'!$B102,Body!$B$3:$AR$172,35,FALSE)</f>
        <v>9.3333333333333428</v>
      </c>
      <c r="AD102" s="264">
        <f>VLOOKUP('Statistika okresy'!$B102,Body!$B$3:$AR$172,36,FALSE)</f>
        <v>28.709582572354439</v>
      </c>
      <c r="AE102" s="264">
        <f>VLOOKUP('Statistika okresy'!$B102,Body!$B$3:$AR$172,37,FALSE)</f>
        <v>28.389969946026415</v>
      </c>
      <c r="AF102" s="264">
        <f>VLOOKUP('Statistika okresy'!$B102,Body!$B$3:$AR$172,38,FALSE)</f>
        <v>61.858562063855075</v>
      </c>
      <c r="AG102" s="264">
        <f>VLOOKUP('Statistika okresy'!$B102,Body!$B$3:$AR$172,39,FALSE)</f>
        <v>66.596623563603103</v>
      </c>
      <c r="AH102" s="264">
        <f>VLOOKUP('Statistika okresy'!$B102,Body!$B$3:$AR$172,40,FALSE)</f>
        <v>90.56814463620951</v>
      </c>
      <c r="AI102" s="264">
        <f>VLOOKUP('Statistika okresy'!$B102,Body!$B$3:$AR$172,41,FALSE)</f>
        <v>94.986593509629515</v>
      </c>
      <c r="AJ102" s="390"/>
      <c r="AK102" s="407">
        <f>VLOOKUP('Statistika okresy'!$B102,Body!$B$3:$AR$172,43,FALSE)</f>
        <v>194.88807147917237</v>
      </c>
    </row>
    <row r="103" spans="1:37" ht="15.5" x14ac:dyDescent="0.35">
      <c r="A103" s="382">
        <v>9194</v>
      </c>
      <c r="B103" s="156" t="s">
        <v>637</v>
      </c>
      <c r="C103" s="352" t="s">
        <v>962</v>
      </c>
      <c r="D103" s="264">
        <f>VLOOKUP('Statistika okresy'!$B103,Body!$B$3:$AR$172,3,FALSE)</f>
        <v>3</v>
      </c>
      <c r="E103" s="264">
        <f>VLOOKUP('Statistika okresy'!$B103,Body!$B$3:$AR$172,4,FALSE)</f>
        <v>3</v>
      </c>
      <c r="F103" s="264">
        <f>VLOOKUP('Statistika okresy'!$B103,Body!$B$3:$AR$172,5,FALSE)</f>
        <v>3</v>
      </c>
      <c r="G103" s="264">
        <f>VLOOKUP('Statistika okresy'!$B103,Body!$B$3:$AR$172,6,FALSE)</f>
        <v>2</v>
      </c>
      <c r="H103" s="264">
        <f>VLOOKUP('Statistika okresy'!$B103,Body!$B$3:$AR$172,7,FALSE)</f>
        <v>7</v>
      </c>
      <c r="I103" s="264">
        <f>VLOOKUP('Statistika okresy'!$B103,Body!$B$3:$AR$172,8,FALSE)</f>
        <v>5</v>
      </c>
      <c r="J103" s="264">
        <f>VLOOKUP('Statistika okresy'!$B103,Body!$B$3:$AR$172,9,FALSE)</f>
        <v>1</v>
      </c>
      <c r="K103" s="264">
        <f>VLOOKUP('Statistika okresy'!$B103,Body!$B$3:$AR$172,10,FALSE)</f>
        <v>1</v>
      </c>
      <c r="L103" s="264">
        <f>VLOOKUP('Statistika okresy'!$B103,Body!$B$3:$AR$172,11,FALSE)</f>
        <v>4</v>
      </c>
      <c r="M103" s="264">
        <f>VLOOKUP('Statistika okresy'!$B103,Body!$B$3:$AR$172,12,FALSE)</f>
        <v>4</v>
      </c>
      <c r="N103" s="264">
        <f>VLOOKUP('Statistika okresy'!$B103,Body!$B$3:$AR$172,13,FALSE)</f>
        <v>10</v>
      </c>
      <c r="O103" s="264">
        <f>VLOOKUP('Statistika okresy'!$B103,Body!$B$3:$AR$172,14,FALSE)</f>
        <v>10</v>
      </c>
      <c r="P103" s="264">
        <f>VLOOKUP('Statistika okresy'!$B103,Body!$B$3:$AR$172,15,FALSE)</f>
        <v>6</v>
      </c>
      <c r="Q103" s="264">
        <f>VLOOKUP('Statistika okresy'!$B103,Body!$B$3:$AR$172,16,FALSE)</f>
        <v>6</v>
      </c>
      <c r="R103" s="264">
        <f>VLOOKUP('Statistika okresy'!$B103,Body!$B$3:$AR$172,17,FALSE)</f>
        <v>5</v>
      </c>
      <c r="S103" s="264">
        <f>VLOOKUP('Statistika okresy'!$B103,Body!$B$3:$AR$172,18,FALSE)</f>
        <v>8</v>
      </c>
      <c r="T103" s="264">
        <f>VLOOKUP('Statistika okresy'!$B103,Body!$B$3:$AR$172,19,FALSE)</f>
        <v>8</v>
      </c>
      <c r="U103" s="264">
        <f>VLOOKUP('Statistika okresy'!$B103,Body!$B$3:$AR$172,20,FALSE)</f>
        <v>8</v>
      </c>
      <c r="V103" s="264">
        <f>VLOOKUP('Statistika okresy'!$B103,Body!$B$3:$AR$172,21,FALSE)</f>
        <v>8</v>
      </c>
      <c r="W103" s="264">
        <f>VLOOKUP('Statistika okresy'!$B103,Body!$B$3:$AR$172,22,FALSE)</f>
        <v>8</v>
      </c>
      <c r="X103" s="264">
        <f>VLOOKUP('Statistika okresy'!$B103,Body!$B$3:$AR$172,23,FALSE)</f>
        <v>9</v>
      </c>
      <c r="Y103" s="264">
        <f>VLOOKUP('Statistika okresy'!$B103,Body!$B$3:$AR$172,24,FALSE)</f>
        <v>10</v>
      </c>
      <c r="Z103" s="264">
        <f>VLOOKUP('Statistika okresy'!$B103,Body!$B$3:$AR$172,25,FALSE)</f>
        <v>10</v>
      </c>
      <c r="AA103" s="264">
        <f>VLOOKUP('Statistika okresy'!$B103,Body!$B$3:$AR$172,26,FALSE)</f>
        <v>3</v>
      </c>
      <c r="AB103" s="264">
        <f>VLOOKUP('Statistika okresy'!$B103,Body!$B$3:$AR$172,27,FALSE)</f>
        <v>10</v>
      </c>
      <c r="AC103" s="265">
        <f>VLOOKUP('Statistika okresy'!$B103,Body!$B$3:$AR$172,35,FALSE)</f>
        <v>6.6666666666666714</v>
      </c>
      <c r="AD103" s="264">
        <f>VLOOKUP('Statistika okresy'!$B103,Body!$B$3:$AR$172,36,FALSE)</f>
        <v>31.017224651172327</v>
      </c>
      <c r="AE103" s="264">
        <f>VLOOKUP('Statistika okresy'!$B103,Body!$B$3:$AR$172,37,FALSE)</f>
        <v>27.486432438219378</v>
      </c>
      <c r="AF103" s="264">
        <f>VLOOKUP('Statistika okresy'!$B103,Body!$B$3:$AR$172,38,FALSE)</f>
        <v>75.380266837053028</v>
      </c>
      <c r="AG103" s="264">
        <f>VLOOKUP('Statistika okresy'!$B103,Body!$B$3:$AR$172,39,FALSE)</f>
        <v>75.380266837053028</v>
      </c>
      <c r="AH103" s="264">
        <f>VLOOKUP('Statistika okresy'!$B103,Body!$B$3:$AR$172,40,FALSE)</f>
        <v>106.39749148822536</v>
      </c>
      <c r="AI103" s="264">
        <f>VLOOKUP('Statistika okresy'!$B103,Body!$B$3:$AR$172,41,FALSE)</f>
        <v>102.86669927527241</v>
      </c>
      <c r="AJ103" s="390"/>
      <c r="AK103" s="407">
        <f>VLOOKUP('Statistika okresy'!$B103,Body!$B$3:$AR$172,43,FALSE)</f>
        <v>215.93085743016445</v>
      </c>
    </row>
    <row r="104" spans="1:37" ht="15.5" x14ac:dyDescent="0.35">
      <c r="A104" s="382">
        <v>9197</v>
      </c>
      <c r="B104" s="156" t="s">
        <v>664</v>
      </c>
      <c r="C104" s="352" t="s">
        <v>962</v>
      </c>
      <c r="D104" s="264">
        <f>VLOOKUP('Statistika okresy'!$B104,Body!$B$3:$AR$172,3,FALSE)</f>
        <v>5</v>
      </c>
      <c r="E104" s="264">
        <f>VLOOKUP('Statistika okresy'!$B104,Body!$B$3:$AR$172,4,FALSE)</f>
        <v>4</v>
      </c>
      <c r="F104" s="264">
        <f>VLOOKUP('Statistika okresy'!$B104,Body!$B$3:$AR$172,5,FALSE)</f>
        <v>8</v>
      </c>
      <c r="G104" s="264">
        <f>VLOOKUP('Statistika okresy'!$B104,Body!$B$3:$AR$172,6,FALSE)</f>
        <v>6</v>
      </c>
      <c r="H104" s="264">
        <f>VLOOKUP('Statistika okresy'!$B104,Body!$B$3:$AR$172,7,FALSE)</f>
        <v>8</v>
      </c>
      <c r="I104" s="264">
        <f>VLOOKUP('Statistika okresy'!$B104,Body!$B$3:$AR$172,8,FALSE)</f>
        <v>5</v>
      </c>
      <c r="J104" s="264">
        <f>VLOOKUP('Statistika okresy'!$B104,Body!$B$3:$AR$172,9,FALSE)</f>
        <v>2</v>
      </c>
      <c r="K104" s="264">
        <f>VLOOKUP('Statistika okresy'!$B104,Body!$B$3:$AR$172,10,FALSE)</f>
        <v>1</v>
      </c>
      <c r="L104" s="264">
        <f>VLOOKUP('Statistika okresy'!$B104,Body!$B$3:$AR$172,11,FALSE)</f>
        <v>10</v>
      </c>
      <c r="M104" s="264">
        <f>VLOOKUP('Statistika okresy'!$B104,Body!$B$3:$AR$172,12,FALSE)</f>
        <v>10</v>
      </c>
      <c r="N104" s="264">
        <f>VLOOKUP('Statistika okresy'!$B104,Body!$B$3:$AR$172,13,FALSE)</f>
        <v>10</v>
      </c>
      <c r="O104" s="264">
        <f>VLOOKUP('Statistika okresy'!$B104,Body!$B$3:$AR$172,14,FALSE)</f>
        <v>10</v>
      </c>
      <c r="P104" s="264">
        <f>VLOOKUP('Statistika okresy'!$B104,Body!$B$3:$AR$172,15,FALSE)</f>
        <v>3</v>
      </c>
      <c r="Q104" s="264">
        <f>VLOOKUP('Statistika okresy'!$B104,Body!$B$3:$AR$172,16,FALSE)</f>
        <v>9</v>
      </c>
      <c r="R104" s="264">
        <f>VLOOKUP('Statistika okresy'!$B104,Body!$B$3:$AR$172,17,FALSE)</f>
        <v>8</v>
      </c>
      <c r="S104" s="264">
        <f>VLOOKUP('Statistika okresy'!$B104,Body!$B$3:$AR$172,18,FALSE)</f>
        <v>3</v>
      </c>
      <c r="T104" s="264">
        <f>VLOOKUP('Statistika okresy'!$B104,Body!$B$3:$AR$172,19,FALSE)</f>
        <v>4</v>
      </c>
      <c r="U104" s="264">
        <f>VLOOKUP('Statistika okresy'!$B104,Body!$B$3:$AR$172,20,FALSE)</f>
        <v>7</v>
      </c>
      <c r="V104" s="264">
        <f>VLOOKUP('Statistika okresy'!$B104,Body!$B$3:$AR$172,21,FALSE)</f>
        <v>6</v>
      </c>
      <c r="W104" s="264">
        <f>VLOOKUP('Statistika okresy'!$B104,Body!$B$3:$AR$172,22,FALSE)</f>
        <v>5</v>
      </c>
      <c r="X104" s="264">
        <f>VLOOKUP('Statistika okresy'!$B104,Body!$B$3:$AR$172,23,FALSE)</f>
        <v>10</v>
      </c>
      <c r="Y104" s="264">
        <f>VLOOKUP('Statistika okresy'!$B104,Body!$B$3:$AR$172,24,FALSE)</f>
        <v>10</v>
      </c>
      <c r="Z104" s="264">
        <f>VLOOKUP('Statistika okresy'!$B104,Body!$B$3:$AR$172,25,FALSE)</f>
        <v>10</v>
      </c>
      <c r="AA104" s="264">
        <f>VLOOKUP('Statistika okresy'!$B104,Body!$B$3:$AR$172,26,FALSE)</f>
        <v>5</v>
      </c>
      <c r="AB104" s="264">
        <f>VLOOKUP('Statistika okresy'!$B104,Body!$B$3:$AR$172,27,FALSE)</f>
        <v>5</v>
      </c>
      <c r="AC104" s="265">
        <f>VLOOKUP('Statistika okresy'!$B104,Body!$B$3:$AR$172,35,FALSE)</f>
        <v>8.0000000000000071</v>
      </c>
      <c r="AD104" s="264">
        <f>VLOOKUP('Statistika okresy'!$B104,Body!$B$3:$AR$172,36,FALSE)</f>
        <v>46.566547753690138</v>
      </c>
      <c r="AE104" s="264">
        <f>VLOOKUP('Statistika okresy'!$B104,Body!$B$3:$AR$172,37,FALSE)</f>
        <v>40.406456373547655</v>
      </c>
      <c r="AF104" s="264">
        <f>VLOOKUP('Statistika okresy'!$B104,Body!$B$3:$AR$172,38,FALSE)</f>
        <v>51.379896022687838</v>
      </c>
      <c r="AG104" s="264">
        <f>VLOOKUP('Statistika okresy'!$B104,Body!$B$3:$AR$172,39,FALSE)</f>
        <v>53.748926772561845</v>
      </c>
      <c r="AH104" s="264">
        <f>VLOOKUP('Statistika okresy'!$B104,Body!$B$3:$AR$172,40,FALSE)</f>
        <v>97.946443776377976</v>
      </c>
      <c r="AI104" s="264">
        <f>VLOOKUP('Statistika okresy'!$B104,Body!$B$3:$AR$172,41,FALSE)</f>
        <v>94.1553831461095</v>
      </c>
      <c r="AJ104" s="390"/>
      <c r="AK104" s="407">
        <f>VLOOKUP('Statistika okresy'!$B104,Body!$B$3:$AR$172,43,FALSE)</f>
        <v>200.10182692248748</v>
      </c>
    </row>
    <row r="105" spans="1:37" ht="15.5" x14ac:dyDescent="0.35">
      <c r="A105" s="382">
        <v>9200</v>
      </c>
      <c r="B105" s="156" t="s">
        <v>636</v>
      </c>
      <c r="C105" s="352" t="s">
        <v>962</v>
      </c>
      <c r="D105" s="264">
        <f>VLOOKUP('Statistika okresy'!$B105,Body!$B$3:$AR$172,3,FALSE)</f>
        <v>7</v>
      </c>
      <c r="E105" s="264">
        <f>VLOOKUP('Statistika okresy'!$B105,Body!$B$3:$AR$172,4,FALSE)</f>
        <v>9</v>
      </c>
      <c r="F105" s="264">
        <f>VLOOKUP('Statistika okresy'!$B105,Body!$B$3:$AR$172,5,FALSE)</f>
        <v>10</v>
      </c>
      <c r="G105" s="264">
        <f>VLOOKUP('Statistika okresy'!$B105,Body!$B$3:$AR$172,6,FALSE)</f>
        <v>8</v>
      </c>
      <c r="H105" s="264">
        <f>VLOOKUP('Statistika okresy'!$B105,Body!$B$3:$AR$172,7,FALSE)</f>
        <v>1</v>
      </c>
      <c r="I105" s="264">
        <f>VLOOKUP('Statistika okresy'!$B105,Body!$B$3:$AR$172,8,FALSE)</f>
        <v>1</v>
      </c>
      <c r="J105" s="264">
        <f>VLOOKUP('Statistika okresy'!$B105,Body!$B$3:$AR$172,9,FALSE)</f>
        <v>1</v>
      </c>
      <c r="K105" s="264">
        <f>VLOOKUP('Statistika okresy'!$B105,Body!$B$3:$AR$172,10,FALSE)</f>
        <v>1</v>
      </c>
      <c r="L105" s="264">
        <f>VLOOKUP('Statistika okresy'!$B105,Body!$B$3:$AR$172,11,FALSE)</f>
        <v>10</v>
      </c>
      <c r="M105" s="264">
        <f>VLOOKUP('Statistika okresy'!$B105,Body!$B$3:$AR$172,12,FALSE)</f>
        <v>10</v>
      </c>
      <c r="N105" s="264">
        <f>VLOOKUP('Statistika okresy'!$B105,Body!$B$3:$AR$172,13,FALSE)</f>
        <v>8</v>
      </c>
      <c r="O105" s="264">
        <f>VLOOKUP('Statistika okresy'!$B105,Body!$B$3:$AR$172,14,FALSE)</f>
        <v>8</v>
      </c>
      <c r="P105" s="264">
        <f>VLOOKUP('Statistika okresy'!$B105,Body!$B$3:$AR$172,15,FALSE)</f>
        <v>3</v>
      </c>
      <c r="Q105" s="264">
        <f>VLOOKUP('Statistika okresy'!$B105,Body!$B$3:$AR$172,16,FALSE)</f>
        <v>8</v>
      </c>
      <c r="R105" s="264">
        <f>VLOOKUP('Statistika okresy'!$B105,Body!$B$3:$AR$172,17,FALSE)</f>
        <v>8</v>
      </c>
      <c r="S105" s="264">
        <f>VLOOKUP('Statistika okresy'!$B105,Body!$B$3:$AR$172,18,FALSE)</f>
        <v>4</v>
      </c>
      <c r="T105" s="264">
        <f>VLOOKUP('Statistika okresy'!$B105,Body!$B$3:$AR$172,19,FALSE)</f>
        <v>3</v>
      </c>
      <c r="U105" s="264">
        <f>VLOOKUP('Statistika okresy'!$B105,Body!$B$3:$AR$172,20,FALSE)</f>
        <v>7</v>
      </c>
      <c r="V105" s="264">
        <f>VLOOKUP('Statistika okresy'!$B105,Body!$B$3:$AR$172,21,FALSE)</f>
        <v>8</v>
      </c>
      <c r="W105" s="264">
        <f>VLOOKUP('Statistika okresy'!$B105,Body!$B$3:$AR$172,22,FALSE)</f>
        <v>8</v>
      </c>
      <c r="X105" s="264">
        <f>VLOOKUP('Statistika okresy'!$B105,Body!$B$3:$AR$172,23,FALSE)</f>
        <v>10</v>
      </c>
      <c r="Y105" s="264">
        <f>VLOOKUP('Statistika okresy'!$B105,Body!$B$3:$AR$172,24,FALSE)</f>
        <v>10</v>
      </c>
      <c r="Z105" s="264">
        <f>VLOOKUP('Statistika okresy'!$B105,Body!$B$3:$AR$172,25,FALSE)</f>
        <v>10</v>
      </c>
      <c r="AA105" s="264">
        <f>VLOOKUP('Statistika okresy'!$B105,Body!$B$3:$AR$172,26,FALSE)</f>
        <v>5</v>
      </c>
      <c r="AB105" s="264">
        <f>VLOOKUP('Statistika okresy'!$B105,Body!$B$3:$AR$172,27,FALSE)</f>
        <v>5</v>
      </c>
      <c r="AC105" s="265">
        <f>VLOOKUP('Statistika okresy'!$B105,Body!$B$3:$AR$172,35,FALSE)</f>
        <v>8.0000000000000071</v>
      </c>
      <c r="AD105" s="264">
        <f>VLOOKUP('Statistika okresy'!$B105,Body!$B$3:$AR$172,36,FALSE)</f>
        <v>46.390386703107367</v>
      </c>
      <c r="AE105" s="264">
        <f>VLOOKUP('Statistika okresy'!$B105,Body!$B$3:$AR$172,37,FALSE)</f>
        <v>43.32340457757055</v>
      </c>
      <c r="AF105" s="264">
        <f>VLOOKUP('Statistika okresy'!$B105,Body!$B$3:$AR$172,38,FALSE)</f>
        <v>58.382706394167805</v>
      </c>
      <c r="AG105" s="264">
        <f>VLOOKUP('Statistika okresy'!$B105,Body!$B$3:$AR$172,39,FALSE)</f>
        <v>54.469082437091807</v>
      </c>
      <c r="AH105" s="264">
        <f>VLOOKUP('Statistika okresy'!$B105,Body!$B$3:$AR$172,40,FALSE)</f>
        <v>104.77309309727517</v>
      </c>
      <c r="AI105" s="264">
        <f>VLOOKUP('Statistika okresy'!$B105,Body!$B$3:$AR$172,41,FALSE)</f>
        <v>97.792487014662356</v>
      </c>
      <c r="AJ105" s="390"/>
      <c r="AK105" s="407">
        <f>VLOOKUP('Statistika okresy'!$B105,Body!$B$3:$AR$172,43,FALSE)</f>
        <v>210.56558011193752</v>
      </c>
    </row>
    <row r="106" spans="1:37" ht="16" thickBot="1" x14ac:dyDescent="0.4">
      <c r="A106" s="402">
        <v>9203</v>
      </c>
      <c r="B106" s="403" t="s">
        <v>665</v>
      </c>
      <c r="C106" s="404" t="s">
        <v>962</v>
      </c>
      <c r="D106" s="405">
        <f>VLOOKUP('Statistika okresy'!$B106,Body!$B$3:$AR$172,3,FALSE)</f>
        <v>3</v>
      </c>
      <c r="E106" s="405">
        <f>VLOOKUP('Statistika okresy'!$B106,Body!$B$3:$AR$172,4,FALSE)</f>
        <v>3</v>
      </c>
      <c r="F106" s="405">
        <f>VLOOKUP('Statistika okresy'!$B106,Body!$B$3:$AR$172,5,FALSE)</f>
        <v>8</v>
      </c>
      <c r="G106" s="405">
        <f>VLOOKUP('Statistika okresy'!$B106,Body!$B$3:$AR$172,6,FALSE)</f>
        <v>7</v>
      </c>
      <c r="H106" s="405">
        <f>VLOOKUP('Statistika okresy'!$B106,Body!$B$3:$AR$172,7,FALSE)</f>
        <v>4</v>
      </c>
      <c r="I106" s="405">
        <f>VLOOKUP('Statistika okresy'!$B106,Body!$B$3:$AR$172,8,FALSE)</f>
        <v>2</v>
      </c>
      <c r="J106" s="405">
        <f>VLOOKUP('Statistika okresy'!$B106,Body!$B$3:$AR$172,9,FALSE)</f>
        <v>1</v>
      </c>
      <c r="K106" s="405">
        <f>VLOOKUP('Statistika okresy'!$B106,Body!$B$3:$AR$172,10,FALSE)</f>
        <v>1</v>
      </c>
      <c r="L106" s="405">
        <f>VLOOKUP('Statistika okresy'!$B106,Body!$B$3:$AR$172,11,FALSE)</f>
        <v>10</v>
      </c>
      <c r="M106" s="405">
        <f>VLOOKUP('Statistika okresy'!$B106,Body!$B$3:$AR$172,12,FALSE)</f>
        <v>9</v>
      </c>
      <c r="N106" s="405">
        <f>VLOOKUP('Statistika okresy'!$B106,Body!$B$3:$AR$172,13,FALSE)</f>
        <v>10</v>
      </c>
      <c r="O106" s="405">
        <f>VLOOKUP('Statistika okresy'!$B106,Body!$B$3:$AR$172,14,FALSE)</f>
        <v>10</v>
      </c>
      <c r="P106" s="405">
        <f>VLOOKUP('Statistika okresy'!$B106,Body!$B$3:$AR$172,15,FALSE)</f>
        <v>3</v>
      </c>
      <c r="Q106" s="405">
        <f>VLOOKUP('Statistika okresy'!$B106,Body!$B$3:$AR$172,16,FALSE)</f>
        <v>7</v>
      </c>
      <c r="R106" s="405">
        <f>VLOOKUP('Statistika okresy'!$B106,Body!$B$3:$AR$172,17,FALSE)</f>
        <v>7</v>
      </c>
      <c r="S106" s="405">
        <f>VLOOKUP('Statistika okresy'!$B106,Body!$B$3:$AR$172,18,FALSE)</f>
        <v>6</v>
      </c>
      <c r="T106" s="405">
        <f>VLOOKUP('Statistika okresy'!$B106,Body!$B$3:$AR$172,19,FALSE)</f>
        <v>6</v>
      </c>
      <c r="U106" s="405">
        <f>VLOOKUP('Statistika okresy'!$B106,Body!$B$3:$AR$172,20,FALSE)</f>
        <v>7</v>
      </c>
      <c r="V106" s="405">
        <f>VLOOKUP('Statistika okresy'!$B106,Body!$B$3:$AR$172,21,FALSE)</f>
        <v>8</v>
      </c>
      <c r="W106" s="405">
        <f>VLOOKUP('Statistika okresy'!$B106,Body!$B$3:$AR$172,22,FALSE)</f>
        <v>6</v>
      </c>
      <c r="X106" s="405">
        <f>VLOOKUP('Statistika okresy'!$B106,Body!$B$3:$AR$172,23,FALSE)</f>
        <v>10</v>
      </c>
      <c r="Y106" s="405">
        <f>VLOOKUP('Statistika okresy'!$B106,Body!$B$3:$AR$172,24,FALSE)</f>
        <v>10</v>
      </c>
      <c r="Z106" s="405">
        <f>VLOOKUP('Statistika okresy'!$B106,Body!$B$3:$AR$172,25,FALSE)</f>
        <v>10</v>
      </c>
      <c r="AA106" s="405">
        <f>VLOOKUP('Statistika okresy'!$B106,Body!$B$3:$AR$172,26,FALSE)</f>
        <v>5</v>
      </c>
      <c r="AB106" s="405">
        <f>VLOOKUP('Statistika okresy'!$B106,Body!$B$3:$AR$172,27,FALSE)</f>
        <v>5</v>
      </c>
      <c r="AC106" s="406">
        <f>VLOOKUP('Statistika okresy'!$B106,Body!$B$3:$AR$172,35,FALSE)</f>
        <v>8.0000000000000071</v>
      </c>
      <c r="AD106" s="405">
        <f>VLOOKUP('Statistika okresy'!$B106,Body!$B$3:$AR$172,36,FALSE)</f>
        <v>42.377929615005357</v>
      </c>
      <c r="AE106" s="405">
        <f>VLOOKUP('Statistika okresy'!$B106,Body!$B$3:$AR$172,37,FALSE)</f>
        <v>39.404637577649808</v>
      </c>
      <c r="AF106" s="405">
        <f>VLOOKUP('Statistika okresy'!$B106,Body!$B$3:$AR$172,38,FALSE)</f>
        <v>66.20995430831978</v>
      </c>
      <c r="AG106" s="405">
        <f>VLOOKUP('Statistika okresy'!$B106,Body!$B$3:$AR$172,39,FALSE)</f>
        <v>63.120767893915811</v>
      </c>
      <c r="AH106" s="405">
        <f>VLOOKUP('Statistika okresy'!$B106,Body!$B$3:$AR$172,40,FALSE)</f>
        <v>108.58788392332514</v>
      </c>
      <c r="AI106" s="405">
        <f>VLOOKUP('Statistika okresy'!$B106,Body!$B$3:$AR$172,41,FALSE)</f>
        <v>102.52540547156562</v>
      </c>
      <c r="AJ106" s="390"/>
      <c r="AK106" s="408">
        <f>VLOOKUP('Statistika okresy'!$B106,Body!$B$3:$AR$172,43,FALSE)</f>
        <v>219.11328939489076</v>
      </c>
    </row>
    <row r="107" spans="1:37" ht="15.5" x14ac:dyDescent="0.35">
      <c r="A107" s="399">
        <v>803</v>
      </c>
      <c r="B107" s="400" t="s">
        <v>522</v>
      </c>
      <c r="C107" s="401" t="s">
        <v>963</v>
      </c>
      <c r="D107" s="361">
        <f>VLOOKUP('Statistika okresy'!$B107,Body!$B$3:$AR$172,3,FALSE)</f>
        <v>7</v>
      </c>
      <c r="E107" s="361">
        <f>VLOOKUP('Statistika okresy'!$B107,Body!$B$3:$AR$172,4,FALSE)</f>
        <v>6</v>
      </c>
      <c r="F107" s="361">
        <f>VLOOKUP('Statistika okresy'!$B107,Body!$B$3:$AR$172,5,FALSE)</f>
        <v>3</v>
      </c>
      <c r="G107" s="361">
        <f>VLOOKUP('Statistika okresy'!$B107,Body!$B$3:$AR$172,6,FALSE)</f>
        <v>2</v>
      </c>
      <c r="H107" s="361">
        <f>VLOOKUP('Statistika okresy'!$B107,Body!$B$3:$AR$172,7,FALSE)</f>
        <v>1</v>
      </c>
      <c r="I107" s="361">
        <f>VLOOKUP('Statistika okresy'!$B107,Body!$B$3:$AR$172,8,FALSE)</f>
        <v>1</v>
      </c>
      <c r="J107" s="361">
        <f>VLOOKUP('Statistika okresy'!$B107,Body!$B$3:$AR$172,9,FALSE)</f>
        <v>1</v>
      </c>
      <c r="K107" s="361">
        <f>VLOOKUP('Statistika okresy'!$B107,Body!$B$3:$AR$172,10,FALSE)</f>
        <v>1</v>
      </c>
      <c r="L107" s="361">
        <f>VLOOKUP('Statistika okresy'!$B107,Body!$B$3:$AR$172,11,FALSE)</f>
        <v>4</v>
      </c>
      <c r="M107" s="361">
        <f>VLOOKUP('Statistika okresy'!$B107,Body!$B$3:$AR$172,12,FALSE)</f>
        <v>5</v>
      </c>
      <c r="N107" s="361">
        <f>VLOOKUP('Statistika okresy'!$B107,Body!$B$3:$AR$172,13,FALSE)</f>
        <v>7</v>
      </c>
      <c r="O107" s="361">
        <f>VLOOKUP('Statistika okresy'!$B107,Body!$B$3:$AR$172,14,FALSE)</f>
        <v>7</v>
      </c>
      <c r="P107" s="361">
        <f>VLOOKUP('Statistika okresy'!$B107,Body!$B$3:$AR$172,15,FALSE)</f>
        <v>3</v>
      </c>
      <c r="Q107" s="361">
        <f>VLOOKUP('Statistika okresy'!$B107,Body!$B$3:$AR$172,16,FALSE)</f>
        <v>6</v>
      </c>
      <c r="R107" s="361">
        <f>VLOOKUP('Statistika okresy'!$B107,Body!$B$3:$AR$172,17,FALSE)</f>
        <v>6</v>
      </c>
      <c r="S107" s="361">
        <f>VLOOKUP('Statistika okresy'!$B107,Body!$B$3:$AR$172,18,FALSE)</f>
        <v>10</v>
      </c>
      <c r="T107" s="361">
        <f>VLOOKUP('Statistika okresy'!$B107,Body!$B$3:$AR$172,19,FALSE)</f>
        <v>9</v>
      </c>
      <c r="U107" s="361">
        <f>VLOOKUP('Statistika okresy'!$B107,Body!$B$3:$AR$172,20,FALSE)</f>
        <v>5</v>
      </c>
      <c r="V107" s="361">
        <f>VLOOKUP('Statistika okresy'!$B107,Body!$B$3:$AR$172,21,FALSE)</f>
        <v>6</v>
      </c>
      <c r="W107" s="361">
        <f>VLOOKUP('Statistika okresy'!$B107,Body!$B$3:$AR$172,22,FALSE)</f>
        <v>5</v>
      </c>
      <c r="X107" s="361">
        <f>VLOOKUP('Statistika okresy'!$B107,Body!$B$3:$AR$172,23,FALSE)</f>
        <v>8</v>
      </c>
      <c r="Y107" s="361">
        <f>VLOOKUP('Statistika okresy'!$B107,Body!$B$3:$AR$172,24,FALSE)</f>
        <v>8</v>
      </c>
      <c r="Z107" s="361">
        <f>VLOOKUP('Statistika okresy'!$B107,Body!$B$3:$AR$172,25,FALSE)</f>
        <v>10</v>
      </c>
      <c r="AA107" s="361">
        <f>VLOOKUP('Statistika okresy'!$B107,Body!$B$3:$AR$172,26,FALSE)</f>
        <v>3</v>
      </c>
      <c r="AB107" s="361">
        <f>VLOOKUP('Statistika okresy'!$B107,Body!$B$3:$AR$172,27,FALSE)</f>
        <v>5</v>
      </c>
      <c r="AC107" s="362">
        <f>VLOOKUP('Statistika okresy'!$B107,Body!$B$3:$AR$172,35,FALSE)</f>
        <v>5.3333333333333375</v>
      </c>
      <c r="AD107" s="361">
        <f>VLOOKUP('Statistika okresy'!$B107,Body!$B$3:$AR$172,36,FALSE)</f>
        <v>26.203629600135482</v>
      </c>
      <c r="AE107" s="361">
        <f>VLOOKUP('Statistika okresy'!$B107,Body!$B$3:$AR$172,37,FALSE)</f>
        <v>24.643397975713267</v>
      </c>
      <c r="AF107" s="361">
        <f>VLOOKUP('Statistika okresy'!$B107,Body!$B$3:$AR$172,38,FALSE)</f>
        <v>72.215559231816457</v>
      </c>
      <c r="AG107" s="361">
        <f>VLOOKUP('Statistika okresy'!$B107,Body!$B$3:$AR$172,39,FALSE)</f>
        <v>66.757342067538474</v>
      </c>
      <c r="AH107" s="361">
        <f>VLOOKUP('Statistika okresy'!$B107,Body!$B$3:$AR$172,40,FALSE)</f>
        <v>98.419188831951942</v>
      </c>
      <c r="AI107" s="361">
        <f>VLOOKUP('Statistika okresy'!$B107,Body!$B$3:$AR$172,41,FALSE)</f>
        <v>91.400740043251744</v>
      </c>
      <c r="AJ107" s="390"/>
      <c r="AK107" s="409">
        <f>VLOOKUP('Statistika okresy'!$B107,Body!$B$3:$AR$172,43,FALSE)</f>
        <v>195.15326220853703</v>
      </c>
    </row>
    <row r="108" spans="1:37" ht="15.5" x14ac:dyDescent="0.35">
      <c r="A108" s="382">
        <v>806</v>
      </c>
      <c r="B108" s="156" t="s">
        <v>523</v>
      </c>
      <c r="C108" s="352" t="s">
        <v>963</v>
      </c>
      <c r="D108" s="264">
        <f>VLOOKUP('Statistika okresy'!$B108,Body!$B$3:$AR$172,3,FALSE)</f>
        <v>5</v>
      </c>
      <c r="E108" s="264">
        <f>VLOOKUP('Statistika okresy'!$B108,Body!$B$3:$AR$172,4,FALSE)</f>
        <v>5</v>
      </c>
      <c r="F108" s="264">
        <f>VLOOKUP('Statistika okresy'!$B108,Body!$B$3:$AR$172,5,FALSE)</f>
        <v>3</v>
      </c>
      <c r="G108" s="264">
        <f>VLOOKUP('Statistika okresy'!$B108,Body!$B$3:$AR$172,6,FALSE)</f>
        <v>2</v>
      </c>
      <c r="H108" s="264">
        <f>VLOOKUP('Statistika okresy'!$B108,Body!$B$3:$AR$172,7,FALSE)</f>
        <v>1</v>
      </c>
      <c r="I108" s="264">
        <f>VLOOKUP('Statistika okresy'!$B108,Body!$B$3:$AR$172,8,FALSE)</f>
        <v>1</v>
      </c>
      <c r="J108" s="264">
        <f>VLOOKUP('Statistika okresy'!$B108,Body!$B$3:$AR$172,9,FALSE)</f>
        <v>5</v>
      </c>
      <c r="K108" s="264">
        <f>VLOOKUP('Statistika okresy'!$B108,Body!$B$3:$AR$172,10,FALSE)</f>
        <v>2</v>
      </c>
      <c r="L108" s="264">
        <f>VLOOKUP('Statistika okresy'!$B108,Body!$B$3:$AR$172,11,FALSE)</f>
        <v>5</v>
      </c>
      <c r="M108" s="264">
        <f>VLOOKUP('Statistika okresy'!$B108,Body!$B$3:$AR$172,12,FALSE)</f>
        <v>5</v>
      </c>
      <c r="N108" s="264">
        <f>VLOOKUP('Statistika okresy'!$B108,Body!$B$3:$AR$172,13,FALSE)</f>
        <v>6</v>
      </c>
      <c r="O108" s="264">
        <f>VLOOKUP('Statistika okresy'!$B108,Body!$B$3:$AR$172,14,FALSE)</f>
        <v>7</v>
      </c>
      <c r="P108" s="264">
        <f>VLOOKUP('Statistika okresy'!$B108,Body!$B$3:$AR$172,15,FALSE)</f>
        <v>5</v>
      </c>
      <c r="Q108" s="264">
        <f>VLOOKUP('Statistika okresy'!$B108,Body!$B$3:$AR$172,16,FALSE)</f>
        <v>5</v>
      </c>
      <c r="R108" s="264">
        <f>VLOOKUP('Statistika okresy'!$B108,Body!$B$3:$AR$172,17,FALSE)</f>
        <v>5</v>
      </c>
      <c r="S108" s="264">
        <f>VLOOKUP('Statistika okresy'!$B108,Body!$B$3:$AR$172,18,FALSE)</f>
        <v>10</v>
      </c>
      <c r="T108" s="264">
        <f>VLOOKUP('Statistika okresy'!$B108,Body!$B$3:$AR$172,19,FALSE)</f>
        <v>10</v>
      </c>
      <c r="U108" s="264">
        <f>VLOOKUP('Statistika okresy'!$B108,Body!$B$3:$AR$172,20,FALSE)</f>
        <v>5</v>
      </c>
      <c r="V108" s="264">
        <f>VLOOKUP('Statistika okresy'!$B108,Body!$B$3:$AR$172,21,FALSE)</f>
        <v>6</v>
      </c>
      <c r="W108" s="264">
        <f>VLOOKUP('Statistika okresy'!$B108,Body!$B$3:$AR$172,22,FALSE)</f>
        <v>6</v>
      </c>
      <c r="X108" s="264">
        <f>VLOOKUP('Statistika okresy'!$B108,Body!$B$3:$AR$172,23,FALSE)</f>
        <v>9</v>
      </c>
      <c r="Y108" s="264">
        <f>VLOOKUP('Statistika okresy'!$B108,Body!$B$3:$AR$172,24,FALSE)</f>
        <v>8</v>
      </c>
      <c r="Z108" s="264">
        <f>VLOOKUP('Statistika okresy'!$B108,Body!$B$3:$AR$172,25,FALSE)</f>
        <v>10</v>
      </c>
      <c r="AA108" s="264">
        <f>VLOOKUP('Statistika okresy'!$B108,Body!$B$3:$AR$172,26,FALSE)</f>
        <v>10</v>
      </c>
      <c r="AB108" s="264">
        <f>VLOOKUP('Statistika okresy'!$B108,Body!$B$3:$AR$172,27,FALSE)</f>
        <v>5</v>
      </c>
      <c r="AC108" s="265">
        <f>VLOOKUP('Statistika okresy'!$B108,Body!$B$3:$AR$172,35,FALSE)</f>
        <v>14.666666666666682</v>
      </c>
      <c r="AD108" s="264">
        <f>VLOOKUP('Statistika okresy'!$B108,Body!$B$3:$AR$172,36,FALSE)</f>
        <v>26.547361684181478</v>
      </c>
      <c r="AE108" s="264">
        <f>VLOOKUP('Statistika okresy'!$B108,Body!$B$3:$AR$172,37,FALSE)</f>
        <v>24.89403500881658</v>
      </c>
      <c r="AF108" s="264">
        <f>VLOOKUP('Statistika okresy'!$B108,Body!$B$3:$AR$172,38,FALSE)</f>
        <v>72.954615766892601</v>
      </c>
      <c r="AG108" s="264">
        <f>VLOOKUP('Statistika okresy'!$B108,Body!$B$3:$AR$172,39,FALSE)</f>
        <v>72.954615766892601</v>
      </c>
      <c r="AH108" s="264">
        <f>VLOOKUP('Statistika okresy'!$B108,Body!$B$3:$AR$172,40,FALSE)</f>
        <v>99.501977451074083</v>
      </c>
      <c r="AI108" s="264">
        <f>VLOOKUP('Statistika okresy'!$B108,Body!$B$3:$AR$172,41,FALSE)</f>
        <v>97.848650775709189</v>
      </c>
      <c r="AJ108" s="390"/>
      <c r="AK108" s="407">
        <f>VLOOKUP('Statistika okresy'!$B108,Body!$B$3:$AR$172,43,FALSE)</f>
        <v>212.01729489344996</v>
      </c>
    </row>
    <row r="109" spans="1:37" ht="15.5" x14ac:dyDescent="0.35">
      <c r="A109" s="382">
        <v>809</v>
      </c>
      <c r="B109" s="156" t="s">
        <v>538</v>
      </c>
      <c r="C109" s="352" t="s">
        <v>963</v>
      </c>
      <c r="D109" s="264">
        <f>VLOOKUP('Statistika okresy'!$B109,Body!$B$3:$AR$172,3,FALSE)</f>
        <v>10</v>
      </c>
      <c r="E109" s="264">
        <f>VLOOKUP('Statistika okresy'!$B109,Body!$B$3:$AR$172,4,FALSE)</f>
        <v>10</v>
      </c>
      <c r="F109" s="264">
        <f>VLOOKUP('Statistika okresy'!$B109,Body!$B$3:$AR$172,5,FALSE)</f>
        <v>3</v>
      </c>
      <c r="G109" s="264">
        <f>VLOOKUP('Statistika okresy'!$B109,Body!$B$3:$AR$172,6,FALSE)</f>
        <v>2</v>
      </c>
      <c r="H109" s="264">
        <f>VLOOKUP('Statistika okresy'!$B109,Body!$B$3:$AR$172,7,FALSE)</f>
        <v>7</v>
      </c>
      <c r="I109" s="264">
        <f>VLOOKUP('Statistika okresy'!$B109,Body!$B$3:$AR$172,8,FALSE)</f>
        <v>7</v>
      </c>
      <c r="J109" s="264">
        <f>VLOOKUP('Statistika okresy'!$B109,Body!$B$3:$AR$172,9,FALSE)</f>
        <v>2</v>
      </c>
      <c r="K109" s="264">
        <f>VLOOKUP('Statistika okresy'!$B109,Body!$B$3:$AR$172,10,FALSE)</f>
        <v>2</v>
      </c>
      <c r="L109" s="264">
        <f>VLOOKUP('Statistika okresy'!$B109,Body!$B$3:$AR$172,11,FALSE)</f>
        <v>4</v>
      </c>
      <c r="M109" s="264">
        <f>VLOOKUP('Statistika okresy'!$B109,Body!$B$3:$AR$172,12,FALSE)</f>
        <v>5</v>
      </c>
      <c r="N109" s="264">
        <f>VLOOKUP('Statistika okresy'!$B109,Body!$B$3:$AR$172,13,FALSE)</f>
        <v>8</v>
      </c>
      <c r="O109" s="264">
        <f>VLOOKUP('Statistika okresy'!$B109,Body!$B$3:$AR$172,14,FALSE)</f>
        <v>8</v>
      </c>
      <c r="P109" s="264">
        <f>VLOOKUP('Statistika okresy'!$B109,Body!$B$3:$AR$172,15,FALSE)</f>
        <v>10</v>
      </c>
      <c r="Q109" s="264">
        <f>VLOOKUP('Statistika okresy'!$B109,Body!$B$3:$AR$172,16,FALSE)</f>
        <v>5</v>
      </c>
      <c r="R109" s="264">
        <f>VLOOKUP('Statistika okresy'!$B109,Body!$B$3:$AR$172,17,FALSE)</f>
        <v>5</v>
      </c>
      <c r="S109" s="264">
        <f>VLOOKUP('Statistika okresy'!$B109,Body!$B$3:$AR$172,18,FALSE)</f>
        <v>8</v>
      </c>
      <c r="T109" s="264">
        <f>VLOOKUP('Statistika okresy'!$B109,Body!$B$3:$AR$172,19,FALSE)</f>
        <v>10</v>
      </c>
      <c r="U109" s="264">
        <f>VLOOKUP('Statistika okresy'!$B109,Body!$B$3:$AR$172,20,FALSE)</f>
        <v>6</v>
      </c>
      <c r="V109" s="264">
        <f>VLOOKUP('Statistika okresy'!$B109,Body!$B$3:$AR$172,21,FALSE)</f>
        <v>6</v>
      </c>
      <c r="W109" s="264">
        <f>VLOOKUP('Statistika okresy'!$B109,Body!$B$3:$AR$172,22,FALSE)</f>
        <v>5</v>
      </c>
      <c r="X109" s="264">
        <f>VLOOKUP('Statistika okresy'!$B109,Body!$B$3:$AR$172,23,FALSE)</f>
        <v>5</v>
      </c>
      <c r="Y109" s="264">
        <f>VLOOKUP('Statistika okresy'!$B109,Body!$B$3:$AR$172,24,FALSE)</f>
        <v>8</v>
      </c>
      <c r="Z109" s="264">
        <f>VLOOKUP('Statistika okresy'!$B109,Body!$B$3:$AR$172,25,FALSE)</f>
        <v>10</v>
      </c>
      <c r="AA109" s="264">
        <f>VLOOKUP('Statistika okresy'!$B109,Body!$B$3:$AR$172,26,FALSE)</f>
        <v>10</v>
      </c>
      <c r="AB109" s="264">
        <f>VLOOKUP('Statistika okresy'!$B109,Body!$B$3:$AR$172,27,FALSE)</f>
        <v>10</v>
      </c>
      <c r="AC109" s="265">
        <f>VLOOKUP('Statistika okresy'!$B109,Body!$B$3:$AR$172,35,FALSE)</f>
        <v>16.000000000000014</v>
      </c>
      <c r="AD109" s="264">
        <f>VLOOKUP('Statistika okresy'!$B109,Body!$B$3:$AR$172,36,FALSE)</f>
        <v>33.96420565203502</v>
      </c>
      <c r="AE109" s="264">
        <f>VLOOKUP('Statistika okresy'!$B109,Body!$B$3:$AR$172,37,FALSE)</f>
        <v>32.741017023582721</v>
      </c>
      <c r="AF109" s="264">
        <f>VLOOKUP('Statistika okresy'!$B109,Body!$B$3:$AR$172,38,FALSE)</f>
        <v>64.25326286209345</v>
      </c>
      <c r="AG109" s="264">
        <f>VLOOKUP('Statistika okresy'!$B109,Body!$B$3:$AR$172,39,FALSE)</f>
        <v>70.535917569043448</v>
      </c>
      <c r="AH109" s="264">
        <f>VLOOKUP('Statistika okresy'!$B109,Body!$B$3:$AR$172,40,FALSE)</f>
        <v>98.21746851412847</v>
      </c>
      <c r="AI109" s="264">
        <f>VLOOKUP('Statistika okresy'!$B109,Body!$B$3:$AR$172,41,FALSE)</f>
        <v>103.27693459262616</v>
      </c>
      <c r="AJ109" s="390"/>
      <c r="AK109" s="407">
        <f>VLOOKUP('Statistika okresy'!$B109,Body!$B$3:$AR$172,43,FALSE)</f>
        <v>217.49440310675465</v>
      </c>
    </row>
    <row r="110" spans="1:37" ht="15.5" x14ac:dyDescent="0.35">
      <c r="A110" s="382">
        <v>812</v>
      </c>
      <c r="B110" s="156" t="s">
        <v>539</v>
      </c>
      <c r="C110" s="352" t="s">
        <v>963</v>
      </c>
      <c r="D110" s="264">
        <f>VLOOKUP('Statistika okresy'!$B110,Body!$B$3:$AR$172,3,FALSE)</f>
        <v>8</v>
      </c>
      <c r="E110" s="264">
        <f>VLOOKUP('Statistika okresy'!$B110,Body!$B$3:$AR$172,4,FALSE)</f>
        <v>7</v>
      </c>
      <c r="F110" s="264">
        <f>VLOOKUP('Statistika okresy'!$B110,Body!$B$3:$AR$172,5,FALSE)</f>
        <v>5</v>
      </c>
      <c r="G110" s="264">
        <f>VLOOKUP('Statistika okresy'!$B110,Body!$B$3:$AR$172,6,FALSE)</f>
        <v>3</v>
      </c>
      <c r="H110" s="264">
        <f>VLOOKUP('Statistika okresy'!$B110,Body!$B$3:$AR$172,7,FALSE)</f>
        <v>1</v>
      </c>
      <c r="I110" s="264">
        <f>VLOOKUP('Statistika okresy'!$B110,Body!$B$3:$AR$172,8,FALSE)</f>
        <v>1</v>
      </c>
      <c r="J110" s="264">
        <f>VLOOKUP('Statistika okresy'!$B110,Body!$B$3:$AR$172,9,FALSE)</f>
        <v>5</v>
      </c>
      <c r="K110" s="264">
        <f>VLOOKUP('Statistika okresy'!$B110,Body!$B$3:$AR$172,10,FALSE)</f>
        <v>5</v>
      </c>
      <c r="L110" s="264">
        <f>VLOOKUP('Statistika okresy'!$B110,Body!$B$3:$AR$172,11,FALSE)</f>
        <v>5</v>
      </c>
      <c r="M110" s="264">
        <f>VLOOKUP('Statistika okresy'!$B110,Body!$B$3:$AR$172,12,FALSE)</f>
        <v>5</v>
      </c>
      <c r="N110" s="264">
        <f>VLOOKUP('Statistika okresy'!$B110,Body!$B$3:$AR$172,13,FALSE)</f>
        <v>7</v>
      </c>
      <c r="O110" s="264">
        <f>VLOOKUP('Statistika okresy'!$B110,Body!$B$3:$AR$172,14,FALSE)</f>
        <v>7</v>
      </c>
      <c r="P110" s="264">
        <f>VLOOKUP('Statistika okresy'!$B110,Body!$B$3:$AR$172,15,FALSE)</f>
        <v>6</v>
      </c>
      <c r="Q110" s="264">
        <f>VLOOKUP('Statistika okresy'!$B110,Body!$B$3:$AR$172,16,FALSE)</f>
        <v>4</v>
      </c>
      <c r="R110" s="264">
        <f>VLOOKUP('Statistika okresy'!$B110,Body!$B$3:$AR$172,17,FALSE)</f>
        <v>5</v>
      </c>
      <c r="S110" s="264">
        <f>VLOOKUP('Statistika okresy'!$B110,Body!$B$3:$AR$172,18,FALSE)</f>
        <v>8</v>
      </c>
      <c r="T110" s="264">
        <f>VLOOKUP('Statistika okresy'!$B110,Body!$B$3:$AR$172,19,FALSE)</f>
        <v>10</v>
      </c>
      <c r="U110" s="264">
        <f>VLOOKUP('Statistika okresy'!$B110,Body!$B$3:$AR$172,20,FALSE)</f>
        <v>5</v>
      </c>
      <c r="V110" s="264">
        <f>VLOOKUP('Statistika okresy'!$B110,Body!$B$3:$AR$172,21,FALSE)</f>
        <v>6</v>
      </c>
      <c r="W110" s="264">
        <f>VLOOKUP('Statistika okresy'!$B110,Body!$B$3:$AR$172,22,FALSE)</f>
        <v>5</v>
      </c>
      <c r="X110" s="264">
        <f>VLOOKUP('Statistika okresy'!$B110,Body!$B$3:$AR$172,23,FALSE)</f>
        <v>9</v>
      </c>
      <c r="Y110" s="264">
        <f>VLOOKUP('Statistika okresy'!$B110,Body!$B$3:$AR$172,24,FALSE)</f>
        <v>10</v>
      </c>
      <c r="Z110" s="264">
        <f>VLOOKUP('Statistika okresy'!$B110,Body!$B$3:$AR$172,25,FALSE)</f>
        <v>10</v>
      </c>
      <c r="AA110" s="264">
        <f>VLOOKUP('Statistika okresy'!$B110,Body!$B$3:$AR$172,26,FALSE)</f>
        <v>3</v>
      </c>
      <c r="AB110" s="264">
        <f>VLOOKUP('Statistika okresy'!$B110,Body!$B$3:$AR$172,27,FALSE)</f>
        <v>5</v>
      </c>
      <c r="AC110" s="265">
        <f>VLOOKUP('Statistika okresy'!$B110,Body!$B$3:$AR$172,35,FALSE)</f>
        <v>5.3333333333333375</v>
      </c>
      <c r="AD110" s="264">
        <f>VLOOKUP('Statistika okresy'!$B110,Body!$B$3:$AR$172,36,FALSE)</f>
        <v>31.693222980325441</v>
      </c>
      <c r="AE110" s="264">
        <f>VLOOKUP('Statistika okresy'!$B110,Body!$B$3:$AR$172,37,FALSE)</f>
        <v>28.819957472762315</v>
      </c>
      <c r="AF110" s="264">
        <f>VLOOKUP('Statistika okresy'!$B110,Body!$B$3:$AR$172,38,FALSE)</f>
        <v>66.044716973676799</v>
      </c>
      <c r="AG110" s="264">
        <f>VLOOKUP('Statistika okresy'!$B110,Body!$B$3:$AR$172,39,FALSE)</f>
        <v>72.327371680626783</v>
      </c>
      <c r="AH110" s="264">
        <f>VLOOKUP('Statistika okresy'!$B110,Body!$B$3:$AR$172,40,FALSE)</f>
        <v>97.737939954002243</v>
      </c>
      <c r="AI110" s="264">
        <f>VLOOKUP('Statistika okresy'!$B110,Body!$B$3:$AR$172,41,FALSE)</f>
        <v>101.14732915338909</v>
      </c>
      <c r="AJ110" s="390"/>
      <c r="AK110" s="407">
        <f>VLOOKUP('Statistika okresy'!$B110,Body!$B$3:$AR$172,43,FALSE)</f>
        <v>204.21860244072468</v>
      </c>
    </row>
    <row r="111" spans="1:37" ht="15.5" x14ac:dyDescent="0.35">
      <c r="A111" s="382">
        <v>815</v>
      </c>
      <c r="B111" s="156" t="s">
        <v>559</v>
      </c>
      <c r="C111" s="352" t="s">
        <v>963</v>
      </c>
      <c r="D111" s="264">
        <f>VLOOKUP('Statistika okresy'!$B111,Body!$B$3:$AR$172,3,FALSE)</f>
        <v>4</v>
      </c>
      <c r="E111" s="264">
        <f>VLOOKUP('Statistika okresy'!$B111,Body!$B$3:$AR$172,4,FALSE)</f>
        <v>5</v>
      </c>
      <c r="F111" s="264">
        <f>VLOOKUP('Statistika okresy'!$B111,Body!$B$3:$AR$172,5,FALSE)</f>
        <v>4</v>
      </c>
      <c r="G111" s="264">
        <f>VLOOKUP('Statistika okresy'!$B111,Body!$B$3:$AR$172,6,FALSE)</f>
        <v>2</v>
      </c>
      <c r="H111" s="264">
        <f>VLOOKUP('Statistika okresy'!$B111,Body!$B$3:$AR$172,7,FALSE)</f>
        <v>1</v>
      </c>
      <c r="I111" s="264">
        <f>VLOOKUP('Statistika okresy'!$B111,Body!$B$3:$AR$172,8,FALSE)</f>
        <v>1</v>
      </c>
      <c r="J111" s="264">
        <f>VLOOKUP('Statistika okresy'!$B111,Body!$B$3:$AR$172,9,FALSE)</f>
        <v>2</v>
      </c>
      <c r="K111" s="264">
        <f>VLOOKUP('Statistika okresy'!$B111,Body!$B$3:$AR$172,10,FALSE)</f>
        <v>1</v>
      </c>
      <c r="L111" s="264">
        <f>VLOOKUP('Statistika okresy'!$B111,Body!$B$3:$AR$172,11,FALSE)</f>
        <v>4</v>
      </c>
      <c r="M111" s="264">
        <f>VLOOKUP('Statistika okresy'!$B111,Body!$B$3:$AR$172,12,FALSE)</f>
        <v>5</v>
      </c>
      <c r="N111" s="264">
        <f>VLOOKUP('Statistika okresy'!$B111,Body!$B$3:$AR$172,13,FALSE)</f>
        <v>5</v>
      </c>
      <c r="O111" s="264">
        <f>VLOOKUP('Statistika okresy'!$B111,Body!$B$3:$AR$172,14,FALSE)</f>
        <v>6</v>
      </c>
      <c r="P111" s="264">
        <f>VLOOKUP('Statistika okresy'!$B111,Body!$B$3:$AR$172,15,FALSE)</f>
        <v>3</v>
      </c>
      <c r="Q111" s="264">
        <f>VLOOKUP('Statistika okresy'!$B111,Body!$B$3:$AR$172,16,FALSE)</f>
        <v>5</v>
      </c>
      <c r="R111" s="264">
        <f>VLOOKUP('Statistika okresy'!$B111,Body!$B$3:$AR$172,17,FALSE)</f>
        <v>6</v>
      </c>
      <c r="S111" s="264">
        <f>VLOOKUP('Statistika okresy'!$B111,Body!$B$3:$AR$172,18,FALSE)</f>
        <v>9</v>
      </c>
      <c r="T111" s="264">
        <f>VLOOKUP('Statistika okresy'!$B111,Body!$B$3:$AR$172,19,FALSE)</f>
        <v>7</v>
      </c>
      <c r="U111" s="264">
        <f>VLOOKUP('Statistika okresy'!$B111,Body!$B$3:$AR$172,20,FALSE)</f>
        <v>5</v>
      </c>
      <c r="V111" s="264">
        <f>VLOOKUP('Statistika okresy'!$B111,Body!$B$3:$AR$172,21,FALSE)</f>
        <v>6</v>
      </c>
      <c r="W111" s="264">
        <f>VLOOKUP('Statistika okresy'!$B111,Body!$B$3:$AR$172,22,FALSE)</f>
        <v>6</v>
      </c>
      <c r="X111" s="264">
        <f>VLOOKUP('Statistika okresy'!$B111,Body!$B$3:$AR$172,23,FALSE)</f>
        <v>10</v>
      </c>
      <c r="Y111" s="264">
        <f>VLOOKUP('Statistika okresy'!$B111,Body!$B$3:$AR$172,24,FALSE)</f>
        <v>10</v>
      </c>
      <c r="Z111" s="264">
        <f>VLOOKUP('Statistika okresy'!$B111,Body!$B$3:$AR$172,25,FALSE)</f>
        <v>10</v>
      </c>
      <c r="AA111" s="264">
        <f>VLOOKUP('Statistika okresy'!$B111,Body!$B$3:$AR$172,26,FALSE)</f>
        <v>3</v>
      </c>
      <c r="AB111" s="264">
        <f>VLOOKUP('Statistika okresy'!$B111,Body!$B$3:$AR$172,27,FALSE)</f>
        <v>5</v>
      </c>
      <c r="AC111" s="265">
        <f>VLOOKUP('Statistika okresy'!$B111,Body!$B$3:$AR$172,35,FALSE)</f>
        <v>5.3333333333333375</v>
      </c>
      <c r="AD111" s="264">
        <f>VLOOKUP('Statistika okresy'!$B111,Body!$B$3:$AR$172,36,FALSE)</f>
        <v>24.453695106755298</v>
      </c>
      <c r="AE111" s="264">
        <f>VLOOKUP('Statistika okresy'!$B111,Body!$B$3:$AR$172,37,FALSE)</f>
        <v>23.507100081422852</v>
      </c>
      <c r="AF111" s="264">
        <f>VLOOKUP('Statistika okresy'!$B111,Body!$B$3:$AR$172,38,FALSE)</f>
        <v>70.697397465828928</v>
      </c>
      <c r="AG111" s="264">
        <f>VLOOKUP('Statistika okresy'!$B111,Body!$B$3:$AR$172,39,FALSE)</f>
        <v>62.870149551676953</v>
      </c>
      <c r="AH111" s="264">
        <f>VLOOKUP('Statistika okresy'!$B111,Body!$B$3:$AR$172,40,FALSE)</f>
        <v>95.151092572584218</v>
      </c>
      <c r="AI111" s="264">
        <f>VLOOKUP('Statistika okresy'!$B111,Body!$B$3:$AR$172,41,FALSE)</f>
        <v>86.377249633099808</v>
      </c>
      <c r="AJ111" s="390"/>
      <c r="AK111" s="407">
        <f>VLOOKUP('Statistika okresy'!$B111,Body!$B$3:$AR$172,43,FALSE)</f>
        <v>186.86167553901737</v>
      </c>
    </row>
    <row r="112" spans="1:37" ht="15.5" x14ac:dyDescent="0.35">
      <c r="A112" s="382">
        <v>818</v>
      </c>
      <c r="B112" s="156" t="s">
        <v>544</v>
      </c>
      <c r="C112" s="352" t="s">
        <v>963</v>
      </c>
      <c r="D112" s="264">
        <f>VLOOKUP('Statistika okresy'!$B112,Body!$B$3:$AR$172,3,FALSE)</f>
        <v>10</v>
      </c>
      <c r="E112" s="264">
        <f>VLOOKUP('Statistika okresy'!$B112,Body!$B$3:$AR$172,4,FALSE)</f>
        <v>9</v>
      </c>
      <c r="F112" s="264">
        <f>VLOOKUP('Statistika okresy'!$B112,Body!$B$3:$AR$172,5,FALSE)</f>
        <v>4</v>
      </c>
      <c r="G112" s="264">
        <f>VLOOKUP('Statistika okresy'!$B112,Body!$B$3:$AR$172,6,FALSE)</f>
        <v>3</v>
      </c>
      <c r="H112" s="264">
        <f>VLOOKUP('Statistika okresy'!$B112,Body!$B$3:$AR$172,7,FALSE)</f>
        <v>1</v>
      </c>
      <c r="I112" s="264">
        <f>VLOOKUP('Statistika okresy'!$B112,Body!$B$3:$AR$172,8,FALSE)</f>
        <v>1</v>
      </c>
      <c r="J112" s="264">
        <f>VLOOKUP('Statistika okresy'!$B112,Body!$B$3:$AR$172,9,FALSE)</f>
        <v>1</v>
      </c>
      <c r="K112" s="264">
        <f>VLOOKUP('Statistika okresy'!$B112,Body!$B$3:$AR$172,10,FALSE)</f>
        <v>1</v>
      </c>
      <c r="L112" s="264">
        <f>VLOOKUP('Statistika okresy'!$B112,Body!$B$3:$AR$172,11,FALSE)</f>
        <v>4</v>
      </c>
      <c r="M112" s="264">
        <f>VLOOKUP('Statistika okresy'!$B112,Body!$B$3:$AR$172,12,FALSE)</f>
        <v>3</v>
      </c>
      <c r="N112" s="264">
        <f>VLOOKUP('Statistika okresy'!$B112,Body!$B$3:$AR$172,13,FALSE)</f>
        <v>7</v>
      </c>
      <c r="O112" s="264">
        <f>VLOOKUP('Statistika okresy'!$B112,Body!$B$3:$AR$172,14,FALSE)</f>
        <v>7</v>
      </c>
      <c r="P112" s="264">
        <f>VLOOKUP('Statistika okresy'!$B112,Body!$B$3:$AR$172,15,FALSE)</f>
        <v>3</v>
      </c>
      <c r="Q112" s="264">
        <f>VLOOKUP('Statistika okresy'!$B112,Body!$B$3:$AR$172,16,FALSE)</f>
        <v>4</v>
      </c>
      <c r="R112" s="264">
        <f>VLOOKUP('Statistika okresy'!$B112,Body!$B$3:$AR$172,17,FALSE)</f>
        <v>4</v>
      </c>
      <c r="S112" s="264">
        <f>VLOOKUP('Statistika okresy'!$B112,Body!$B$3:$AR$172,18,FALSE)</f>
        <v>8</v>
      </c>
      <c r="T112" s="264">
        <f>VLOOKUP('Statistika okresy'!$B112,Body!$B$3:$AR$172,19,FALSE)</f>
        <v>8</v>
      </c>
      <c r="U112" s="264">
        <f>VLOOKUP('Statistika okresy'!$B112,Body!$B$3:$AR$172,20,FALSE)</f>
        <v>5</v>
      </c>
      <c r="V112" s="264">
        <f>VLOOKUP('Statistika okresy'!$B112,Body!$B$3:$AR$172,21,FALSE)</f>
        <v>7</v>
      </c>
      <c r="W112" s="264">
        <f>VLOOKUP('Statistika okresy'!$B112,Body!$B$3:$AR$172,22,FALSE)</f>
        <v>6</v>
      </c>
      <c r="X112" s="264">
        <f>VLOOKUP('Statistika okresy'!$B112,Body!$B$3:$AR$172,23,FALSE)</f>
        <v>10</v>
      </c>
      <c r="Y112" s="264">
        <f>VLOOKUP('Statistika okresy'!$B112,Body!$B$3:$AR$172,24,FALSE)</f>
        <v>10</v>
      </c>
      <c r="Z112" s="264">
        <f>VLOOKUP('Statistika okresy'!$B112,Body!$B$3:$AR$172,25,FALSE)</f>
        <v>10</v>
      </c>
      <c r="AA112" s="264">
        <f>VLOOKUP('Statistika okresy'!$B112,Body!$B$3:$AR$172,26,FALSE)</f>
        <v>3</v>
      </c>
      <c r="AB112" s="264">
        <f>VLOOKUP('Statistika okresy'!$B112,Body!$B$3:$AR$172,27,FALSE)</f>
        <v>5</v>
      </c>
      <c r="AC112" s="265">
        <f>VLOOKUP('Statistika okresy'!$B112,Body!$B$3:$AR$172,35,FALSE)</f>
        <v>5.3333333333333375</v>
      </c>
      <c r="AD112" s="264">
        <f>VLOOKUP('Statistika okresy'!$B112,Body!$B$3:$AR$172,36,FALSE)</f>
        <v>26.675601435016681</v>
      </c>
      <c r="AE112" s="264">
        <f>VLOOKUP('Statistika okresy'!$B112,Body!$B$3:$AR$172,37,FALSE)</f>
        <v>23.820678950022398</v>
      </c>
      <c r="AF112" s="264">
        <f>VLOOKUP('Statistika okresy'!$B112,Body!$B$3:$AR$172,38,FALSE)</f>
        <v>68.328366715954928</v>
      </c>
      <c r="AG112" s="264">
        <f>VLOOKUP('Statistika okresy'!$B112,Body!$B$3:$AR$172,39,FALSE)</f>
        <v>66.783773508752944</v>
      </c>
      <c r="AH112" s="264">
        <f>VLOOKUP('Statistika okresy'!$B112,Body!$B$3:$AR$172,40,FALSE)</f>
        <v>95.003968150971616</v>
      </c>
      <c r="AI112" s="264">
        <f>VLOOKUP('Statistika okresy'!$B112,Body!$B$3:$AR$172,41,FALSE)</f>
        <v>90.604452458775341</v>
      </c>
      <c r="AJ112" s="390"/>
      <c r="AK112" s="407">
        <f>VLOOKUP('Statistika okresy'!$B112,Body!$B$3:$AR$172,43,FALSE)</f>
        <v>190.9417539430803</v>
      </c>
    </row>
    <row r="113" spans="1:37" ht="15.5" x14ac:dyDescent="0.35">
      <c r="A113" s="382">
        <v>821</v>
      </c>
      <c r="B113" s="156" t="s">
        <v>521</v>
      </c>
      <c r="C113" s="352" t="s">
        <v>963</v>
      </c>
      <c r="D113" s="264">
        <f>VLOOKUP('Statistika okresy'!$B113,Body!$B$3:$AR$172,3,FALSE)</f>
        <v>6</v>
      </c>
      <c r="E113" s="264">
        <f>VLOOKUP('Statistika okresy'!$B113,Body!$B$3:$AR$172,4,FALSE)</f>
        <v>6</v>
      </c>
      <c r="F113" s="264">
        <f>VLOOKUP('Statistika okresy'!$B113,Body!$B$3:$AR$172,5,FALSE)</f>
        <v>4</v>
      </c>
      <c r="G113" s="264">
        <f>VLOOKUP('Statistika okresy'!$B113,Body!$B$3:$AR$172,6,FALSE)</f>
        <v>3</v>
      </c>
      <c r="H113" s="264">
        <f>VLOOKUP('Statistika okresy'!$B113,Body!$B$3:$AR$172,7,FALSE)</f>
        <v>1</v>
      </c>
      <c r="I113" s="264">
        <f>VLOOKUP('Statistika okresy'!$B113,Body!$B$3:$AR$172,8,FALSE)</f>
        <v>1</v>
      </c>
      <c r="J113" s="264">
        <f>VLOOKUP('Statistika okresy'!$B113,Body!$B$3:$AR$172,9,FALSE)</f>
        <v>1</v>
      </c>
      <c r="K113" s="264">
        <f>VLOOKUP('Statistika okresy'!$B113,Body!$B$3:$AR$172,10,FALSE)</f>
        <v>1</v>
      </c>
      <c r="L113" s="264">
        <f>VLOOKUP('Statistika okresy'!$B113,Body!$B$3:$AR$172,11,FALSE)</f>
        <v>4</v>
      </c>
      <c r="M113" s="264">
        <f>VLOOKUP('Statistika okresy'!$B113,Body!$B$3:$AR$172,12,FALSE)</f>
        <v>3</v>
      </c>
      <c r="N113" s="264">
        <f>VLOOKUP('Statistika okresy'!$B113,Body!$B$3:$AR$172,13,FALSE)</f>
        <v>5</v>
      </c>
      <c r="O113" s="264">
        <f>VLOOKUP('Statistika okresy'!$B113,Body!$B$3:$AR$172,14,FALSE)</f>
        <v>6</v>
      </c>
      <c r="P113" s="264">
        <f>VLOOKUP('Statistika okresy'!$B113,Body!$B$3:$AR$172,15,FALSE)</f>
        <v>10</v>
      </c>
      <c r="Q113" s="264">
        <f>VLOOKUP('Statistika okresy'!$B113,Body!$B$3:$AR$172,16,FALSE)</f>
        <v>3</v>
      </c>
      <c r="R113" s="264">
        <f>VLOOKUP('Statistika okresy'!$B113,Body!$B$3:$AR$172,17,FALSE)</f>
        <v>3</v>
      </c>
      <c r="S113" s="264">
        <f>VLOOKUP('Statistika okresy'!$B113,Body!$B$3:$AR$172,18,FALSE)</f>
        <v>8</v>
      </c>
      <c r="T113" s="264">
        <f>VLOOKUP('Statistika okresy'!$B113,Body!$B$3:$AR$172,19,FALSE)</f>
        <v>8</v>
      </c>
      <c r="U113" s="264">
        <f>VLOOKUP('Statistika okresy'!$B113,Body!$B$3:$AR$172,20,FALSE)</f>
        <v>6</v>
      </c>
      <c r="V113" s="264">
        <f>VLOOKUP('Statistika okresy'!$B113,Body!$B$3:$AR$172,21,FALSE)</f>
        <v>6</v>
      </c>
      <c r="W113" s="264">
        <f>VLOOKUP('Statistika okresy'!$B113,Body!$B$3:$AR$172,22,FALSE)</f>
        <v>6</v>
      </c>
      <c r="X113" s="264">
        <f>VLOOKUP('Statistika okresy'!$B113,Body!$B$3:$AR$172,23,FALSE)</f>
        <v>5</v>
      </c>
      <c r="Y113" s="264">
        <f>VLOOKUP('Statistika okresy'!$B113,Body!$B$3:$AR$172,24,FALSE)</f>
        <v>8</v>
      </c>
      <c r="Z113" s="264">
        <f>VLOOKUP('Statistika okresy'!$B113,Body!$B$3:$AR$172,25,FALSE)</f>
        <v>10</v>
      </c>
      <c r="AA113" s="264">
        <f>VLOOKUP('Statistika okresy'!$B113,Body!$B$3:$AR$172,26,FALSE)</f>
        <v>10</v>
      </c>
      <c r="AB113" s="264">
        <f>VLOOKUP('Statistika okresy'!$B113,Body!$B$3:$AR$172,27,FALSE)</f>
        <v>5</v>
      </c>
      <c r="AC113" s="265">
        <f>VLOOKUP('Statistika okresy'!$B113,Body!$B$3:$AR$172,35,FALSE)</f>
        <v>14.666666666666682</v>
      </c>
      <c r="AD113" s="264">
        <f>VLOOKUP('Statistika okresy'!$B113,Body!$B$3:$AR$172,36,FALSE)</f>
        <v>28.118858336856039</v>
      </c>
      <c r="AE113" s="264">
        <f>VLOOKUP('Statistika okresy'!$B113,Body!$B$3:$AR$172,37,FALSE)</f>
        <v>26.400233746152178</v>
      </c>
      <c r="AF113" s="264">
        <f>VLOOKUP('Statistika okresy'!$B113,Body!$B$3:$AR$172,38,FALSE)</f>
        <v>64.25326286209345</v>
      </c>
      <c r="AG113" s="264">
        <f>VLOOKUP('Statistika okresy'!$B113,Body!$B$3:$AR$172,39,FALSE)</f>
        <v>64.25326286209345</v>
      </c>
      <c r="AH113" s="264">
        <f>VLOOKUP('Statistika okresy'!$B113,Body!$B$3:$AR$172,40,FALSE)</f>
        <v>92.372121198949486</v>
      </c>
      <c r="AI113" s="264">
        <f>VLOOKUP('Statistika okresy'!$B113,Body!$B$3:$AR$172,41,FALSE)</f>
        <v>90.653496608245632</v>
      </c>
      <c r="AJ113" s="390"/>
      <c r="AK113" s="407">
        <f>VLOOKUP('Statistika okresy'!$B113,Body!$B$3:$AR$172,43,FALSE)</f>
        <v>197.6922844738618</v>
      </c>
    </row>
    <row r="114" spans="1:37" ht="15.5" x14ac:dyDescent="0.35">
      <c r="A114" s="382">
        <v>824</v>
      </c>
      <c r="B114" s="156" t="s">
        <v>565</v>
      </c>
      <c r="C114" s="352" t="s">
        <v>963</v>
      </c>
      <c r="D114" s="264">
        <f>VLOOKUP('Statistika okresy'!$B114,Body!$B$3:$AR$172,3,FALSE)</f>
        <v>5</v>
      </c>
      <c r="E114" s="264">
        <f>VLOOKUP('Statistika okresy'!$B114,Body!$B$3:$AR$172,4,FALSE)</f>
        <v>4</v>
      </c>
      <c r="F114" s="264">
        <f>VLOOKUP('Statistika okresy'!$B114,Body!$B$3:$AR$172,5,FALSE)</f>
        <v>6</v>
      </c>
      <c r="G114" s="264">
        <f>VLOOKUP('Statistika okresy'!$B114,Body!$B$3:$AR$172,6,FALSE)</f>
        <v>3</v>
      </c>
      <c r="H114" s="264">
        <f>VLOOKUP('Statistika okresy'!$B114,Body!$B$3:$AR$172,7,FALSE)</f>
        <v>1</v>
      </c>
      <c r="I114" s="264">
        <f>VLOOKUP('Statistika okresy'!$B114,Body!$B$3:$AR$172,8,FALSE)</f>
        <v>1</v>
      </c>
      <c r="J114" s="264">
        <f>VLOOKUP('Statistika okresy'!$B114,Body!$B$3:$AR$172,9,FALSE)</f>
        <v>2</v>
      </c>
      <c r="K114" s="264">
        <f>VLOOKUP('Statistika okresy'!$B114,Body!$B$3:$AR$172,10,FALSE)</f>
        <v>1</v>
      </c>
      <c r="L114" s="264">
        <f>VLOOKUP('Statistika okresy'!$B114,Body!$B$3:$AR$172,11,FALSE)</f>
        <v>5</v>
      </c>
      <c r="M114" s="264">
        <f>VLOOKUP('Statistika okresy'!$B114,Body!$B$3:$AR$172,12,FALSE)</f>
        <v>4</v>
      </c>
      <c r="N114" s="264">
        <f>VLOOKUP('Statistika okresy'!$B114,Body!$B$3:$AR$172,13,FALSE)</f>
        <v>4</v>
      </c>
      <c r="O114" s="264">
        <f>VLOOKUP('Statistika okresy'!$B114,Body!$B$3:$AR$172,14,FALSE)</f>
        <v>4</v>
      </c>
      <c r="P114" s="264">
        <f>VLOOKUP('Statistika okresy'!$B114,Body!$B$3:$AR$172,15,FALSE)</f>
        <v>10</v>
      </c>
      <c r="Q114" s="264">
        <f>VLOOKUP('Statistika okresy'!$B114,Body!$B$3:$AR$172,16,FALSE)</f>
        <v>5</v>
      </c>
      <c r="R114" s="264">
        <f>VLOOKUP('Statistika okresy'!$B114,Body!$B$3:$AR$172,17,FALSE)</f>
        <v>5</v>
      </c>
      <c r="S114" s="264">
        <f>VLOOKUP('Statistika okresy'!$B114,Body!$B$3:$AR$172,18,FALSE)</f>
        <v>9</v>
      </c>
      <c r="T114" s="264">
        <f>VLOOKUP('Statistika okresy'!$B114,Body!$B$3:$AR$172,19,FALSE)</f>
        <v>7</v>
      </c>
      <c r="U114" s="264">
        <f>VLOOKUP('Statistika okresy'!$B114,Body!$B$3:$AR$172,20,FALSE)</f>
        <v>3</v>
      </c>
      <c r="V114" s="264">
        <f>VLOOKUP('Statistika okresy'!$B114,Body!$B$3:$AR$172,21,FALSE)</f>
        <v>5</v>
      </c>
      <c r="W114" s="264">
        <f>VLOOKUP('Statistika okresy'!$B114,Body!$B$3:$AR$172,22,FALSE)</f>
        <v>5</v>
      </c>
      <c r="X114" s="264">
        <f>VLOOKUP('Statistika okresy'!$B114,Body!$B$3:$AR$172,23,FALSE)</f>
        <v>9</v>
      </c>
      <c r="Y114" s="264">
        <f>VLOOKUP('Statistika okresy'!$B114,Body!$B$3:$AR$172,24,FALSE)</f>
        <v>10</v>
      </c>
      <c r="Z114" s="264">
        <f>VLOOKUP('Statistika okresy'!$B114,Body!$B$3:$AR$172,25,FALSE)</f>
        <v>10</v>
      </c>
      <c r="AA114" s="264">
        <f>VLOOKUP('Statistika okresy'!$B114,Body!$B$3:$AR$172,26,FALSE)</f>
        <v>1</v>
      </c>
      <c r="AB114" s="264">
        <f>VLOOKUP('Statistika okresy'!$B114,Body!$B$3:$AR$172,27,FALSE)</f>
        <v>5</v>
      </c>
      <c r="AC114" s="265">
        <f>VLOOKUP('Statistika okresy'!$B114,Body!$B$3:$AR$172,35,FALSE)</f>
        <v>2.6666666666666687</v>
      </c>
      <c r="AD114" s="264">
        <f>VLOOKUP('Statistika okresy'!$B114,Body!$B$3:$AR$172,36,FALSE)</f>
        <v>33.974681040410886</v>
      </c>
      <c r="AE114" s="264">
        <f>VLOOKUP('Statistika okresy'!$B114,Body!$B$3:$AR$172,37,FALSE)</f>
        <v>27.184674599624262</v>
      </c>
      <c r="AF114" s="264">
        <f>VLOOKUP('Statistika okresy'!$B114,Body!$B$3:$AR$172,38,FALSE)</f>
        <v>64.249505424235963</v>
      </c>
      <c r="AG114" s="264">
        <f>VLOOKUP('Statistika okresy'!$B114,Body!$B$3:$AR$172,39,FALSE)</f>
        <v>56.422257510083959</v>
      </c>
      <c r="AH114" s="264">
        <f>VLOOKUP('Statistika okresy'!$B114,Body!$B$3:$AR$172,40,FALSE)</f>
        <v>98.224186464646849</v>
      </c>
      <c r="AI114" s="264">
        <f>VLOOKUP('Statistika okresy'!$B114,Body!$B$3:$AR$172,41,FALSE)</f>
        <v>83.606932109708225</v>
      </c>
      <c r="AJ114" s="390"/>
      <c r="AK114" s="407">
        <f>VLOOKUP('Statistika okresy'!$B114,Body!$B$3:$AR$172,43,FALSE)</f>
        <v>184.49778524102172</v>
      </c>
    </row>
    <row r="115" spans="1:37" ht="15.5" x14ac:dyDescent="0.35">
      <c r="A115" s="382">
        <v>827</v>
      </c>
      <c r="B115" s="156" t="s">
        <v>545</v>
      </c>
      <c r="C115" s="352" t="s">
        <v>963</v>
      </c>
      <c r="D115" s="264">
        <f>VLOOKUP('Statistika okresy'!$B115,Body!$B$3:$AR$172,3,FALSE)</f>
        <v>9</v>
      </c>
      <c r="E115" s="264">
        <f>VLOOKUP('Statistika okresy'!$B115,Body!$B$3:$AR$172,4,FALSE)</f>
        <v>6</v>
      </c>
      <c r="F115" s="264">
        <f>VLOOKUP('Statistika okresy'!$B115,Body!$B$3:$AR$172,5,FALSE)</f>
        <v>5</v>
      </c>
      <c r="G115" s="264">
        <f>VLOOKUP('Statistika okresy'!$B115,Body!$B$3:$AR$172,6,FALSE)</f>
        <v>3</v>
      </c>
      <c r="H115" s="264">
        <f>VLOOKUP('Statistika okresy'!$B115,Body!$B$3:$AR$172,7,FALSE)</f>
        <v>6</v>
      </c>
      <c r="I115" s="264">
        <f>VLOOKUP('Statistika okresy'!$B115,Body!$B$3:$AR$172,8,FALSE)</f>
        <v>3</v>
      </c>
      <c r="J115" s="264">
        <f>VLOOKUP('Statistika okresy'!$B115,Body!$B$3:$AR$172,9,FALSE)</f>
        <v>5</v>
      </c>
      <c r="K115" s="264">
        <f>VLOOKUP('Statistika okresy'!$B115,Body!$B$3:$AR$172,10,FALSE)</f>
        <v>3</v>
      </c>
      <c r="L115" s="264">
        <f>VLOOKUP('Statistika okresy'!$B115,Body!$B$3:$AR$172,11,FALSE)</f>
        <v>5</v>
      </c>
      <c r="M115" s="264">
        <f>VLOOKUP('Statistika okresy'!$B115,Body!$B$3:$AR$172,12,FALSE)</f>
        <v>5</v>
      </c>
      <c r="N115" s="264">
        <f>VLOOKUP('Statistika okresy'!$B115,Body!$B$3:$AR$172,13,FALSE)</f>
        <v>8</v>
      </c>
      <c r="O115" s="264">
        <f>VLOOKUP('Statistika okresy'!$B115,Body!$B$3:$AR$172,14,FALSE)</f>
        <v>8</v>
      </c>
      <c r="P115" s="264">
        <f>VLOOKUP('Statistika okresy'!$B115,Body!$B$3:$AR$172,15,FALSE)</f>
        <v>3</v>
      </c>
      <c r="Q115" s="264">
        <f>VLOOKUP('Statistika okresy'!$B115,Body!$B$3:$AR$172,16,FALSE)</f>
        <v>3</v>
      </c>
      <c r="R115" s="264">
        <f>VLOOKUP('Statistika okresy'!$B115,Body!$B$3:$AR$172,17,FALSE)</f>
        <v>5</v>
      </c>
      <c r="S115" s="264">
        <f>VLOOKUP('Statistika okresy'!$B115,Body!$B$3:$AR$172,18,FALSE)</f>
        <v>8</v>
      </c>
      <c r="T115" s="264">
        <f>VLOOKUP('Statistika okresy'!$B115,Body!$B$3:$AR$172,19,FALSE)</f>
        <v>10</v>
      </c>
      <c r="U115" s="264">
        <f>VLOOKUP('Statistika okresy'!$B115,Body!$B$3:$AR$172,20,FALSE)</f>
        <v>3</v>
      </c>
      <c r="V115" s="264">
        <f>VLOOKUP('Statistika okresy'!$B115,Body!$B$3:$AR$172,21,FALSE)</f>
        <v>6</v>
      </c>
      <c r="W115" s="264">
        <f>VLOOKUP('Statistika okresy'!$B115,Body!$B$3:$AR$172,22,FALSE)</f>
        <v>5</v>
      </c>
      <c r="X115" s="264">
        <f>VLOOKUP('Statistika okresy'!$B115,Body!$B$3:$AR$172,23,FALSE)</f>
        <v>8</v>
      </c>
      <c r="Y115" s="264">
        <f>VLOOKUP('Statistika okresy'!$B115,Body!$B$3:$AR$172,24,FALSE)</f>
        <v>8</v>
      </c>
      <c r="Z115" s="264">
        <f>VLOOKUP('Statistika okresy'!$B115,Body!$B$3:$AR$172,25,FALSE)</f>
        <v>10</v>
      </c>
      <c r="AA115" s="264">
        <f>VLOOKUP('Statistika okresy'!$B115,Body!$B$3:$AR$172,26,FALSE)</f>
        <v>1</v>
      </c>
      <c r="AB115" s="264">
        <f>VLOOKUP('Statistika okresy'!$B115,Body!$B$3:$AR$172,27,FALSE)</f>
        <v>5</v>
      </c>
      <c r="AC115" s="265">
        <f>VLOOKUP('Statistika okresy'!$B115,Body!$B$3:$AR$172,35,FALSE)</f>
        <v>2.6666666666666687</v>
      </c>
      <c r="AD115" s="264">
        <f>VLOOKUP('Statistika okresy'!$B115,Body!$B$3:$AR$172,36,FALSE)</f>
        <v>30.365441944598881</v>
      </c>
      <c r="AE115" s="264">
        <f>VLOOKUP('Statistika okresy'!$B115,Body!$B$3:$AR$172,37,FALSE)</f>
        <v>26.951785551851202</v>
      </c>
      <c r="AF115" s="264">
        <f>VLOOKUP('Statistika okresy'!$B115,Body!$B$3:$AR$172,38,FALSE)</f>
        <v>60.224069018349617</v>
      </c>
      <c r="AG115" s="264">
        <f>VLOOKUP('Statistika okresy'!$B115,Body!$B$3:$AR$172,39,FALSE)</f>
        <v>66.506723725299608</v>
      </c>
      <c r="AH115" s="264">
        <f>VLOOKUP('Statistika okresy'!$B115,Body!$B$3:$AR$172,40,FALSE)</f>
        <v>90.589510962948495</v>
      </c>
      <c r="AI115" s="264">
        <f>VLOOKUP('Statistika okresy'!$B115,Body!$B$3:$AR$172,41,FALSE)</f>
        <v>93.45850927715081</v>
      </c>
      <c r="AJ115" s="390"/>
      <c r="AK115" s="407">
        <f>VLOOKUP('Statistika okresy'!$B115,Body!$B$3:$AR$172,43,FALSE)</f>
        <v>186.71468690676596</v>
      </c>
    </row>
    <row r="116" spans="1:37" ht="15.5" x14ac:dyDescent="0.35">
      <c r="A116" s="382">
        <v>830</v>
      </c>
      <c r="B116" s="156" t="s">
        <v>117</v>
      </c>
      <c r="C116" s="352" t="s">
        <v>963</v>
      </c>
      <c r="D116" s="264">
        <f>VLOOKUP('Statistika okresy'!$B116,Body!$B$3:$AR$172,3,FALSE)</f>
        <v>4</v>
      </c>
      <c r="E116" s="264">
        <f>VLOOKUP('Statistika okresy'!$B116,Body!$B$3:$AR$172,4,FALSE)</f>
        <v>8</v>
      </c>
      <c r="F116" s="264">
        <f>VLOOKUP('Statistika okresy'!$B116,Body!$B$3:$AR$172,5,FALSE)</f>
        <v>4</v>
      </c>
      <c r="G116" s="264">
        <f>VLOOKUP('Statistika okresy'!$B116,Body!$B$3:$AR$172,6,FALSE)</f>
        <v>3</v>
      </c>
      <c r="H116" s="264">
        <f>VLOOKUP('Statistika okresy'!$B116,Body!$B$3:$AR$172,7,FALSE)</f>
        <v>1</v>
      </c>
      <c r="I116" s="264">
        <f>VLOOKUP('Statistika okresy'!$B116,Body!$B$3:$AR$172,8,FALSE)</f>
        <v>1</v>
      </c>
      <c r="J116" s="264">
        <f>VLOOKUP('Statistika okresy'!$B116,Body!$B$3:$AR$172,9,FALSE)</f>
        <v>1</v>
      </c>
      <c r="K116" s="264">
        <f>VLOOKUP('Statistika okresy'!$B116,Body!$B$3:$AR$172,10,FALSE)</f>
        <v>1</v>
      </c>
      <c r="L116" s="264">
        <f>VLOOKUP('Statistika okresy'!$B116,Body!$B$3:$AR$172,11,FALSE)</f>
        <v>3</v>
      </c>
      <c r="M116" s="264">
        <f>VLOOKUP('Statistika okresy'!$B116,Body!$B$3:$AR$172,12,FALSE)</f>
        <v>3</v>
      </c>
      <c r="N116" s="264">
        <f>VLOOKUP('Statistika okresy'!$B116,Body!$B$3:$AR$172,13,FALSE)</f>
        <v>8</v>
      </c>
      <c r="O116" s="264">
        <f>VLOOKUP('Statistika okresy'!$B116,Body!$B$3:$AR$172,14,FALSE)</f>
        <v>8</v>
      </c>
      <c r="P116" s="264">
        <f>VLOOKUP('Statistika okresy'!$B116,Body!$B$3:$AR$172,15,FALSE)</f>
        <v>5</v>
      </c>
      <c r="Q116" s="264">
        <f>VLOOKUP('Statistika okresy'!$B116,Body!$B$3:$AR$172,16,FALSE)</f>
        <v>3</v>
      </c>
      <c r="R116" s="264">
        <f>VLOOKUP('Statistika okresy'!$B116,Body!$B$3:$AR$172,17,FALSE)</f>
        <v>3</v>
      </c>
      <c r="S116" s="264">
        <f>VLOOKUP('Statistika okresy'!$B116,Body!$B$3:$AR$172,18,FALSE)</f>
        <v>8</v>
      </c>
      <c r="T116" s="264">
        <f>VLOOKUP('Statistika okresy'!$B116,Body!$B$3:$AR$172,19,FALSE)</f>
        <v>8</v>
      </c>
      <c r="U116" s="264">
        <f>VLOOKUP('Statistika okresy'!$B116,Body!$B$3:$AR$172,20,FALSE)</f>
        <v>5</v>
      </c>
      <c r="V116" s="264">
        <f>VLOOKUP('Statistika okresy'!$B116,Body!$B$3:$AR$172,21,FALSE)</f>
        <v>7</v>
      </c>
      <c r="W116" s="264">
        <f>VLOOKUP('Statistika okresy'!$B116,Body!$B$3:$AR$172,22,FALSE)</f>
        <v>8</v>
      </c>
      <c r="X116" s="264">
        <f>VLOOKUP('Statistika okresy'!$B116,Body!$B$3:$AR$172,23,FALSE)</f>
        <v>9</v>
      </c>
      <c r="Y116" s="264">
        <f>VLOOKUP('Statistika okresy'!$B116,Body!$B$3:$AR$172,24,FALSE)</f>
        <v>10</v>
      </c>
      <c r="Z116" s="264">
        <f>VLOOKUP('Statistika okresy'!$B116,Body!$B$3:$AR$172,25,FALSE)</f>
        <v>10</v>
      </c>
      <c r="AA116" s="264">
        <f>VLOOKUP('Statistika okresy'!$B116,Body!$B$3:$AR$172,26,FALSE)</f>
        <v>3</v>
      </c>
      <c r="AB116" s="264">
        <f>VLOOKUP('Statistika okresy'!$B116,Body!$B$3:$AR$172,27,FALSE)</f>
        <v>5</v>
      </c>
      <c r="AC116" s="265">
        <f>VLOOKUP('Statistika okresy'!$B116,Body!$B$3:$AR$172,35,FALSE)</f>
        <v>5.3333333333333375</v>
      </c>
      <c r="AD116" s="264">
        <f>VLOOKUP('Statistika okresy'!$B116,Body!$B$3:$AR$172,36,FALSE)</f>
        <v>25.198917117989168</v>
      </c>
      <c r="AE116" s="264">
        <f>VLOOKUP('Statistika okresy'!$B116,Body!$B$3:$AR$172,37,FALSE)</f>
        <v>24.67655504313052</v>
      </c>
      <c r="AF116" s="264">
        <f>VLOOKUP('Statistika okresy'!$B116,Body!$B$3:$AR$172,38,FALSE)</f>
        <v>67.589310180878783</v>
      </c>
      <c r="AG116" s="264">
        <f>VLOOKUP('Statistika okresy'!$B116,Body!$B$3:$AR$172,39,FALSE)</f>
        <v>69.133903388080768</v>
      </c>
      <c r="AH116" s="264">
        <f>VLOOKUP('Statistika okresy'!$B116,Body!$B$3:$AR$172,40,FALSE)</f>
        <v>92.788227298867952</v>
      </c>
      <c r="AI116" s="264">
        <f>VLOOKUP('Statistika okresy'!$B116,Body!$B$3:$AR$172,41,FALSE)</f>
        <v>93.810458431211288</v>
      </c>
      <c r="AJ116" s="390"/>
      <c r="AK116" s="407">
        <f>VLOOKUP('Statistika okresy'!$B116,Body!$B$3:$AR$172,43,FALSE)</f>
        <v>191.93201906341258</v>
      </c>
    </row>
    <row r="117" spans="1:37" ht="15.5" x14ac:dyDescent="0.35">
      <c r="A117" s="382">
        <v>833</v>
      </c>
      <c r="B117" s="156" t="s">
        <v>546</v>
      </c>
      <c r="C117" s="352" t="s">
        <v>963</v>
      </c>
      <c r="D117" s="264">
        <f>VLOOKUP('Statistika okresy'!$B117,Body!$B$3:$AR$172,3,FALSE)</f>
        <v>6</v>
      </c>
      <c r="E117" s="264">
        <f>VLOOKUP('Statistika okresy'!$B117,Body!$B$3:$AR$172,4,FALSE)</f>
        <v>5</v>
      </c>
      <c r="F117" s="264">
        <f>VLOOKUP('Statistika okresy'!$B117,Body!$B$3:$AR$172,5,FALSE)</f>
        <v>4</v>
      </c>
      <c r="G117" s="264">
        <f>VLOOKUP('Statistika okresy'!$B117,Body!$B$3:$AR$172,6,FALSE)</f>
        <v>3</v>
      </c>
      <c r="H117" s="264">
        <f>VLOOKUP('Statistika okresy'!$B117,Body!$B$3:$AR$172,7,FALSE)</f>
        <v>1</v>
      </c>
      <c r="I117" s="264">
        <f>VLOOKUP('Statistika okresy'!$B117,Body!$B$3:$AR$172,8,FALSE)</f>
        <v>1</v>
      </c>
      <c r="J117" s="264">
        <f>VLOOKUP('Statistika okresy'!$B117,Body!$B$3:$AR$172,9,FALSE)</f>
        <v>1</v>
      </c>
      <c r="K117" s="264">
        <f>VLOOKUP('Statistika okresy'!$B117,Body!$B$3:$AR$172,10,FALSE)</f>
        <v>1</v>
      </c>
      <c r="L117" s="264">
        <f>VLOOKUP('Statistika okresy'!$B117,Body!$B$3:$AR$172,11,FALSE)</f>
        <v>4</v>
      </c>
      <c r="M117" s="264">
        <f>VLOOKUP('Statistika okresy'!$B117,Body!$B$3:$AR$172,12,FALSE)</f>
        <v>4</v>
      </c>
      <c r="N117" s="264">
        <f>VLOOKUP('Statistika okresy'!$B117,Body!$B$3:$AR$172,13,FALSE)</f>
        <v>5</v>
      </c>
      <c r="O117" s="264">
        <f>VLOOKUP('Statistika okresy'!$B117,Body!$B$3:$AR$172,14,FALSE)</f>
        <v>5</v>
      </c>
      <c r="P117" s="264">
        <f>VLOOKUP('Statistika okresy'!$B117,Body!$B$3:$AR$172,15,FALSE)</f>
        <v>5</v>
      </c>
      <c r="Q117" s="264">
        <f>VLOOKUP('Statistika okresy'!$B117,Body!$B$3:$AR$172,16,FALSE)</f>
        <v>5</v>
      </c>
      <c r="R117" s="264">
        <f>VLOOKUP('Statistika okresy'!$B117,Body!$B$3:$AR$172,17,FALSE)</f>
        <v>6</v>
      </c>
      <c r="S117" s="264">
        <f>VLOOKUP('Statistika okresy'!$B117,Body!$B$3:$AR$172,18,FALSE)</f>
        <v>10</v>
      </c>
      <c r="T117" s="264">
        <f>VLOOKUP('Statistika okresy'!$B117,Body!$B$3:$AR$172,19,FALSE)</f>
        <v>9</v>
      </c>
      <c r="U117" s="264">
        <f>VLOOKUP('Statistika okresy'!$B117,Body!$B$3:$AR$172,20,FALSE)</f>
        <v>3</v>
      </c>
      <c r="V117" s="264">
        <f>VLOOKUP('Statistika okresy'!$B117,Body!$B$3:$AR$172,21,FALSE)</f>
        <v>6</v>
      </c>
      <c r="W117" s="264">
        <f>VLOOKUP('Statistika okresy'!$B117,Body!$B$3:$AR$172,22,FALSE)</f>
        <v>5</v>
      </c>
      <c r="X117" s="264">
        <f>VLOOKUP('Statistika okresy'!$B117,Body!$B$3:$AR$172,23,FALSE)</f>
        <v>8</v>
      </c>
      <c r="Y117" s="264">
        <f>VLOOKUP('Statistika okresy'!$B117,Body!$B$3:$AR$172,24,FALSE)</f>
        <v>10</v>
      </c>
      <c r="Z117" s="264">
        <f>VLOOKUP('Statistika okresy'!$B117,Body!$B$3:$AR$172,25,FALSE)</f>
        <v>10</v>
      </c>
      <c r="AA117" s="264">
        <f>VLOOKUP('Statistika okresy'!$B117,Body!$B$3:$AR$172,26,FALSE)</f>
        <v>1</v>
      </c>
      <c r="AB117" s="264">
        <f>VLOOKUP('Statistika okresy'!$B117,Body!$B$3:$AR$172,27,FALSE)</f>
        <v>5</v>
      </c>
      <c r="AC117" s="265">
        <f>VLOOKUP('Statistika okresy'!$B117,Body!$B$3:$AR$172,35,FALSE)</f>
        <v>2.6666666666666687</v>
      </c>
      <c r="AD117" s="264">
        <f>VLOOKUP('Statistika okresy'!$B117,Body!$B$3:$AR$172,36,FALSE)</f>
        <v>26.532275057020442</v>
      </c>
      <c r="AE117" s="264">
        <f>VLOOKUP('Statistika okresy'!$B117,Body!$B$3:$AR$172,37,FALSE)</f>
        <v>25.529543608195645</v>
      </c>
      <c r="AF117" s="264">
        <f>VLOOKUP('Statistika okresy'!$B117,Body!$B$3:$AR$172,38,FALSE)</f>
        <v>68.968666053437772</v>
      </c>
      <c r="AG117" s="264">
        <f>VLOOKUP('Statistika okresy'!$B117,Body!$B$3:$AR$172,39,FALSE)</f>
        <v>63.510448889159811</v>
      </c>
      <c r="AH117" s="264">
        <f>VLOOKUP('Statistika okresy'!$B117,Body!$B$3:$AR$172,40,FALSE)</f>
        <v>95.500941110458214</v>
      </c>
      <c r="AI117" s="264">
        <f>VLOOKUP('Statistika okresy'!$B117,Body!$B$3:$AR$172,41,FALSE)</f>
        <v>89.039992497355456</v>
      </c>
      <c r="AJ117" s="390"/>
      <c r="AK117" s="407">
        <f>VLOOKUP('Statistika okresy'!$B117,Body!$B$3:$AR$172,43,FALSE)</f>
        <v>187.20760027448031</v>
      </c>
    </row>
    <row r="118" spans="1:37" ht="15.5" x14ac:dyDescent="0.35">
      <c r="A118" s="382">
        <v>836</v>
      </c>
      <c r="B118" s="156" t="s">
        <v>550</v>
      </c>
      <c r="C118" s="352" t="s">
        <v>963</v>
      </c>
      <c r="D118" s="264">
        <f>VLOOKUP('Statistika okresy'!$B118,Body!$B$3:$AR$172,3,FALSE)</f>
        <v>4</v>
      </c>
      <c r="E118" s="264">
        <f>VLOOKUP('Statistika okresy'!$B118,Body!$B$3:$AR$172,4,FALSE)</f>
        <v>4</v>
      </c>
      <c r="F118" s="264">
        <f>VLOOKUP('Statistika okresy'!$B118,Body!$B$3:$AR$172,5,FALSE)</f>
        <v>2</v>
      </c>
      <c r="G118" s="264">
        <f>VLOOKUP('Statistika okresy'!$B118,Body!$B$3:$AR$172,6,FALSE)</f>
        <v>1</v>
      </c>
      <c r="H118" s="264">
        <f>VLOOKUP('Statistika okresy'!$B118,Body!$B$3:$AR$172,7,FALSE)</f>
        <v>1</v>
      </c>
      <c r="I118" s="264">
        <f>VLOOKUP('Statistika okresy'!$B118,Body!$B$3:$AR$172,8,FALSE)</f>
        <v>1</v>
      </c>
      <c r="J118" s="264">
        <f>VLOOKUP('Statistika okresy'!$B118,Body!$B$3:$AR$172,9,FALSE)</f>
        <v>3</v>
      </c>
      <c r="K118" s="264">
        <f>VLOOKUP('Statistika okresy'!$B118,Body!$B$3:$AR$172,10,FALSE)</f>
        <v>2</v>
      </c>
      <c r="L118" s="264">
        <f>VLOOKUP('Statistika okresy'!$B118,Body!$B$3:$AR$172,11,FALSE)</f>
        <v>3</v>
      </c>
      <c r="M118" s="264">
        <f>VLOOKUP('Statistika okresy'!$B118,Body!$B$3:$AR$172,12,FALSE)</f>
        <v>2</v>
      </c>
      <c r="N118" s="264">
        <f>VLOOKUP('Statistika okresy'!$B118,Body!$B$3:$AR$172,13,FALSE)</f>
        <v>4</v>
      </c>
      <c r="O118" s="264">
        <f>VLOOKUP('Statistika okresy'!$B118,Body!$B$3:$AR$172,14,FALSE)</f>
        <v>5</v>
      </c>
      <c r="P118" s="264">
        <f>VLOOKUP('Statistika okresy'!$B118,Body!$B$3:$AR$172,15,FALSE)</f>
        <v>5</v>
      </c>
      <c r="Q118" s="264">
        <f>VLOOKUP('Statistika okresy'!$B118,Body!$B$3:$AR$172,16,FALSE)</f>
        <v>3</v>
      </c>
      <c r="R118" s="264">
        <f>VLOOKUP('Statistika okresy'!$B118,Body!$B$3:$AR$172,17,FALSE)</f>
        <v>3</v>
      </c>
      <c r="S118" s="264">
        <f>VLOOKUP('Statistika okresy'!$B118,Body!$B$3:$AR$172,18,FALSE)</f>
        <v>7</v>
      </c>
      <c r="T118" s="264">
        <f>VLOOKUP('Statistika okresy'!$B118,Body!$B$3:$AR$172,19,FALSE)</f>
        <v>7</v>
      </c>
      <c r="U118" s="264">
        <f>VLOOKUP('Statistika okresy'!$B118,Body!$B$3:$AR$172,20,FALSE)</f>
        <v>5</v>
      </c>
      <c r="V118" s="264">
        <f>VLOOKUP('Statistika okresy'!$B118,Body!$B$3:$AR$172,21,FALSE)</f>
        <v>5</v>
      </c>
      <c r="W118" s="264">
        <f>VLOOKUP('Statistika okresy'!$B118,Body!$B$3:$AR$172,22,FALSE)</f>
        <v>8</v>
      </c>
      <c r="X118" s="264">
        <f>VLOOKUP('Statistika okresy'!$B118,Body!$B$3:$AR$172,23,FALSE)</f>
        <v>5</v>
      </c>
      <c r="Y118" s="264">
        <f>VLOOKUP('Statistika okresy'!$B118,Body!$B$3:$AR$172,24,FALSE)</f>
        <v>8</v>
      </c>
      <c r="Z118" s="264">
        <f>VLOOKUP('Statistika okresy'!$B118,Body!$B$3:$AR$172,25,FALSE)</f>
        <v>10</v>
      </c>
      <c r="AA118" s="264">
        <f>VLOOKUP('Statistika okresy'!$B118,Body!$B$3:$AR$172,26,FALSE)</f>
        <v>5</v>
      </c>
      <c r="AB118" s="264">
        <f>VLOOKUP('Statistika okresy'!$B118,Body!$B$3:$AR$172,27,FALSE)</f>
        <v>5</v>
      </c>
      <c r="AC118" s="265">
        <f>VLOOKUP('Statistika okresy'!$B118,Body!$B$3:$AR$172,35,FALSE)</f>
        <v>8.0000000000000071</v>
      </c>
      <c r="AD118" s="264">
        <f>VLOOKUP('Statistika okresy'!$B118,Body!$B$3:$AR$172,36,FALSE)</f>
        <v>18.648861083861906</v>
      </c>
      <c r="AE118" s="264">
        <f>VLOOKUP('Statistika okresy'!$B118,Body!$B$3:$AR$172,37,FALSE)</f>
        <v>16.736220654842345</v>
      </c>
      <c r="AF118" s="264">
        <f>VLOOKUP('Statistika okresy'!$B118,Body!$B$3:$AR$172,38,FALSE)</f>
        <v>56.71292454815805</v>
      </c>
      <c r="AG118" s="264">
        <f>VLOOKUP('Statistika okresy'!$B118,Body!$B$3:$AR$172,39,FALSE)</f>
        <v>61.34670416976401</v>
      </c>
      <c r="AH118" s="264">
        <f>VLOOKUP('Statistika okresy'!$B118,Body!$B$3:$AR$172,40,FALSE)</f>
        <v>75.361785632019959</v>
      </c>
      <c r="AI118" s="264">
        <f>VLOOKUP('Statistika okresy'!$B118,Body!$B$3:$AR$172,41,FALSE)</f>
        <v>78.082924824606351</v>
      </c>
      <c r="AJ118" s="390"/>
      <c r="AK118" s="407">
        <f>VLOOKUP('Statistika okresy'!$B118,Body!$B$3:$AR$172,43,FALSE)</f>
        <v>161.4447104566263</v>
      </c>
    </row>
    <row r="119" spans="1:37" ht="15.5" x14ac:dyDescent="0.35">
      <c r="A119" s="382">
        <v>839</v>
      </c>
      <c r="B119" s="156" t="s">
        <v>529</v>
      </c>
      <c r="C119" s="352" t="s">
        <v>963</v>
      </c>
      <c r="D119" s="264">
        <f>VLOOKUP('Statistika okresy'!$B119,Body!$B$3:$AR$172,3,FALSE)</f>
        <v>5</v>
      </c>
      <c r="E119" s="264">
        <f>VLOOKUP('Statistika okresy'!$B119,Body!$B$3:$AR$172,4,FALSE)</f>
        <v>5</v>
      </c>
      <c r="F119" s="264">
        <f>VLOOKUP('Statistika okresy'!$B119,Body!$B$3:$AR$172,5,FALSE)</f>
        <v>3</v>
      </c>
      <c r="G119" s="264">
        <f>VLOOKUP('Statistika okresy'!$B119,Body!$B$3:$AR$172,6,FALSE)</f>
        <v>2</v>
      </c>
      <c r="H119" s="264">
        <f>VLOOKUP('Statistika okresy'!$B119,Body!$B$3:$AR$172,7,FALSE)</f>
        <v>1</v>
      </c>
      <c r="I119" s="264">
        <f>VLOOKUP('Statistika okresy'!$B119,Body!$B$3:$AR$172,8,FALSE)</f>
        <v>1</v>
      </c>
      <c r="J119" s="264">
        <f>VLOOKUP('Statistika okresy'!$B119,Body!$B$3:$AR$172,9,FALSE)</f>
        <v>1</v>
      </c>
      <c r="K119" s="264">
        <f>VLOOKUP('Statistika okresy'!$B119,Body!$B$3:$AR$172,10,FALSE)</f>
        <v>1</v>
      </c>
      <c r="L119" s="264">
        <f>VLOOKUP('Statistika okresy'!$B119,Body!$B$3:$AR$172,11,FALSE)</f>
        <v>3</v>
      </c>
      <c r="M119" s="264">
        <f>VLOOKUP('Statistika okresy'!$B119,Body!$B$3:$AR$172,12,FALSE)</f>
        <v>2</v>
      </c>
      <c r="N119" s="264">
        <f>VLOOKUP('Statistika okresy'!$B119,Body!$B$3:$AR$172,13,FALSE)</f>
        <v>5</v>
      </c>
      <c r="O119" s="264">
        <f>VLOOKUP('Statistika okresy'!$B119,Body!$B$3:$AR$172,14,FALSE)</f>
        <v>5</v>
      </c>
      <c r="P119" s="264">
        <f>VLOOKUP('Statistika okresy'!$B119,Body!$B$3:$AR$172,15,FALSE)</f>
        <v>5</v>
      </c>
      <c r="Q119" s="264">
        <f>VLOOKUP('Statistika okresy'!$B119,Body!$B$3:$AR$172,16,FALSE)</f>
        <v>2</v>
      </c>
      <c r="R119" s="264">
        <f>VLOOKUP('Statistika okresy'!$B119,Body!$B$3:$AR$172,17,FALSE)</f>
        <v>2</v>
      </c>
      <c r="S119" s="264">
        <f>VLOOKUP('Statistika okresy'!$B119,Body!$B$3:$AR$172,18,FALSE)</f>
        <v>4</v>
      </c>
      <c r="T119" s="264">
        <f>VLOOKUP('Statistika okresy'!$B119,Body!$B$3:$AR$172,19,FALSE)</f>
        <v>4</v>
      </c>
      <c r="U119" s="264">
        <f>VLOOKUP('Statistika okresy'!$B119,Body!$B$3:$AR$172,20,FALSE)</f>
        <v>5</v>
      </c>
      <c r="V119" s="264">
        <f>VLOOKUP('Statistika okresy'!$B119,Body!$B$3:$AR$172,21,FALSE)</f>
        <v>6</v>
      </c>
      <c r="W119" s="264">
        <f>VLOOKUP('Statistika okresy'!$B119,Body!$B$3:$AR$172,22,FALSE)</f>
        <v>5</v>
      </c>
      <c r="X119" s="264">
        <f>VLOOKUP('Statistika okresy'!$B119,Body!$B$3:$AR$172,23,FALSE)</f>
        <v>9</v>
      </c>
      <c r="Y119" s="264">
        <f>VLOOKUP('Statistika okresy'!$B119,Body!$B$3:$AR$172,24,FALSE)</f>
        <v>8</v>
      </c>
      <c r="Z119" s="264">
        <f>VLOOKUP('Statistika okresy'!$B119,Body!$B$3:$AR$172,25,FALSE)</f>
        <v>10</v>
      </c>
      <c r="AA119" s="264">
        <f>VLOOKUP('Statistika okresy'!$B119,Body!$B$3:$AR$172,26,FALSE)</f>
        <v>5</v>
      </c>
      <c r="AB119" s="264">
        <f>VLOOKUP('Statistika okresy'!$B119,Body!$B$3:$AR$172,27,FALSE)</f>
        <v>5</v>
      </c>
      <c r="AC119" s="265">
        <f>VLOOKUP('Statistika okresy'!$B119,Body!$B$3:$AR$172,35,FALSE)</f>
        <v>8.0000000000000071</v>
      </c>
      <c r="AD119" s="264">
        <f>VLOOKUP('Statistika okresy'!$B119,Body!$B$3:$AR$172,36,FALSE)</f>
        <v>20.062815754375826</v>
      </c>
      <c r="AE119" s="264">
        <f>VLOOKUP('Statistika okresy'!$B119,Body!$B$3:$AR$172,37,FALSE)</f>
        <v>17.544936265351463</v>
      </c>
      <c r="AF119" s="264">
        <f>VLOOKUP('Statistika okresy'!$B119,Body!$B$3:$AR$172,38,FALSE)</f>
        <v>49.472872024436654</v>
      </c>
      <c r="AG119" s="264">
        <f>VLOOKUP('Statistika okresy'!$B119,Body!$B$3:$AR$172,39,FALSE)</f>
        <v>47.928278817234663</v>
      </c>
      <c r="AH119" s="264">
        <f>VLOOKUP('Statistika okresy'!$B119,Body!$B$3:$AR$172,40,FALSE)</f>
        <v>69.535687778812473</v>
      </c>
      <c r="AI119" s="264">
        <f>VLOOKUP('Statistika okresy'!$B119,Body!$B$3:$AR$172,41,FALSE)</f>
        <v>65.473215082586123</v>
      </c>
      <c r="AJ119" s="390"/>
      <c r="AK119" s="407">
        <f>VLOOKUP('Statistika okresy'!$B119,Body!$B$3:$AR$172,43,FALSE)</f>
        <v>143.00890286139861</v>
      </c>
    </row>
    <row r="120" spans="1:37" ht="15.5" x14ac:dyDescent="0.35">
      <c r="A120" s="382">
        <v>842</v>
      </c>
      <c r="B120" s="156" t="s">
        <v>108</v>
      </c>
      <c r="C120" s="352" t="s">
        <v>963</v>
      </c>
      <c r="D120" s="264">
        <f>VLOOKUP('Statistika okresy'!$B120,Body!$B$3:$AR$172,3,FALSE)</f>
        <v>5</v>
      </c>
      <c r="E120" s="264">
        <f>VLOOKUP('Statistika okresy'!$B120,Body!$B$3:$AR$172,4,FALSE)</f>
        <v>4</v>
      </c>
      <c r="F120" s="264">
        <f>VLOOKUP('Statistika okresy'!$B120,Body!$B$3:$AR$172,5,FALSE)</f>
        <v>4</v>
      </c>
      <c r="G120" s="264">
        <f>VLOOKUP('Statistika okresy'!$B120,Body!$B$3:$AR$172,6,FALSE)</f>
        <v>3</v>
      </c>
      <c r="H120" s="264">
        <f>VLOOKUP('Statistika okresy'!$B120,Body!$B$3:$AR$172,7,FALSE)</f>
        <v>2</v>
      </c>
      <c r="I120" s="264">
        <f>VLOOKUP('Statistika okresy'!$B120,Body!$B$3:$AR$172,8,FALSE)</f>
        <v>10</v>
      </c>
      <c r="J120" s="264">
        <f>VLOOKUP('Statistika okresy'!$B120,Body!$B$3:$AR$172,9,FALSE)</f>
        <v>3</v>
      </c>
      <c r="K120" s="264">
        <f>VLOOKUP('Statistika okresy'!$B120,Body!$B$3:$AR$172,10,FALSE)</f>
        <v>2</v>
      </c>
      <c r="L120" s="264">
        <f>VLOOKUP('Statistika okresy'!$B120,Body!$B$3:$AR$172,11,FALSE)</f>
        <v>3</v>
      </c>
      <c r="M120" s="264">
        <f>VLOOKUP('Statistika okresy'!$B120,Body!$B$3:$AR$172,12,FALSE)</f>
        <v>3</v>
      </c>
      <c r="N120" s="264">
        <f>VLOOKUP('Statistika okresy'!$B120,Body!$B$3:$AR$172,13,FALSE)</f>
        <v>5</v>
      </c>
      <c r="O120" s="264">
        <f>VLOOKUP('Statistika okresy'!$B120,Body!$B$3:$AR$172,14,FALSE)</f>
        <v>5</v>
      </c>
      <c r="P120" s="264">
        <f>VLOOKUP('Statistika okresy'!$B120,Body!$B$3:$AR$172,15,FALSE)</f>
        <v>6</v>
      </c>
      <c r="Q120" s="264">
        <f>VLOOKUP('Statistika okresy'!$B120,Body!$B$3:$AR$172,16,FALSE)</f>
        <v>3</v>
      </c>
      <c r="R120" s="264">
        <f>VLOOKUP('Statistika okresy'!$B120,Body!$B$3:$AR$172,17,FALSE)</f>
        <v>3</v>
      </c>
      <c r="S120" s="264">
        <f>VLOOKUP('Statistika okresy'!$B120,Body!$B$3:$AR$172,18,FALSE)</f>
        <v>7</v>
      </c>
      <c r="T120" s="264">
        <f>VLOOKUP('Statistika okresy'!$B120,Body!$B$3:$AR$172,19,FALSE)</f>
        <v>7</v>
      </c>
      <c r="U120" s="264">
        <f>VLOOKUP('Statistika okresy'!$B120,Body!$B$3:$AR$172,20,FALSE)</f>
        <v>5</v>
      </c>
      <c r="V120" s="264">
        <f>VLOOKUP('Statistika okresy'!$B120,Body!$B$3:$AR$172,21,FALSE)</f>
        <v>6</v>
      </c>
      <c r="W120" s="264">
        <f>VLOOKUP('Statistika okresy'!$B120,Body!$B$3:$AR$172,22,FALSE)</f>
        <v>10</v>
      </c>
      <c r="X120" s="264">
        <f>VLOOKUP('Statistika okresy'!$B120,Body!$B$3:$AR$172,23,FALSE)</f>
        <v>5</v>
      </c>
      <c r="Y120" s="264">
        <f>VLOOKUP('Statistika okresy'!$B120,Body!$B$3:$AR$172,24,FALSE)</f>
        <v>8</v>
      </c>
      <c r="Z120" s="264">
        <f>VLOOKUP('Statistika okresy'!$B120,Body!$B$3:$AR$172,25,FALSE)</f>
        <v>10</v>
      </c>
      <c r="AA120" s="264">
        <f>VLOOKUP('Statistika okresy'!$B120,Body!$B$3:$AR$172,26,FALSE)</f>
        <v>10</v>
      </c>
      <c r="AB120" s="264">
        <f>VLOOKUP('Statistika okresy'!$B120,Body!$B$3:$AR$172,27,FALSE)</f>
        <v>10</v>
      </c>
      <c r="AC120" s="265">
        <f>VLOOKUP('Statistika okresy'!$B120,Body!$B$3:$AR$172,35,FALSE)</f>
        <v>16.000000000000014</v>
      </c>
      <c r="AD120" s="264">
        <f>VLOOKUP('Statistika okresy'!$B120,Body!$B$3:$AR$172,36,FALSE)</f>
        <v>24.553188268115058</v>
      </c>
      <c r="AE120" s="264">
        <f>VLOOKUP('Statistika okresy'!$B120,Body!$B$3:$AR$172,37,FALSE)</f>
        <v>23.973245568415859</v>
      </c>
      <c r="AF120" s="264">
        <f>VLOOKUP('Statistika okresy'!$B120,Body!$B$3:$AR$172,38,FALSE)</f>
        <v>58.257517755360041</v>
      </c>
      <c r="AG120" s="264">
        <f>VLOOKUP('Statistika okresy'!$B120,Body!$B$3:$AR$172,39,FALSE)</f>
        <v>64.435890584167979</v>
      </c>
      <c r="AH120" s="264">
        <f>VLOOKUP('Statistika okresy'!$B120,Body!$B$3:$AR$172,40,FALSE)</f>
        <v>82.810706023475092</v>
      </c>
      <c r="AI120" s="264">
        <f>VLOOKUP('Statistika okresy'!$B120,Body!$B$3:$AR$172,41,FALSE)</f>
        <v>88.409136152583841</v>
      </c>
      <c r="AJ120" s="390"/>
      <c r="AK120" s="407">
        <f>VLOOKUP('Statistika okresy'!$B120,Body!$B$3:$AR$172,43,FALSE)</f>
        <v>187.21984217605893</v>
      </c>
    </row>
    <row r="121" spans="1:37" ht="15.5" x14ac:dyDescent="0.35">
      <c r="A121" s="382">
        <v>845</v>
      </c>
      <c r="B121" s="156" t="s">
        <v>111</v>
      </c>
      <c r="C121" s="352" t="s">
        <v>963</v>
      </c>
      <c r="D121" s="264">
        <f>VLOOKUP('Statistika okresy'!$B121,Body!$B$3:$AR$172,3,FALSE)</f>
        <v>4</v>
      </c>
      <c r="E121" s="264">
        <f>VLOOKUP('Statistika okresy'!$B121,Body!$B$3:$AR$172,4,FALSE)</f>
        <v>4</v>
      </c>
      <c r="F121" s="264">
        <f>VLOOKUP('Statistika okresy'!$B121,Body!$B$3:$AR$172,5,FALSE)</f>
        <v>3</v>
      </c>
      <c r="G121" s="264">
        <f>VLOOKUP('Statistika okresy'!$B121,Body!$B$3:$AR$172,6,FALSE)</f>
        <v>2</v>
      </c>
      <c r="H121" s="264">
        <f>VLOOKUP('Statistika okresy'!$B121,Body!$B$3:$AR$172,7,FALSE)</f>
        <v>1</v>
      </c>
      <c r="I121" s="264">
        <f>VLOOKUP('Statistika okresy'!$B121,Body!$B$3:$AR$172,8,FALSE)</f>
        <v>5</v>
      </c>
      <c r="J121" s="264">
        <f>VLOOKUP('Statistika okresy'!$B121,Body!$B$3:$AR$172,9,FALSE)</f>
        <v>2</v>
      </c>
      <c r="K121" s="264">
        <f>VLOOKUP('Statistika okresy'!$B121,Body!$B$3:$AR$172,10,FALSE)</f>
        <v>1</v>
      </c>
      <c r="L121" s="264">
        <f>VLOOKUP('Statistika okresy'!$B121,Body!$B$3:$AR$172,11,FALSE)</f>
        <v>3</v>
      </c>
      <c r="M121" s="264">
        <f>VLOOKUP('Statistika okresy'!$B121,Body!$B$3:$AR$172,12,FALSE)</f>
        <v>3</v>
      </c>
      <c r="N121" s="264">
        <f>VLOOKUP('Statistika okresy'!$B121,Body!$B$3:$AR$172,13,FALSE)</f>
        <v>5</v>
      </c>
      <c r="O121" s="264">
        <f>VLOOKUP('Statistika okresy'!$B121,Body!$B$3:$AR$172,14,FALSE)</f>
        <v>6</v>
      </c>
      <c r="P121" s="264">
        <f>VLOOKUP('Statistika okresy'!$B121,Body!$B$3:$AR$172,15,FALSE)</f>
        <v>5</v>
      </c>
      <c r="Q121" s="264">
        <f>VLOOKUP('Statistika okresy'!$B121,Body!$B$3:$AR$172,16,FALSE)</f>
        <v>2</v>
      </c>
      <c r="R121" s="264">
        <f>VLOOKUP('Statistika okresy'!$B121,Body!$B$3:$AR$172,17,FALSE)</f>
        <v>2</v>
      </c>
      <c r="S121" s="264">
        <f>VLOOKUP('Statistika okresy'!$B121,Body!$B$3:$AR$172,18,FALSE)</f>
        <v>4</v>
      </c>
      <c r="T121" s="264">
        <f>VLOOKUP('Statistika okresy'!$B121,Body!$B$3:$AR$172,19,FALSE)</f>
        <v>4</v>
      </c>
      <c r="U121" s="264">
        <f>VLOOKUP('Statistika okresy'!$B121,Body!$B$3:$AR$172,20,FALSE)</f>
        <v>5</v>
      </c>
      <c r="V121" s="264">
        <f>VLOOKUP('Statistika okresy'!$B121,Body!$B$3:$AR$172,21,FALSE)</f>
        <v>5</v>
      </c>
      <c r="W121" s="264">
        <f>VLOOKUP('Statistika okresy'!$B121,Body!$B$3:$AR$172,22,FALSE)</f>
        <v>7</v>
      </c>
      <c r="X121" s="264">
        <f>VLOOKUP('Statistika okresy'!$B121,Body!$B$3:$AR$172,23,FALSE)</f>
        <v>5</v>
      </c>
      <c r="Y121" s="264">
        <f>VLOOKUP('Statistika okresy'!$B121,Body!$B$3:$AR$172,24,FALSE)</f>
        <v>8</v>
      </c>
      <c r="Z121" s="264">
        <f>VLOOKUP('Statistika okresy'!$B121,Body!$B$3:$AR$172,25,FALSE)</f>
        <v>10</v>
      </c>
      <c r="AA121" s="264">
        <f>VLOOKUP('Statistika okresy'!$B121,Body!$B$3:$AR$172,26,FALSE)</f>
        <v>5</v>
      </c>
      <c r="AB121" s="264">
        <f>VLOOKUP('Statistika okresy'!$B121,Body!$B$3:$AR$172,27,FALSE)</f>
        <v>10</v>
      </c>
      <c r="AC121" s="265">
        <f>VLOOKUP('Statistika okresy'!$B121,Body!$B$3:$AR$172,35,FALSE)</f>
        <v>9.3333333333333428</v>
      </c>
      <c r="AD121" s="264">
        <f>VLOOKUP('Statistika okresy'!$B121,Body!$B$3:$AR$172,36,FALSE)</f>
        <v>19.919788596721592</v>
      </c>
      <c r="AE121" s="264">
        <f>VLOOKUP('Statistika okresy'!$B121,Body!$B$3:$AR$172,37,FALSE)</f>
        <v>19.565318694650443</v>
      </c>
      <c r="AF121" s="264">
        <f>VLOOKUP('Statistika okresy'!$B121,Body!$B$3:$AR$172,38,FALSE)</f>
        <v>44.972052676930083</v>
      </c>
      <c r="AG121" s="264">
        <f>VLOOKUP('Statistika okresy'!$B121,Body!$B$3:$AR$172,39,FALSE)</f>
        <v>48.061239091334052</v>
      </c>
      <c r="AH121" s="264">
        <f>VLOOKUP('Statistika okresy'!$B121,Body!$B$3:$AR$172,40,FALSE)</f>
        <v>64.891841273651679</v>
      </c>
      <c r="AI121" s="264">
        <f>VLOOKUP('Statistika okresy'!$B121,Body!$B$3:$AR$172,41,FALSE)</f>
        <v>67.626557785984488</v>
      </c>
      <c r="AJ121" s="390"/>
      <c r="AK121" s="407">
        <f>VLOOKUP('Statistika okresy'!$B121,Body!$B$3:$AR$172,43,FALSE)</f>
        <v>141.85173239296952</v>
      </c>
    </row>
    <row r="122" spans="1:37" ht="15.5" x14ac:dyDescent="0.35">
      <c r="A122" s="382">
        <v>848</v>
      </c>
      <c r="B122" s="156" t="s">
        <v>124</v>
      </c>
      <c r="C122" s="352" t="s">
        <v>963</v>
      </c>
      <c r="D122" s="264">
        <f>VLOOKUP('Statistika okresy'!$B122,Body!$B$3:$AR$172,3,FALSE)</f>
        <v>6</v>
      </c>
      <c r="E122" s="264">
        <f>VLOOKUP('Statistika okresy'!$B122,Body!$B$3:$AR$172,4,FALSE)</f>
        <v>6</v>
      </c>
      <c r="F122" s="264">
        <f>VLOOKUP('Statistika okresy'!$B122,Body!$B$3:$AR$172,5,FALSE)</f>
        <v>4</v>
      </c>
      <c r="G122" s="264">
        <f>VLOOKUP('Statistika okresy'!$B122,Body!$B$3:$AR$172,6,FALSE)</f>
        <v>3</v>
      </c>
      <c r="H122" s="264">
        <f>VLOOKUP('Statistika okresy'!$B122,Body!$B$3:$AR$172,7,FALSE)</f>
        <v>2</v>
      </c>
      <c r="I122" s="264">
        <f>VLOOKUP('Statistika okresy'!$B122,Body!$B$3:$AR$172,8,FALSE)</f>
        <v>1</v>
      </c>
      <c r="J122" s="264">
        <f>VLOOKUP('Statistika okresy'!$B122,Body!$B$3:$AR$172,9,FALSE)</f>
        <v>3</v>
      </c>
      <c r="K122" s="264">
        <f>VLOOKUP('Statistika okresy'!$B122,Body!$B$3:$AR$172,10,FALSE)</f>
        <v>2</v>
      </c>
      <c r="L122" s="264">
        <f>VLOOKUP('Statistika okresy'!$B122,Body!$B$3:$AR$172,11,FALSE)</f>
        <v>3</v>
      </c>
      <c r="M122" s="264">
        <f>VLOOKUP('Statistika okresy'!$B122,Body!$B$3:$AR$172,12,FALSE)</f>
        <v>3</v>
      </c>
      <c r="N122" s="264">
        <f>VLOOKUP('Statistika okresy'!$B122,Body!$B$3:$AR$172,13,FALSE)</f>
        <v>7</v>
      </c>
      <c r="O122" s="264">
        <f>VLOOKUP('Statistika okresy'!$B122,Body!$B$3:$AR$172,14,FALSE)</f>
        <v>7</v>
      </c>
      <c r="P122" s="264">
        <f>VLOOKUP('Statistika okresy'!$B122,Body!$B$3:$AR$172,15,FALSE)</f>
        <v>5</v>
      </c>
      <c r="Q122" s="264">
        <f>VLOOKUP('Statistika okresy'!$B122,Body!$B$3:$AR$172,16,FALSE)</f>
        <v>2</v>
      </c>
      <c r="R122" s="264">
        <f>VLOOKUP('Statistika okresy'!$B122,Body!$B$3:$AR$172,17,FALSE)</f>
        <v>2</v>
      </c>
      <c r="S122" s="264">
        <f>VLOOKUP('Statistika okresy'!$B122,Body!$B$3:$AR$172,18,FALSE)</f>
        <v>6</v>
      </c>
      <c r="T122" s="264">
        <f>VLOOKUP('Statistika okresy'!$B122,Body!$B$3:$AR$172,19,FALSE)</f>
        <v>4</v>
      </c>
      <c r="U122" s="264">
        <f>VLOOKUP('Statistika okresy'!$B122,Body!$B$3:$AR$172,20,FALSE)</f>
        <v>5</v>
      </c>
      <c r="V122" s="264">
        <f>VLOOKUP('Statistika okresy'!$B122,Body!$B$3:$AR$172,21,FALSE)</f>
        <v>5</v>
      </c>
      <c r="W122" s="264">
        <f>VLOOKUP('Statistika okresy'!$B122,Body!$B$3:$AR$172,22,FALSE)</f>
        <v>5</v>
      </c>
      <c r="X122" s="264">
        <f>VLOOKUP('Statistika okresy'!$B122,Body!$B$3:$AR$172,23,FALSE)</f>
        <v>5</v>
      </c>
      <c r="Y122" s="264">
        <f>VLOOKUP('Statistika okresy'!$B122,Body!$B$3:$AR$172,24,FALSE)</f>
        <v>8</v>
      </c>
      <c r="Z122" s="264">
        <f>VLOOKUP('Statistika okresy'!$B122,Body!$B$3:$AR$172,25,FALSE)</f>
        <v>10</v>
      </c>
      <c r="AA122" s="264">
        <f>VLOOKUP('Statistika okresy'!$B122,Body!$B$3:$AR$172,26,FALSE)</f>
        <v>5</v>
      </c>
      <c r="AB122" s="264">
        <f>VLOOKUP('Statistika okresy'!$B122,Body!$B$3:$AR$172,27,FALSE)</f>
        <v>5</v>
      </c>
      <c r="AC122" s="265">
        <f>VLOOKUP('Statistika okresy'!$B122,Body!$B$3:$AR$172,35,FALSE)</f>
        <v>8.0000000000000071</v>
      </c>
      <c r="AD122" s="264">
        <f>VLOOKUP('Statistika okresy'!$B122,Body!$B$3:$AR$172,36,FALSE)</f>
        <v>24.484640556522034</v>
      </c>
      <c r="AE122" s="264">
        <f>VLOOKUP('Statistika okresy'!$B122,Body!$B$3:$AR$172,37,FALSE)</f>
        <v>22.192384385302429</v>
      </c>
      <c r="AF122" s="264">
        <f>VLOOKUP('Statistika okresy'!$B122,Body!$B$3:$AR$172,38,FALSE)</f>
        <v>52.799300591082066</v>
      </c>
      <c r="AG122" s="264">
        <f>VLOOKUP('Statistika okresy'!$B122,Body!$B$3:$AR$172,39,FALSE)</f>
        <v>44.972052676930083</v>
      </c>
      <c r="AH122" s="264">
        <f>VLOOKUP('Statistika okresy'!$B122,Body!$B$3:$AR$172,40,FALSE)</f>
        <v>77.283941147604096</v>
      </c>
      <c r="AI122" s="264">
        <f>VLOOKUP('Statistika okresy'!$B122,Body!$B$3:$AR$172,41,FALSE)</f>
        <v>67.164437062232508</v>
      </c>
      <c r="AJ122" s="390"/>
      <c r="AK122" s="407">
        <f>VLOOKUP('Statistika okresy'!$B122,Body!$B$3:$AR$172,43,FALSE)</f>
        <v>152.44837820983662</v>
      </c>
    </row>
    <row r="123" spans="1:37" ht="15.5" x14ac:dyDescent="0.35">
      <c r="A123" s="382">
        <v>851</v>
      </c>
      <c r="B123" s="156" t="s">
        <v>526</v>
      </c>
      <c r="C123" s="352" t="s">
        <v>963</v>
      </c>
      <c r="D123" s="264">
        <f>VLOOKUP('Statistika okresy'!$B123,Body!$B$3:$AR$172,3,FALSE)</f>
        <v>6</v>
      </c>
      <c r="E123" s="264">
        <f>VLOOKUP('Statistika okresy'!$B123,Body!$B$3:$AR$172,4,FALSE)</f>
        <v>6</v>
      </c>
      <c r="F123" s="264">
        <f>VLOOKUP('Statistika okresy'!$B123,Body!$B$3:$AR$172,5,FALSE)</f>
        <v>3</v>
      </c>
      <c r="G123" s="264">
        <f>VLOOKUP('Statistika okresy'!$B123,Body!$B$3:$AR$172,6,FALSE)</f>
        <v>3</v>
      </c>
      <c r="H123" s="264">
        <f>VLOOKUP('Statistika okresy'!$B123,Body!$B$3:$AR$172,7,FALSE)</f>
        <v>1</v>
      </c>
      <c r="I123" s="264">
        <f>VLOOKUP('Statistika okresy'!$B123,Body!$B$3:$AR$172,8,FALSE)</f>
        <v>1</v>
      </c>
      <c r="J123" s="264">
        <f>VLOOKUP('Statistika okresy'!$B123,Body!$B$3:$AR$172,9,FALSE)</f>
        <v>5</v>
      </c>
      <c r="K123" s="264">
        <f>VLOOKUP('Statistika okresy'!$B123,Body!$B$3:$AR$172,10,FALSE)</f>
        <v>5</v>
      </c>
      <c r="L123" s="264">
        <f>VLOOKUP('Statistika okresy'!$B123,Body!$B$3:$AR$172,11,FALSE)</f>
        <v>6</v>
      </c>
      <c r="M123" s="264">
        <f>VLOOKUP('Statistika okresy'!$B123,Body!$B$3:$AR$172,12,FALSE)</f>
        <v>6</v>
      </c>
      <c r="N123" s="264">
        <f>VLOOKUP('Statistika okresy'!$B123,Body!$B$3:$AR$172,13,FALSE)</f>
        <v>8</v>
      </c>
      <c r="O123" s="264">
        <f>VLOOKUP('Statistika okresy'!$B123,Body!$B$3:$AR$172,14,FALSE)</f>
        <v>8</v>
      </c>
      <c r="P123" s="264">
        <f>VLOOKUP('Statistika okresy'!$B123,Body!$B$3:$AR$172,15,FALSE)</f>
        <v>5</v>
      </c>
      <c r="Q123" s="264">
        <f>VLOOKUP('Statistika okresy'!$B123,Body!$B$3:$AR$172,16,FALSE)</f>
        <v>3</v>
      </c>
      <c r="R123" s="264">
        <f>VLOOKUP('Statistika okresy'!$B123,Body!$B$3:$AR$172,17,FALSE)</f>
        <v>3</v>
      </c>
      <c r="S123" s="264">
        <f>VLOOKUP('Statistika okresy'!$B123,Body!$B$3:$AR$172,18,FALSE)</f>
        <v>7</v>
      </c>
      <c r="T123" s="264">
        <f>VLOOKUP('Statistika okresy'!$B123,Body!$B$3:$AR$172,19,FALSE)</f>
        <v>4</v>
      </c>
      <c r="U123" s="264">
        <f>VLOOKUP('Statistika okresy'!$B123,Body!$B$3:$AR$172,20,FALSE)</f>
        <v>6</v>
      </c>
      <c r="V123" s="264">
        <f>VLOOKUP('Statistika okresy'!$B123,Body!$B$3:$AR$172,21,FALSE)</f>
        <v>5</v>
      </c>
      <c r="W123" s="264">
        <f>VLOOKUP('Statistika okresy'!$B123,Body!$B$3:$AR$172,22,FALSE)</f>
        <v>6</v>
      </c>
      <c r="X123" s="264">
        <f>VLOOKUP('Statistika okresy'!$B123,Body!$B$3:$AR$172,23,FALSE)</f>
        <v>9</v>
      </c>
      <c r="Y123" s="264">
        <f>VLOOKUP('Statistika okresy'!$B123,Body!$B$3:$AR$172,24,FALSE)</f>
        <v>10</v>
      </c>
      <c r="Z123" s="264">
        <f>VLOOKUP('Statistika okresy'!$B123,Body!$B$3:$AR$172,25,FALSE)</f>
        <v>10</v>
      </c>
      <c r="AA123" s="264">
        <f>VLOOKUP('Statistika okresy'!$B123,Body!$B$3:$AR$172,26,FALSE)</f>
        <v>5</v>
      </c>
      <c r="AB123" s="264">
        <f>VLOOKUP('Statistika okresy'!$B123,Body!$B$3:$AR$172,27,FALSE)</f>
        <v>5</v>
      </c>
      <c r="AC123" s="265">
        <f>VLOOKUP('Statistika okresy'!$B123,Body!$B$3:$AR$172,35,FALSE)</f>
        <v>8.0000000000000071</v>
      </c>
      <c r="AD123" s="264">
        <f>VLOOKUP('Statistika okresy'!$B123,Body!$B$3:$AR$172,36,FALSE)</f>
        <v>26.720568695311535</v>
      </c>
      <c r="AE123" s="264">
        <f>VLOOKUP('Statistika okresy'!$B123,Body!$B$3:$AR$172,37,FALSE)</f>
        <v>26.720568695311535</v>
      </c>
      <c r="AF123" s="264">
        <f>VLOOKUP('Statistika okresy'!$B123,Body!$B$3:$AR$172,38,FALSE)</f>
        <v>62.668620959056241</v>
      </c>
      <c r="AG123" s="264">
        <f>VLOOKUP('Statistika okresy'!$B123,Body!$B$3:$AR$172,39,FALSE)</f>
        <v>52.472342295030252</v>
      </c>
      <c r="AH123" s="264">
        <f>VLOOKUP('Statistika okresy'!$B123,Body!$B$3:$AR$172,40,FALSE)</f>
        <v>89.389189654367783</v>
      </c>
      <c r="AI123" s="264">
        <f>VLOOKUP('Statistika okresy'!$B123,Body!$B$3:$AR$172,41,FALSE)</f>
        <v>79.192910990341787</v>
      </c>
      <c r="AJ123" s="390"/>
      <c r="AK123" s="407">
        <f>VLOOKUP('Statistika okresy'!$B123,Body!$B$3:$AR$172,43,FALSE)</f>
        <v>176.58210064470956</v>
      </c>
    </row>
    <row r="124" spans="1:37" ht="15.5" x14ac:dyDescent="0.35">
      <c r="A124" s="382">
        <v>854</v>
      </c>
      <c r="B124" s="156" t="s">
        <v>562</v>
      </c>
      <c r="C124" s="352" t="s">
        <v>963</v>
      </c>
      <c r="D124" s="264">
        <f>VLOOKUP('Statistika okresy'!$B124,Body!$B$3:$AR$172,3,FALSE)</f>
        <v>5</v>
      </c>
      <c r="E124" s="264">
        <f>VLOOKUP('Statistika okresy'!$B124,Body!$B$3:$AR$172,4,FALSE)</f>
        <v>6</v>
      </c>
      <c r="F124" s="264">
        <f>VLOOKUP('Statistika okresy'!$B124,Body!$B$3:$AR$172,5,FALSE)</f>
        <v>3</v>
      </c>
      <c r="G124" s="264">
        <f>VLOOKUP('Statistika okresy'!$B124,Body!$B$3:$AR$172,6,FALSE)</f>
        <v>3</v>
      </c>
      <c r="H124" s="264">
        <f>VLOOKUP('Statistika okresy'!$B124,Body!$B$3:$AR$172,7,FALSE)</f>
        <v>10</v>
      </c>
      <c r="I124" s="264">
        <f>VLOOKUP('Statistika okresy'!$B124,Body!$B$3:$AR$172,8,FALSE)</f>
        <v>8</v>
      </c>
      <c r="J124" s="264">
        <f>VLOOKUP('Statistika okresy'!$B124,Body!$B$3:$AR$172,9,FALSE)</f>
        <v>3</v>
      </c>
      <c r="K124" s="264">
        <f>VLOOKUP('Statistika okresy'!$B124,Body!$B$3:$AR$172,10,FALSE)</f>
        <v>2</v>
      </c>
      <c r="L124" s="264">
        <f>VLOOKUP('Statistika okresy'!$B124,Body!$B$3:$AR$172,11,FALSE)</f>
        <v>4</v>
      </c>
      <c r="M124" s="264">
        <f>VLOOKUP('Statistika okresy'!$B124,Body!$B$3:$AR$172,12,FALSE)</f>
        <v>5</v>
      </c>
      <c r="N124" s="264">
        <f>VLOOKUP('Statistika okresy'!$B124,Body!$B$3:$AR$172,13,FALSE)</f>
        <v>6</v>
      </c>
      <c r="O124" s="264">
        <f>VLOOKUP('Statistika okresy'!$B124,Body!$B$3:$AR$172,14,FALSE)</f>
        <v>7</v>
      </c>
      <c r="P124" s="264">
        <f>VLOOKUP('Statistika okresy'!$B124,Body!$B$3:$AR$172,15,FALSE)</f>
        <v>6</v>
      </c>
      <c r="Q124" s="264">
        <f>VLOOKUP('Statistika okresy'!$B124,Body!$B$3:$AR$172,16,FALSE)</f>
        <v>4</v>
      </c>
      <c r="R124" s="264">
        <f>VLOOKUP('Statistika okresy'!$B124,Body!$B$3:$AR$172,17,FALSE)</f>
        <v>3</v>
      </c>
      <c r="S124" s="264">
        <f>VLOOKUP('Statistika okresy'!$B124,Body!$B$3:$AR$172,18,FALSE)</f>
        <v>7</v>
      </c>
      <c r="T124" s="264">
        <f>VLOOKUP('Statistika okresy'!$B124,Body!$B$3:$AR$172,19,FALSE)</f>
        <v>7</v>
      </c>
      <c r="U124" s="264">
        <f>VLOOKUP('Statistika okresy'!$B124,Body!$B$3:$AR$172,20,FALSE)</f>
        <v>5</v>
      </c>
      <c r="V124" s="264">
        <f>VLOOKUP('Statistika okresy'!$B124,Body!$B$3:$AR$172,21,FALSE)</f>
        <v>5</v>
      </c>
      <c r="W124" s="264">
        <f>VLOOKUP('Statistika okresy'!$B124,Body!$B$3:$AR$172,22,FALSE)</f>
        <v>5</v>
      </c>
      <c r="X124" s="264">
        <f>VLOOKUP('Statistika okresy'!$B124,Body!$B$3:$AR$172,23,FALSE)</f>
        <v>9</v>
      </c>
      <c r="Y124" s="264">
        <f>VLOOKUP('Statistika okresy'!$B124,Body!$B$3:$AR$172,24,FALSE)</f>
        <v>5</v>
      </c>
      <c r="Z124" s="264">
        <f>VLOOKUP('Statistika okresy'!$B124,Body!$B$3:$AR$172,25,FALSE)</f>
        <v>10</v>
      </c>
      <c r="AA124" s="264">
        <f>VLOOKUP('Statistika okresy'!$B124,Body!$B$3:$AR$172,26,FALSE)</f>
        <v>10</v>
      </c>
      <c r="AB124" s="264">
        <f>VLOOKUP('Statistika okresy'!$B124,Body!$B$3:$AR$172,27,FALSE)</f>
        <v>10</v>
      </c>
      <c r="AC124" s="265">
        <f>VLOOKUP('Statistika okresy'!$B124,Body!$B$3:$AR$172,35,FALSE)</f>
        <v>16.000000000000014</v>
      </c>
      <c r="AD124" s="264">
        <f>VLOOKUP('Statistika okresy'!$B124,Body!$B$3:$AR$172,36,FALSE)</f>
        <v>27.155750337191439</v>
      </c>
      <c r="AE124" s="264">
        <f>VLOOKUP('Statistika okresy'!$B124,Body!$B$3:$AR$172,37,FALSE)</f>
        <v>27.085119669237578</v>
      </c>
      <c r="AF124" s="264">
        <f>VLOOKUP('Statistika okresy'!$B124,Body!$B$3:$AR$172,38,FALSE)</f>
        <v>58.293127007058345</v>
      </c>
      <c r="AG124" s="264">
        <f>VLOOKUP('Statistika okresy'!$B124,Body!$B$3:$AR$172,39,FALSE)</f>
        <v>58.293127007058345</v>
      </c>
      <c r="AH124" s="264">
        <f>VLOOKUP('Statistika okresy'!$B124,Body!$B$3:$AR$172,40,FALSE)</f>
        <v>85.44887734424978</v>
      </c>
      <c r="AI124" s="264">
        <f>VLOOKUP('Statistika okresy'!$B124,Body!$B$3:$AR$172,41,FALSE)</f>
        <v>85.37824667629593</v>
      </c>
      <c r="AJ124" s="390"/>
      <c r="AK124" s="407">
        <f>VLOOKUP('Statistika okresy'!$B124,Body!$B$3:$AR$172,43,FALSE)</f>
        <v>186.82712402054574</v>
      </c>
    </row>
    <row r="125" spans="1:37" ht="15.5" x14ac:dyDescent="0.35">
      <c r="A125" s="382">
        <v>857</v>
      </c>
      <c r="B125" s="156" t="s">
        <v>560</v>
      </c>
      <c r="C125" s="352" t="s">
        <v>963</v>
      </c>
      <c r="D125" s="264">
        <f>VLOOKUP('Statistika okresy'!$B125,Body!$B$3:$AR$172,3,FALSE)</f>
        <v>4</v>
      </c>
      <c r="E125" s="264">
        <f>VLOOKUP('Statistika okresy'!$B125,Body!$B$3:$AR$172,4,FALSE)</f>
        <v>4</v>
      </c>
      <c r="F125" s="264">
        <f>VLOOKUP('Statistika okresy'!$B125,Body!$B$3:$AR$172,5,FALSE)</f>
        <v>4</v>
      </c>
      <c r="G125" s="264">
        <f>VLOOKUP('Statistika okresy'!$B125,Body!$B$3:$AR$172,6,FALSE)</f>
        <v>2</v>
      </c>
      <c r="H125" s="264">
        <f>VLOOKUP('Statistika okresy'!$B125,Body!$B$3:$AR$172,7,FALSE)</f>
        <v>1</v>
      </c>
      <c r="I125" s="264">
        <f>VLOOKUP('Statistika okresy'!$B125,Body!$B$3:$AR$172,8,FALSE)</f>
        <v>1</v>
      </c>
      <c r="J125" s="264">
        <f>VLOOKUP('Statistika okresy'!$B125,Body!$B$3:$AR$172,9,FALSE)</f>
        <v>2</v>
      </c>
      <c r="K125" s="264">
        <f>VLOOKUP('Statistika okresy'!$B125,Body!$B$3:$AR$172,10,FALSE)</f>
        <v>1</v>
      </c>
      <c r="L125" s="264">
        <f>VLOOKUP('Statistika okresy'!$B125,Body!$B$3:$AR$172,11,FALSE)</f>
        <v>4</v>
      </c>
      <c r="M125" s="264">
        <f>VLOOKUP('Statistika okresy'!$B125,Body!$B$3:$AR$172,12,FALSE)</f>
        <v>4</v>
      </c>
      <c r="N125" s="264">
        <f>VLOOKUP('Statistika okresy'!$B125,Body!$B$3:$AR$172,13,FALSE)</f>
        <v>5</v>
      </c>
      <c r="O125" s="264">
        <f>VLOOKUP('Statistika okresy'!$B125,Body!$B$3:$AR$172,14,FALSE)</f>
        <v>6</v>
      </c>
      <c r="P125" s="264">
        <f>VLOOKUP('Statistika okresy'!$B125,Body!$B$3:$AR$172,15,FALSE)</f>
        <v>5</v>
      </c>
      <c r="Q125" s="264">
        <f>VLOOKUP('Statistika okresy'!$B125,Body!$B$3:$AR$172,16,FALSE)</f>
        <v>3</v>
      </c>
      <c r="R125" s="264">
        <f>VLOOKUP('Statistika okresy'!$B125,Body!$B$3:$AR$172,17,FALSE)</f>
        <v>3</v>
      </c>
      <c r="S125" s="264">
        <f>VLOOKUP('Statistika okresy'!$B125,Body!$B$3:$AR$172,18,FALSE)</f>
        <v>8</v>
      </c>
      <c r="T125" s="264">
        <f>VLOOKUP('Statistika okresy'!$B125,Body!$B$3:$AR$172,19,FALSE)</f>
        <v>7</v>
      </c>
      <c r="U125" s="264">
        <f>VLOOKUP('Statistika okresy'!$B125,Body!$B$3:$AR$172,20,FALSE)</f>
        <v>5</v>
      </c>
      <c r="V125" s="264">
        <f>VLOOKUP('Statistika okresy'!$B125,Body!$B$3:$AR$172,21,FALSE)</f>
        <v>6</v>
      </c>
      <c r="W125" s="264">
        <f>VLOOKUP('Statistika okresy'!$B125,Body!$B$3:$AR$172,22,FALSE)</f>
        <v>10</v>
      </c>
      <c r="X125" s="264">
        <f>VLOOKUP('Statistika okresy'!$B125,Body!$B$3:$AR$172,23,FALSE)</f>
        <v>5</v>
      </c>
      <c r="Y125" s="264">
        <f>VLOOKUP('Statistika okresy'!$B125,Body!$B$3:$AR$172,24,FALSE)</f>
        <v>8</v>
      </c>
      <c r="Z125" s="264">
        <f>VLOOKUP('Statistika okresy'!$B125,Body!$B$3:$AR$172,25,FALSE)</f>
        <v>10</v>
      </c>
      <c r="AA125" s="264">
        <f>VLOOKUP('Statistika okresy'!$B125,Body!$B$3:$AR$172,26,FALSE)</f>
        <v>5</v>
      </c>
      <c r="AB125" s="264">
        <f>VLOOKUP('Statistika okresy'!$B125,Body!$B$3:$AR$172,27,FALSE)</f>
        <v>5</v>
      </c>
      <c r="AC125" s="265">
        <f>VLOOKUP('Statistika okresy'!$B125,Body!$B$3:$AR$172,35,FALSE)</f>
        <v>8.0000000000000071</v>
      </c>
      <c r="AD125" s="264">
        <f>VLOOKUP('Statistika okresy'!$B125,Body!$B$3:$AR$172,36,FALSE)</f>
        <v>23.642513691629397</v>
      </c>
      <c r="AE125" s="264">
        <f>VLOOKUP('Statistika okresy'!$B125,Body!$B$3:$AR$172,37,FALSE)</f>
        <v>20.506684634157551</v>
      </c>
      <c r="AF125" s="264">
        <f>VLOOKUP('Statistika okresy'!$B125,Body!$B$3:$AR$172,38,FALSE)</f>
        <v>62.171141712436025</v>
      </c>
      <c r="AG125" s="264">
        <f>VLOOKUP('Statistika okresy'!$B125,Body!$B$3:$AR$172,39,FALSE)</f>
        <v>64.435890584167979</v>
      </c>
      <c r="AH125" s="264">
        <f>VLOOKUP('Statistika okresy'!$B125,Body!$B$3:$AR$172,40,FALSE)</f>
        <v>85.813655404065429</v>
      </c>
      <c r="AI125" s="264">
        <f>VLOOKUP('Statistika okresy'!$B125,Body!$B$3:$AR$172,41,FALSE)</f>
        <v>84.94257521832553</v>
      </c>
      <c r="AJ125" s="390"/>
      <c r="AK125" s="407">
        <f>VLOOKUP('Statistika okresy'!$B125,Body!$B$3:$AR$172,43,FALSE)</f>
        <v>178.75623062239094</v>
      </c>
    </row>
    <row r="126" spans="1:37" ht="15.5" x14ac:dyDescent="0.35">
      <c r="A126" s="382">
        <v>860</v>
      </c>
      <c r="B126" s="156" t="s">
        <v>557</v>
      </c>
      <c r="C126" s="352" t="s">
        <v>963</v>
      </c>
      <c r="D126" s="264">
        <f>VLOOKUP('Statistika okresy'!$B126,Body!$B$3:$AR$172,3,FALSE)</f>
        <v>4</v>
      </c>
      <c r="E126" s="264">
        <f>VLOOKUP('Statistika okresy'!$B126,Body!$B$3:$AR$172,4,FALSE)</f>
        <v>5</v>
      </c>
      <c r="F126" s="264">
        <f>VLOOKUP('Statistika okresy'!$B126,Body!$B$3:$AR$172,5,FALSE)</f>
        <v>6</v>
      </c>
      <c r="G126" s="264">
        <f>VLOOKUP('Statistika okresy'!$B126,Body!$B$3:$AR$172,6,FALSE)</f>
        <v>4</v>
      </c>
      <c r="H126" s="264">
        <f>VLOOKUP('Statistika okresy'!$B126,Body!$B$3:$AR$172,7,FALSE)</f>
        <v>1</v>
      </c>
      <c r="I126" s="264">
        <f>VLOOKUP('Statistika okresy'!$B126,Body!$B$3:$AR$172,8,FALSE)</f>
        <v>1</v>
      </c>
      <c r="J126" s="264">
        <f>VLOOKUP('Statistika okresy'!$B126,Body!$B$3:$AR$172,9,FALSE)</f>
        <v>5</v>
      </c>
      <c r="K126" s="264">
        <f>VLOOKUP('Statistika okresy'!$B126,Body!$B$3:$AR$172,10,FALSE)</f>
        <v>3</v>
      </c>
      <c r="L126" s="264">
        <f>VLOOKUP('Statistika okresy'!$B126,Body!$B$3:$AR$172,11,FALSE)</f>
        <v>6</v>
      </c>
      <c r="M126" s="264">
        <f>VLOOKUP('Statistika okresy'!$B126,Body!$B$3:$AR$172,12,FALSE)</f>
        <v>5</v>
      </c>
      <c r="N126" s="264">
        <f>VLOOKUP('Statistika okresy'!$B126,Body!$B$3:$AR$172,13,FALSE)</f>
        <v>5</v>
      </c>
      <c r="O126" s="264">
        <f>VLOOKUP('Statistika okresy'!$B126,Body!$B$3:$AR$172,14,FALSE)</f>
        <v>5</v>
      </c>
      <c r="P126" s="264">
        <f>VLOOKUP('Statistika okresy'!$B126,Body!$B$3:$AR$172,15,FALSE)</f>
        <v>5</v>
      </c>
      <c r="Q126" s="264">
        <f>VLOOKUP('Statistika okresy'!$B126,Body!$B$3:$AR$172,16,FALSE)</f>
        <v>3</v>
      </c>
      <c r="R126" s="264">
        <f>VLOOKUP('Statistika okresy'!$B126,Body!$B$3:$AR$172,17,FALSE)</f>
        <v>3</v>
      </c>
      <c r="S126" s="264">
        <f>VLOOKUP('Statistika okresy'!$B126,Body!$B$3:$AR$172,18,FALSE)</f>
        <v>10</v>
      </c>
      <c r="T126" s="264">
        <f>VLOOKUP('Statistika okresy'!$B126,Body!$B$3:$AR$172,19,FALSE)</f>
        <v>9</v>
      </c>
      <c r="U126" s="264">
        <f>VLOOKUP('Statistika okresy'!$B126,Body!$B$3:$AR$172,20,FALSE)</f>
        <v>5</v>
      </c>
      <c r="V126" s="264">
        <f>VLOOKUP('Statistika okresy'!$B126,Body!$B$3:$AR$172,21,FALSE)</f>
        <v>8</v>
      </c>
      <c r="W126" s="264">
        <f>VLOOKUP('Statistika okresy'!$B126,Body!$B$3:$AR$172,22,FALSE)</f>
        <v>6</v>
      </c>
      <c r="X126" s="264">
        <f>VLOOKUP('Statistika okresy'!$B126,Body!$B$3:$AR$172,23,FALSE)</f>
        <v>5</v>
      </c>
      <c r="Y126" s="264">
        <f>VLOOKUP('Statistika okresy'!$B126,Body!$B$3:$AR$172,24,FALSE)</f>
        <v>8</v>
      </c>
      <c r="Z126" s="264">
        <f>VLOOKUP('Statistika okresy'!$B126,Body!$B$3:$AR$172,25,FALSE)</f>
        <v>10</v>
      </c>
      <c r="AA126" s="264">
        <f>VLOOKUP('Statistika okresy'!$B126,Body!$B$3:$AR$172,26,FALSE)</f>
        <v>10</v>
      </c>
      <c r="AB126" s="264">
        <f>VLOOKUP('Statistika okresy'!$B126,Body!$B$3:$AR$172,27,FALSE)</f>
        <v>5</v>
      </c>
      <c r="AC126" s="265">
        <f>VLOOKUP('Statistika okresy'!$B126,Body!$B$3:$AR$172,35,FALSE)</f>
        <v>14.666666666666682</v>
      </c>
      <c r="AD126" s="264">
        <f>VLOOKUP('Statistika okresy'!$B126,Body!$B$3:$AR$172,36,FALSE)</f>
        <v>29.260320184625179</v>
      </c>
      <c r="AE126" s="264">
        <f>VLOOKUP('Statistika okresy'!$B126,Body!$B$3:$AR$172,37,FALSE)</f>
        <v>24.82091795620104</v>
      </c>
      <c r="AF126" s="264">
        <f>VLOOKUP('Statistika okresy'!$B126,Body!$B$3:$AR$172,38,FALSE)</f>
        <v>73.087576040991991</v>
      </c>
      <c r="AG126" s="264">
        <f>VLOOKUP('Statistika okresy'!$B126,Body!$B$3:$AR$172,39,FALSE)</f>
        <v>66.084765669512024</v>
      </c>
      <c r="AH126" s="264">
        <f>VLOOKUP('Statistika okresy'!$B126,Body!$B$3:$AR$172,40,FALSE)</f>
        <v>102.34789622561718</v>
      </c>
      <c r="AI126" s="264">
        <f>VLOOKUP('Statistika okresy'!$B126,Body!$B$3:$AR$172,41,FALSE)</f>
        <v>90.905683625713067</v>
      </c>
      <c r="AJ126" s="390"/>
      <c r="AK126" s="407">
        <f>VLOOKUP('Statistika okresy'!$B126,Body!$B$3:$AR$172,43,FALSE)</f>
        <v>207.92024651799693</v>
      </c>
    </row>
    <row r="127" spans="1:37" ht="15.5" x14ac:dyDescent="0.35">
      <c r="A127" s="382">
        <v>863</v>
      </c>
      <c r="B127" s="156" t="s">
        <v>120</v>
      </c>
      <c r="C127" s="352" t="s">
        <v>963</v>
      </c>
      <c r="D127" s="264">
        <f>VLOOKUP('Statistika okresy'!$B127,Body!$B$3:$AR$172,3,FALSE)</f>
        <v>4</v>
      </c>
      <c r="E127" s="264">
        <f>VLOOKUP('Statistika okresy'!$B127,Body!$B$3:$AR$172,4,FALSE)</f>
        <v>4</v>
      </c>
      <c r="F127" s="264">
        <f>VLOOKUP('Statistika okresy'!$B127,Body!$B$3:$AR$172,5,FALSE)</f>
        <v>3</v>
      </c>
      <c r="G127" s="264">
        <f>VLOOKUP('Statistika okresy'!$B127,Body!$B$3:$AR$172,6,FALSE)</f>
        <v>2</v>
      </c>
      <c r="H127" s="264">
        <f>VLOOKUP('Statistika okresy'!$B127,Body!$B$3:$AR$172,7,FALSE)</f>
        <v>1</v>
      </c>
      <c r="I127" s="264">
        <f>VLOOKUP('Statistika okresy'!$B127,Body!$B$3:$AR$172,8,FALSE)</f>
        <v>7</v>
      </c>
      <c r="J127" s="264">
        <f>VLOOKUP('Statistika okresy'!$B127,Body!$B$3:$AR$172,9,FALSE)</f>
        <v>2</v>
      </c>
      <c r="K127" s="264">
        <f>VLOOKUP('Statistika okresy'!$B127,Body!$B$3:$AR$172,10,FALSE)</f>
        <v>2</v>
      </c>
      <c r="L127" s="264">
        <f>VLOOKUP('Statistika okresy'!$B127,Body!$B$3:$AR$172,11,FALSE)</f>
        <v>5</v>
      </c>
      <c r="M127" s="264">
        <f>VLOOKUP('Statistika okresy'!$B127,Body!$B$3:$AR$172,12,FALSE)</f>
        <v>5</v>
      </c>
      <c r="N127" s="264">
        <f>VLOOKUP('Statistika okresy'!$B127,Body!$B$3:$AR$172,13,FALSE)</f>
        <v>5</v>
      </c>
      <c r="O127" s="264">
        <f>VLOOKUP('Statistika okresy'!$B127,Body!$B$3:$AR$172,14,FALSE)</f>
        <v>6</v>
      </c>
      <c r="P127" s="264">
        <f>VLOOKUP('Statistika okresy'!$B127,Body!$B$3:$AR$172,15,FALSE)</f>
        <v>10</v>
      </c>
      <c r="Q127" s="264">
        <f>VLOOKUP('Statistika okresy'!$B127,Body!$B$3:$AR$172,16,FALSE)</f>
        <v>3</v>
      </c>
      <c r="R127" s="264">
        <f>VLOOKUP('Statistika okresy'!$B127,Body!$B$3:$AR$172,17,FALSE)</f>
        <v>4</v>
      </c>
      <c r="S127" s="264">
        <f>VLOOKUP('Statistika okresy'!$B127,Body!$B$3:$AR$172,18,FALSE)</f>
        <v>9</v>
      </c>
      <c r="T127" s="264">
        <f>VLOOKUP('Statistika okresy'!$B127,Body!$B$3:$AR$172,19,FALSE)</f>
        <v>9</v>
      </c>
      <c r="U127" s="264">
        <f>VLOOKUP('Statistika okresy'!$B127,Body!$B$3:$AR$172,20,FALSE)</f>
        <v>5</v>
      </c>
      <c r="V127" s="264">
        <f>VLOOKUP('Statistika okresy'!$B127,Body!$B$3:$AR$172,21,FALSE)</f>
        <v>5</v>
      </c>
      <c r="W127" s="264">
        <f>VLOOKUP('Statistika okresy'!$B127,Body!$B$3:$AR$172,22,FALSE)</f>
        <v>6</v>
      </c>
      <c r="X127" s="264">
        <f>VLOOKUP('Statistika okresy'!$B127,Body!$B$3:$AR$172,23,FALSE)</f>
        <v>8</v>
      </c>
      <c r="Y127" s="264">
        <f>VLOOKUP('Statistika okresy'!$B127,Body!$B$3:$AR$172,24,FALSE)</f>
        <v>5</v>
      </c>
      <c r="Z127" s="264">
        <f>VLOOKUP('Statistika okresy'!$B127,Body!$B$3:$AR$172,25,FALSE)</f>
        <v>1</v>
      </c>
      <c r="AA127" s="264">
        <f>VLOOKUP('Statistika okresy'!$B127,Body!$B$3:$AR$172,26,FALSE)</f>
        <v>10</v>
      </c>
      <c r="AB127" s="264">
        <f>VLOOKUP('Statistika okresy'!$B127,Body!$B$3:$AR$172,27,FALSE)</f>
        <v>10</v>
      </c>
      <c r="AC127" s="265">
        <f>VLOOKUP('Statistika okresy'!$B127,Body!$B$3:$AR$172,35,FALSE)</f>
        <v>16.000000000000014</v>
      </c>
      <c r="AD127" s="264">
        <f>VLOOKUP('Statistika okresy'!$B127,Body!$B$3:$AR$172,36,FALSE)</f>
        <v>26.41559955477959</v>
      </c>
      <c r="AE127" s="264">
        <f>VLOOKUP('Statistika okresy'!$B127,Body!$B$3:$AR$172,37,FALSE)</f>
        <v>27.915403645238754</v>
      </c>
      <c r="AF127" s="264">
        <f>VLOOKUP('Statistika okresy'!$B127,Body!$B$3:$AR$172,38,FALSE)</f>
        <v>61.94394307145096</v>
      </c>
      <c r="AG127" s="264">
        <f>VLOOKUP('Statistika okresy'!$B127,Body!$B$3:$AR$172,39,FALSE)</f>
        <v>63.488536278652951</v>
      </c>
      <c r="AH127" s="264">
        <f>VLOOKUP('Statistika okresy'!$B127,Body!$B$3:$AR$172,40,FALSE)</f>
        <v>88.359542626230549</v>
      </c>
      <c r="AI127" s="264">
        <f>VLOOKUP('Statistika okresy'!$B127,Body!$B$3:$AR$172,41,FALSE)</f>
        <v>91.403939923891699</v>
      </c>
      <c r="AJ127" s="390"/>
      <c r="AK127" s="407">
        <f>VLOOKUP('Statistika okresy'!$B127,Body!$B$3:$AR$172,43,FALSE)</f>
        <v>195.76348255012226</v>
      </c>
    </row>
    <row r="128" spans="1:37" ht="15.5" x14ac:dyDescent="0.35">
      <c r="A128" s="382">
        <v>1018</v>
      </c>
      <c r="B128" s="156" t="s">
        <v>554</v>
      </c>
      <c r="C128" s="352" t="s">
        <v>963</v>
      </c>
      <c r="D128" s="264">
        <f>VLOOKUP('Statistika okresy'!$B128,Body!$B$3:$AR$172,3,FALSE)</f>
        <v>5</v>
      </c>
      <c r="E128" s="264">
        <f>VLOOKUP('Statistika okresy'!$B128,Body!$B$3:$AR$172,4,FALSE)</f>
        <v>4</v>
      </c>
      <c r="F128" s="264">
        <f>VLOOKUP('Statistika okresy'!$B128,Body!$B$3:$AR$172,5,FALSE)</f>
        <v>5</v>
      </c>
      <c r="G128" s="264">
        <f>VLOOKUP('Statistika okresy'!$B128,Body!$B$3:$AR$172,6,FALSE)</f>
        <v>3</v>
      </c>
      <c r="H128" s="264">
        <f>VLOOKUP('Statistika okresy'!$B128,Body!$B$3:$AR$172,7,FALSE)</f>
        <v>1</v>
      </c>
      <c r="I128" s="264">
        <f>VLOOKUP('Statistika okresy'!$B128,Body!$B$3:$AR$172,8,FALSE)</f>
        <v>1</v>
      </c>
      <c r="J128" s="264">
        <f>VLOOKUP('Statistika okresy'!$B128,Body!$B$3:$AR$172,9,FALSE)</f>
        <v>5</v>
      </c>
      <c r="K128" s="264">
        <f>VLOOKUP('Statistika okresy'!$B128,Body!$B$3:$AR$172,10,FALSE)</f>
        <v>2</v>
      </c>
      <c r="L128" s="264">
        <f>VLOOKUP('Statistika okresy'!$B128,Body!$B$3:$AR$172,11,FALSE)</f>
        <v>6</v>
      </c>
      <c r="M128" s="264">
        <f>VLOOKUP('Statistika okresy'!$B128,Body!$B$3:$AR$172,12,FALSE)</f>
        <v>7</v>
      </c>
      <c r="N128" s="264">
        <f>VLOOKUP('Statistika okresy'!$B128,Body!$B$3:$AR$172,13,FALSE)</f>
        <v>6</v>
      </c>
      <c r="O128" s="264">
        <f>VLOOKUP('Statistika okresy'!$B128,Body!$B$3:$AR$172,14,FALSE)</f>
        <v>7</v>
      </c>
      <c r="P128" s="264">
        <f>VLOOKUP('Statistika okresy'!$B128,Body!$B$3:$AR$172,15,FALSE)</f>
        <v>10</v>
      </c>
      <c r="Q128" s="264">
        <f>VLOOKUP('Statistika okresy'!$B128,Body!$B$3:$AR$172,16,FALSE)</f>
        <v>4</v>
      </c>
      <c r="R128" s="264">
        <f>VLOOKUP('Statistika okresy'!$B128,Body!$B$3:$AR$172,17,FALSE)</f>
        <v>4</v>
      </c>
      <c r="S128" s="264">
        <f>VLOOKUP('Statistika okresy'!$B128,Body!$B$3:$AR$172,18,FALSE)</f>
        <v>10</v>
      </c>
      <c r="T128" s="264">
        <f>VLOOKUP('Statistika okresy'!$B128,Body!$B$3:$AR$172,19,FALSE)</f>
        <v>10</v>
      </c>
      <c r="U128" s="264">
        <f>VLOOKUP('Statistika okresy'!$B128,Body!$B$3:$AR$172,20,FALSE)</f>
        <v>5</v>
      </c>
      <c r="V128" s="264">
        <f>VLOOKUP('Statistika okresy'!$B128,Body!$B$3:$AR$172,21,FALSE)</f>
        <v>6</v>
      </c>
      <c r="W128" s="264">
        <f>VLOOKUP('Statistika okresy'!$B128,Body!$B$3:$AR$172,22,FALSE)</f>
        <v>8</v>
      </c>
      <c r="X128" s="264">
        <f>VLOOKUP('Statistika okresy'!$B128,Body!$B$3:$AR$172,23,FALSE)</f>
        <v>9</v>
      </c>
      <c r="Y128" s="264">
        <f>VLOOKUP('Statistika okresy'!$B128,Body!$B$3:$AR$172,24,FALSE)</f>
        <v>10</v>
      </c>
      <c r="Z128" s="264">
        <f>VLOOKUP('Statistika okresy'!$B128,Body!$B$3:$AR$172,25,FALSE)</f>
        <v>10</v>
      </c>
      <c r="AA128" s="264">
        <f>VLOOKUP('Statistika okresy'!$B128,Body!$B$3:$AR$172,26,FALSE)</f>
        <v>1</v>
      </c>
      <c r="AB128" s="264">
        <f>VLOOKUP('Statistika okresy'!$B128,Body!$B$3:$AR$172,27,FALSE)</f>
        <v>5</v>
      </c>
      <c r="AC128" s="265">
        <f>VLOOKUP('Statistika okresy'!$B128,Body!$B$3:$AR$172,35,FALSE)</f>
        <v>2.6666666666666687</v>
      </c>
      <c r="AD128" s="264">
        <f>VLOOKUP('Statistika okresy'!$B128,Body!$B$3:$AR$172,36,FALSE)</f>
        <v>33.727204117663199</v>
      </c>
      <c r="AE128" s="264">
        <f>VLOOKUP('Statistika okresy'!$B128,Body!$B$3:$AR$172,37,FALSE)</f>
        <v>30.513645817876096</v>
      </c>
      <c r="AF128" s="264">
        <f>VLOOKUP('Statistika okresy'!$B128,Body!$B$3:$AR$172,38,FALSE)</f>
        <v>73.871964887828781</v>
      </c>
      <c r="AG128" s="264">
        <f>VLOOKUP('Statistika okresy'!$B128,Body!$B$3:$AR$172,39,FALSE)</f>
        <v>76.96115130223275</v>
      </c>
      <c r="AH128" s="264">
        <f>VLOOKUP('Statistika okresy'!$B128,Body!$B$3:$AR$172,40,FALSE)</f>
        <v>107.59916900549197</v>
      </c>
      <c r="AI128" s="264">
        <f>VLOOKUP('Statistika okresy'!$B128,Body!$B$3:$AR$172,41,FALSE)</f>
        <v>107.47479712010885</v>
      </c>
      <c r="AJ128" s="390"/>
      <c r="AK128" s="407">
        <f>VLOOKUP('Statistika okresy'!$B128,Body!$B$3:$AR$172,43,FALSE)</f>
        <v>217.74063279226746</v>
      </c>
    </row>
    <row r="129" spans="1:37" ht="15.5" x14ac:dyDescent="0.35">
      <c r="A129" s="382">
        <v>1021</v>
      </c>
      <c r="B129" s="156" t="s">
        <v>549</v>
      </c>
      <c r="C129" s="352" t="s">
        <v>963</v>
      </c>
      <c r="D129" s="264">
        <f>VLOOKUP('Statistika okresy'!$B129,Body!$B$3:$AR$172,3,FALSE)</f>
        <v>9</v>
      </c>
      <c r="E129" s="264">
        <f>VLOOKUP('Statistika okresy'!$B129,Body!$B$3:$AR$172,4,FALSE)</f>
        <v>6</v>
      </c>
      <c r="F129" s="264">
        <f>VLOOKUP('Statistika okresy'!$B129,Body!$B$3:$AR$172,5,FALSE)</f>
        <v>3</v>
      </c>
      <c r="G129" s="264">
        <f>VLOOKUP('Statistika okresy'!$B129,Body!$B$3:$AR$172,6,FALSE)</f>
        <v>2</v>
      </c>
      <c r="H129" s="264">
        <f>VLOOKUP('Statistika okresy'!$B129,Body!$B$3:$AR$172,7,FALSE)</f>
        <v>1</v>
      </c>
      <c r="I129" s="264">
        <f>VLOOKUP('Statistika okresy'!$B129,Body!$B$3:$AR$172,8,FALSE)</f>
        <v>1</v>
      </c>
      <c r="J129" s="264">
        <f>VLOOKUP('Statistika okresy'!$B129,Body!$B$3:$AR$172,9,FALSE)</f>
        <v>2</v>
      </c>
      <c r="K129" s="264">
        <f>VLOOKUP('Statistika okresy'!$B129,Body!$B$3:$AR$172,10,FALSE)</f>
        <v>1</v>
      </c>
      <c r="L129" s="264">
        <f>VLOOKUP('Statistika okresy'!$B129,Body!$B$3:$AR$172,11,FALSE)</f>
        <v>3</v>
      </c>
      <c r="M129" s="264">
        <f>VLOOKUP('Statistika okresy'!$B129,Body!$B$3:$AR$172,12,FALSE)</f>
        <v>3</v>
      </c>
      <c r="N129" s="264">
        <f>VLOOKUP('Statistika okresy'!$B129,Body!$B$3:$AR$172,13,FALSE)</f>
        <v>7</v>
      </c>
      <c r="O129" s="264">
        <f>VLOOKUP('Statistika okresy'!$B129,Body!$B$3:$AR$172,14,FALSE)</f>
        <v>7</v>
      </c>
      <c r="P129" s="264">
        <f>VLOOKUP('Statistika okresy'!$B129,Body!$B$3:$AR$172,15,FALSE)</f>
        <v>5</v>
      </c>
      <c r="Q129" s="264">
        <f>VLOOKUP('Statistika okresy'!$B129,Body!$B$3:$AR$172,16,FALSE)</f>
        <v>3</v>
      </c>
      <c r="R129" s="264">
        <f>VLOOKUP('Statistika okresy'!$B129,Body!$B$3:$AR$172,17,FALSE)</f>
        <v>5</v>
      </c>
      <c r="S129" s="264">
        <f>VLOOKUP('Statistika okresy'!$B129,Body!$B$3:$AR$172,18,FALSE)</f>
        <v>8</v>
      </c>
      <c r="T129" s="264">
        <f>VLOOKUP('Statistika okresy'!$B129,Body!$B$3:$AR$172,19,FALSE)</f>
        <v>10</v>
      </c>
      <c r="U129" s="264">
        <f>VLOOKUP('Statistika okresy'!$B129,Body!$B$3:$AR$172,20,FALSE)</f>
        <v>3</v>
      </c>
      <c r="V129" s="264">
        <f>VLOOKUP('Statistika okresy'!$B129,Body!$B$3:$AR$172,21,FALSE)</f>
        <v>5</v>
      </c>
      <c r="W129" s="264">
        <f>VLOOKUP('Statistika okresy'!$B129,Body!$B$3:$AR$172,22,FALSE)</f>
        <v>6</v>
      </c>
      <c r="X129" s="264">
        <f>VLOOKUP('Statistika okresy'!$B129,Body!$B$3:$AR$172,23,FALSE)</f>
        <v>5</v>
      </c>
      <c r="Y129" s="264">
        <f>VLOOKUP('Statistika okresy'!$B129,Body!$B$3:$AR$172,24,FALSE)</f>
        <v>8</v>
      </c>
      <c r="Z129" s="264">
        <f>VLOOKUP('Statistika okresy'!$B129,Body!$B$3:$AR$172,25,FALSE)</f>
        <v>10</v>
      </c>
      <c r="AA129" s="264">
        <f>VLOOKUP('Statistika okresy'!$B129,Body!$B$3:$AR$172,26,FALSE)</f>
        <v>5</v>
      </c>
      <c r="AB129" s="264">
        <f>VLOOKUP('Statistika okresy'!$B129,Body!$B$3:$AR$172,27,FALSE)</f>
        <v>5</v>
      </c>
      <c r="AC129" s="265">
        <f>VLOOKUP('Statistika okresy'!$B129,Body!$B$3:$AR$172,35,FALSE)</f>
        <v>8.0000000000000071</v>
      </c>
      <c r="AD129" s="264">
        <f>VLOOKUP('Statistika okresy'!$B129,Body!$B$3:$AR$172,36,FALSE)</f>
        <v>24.408358979095631</v>
      </c>
      <c r="AE129" s="264">
        <f>VLOOKUP('Statistika okresy'!$B129,Body!$B$3:$AR$172,37,FALSE)</f>
        <v>23.742371305898754</v>
      </c>
      <c r="AF129" s="264">
        <f>VLOOKUP('Statistika okresy'!$B129,Body!$B$3:$AR$172,38,FALSE)</f>
        <v>56.462306205919198</v>
      </c>
      <c r="AG129" s="264">
        <f>VLOOKUP('Statistika okresy'!$B129,Body!$B$3:$AR$172,39,FALSE)</f>
        <v>65.834147327273158</v>
      </c>
      <c r="AH129" s="264">
        <f>VLOOKUP('Statistika okresy'!$B129,Body!$B$3:$AR$172,40,FALSE)</f>
        <v>80.870665185014829</v>
      </c>
      <c r="AI129" s="264">
        <f>VLOOKUP('Statistika okresy'!$B129,Body!$B$3:$AR$172,41,FALSE)</f>
        <v>89.576518633171915</v>
      </c>
      <c r="AJ129" s="390"/>
      <c r="AK129" s="407">
        <f>VLOOKUP('Statistika okresy'!$B129,Body!$B$3:$AR$172,43,FALSE)</f>
        <v>178.44718381818674</v>
      </c>
    </row>
    <row r="130" spans="1:37" ht="15.5" x14ac:dyDescent="0.35">
      <c r="A130" s="382">
        <v>1024</v>
      </c>
      <c r="B130" s="156" t="s">
        <v>119</v>
      </c>
      <c r="C130" s="352" t="s">
        <v>963</v>
      </c>
      <c r="D130" s="264">
        <f>VLOOKUP('Statistika okresy'!$B130,Body!$B$3:$AR$172,3,FALSE)</f>
        <v>7</v>
      </c>
      <c r="E130" s="264">
        <f>VLOOKUP('Statistika okresy'!$B130,Body!$B$3:$AR$172,4,FALSE)</f>
        <v>6</v>
      </c>
      <c r="F130" s="264">
        <f>VLOOKUP('Statistika okresy'!$B130,Body!$B$3:$AR$172,5,FALSE)</f>
        <v>3</v>
      </c>
      <c r="G130" s="264">
        <f>VLOOKUP('Statistika okresy'!$B130,Body!$B$3:$AR$172,6,FALSE)</f>
        <v>2</v>
      </c>
      <c r="H130" s="264">
        <f>VLOOKUP('Statistika okresy'!$B130,Body!$B$3:$AR$172,7,FALSE)</f>
        <v>1</v>
      </c>
      <c r="I130" s="264">
        <f>VLOOKUP('Statistika okresy'!$B130,Body!$B$3:$AR$172,8,FALSE)</f>
        <v>6</v>
      </c>
      <c r="J130" s="264">
        <f>VLOOKUP('Statistika okresy'!$B130,Body!$B$3:$AR$172,9,FALSE)</f>
        <v>2</v>
      </c>
      <c r="K130" s="264">
        <f>VLOOKUP('Statistika okresy'!$B130,Body!$B$3:$AR$172,10,FALSE)</f>
        <v>2</v>
      </c>
      <c r="L130" s="264">
        <f>VLOOKUP('Statistika okresy'!$B130,Body!$B$3:$AR$172,11,FALSE)</f>
        <v>3</v>
      </c>
      <c r="M130" s="264">
        <f>VLOOKUP('Statistika okresy'!$B130,Body!$B$3:$AR$172,12,FALSE)</f>
        <v>3</v>
      </c>
      <c r="N130" s="264">
        <f>VLOOKUP('Statistika okresy'!$B130,Body!$B$3:$AR$172,13,FALSE)</f>
        <v>8</v>
      </c>
      <c r="O130" s="264">
        <f>VLOOKUP('Statistika okresy'!$B130,Body!$B$3:$AR$172,14,FALSE)</f>
        <v>8</v>
      </c>
      <c r="P130" s="264">
        <f>VLOOKUP('Statistika okresy'!$B130,Body!$B$3:$AR$172,15,FALSE)</f>
        <v>5</v>
      </c>
      <c r="Q130" s="264">
        <f>VLOOKUP('Statistika okresy'!$B130,Body!$B$3:$AR$172,16,FALSE)</f>
        <v>4</v>
      </c>
      <c r="R130" s="264">
        <f>VLOOKUP('Statistika okresy'!$B130,Body!$B$3:$AR$172,17,FALSE)</f>
        <v>4</v>
      </c>
      <c r="S130" s="264">
        <f>VLOOKUP('Statistika okresy'!$B130,Body!$B$3:$AR$172,18,FALSE)</f>
        <v>8</v>
      </c>
      <c r="T130" s="264">
        <f>VLOOKUP('Statistika okresy'!$B130,Body!$B$3:$AR$172,19,FALSE)</f>
        <v>8</v>
      </c>
      <c r="U130" s="264">
        <f>VLOOKUP('Statistika okresy'!$B130,Body!$B$3:$AR$172,20,FALSE)</f>
        <v>5</v>
      </c>
      <c r="V130" s="264">
        <f>VLOOKUP('Statistika okresy'!$B130,Body!$B$3:$AR$172,21,FALSE)</f>
        <v>5</v>
      </c>
      <c r="W130" s="264">
        <f>VLOOKUP('Statistika okresy'!$B130,Body!$B$3:$AR$172,22,FALSE)</f>
        <v>6</v>
      </c>
      <c r="X130" s="264">
        <f>VLOOKUP('Statistika okresy'!$B130,Body!$B$3:$AR$172,23,FALSE)</f>
        <v>5</v>
      </c>
      <c r="Y130" s="264">
        <f>VLOOKUP('Statistika okresy'!$B130,Body!$B$3:$AR$172,24,FALSE)</f>
        <v>5</v>
      </c>
      <c r="Z130" s="264">
        <f>VLOOKUP('Statistika okresy'!$B130,Body!$B$3:$AR$172,25,FALSE)</f>
        <v>1</v>
      </c>
      <c r="AA130" s="264">
        <f>VLOOKUP('Statistika okresy'!$B130,Body!$B$3:$AR$172,26,FALSE)</f>
        <v>5</v>
      </c>
      <c r="AB130" s="264">
        <f>VLOOKUP('Statistika okresy'!$B130,Body!$B$3:$AR$172,27,FALSE)</f>
        <v>10</v>
      </c>
      <c r="AC130" s="265">
        <f>VLOOKUP('Statistika okresy'!$B130,Body!$B$3:$AR$172,35,FALSE)</f>
        <v>9.3333333333333428</v>
      </c>
      <c r="AD130" s="264">
        <f>VLOOKUP('Statistika okresy'!$B130,Body!$B$3:$AR$172,36,FALSE)</f>
        <v>25.738373491359738</v>
      </c>
      <c r="AE130" s="264">
        <f>VLOOKUP('Statistika okresy'!$B130,Body!$B$3:$AR$172,37,FALSE)</f>
        <v>24.669327807479448</v>
      </c>
      <c r="AF130" s="264">
        <f>VLOOKUP('Statistika okresy'!$B130,Body!$B$3:$AR$172,38,FALSE)</f>
        <v>55.813149509146527</v>
      </c>
      <c r="AG130" s="264">
        <f>VLOOKUP('Statistika okresy'!$B130,Body!$B$3:$AR$172,39,FALSE)</f>
        <v>57.357742716348518</v>
      </c>
      <c r="AH130" s="264">
        <f>VLOOKUP('Statistika okresy'!$B130,Body!$B$3:$AR$172,40,FALSE)</f>
        <v>81.551523000506265</v>
      </c>
      <c r="AI130" s="264">
        <f>VLOOKUP('Statistika okresy'!$B130,Body!$B$3:$AR$172,41,FALSE)</f>
        <v>82.027070523827973</v>
      </c>
      <c r="AJ130" s="390"/>
      <c r="AK130" s="407">
        <f>VLOOKUP('Statistika okresy'!$B130,Body!$B$3:$AR$172,43,FALSE)</f>
        <v>172.91192685766757</v>
      </c>
    </row>
    <row r="131" spans="1:37" ht="15.5" x14ac:dyDescent="0.35">
      <c r="A131" s="382">
        <v>1027</v>
      </c>
      <c r="B131" s="156" t="s">
        <v>536</v>
      </c>
      <c r="C131" s="352" t="s">
        <v>963</v>
      </c>
      <c r="D131" s="264">
        <f>VLOOKUP('Statistika okresy'!$B131,Body!$B$3:$AR$172,3,FALSE)</f>
        <v>8</v>
      </c>
      <c r="E131" s="264">
        <f>VLOOKUP('Statistika okresy'!$B131,Body!$B$3:$AR$172,4,FALSE)</f>
        <v>7</v>
      </c>
      <c r="F131" s="264">
        <f>VLOOKUP('Statistika okresy'!$B131,Body!$B$3:$AR$172,5,FALSE)</f>
        <v>3</v>
      </c>
      <c r="G131" s="264">
        <f>VLOOKUP('Statistika okresy'!$B131,Body!$B$3:$AR$172,6,FALSE)</f>
        <v>2</v>
      </c>
      <c r="H131" s="264">
        <f>VLOOKUP('Statistika okresy'!$B131,Body!$B$3:$AR$172,7,FALSE)</f>
        <v>10</v>
      </c>
      <c r="I131" s="264">
        <f>VLOOKUP('Statistika okresy'!$B131,Body!$B$3:$AR$172,8,FALSE)</f>
        <v>8</v>
      </c>
      <c r="J131" s="264">
        <f>VLOOKUP('Statistika okresy'!$B131,Body!$B$3:$AR$172,9,FALSE)</f>
        <v>3</v>
      </c>
      <c r="K131" s="264">
        <f>VLOOKUP('Statistika okresy'!$B131,Body!$B$3:$AR$172,10,FALSE)</f>
        <v>2</v>
      </c>
      <c r="L131" s="264">
        <f>VLOOKUP('Statistika okresy'!$B131,Body!$B$3:$AR$172,11,FALSE)</f>
        <v>2</v>
      </c>
      <c r="M131" s="264">
        <f>VLOOKUP('Statistika okresy'!$B131,Body!$B$3:$AR$172,12,FALSE)</f>
        <v>1</v>
      </c>
      <c r="N131" s="264">
        <f>VLOOKUP('Statistika okresy'!$B131,Body!$B$3:$AR$172,13,FALSE)</f>
        <v>8</v>
      </c>
      <c r="O131" s="264">
        <f>VLOOKUP('Statistika okresy'!$B131,Body!$B$3:$AR$172,14,FALSE)</f>
        <v>8</v>
      </c>
      <c r="P131" s="264">
        <f>VLOOKUP('Statistika okresy'!$B131,Body!$B$3:$AR$172,15,FALSE)</f>
        <v>10</v>
      </c>
      <c r="Q131" s="264">
        <f>VLOOKUP('Statistika okresy'!$B131,Body!$B$3:$AR$172,16,FALSE)</f>
        <v>2</v>
      </c>
      <c r="R131" s="264">
        <f>VLOOKUP('Statistika okresy'!$B131,Body!$B$3:$AR$172,17,FALSE)</f>
        <v>2</v>
      </c>
      <c r="S131" s="264">
        <f>VLOOKUP('Statistika okresy'!$B131,Body!$B$3:$AR$172,18,FALSE)</f>
        <v>4</v>
      </c>
      <c r="T131" s="264">
        <f>VLOOKUP('Statistika okresy'!$B131,Body!$B$3:$AR$172,19,FALSE)</f>
        <v>4</v>
      </c>
      <c r="U131" s="264">
        <f>VLOOKUP('Statistika okresy'!$B131,Body!$B$3:$AR$172,20,FALSE)</f>
        <v>6</v>
      </c>
      <c r="V131" s="264">
        <f>VLOOKUP('Statistika okresy'!$B131,Body!$B$3:$AR$172,21,FALSE)</f>
        <v>6</v>
      </c>
      <c r="W131" s="264">
        <f>VLOOKUP('Statistika okresy'!$B131,Body!$B$3:$AR$172,22,FALSE)</f>
        <v>7</v>
      </c>
      <c r="X131" s="264">
        <f>VLOOKUP('Statistika okresy'!$B131,Body!$B$3:$AR$172,23,FALSE)</f>
        <v>9</v>
      </c>
      <c r="Y131" s="264">
        <f>VLOOKUP('Statistika okresy'!$B131,Body!$B$3:$AR$172,24,FALSE)</f>
        <v>10</v>
      </c>
      <c r="Z131" s="264">
        <f>VLOOKUP('Statistika okresy'!$B131,Body!$B$3:$AR$172,25,FALSE)</f>
        <v>10</v>
      </c>
      <c r="AA131" s="264">
        <f>VLOOKUP('Statistika okresy'!$B131,Body!$B$3:$AR$172,26,FALSE)</f>
        <v>1</v>
      </c>
      <c r="AB131" s="264">
        <f>VLOOKUP('Statistika okresy'!$B131,Body!$B$3:$AR$172,27,FALSE)</f>
        <v>10</v>
      </c>
      <c r="AC131" s="265">
        <f>VLOOKUP('Statistika okresy'!$B131,Body!$B$3:$AR$172,35,FALSE)</f>
        <v>4.0000000000000036</v>
      </c>
      <c r="AD131" s="264">
        <f>VLOOKUP('Statistika okresy'!$B131,Body!$B$3:$AR$172,36,FALSE)</f>
        <v>29.258026642685227</v>
      </c>
      <c r="AE131" s="264">
        <f>VLOOKUP('Statistika okresy'!$B131,Body!$B$3:$AR$172,37,FALSE)</f>
        <v>25.753675771044072</v>
      </c>
      <c r="AF131" s="264">
        <f>VLOOKUP('Statistika okresy'!$B131,Body!$B$3:$AR$172,38,FALSE)</f>
        <v>52.472342295030252</v>
      </c>
      <c r="AG131" s="264">
        <f>VLOOKUP('Statistika okresy'!$B131,Body!$B$3:$AR$172,39,FALSE)</f>
        <v>54.016935502232236</v>
      </c>
      <c r="AH131" s="264">
        <f>VLOOKUP('Statistika okresy'!$B131,Body!$B$3:$AR$172,40,FALSE)</f>
        <v>81.730368937715483</v>
      </c>
      <c r="AI131" s="264">
        <f>VLOOKUP('Statistika okresy'!$B131,Body!$B$3:$AR$172,41,FALSE)</f>
        <v>79.770611273276302</v>
      </c>
      <c r="AJ131" s="390"/>
      <c r="AK131" s="407">
        <f>VLOOKUP('Statistika okresy'!$B131,Body!$B$3:$AR$172,43,FALSE)</f>
        <v>165.50098021099177</v>
      </c>
    </row>
    <row r="132" spans="1:37" ht="15.5" x14ac:dyDescent="0.35">
      <c r="A132" s="382">
        <v>1030</v>
      </c>
      <c r="B132" s="156" t="s">
        <v>537</v>
      </c>
      <c r="C132" s="352" t="s">
        <v>963</v>
      </c>
      <c r="D132" s="264">
        <f>VLOOKUP('Statistika okresy'!$B132,Body!$B$3:$AR$172,3,FALSE)</f>
        <v>6</v>
      </c>
      <c r="E132" s="264">
        <f>VLOOKUP('Statistika okresy'!$B132,Body!$B$3:$AR$172,4,FALSE)</f>
        <v>6</v>
      </c>
      <c r="F132" s="264">
        <f>VLOOKUP('Statistika okresy'!$B132,Body!$B$3:$AR$172,5,FALSE)</f>
        <v>3</v>
      </c>
      <c r="G132" s="264">
        <f>VLOOKUP('Statistika okresy'!$B132,Body!$B$3:$AR$172,6,FALSE)</f>
        <v>2</v>
      </c>
      <c r="H132" s="264">
        <f>VLOOKUP('Statistika okresy'!$B132,Body!$B$3:$AR$172,7,FALSE)</f>
        <v>10</v>
      </c>
      <c r="I132" s="264">
        <f>VLOOKUP('Statistika okresy'!$B132,Body!$B$3:$AR$172,8,FALSE)</f>
        <v>8</v>
      </c>
      <c r="J132" s="264">
        <f>VLOOKUP('Statistika okresy'!$B132,Body!$B$3:$AR$172,9,FALSE)</f>
        <v>1</v>
      </c>
      <c r="K132" s="264">
        <f>VLOOKUP('Statistika okresy'!$B132,Body!$B$3:$AR$172,10,FALSE)</f>
        <v>1</v>
      </c>
      <c r="L132" s="264">
        <f>VLOOKUP('Statistika okresy'!$B132,Body!$B$3:$AR$172,11,FALSE)</f>
        <v>1</v>
      </c>
      <c r="M132" s="264">
        <f>VLOOKUP('Statistika okresy'!$B132,Body!$B$3:$AR$172,12,FALSE)</f>
        <v>1</v>
      </c>
      <c r="N132" s="264">
        <f>VLOOKUP('Statistika okresy'!$B132,Body!$B$3:$AR$172,13,FALSE)</f>
        <v>8</v>
      </c>
      <c r="O132" s="264">
        <f>VLOOKUP('Statistika okresy'!$B132,Body!$B$3:$AR$172,14,FALSE)</f>
        <v>8</v>
      </c>
      <c r="P132" s="264">
        <f>VLOOKUP('Statistika okresy'!$B132,Body!$B$3:$AR$172,15,FALSE)</f>
        <v>3</v>
      </c>
      <c r="Q132" s="264">
        <f>VLOOKUP('Statistika okresy'!$B132,Body!$B$3:$AR$172,16,FALSE)</f>
        <v>2</v>
      </c>
      <c r="R132" s="264">
        <f>VLOOKUP('Statistika okresy'!$B132,Body!$B$3:$AR$172,17,FALSE)</f>
        <v>2</v>
      </c>
      <c r="S132" s="264">
        <f>VLOOKUP('Statistika okresy'!$B132,Body!$B$3:$AR$172,18,FALSE)</f>
        <v>4</v>
      </c>
      <c r="T132" s="264">
        <f>VLOOKUP('Statistika okresy'!$B132,Body!$B$3:$AR$172,19,FALSE)</f>
        <v>3</v>
      </c>
      <c r="U132" s="264">
        <f>VLOOKUP('Statistika okresy'!$B132,Body!$B$3:$AR$172,20,FALSE)</f>
        <v>6</v>
      </c>
      <c r="V132" s="264">
        <f>VLOOKUP('Statistika okresy'!$B132,Body!$B$3:$AR$172,21,FALSE)</f>
        <v>5</v>
      </c>
      <c r="W132" s="264">
        <f>VLOOKUP('Statistika okresy'!$B132,Body!$B$3:$AR$172,22,FALSE)</f>
        <v>7</v>
      </c>
      <c r="X132" s="264">
        <f>VLOOKUP('Statistika okresy'!$B132,Body!$B$3:$AR$172,23,FALSE)</f>
        <v>10</v>
      </c>
      <c r="Y132" s="264">
        <f>VLOOKUP('Statistika okresy'!$B132,Body!$B$3:$AR$172,24,FALSE)</f>
        <v>10</v>
      </c>
      <c r="Z132" s="264">
        <f>VLOOKUP('Statistika okresy'!$B132,Body!$B$3:$AR$172,25,FALSE)</f>
        <v>10</v>
      </c>
      <c r="AA132" s="264">
        <f>VLOOKUP('Statistika okresy'!$B132,Body!$B$3:$AR$172,26,FALSE)</f>
        <v>3</v>
      </c>
      <c r="AB132" s="264">
        <f>VLOOKUP('Statistika okresy'!$B132,Body!$B$3:$AR$172,27,FALSE)</f>
        <v>5</v>
      </c>
      <c r="AC132" s="265">
        <f>VLOOKUP('Statistika okresy'!$B132,Body!$B$3:$AR$172,35,FALSE)</f>
        <v>5.3333333333333375</v>
      </c>
      <c r="AD132" s="264">
        <f>VLOOKUP('Statistika okresy'!$B132,Body!$B$3:$AR$172,36,FALSE)</f>
        <v>21.9537792555845</v>
      </c>
      <c r="AE132" s="264">
        <f>VLOOKUP('Statistika okresy'!$B132,Body!$B$3:$AR$172,37,FALSE)</f>
        <v>19.627832648514989</v>
      </c>
      <c r="AF132" s="264">
        <f>VLOOKUP('Statistika okresy'!$B132,Body!$B$3:$AR$172,38,FALSE)</f>
        <v>51.666805622904413</v>
      </c>
      <c r="AG132" s="264">
        <f>VLOOKUP('Statistika okresy'!$B132,Body!$B$3:$AR$172,39,FALSE)</f>
        <v>50.842368080232397</v>
      </c>
      <c r="AH132" s="264">
        <f>VLOOKUP('Statistika okresy'!$B132,Body!$B$3:$AR$172,40,FALSE)</f>
        <v>73.620584878488913</v>
      </c>
      <c r="AI132" s="264">
        <f>VLOOKUP('Statistika okresy'!$B132,Body!$B$3:$AR$172,41,FALSE)</f>
        <v>70.470200728747386</v>
      </c>
      <c r="AJ132" s="390"/>
      <c r="AK132" s="407">
        <f>VLOOKUP('Statistika okresy'!$B132,Body!$B$3:$AR$172,43,FALSE)</f>
        <v>149.42411894056963</v>
      </c>
    </row>
    <row r="133" spans="1:37" ht="15.5" x14ac:dyDescent="0.35">
      <c r="A133" s="382">
        <v>1033</v>
      </c>
      <c r="B133" s="156" t="s">
        <v>129</v>
      </c>
      <c r="C133" s="352" t="s">
        <v>963</v>
      </c>
      <c r="D133" s="264">
        <f>VLOOKUP('Statistika okresy'!$B133,Body!$B$3:$AR$172,3,FALSE)</f>
        <v>5</v>
      </c>
      <c r="E133" s="264">
        <f>VLOOKUP('Statistika okresy'!$B133,Body!$B$3:$AR$172,4,FALSE)</f>
        <v>5</v>
      </c>
      <c r="F133" s="264">
        <f>VLOOKUP('Statistika okresy'!$B133,Body!$B$3:$AR$172,5,FALSE)</f>
        <v>3</v>
      </c>
      <c r="G133" s="264">
        <f>VLOOKUP('Statistika okresy'!$B133,Body!$B$3:$AR$172,6,FALSE)</f>
        <v>2</v>
      </c>
      <c r="H133" s="264">
        <f>VLOOKUP('Statistika okresy'!$B133,Body!$B$3:$AR$172,7,FALSE)</f>
        <v>1</v>
      </c>
      <c r="I133" s="264">
        <f>VLOOKUP('Statistika okresy'!$B133,Body!$B$3:$AR$172,8,FALSE)</f>
        <v>1</v>
      </c>
      <c r="J133" s="264">
        <f>VLOOKUP('Statistika okresy'!$B133,Body!$B$3:$AR$172,9,FALSE)</f>
        <v>2</v>
      </c>
      <c r="K133" s="264">
        <f>VLOOKUP('Statistika okresy'!$B133,Body!$B$3:$AR$172,10,FALSE)</f>
        <v>2</v>
      </c>
      <c r="L133" s="264">
        <f>VLOOKUP('Statistika okresy'!$B133,Body!$B$3:$AR$172,11,FALSE)</f>
        <v>3</v>
      </c>
      <c r="M133" s="264">
        <f>VLOOKUP('Statistika okresy'!$B133,Body!$B$3:$AR$172,12,FALSE)</f>
        <v>3</v>
      </c>
      <c r="N133" s="264">
        <f>VLOOKUP('Statistika okresy'!$B133,Body!$B$3:$AR$172,13,FALSE)</f>
        <v>7</v>
      </c>
      <c r="O133" s="264">
        <f>VLOOKUP('Statistika okresy'!$B133,Body!$B$3:$AR$172,14,FALSE)</f>
        <v>8</v>
      </c>
      <c r="P133" s="264">
        <f>VLOOKUP('Statistika okresy'!$B133,Body!$B$3:$AR$172,15,FALSE)</f>
        <v>5</v>
      </c>
      <c r="Q133" s="264">
        <f>VLOOKUP('Statistika okresy'!$B133,Body!$B$3:$AR$172,16,FALSE)</f>
        <v>3</v>
      </c>
      <c r="R133" s="264">
        <f>VLOOKUP('Statistika okresy'!$B133,Body!$B$3:$AR$172,17,FALSE)</f>
        <v>3</v>
      </c>
      <c r="S133" s="264">
        <f>VLOOKUP('Statistika okresy'!$B133,Body!$B$3:$AR$172,18,FALSE)</f>
        <v>7</v>
      </c>
      <c r="T133" s="264">
        <f>VLOOKUP('Statistika okresy'!$B133,Body!$B$3:$AR$172,19,FALSE)</f>
        <v>8</v>
      </c>
      <c r="U133" s="264">
        <f>VLOOKUP('Statistika okresy'!$B133,Body!$B$3:$AR$172,20,FALSE)</f>
        <v>5</v>
      </c>
      <c r="V133" s="264">
        <f>VLOOKUP('Statistika okresy'!$B133,Body!$B$3:$AR$172,21,FALSE)</f>
        <v>5</v>
      </c>
      <c r="W133" s="264">
        <f>VLOOKUP('Statistika okresy'!$B133,Body!$B$3:$AR$172,22,FALSE)</f>
        <v>10</v>
      </c>
      <c r="X133" s="264">
        <f>VLOOKUP('Statistika okresy'!$B133,Body!$B$3:$AR$172,23,FALSE)</f>
        <v>9</v>
      </c>
      <c r="Y133" s="264">
        <f>VLOOKUP('Statistika okresy'!$B133,Body!$B$3:$AR$172,24,FALSE)</f>
        <v>8</v>
      </c>
      <c r="Z133" s="264">
        <f>VLOOKUP('Statistika okresy'!$B133,Body!$B$3:$AR$172,25,FALSE)</f>
        <v>10</v>
      </c>
      <c r="AA133" s="264">
        <f>VLOOKUP('Statistika okresy'!$B133,Body!$B$3:$AR$172,26,FALSE)</f>
        <v>3</v>
      </c>
      <c r="AB133" s="264">
        <f>VLOOKUP('Statistika okresy'!$B133,Body!$B$3:$AR$172,27,FALSE)</f>
        <v>5</v>
      </c>
      <c r="AC133" s="265">
        <f>VLOOKUP('Statistika okresy'!$B133,Body!$B$3:$AR$172,35,FALSE)</f>
        <v>5.3333333333333375</v>
      </c>
      <c r="AD133" s="264">
        <f>VLOOKUP('Statistika okresy'!$B133,Body!$B$3:$AR$172,36,FALSE)</f>
        <v>23.06018699521595</v>
      </c>
      <c r="AE133" s="264">
        <f>VLOOKUP('Statistika okresy'!$B133,Body!$B$3:$AR$172,37,FALSE)</f>
        <v>21.988907834798123</v>
      </c>
      <c r="AF133" s="264">
        <f>VLOOKUP('Statistika okresy'!$B133,Body!$B$3:$AR$172,38,FALSE)</f>
        <v>59.669150688462629</v>
      </c>
      <c r="AG133" s="264">
        <f>VLOOKUP('Statistika okresy'!$B133,Body!$B$3:$AR$172,39,FALSE)</f>
        <v>71.305740681548556</v>
      </c>
      <c r="AH133" s="264">
        <f>VLOOKUP('Statistika okresy'!$B133,Body!$B$3:$AR$172,40,FALSE)</f>
        <v>82.72933768367858</v>
      </c>
      <c r="AI133" s="264">
        <f>VLOOKUP('Statistika okresy'!$B133,Body!$B$3:$AR$172,41,FALSE)</f>
        <v>93.294648516346683</v>
      </c>
      <c r="AJ133" s="390"/>
      <c r="AK133" s="407">
        <f>VLOOKUP('Statistika okresy'!$B133,Body!$B$3:$AR$172,43,FALSE)</f>
        <v>181.35731953335861</v>
      </c>
    </row>
    <row r="134" spans="1:37" ht="15.5" x14ac:dyDescent="0.35">
      <c r="A134" s="382">
        <v>1036</v>
      </c>
      <c r="B134" s="156" t="s">
        <v>123</v>
      </c>
      <c r="C134" s="352" t="s">
        <v>963</v>
      </c>
      <c r="D134" s="264">
        <f>VLOOKUP('Statistika okresy'!$B134,Body!$B$3:$AR$172,3,FALSE)</f>
        <v>6</v>
      </c>
      <c r="E134" s="264">
        <f>VLOOKUP('Statistika okresy'!$B134,Body!$B$3:$AR$172,4,FALSE)</f>
        <v>6</v>
      </c>
      <c r="F134" s="264">
        <f>VLOOKUP('Statistika okresy'!$B134,Body!$B$3:$AR$172,5,FALSE)</f>
        <v>3</v>
      </c>
      <c r="G134" s="264">
        <f>VLOOKUP('Statistika okresy'!$B134,Body!$B$3:$AR$172,6,FALSE)</f>
        <v>2</v>
      </c>
      <c r="H134" s="264">
        <f>VLOOKUP('Statistika okresy'!$B134,Body!$B$3:$AR$172,7,FALSE)</f>
        <v>1</v>
      </c>
      <c r="I134" s="264">
        <f>VLOOKUP('Statistika okresy'!$B134,Body!$B$3:$AR$172,8,FALSE)</f>
        <v>1</v>
      </c>
      <c r="J134" s="264">
        <f>VLOOKUP('Statistika okresy'!$B134,Body!$B$3:$AR$172,9,FALSE)</f>
        <v>1</v>
      </c>
      <c r="K134" s="264">
        <f>VLOOKUP('Statistika okresy'!$B134,Body!$B$3:$AR$172,10,FALSE)</f>
        <v>1</v>
      </c>
      <c r="L134" s="264">
        <f>VLOOKUP('Statistika okresy'!$B134,Body!$B$3:$AR$172,11,FALSE)</f>
        <v>4</v>
      </c>
      <c r="M134" s="264">
        <f>VLOOKUP('Statistika okresy'!$B134,Body!$B$3:$AR$172,12,FALSE)</f>
        <v>4</v>
      </c>
      <c r="N134" s="264">
        <f>VLOOKUP('Statistika okresy'!$B134,Body!$B$3:$AR$172,13,FALSE)</f>
        <v>7</v>
      </c>
      <c r="O134" s="264">
        <f>VLOOKUP('Statistika okresy'!$B134,Body!$B$3:$AR$172,14,FALSE)</f>
        <v>7</v>
      </c>
      <c r="P134" s="264">
        <f>VLOOKUP('Statistika okresy'!$B134,Body!$B$3:$AR$172,15,FALSE)</f>
        <v>10</v>
      </c>
      <c r="Q134" s="264">
        <f>VLOOKUP('Statistika okresy'!$B134,Body!$B$3:$AR$172,16,FALSE)</f>
        <v>4</v>
      </c>
      <c r="R134" s="264">
        <f>VLOOKUP('Statistika okresy'!$B134,Body!$B$3:$AR$172,17,FALSE)</f>
        <v>4</v>
      </c>
      <c r="S134" s="264">
        <f>VLOOKUP('Statistika okresy'!$B134,Body!$B$3:$AR$172,18,FALSE)</f>
        <v>8</v>
      </c>
      <c r="T134" s="264">
        <f>VLOOKUP('Statistika okresy'!$B134,Body!$B$3:$AR$172,19,FALSE)</f>
        <v>8</v>
      </c>
      <c r="U134" s="264">
        <f>VLOOKUP('Statistika okresy'!$B134,Body!$B$3:$AR$172,20,FALSE)</f>
        <v>5</v>
      </c>
      <c r="V134" s="264">
        <f>VLOOKUP('Statistika okresy'!$B134,Body!$B$3:$AR$172,21,FALSE)</f>
        <v>6</v>
      </c>
      <c r="W134" s="264">
        <f>VLOOKUP('Statistika okresy'!$B134,Body!$B$3:$AR$172,22,FALSE)</f>
        <v>6</v>
      </c>
      <c r="X134" s="264">
        <f>VLOOKUP('Statistika okresy'!$B134,Body!$B$3:$AR$172,23,FALSE)</f>
        <v>5</v>
      </c>
      <c r="Y134" s="264">
        <f>VLOOKUP('Statistika okresy'!$B134,Body!$B$3:$AR$172,24,FALSE)</f>
        <v>8</v>
      </c>
      <c r="Z134" s="264">
        <f>VLOOKUP('Statistika okresy'!$B134,Body!$B$3:$AR$172,25,FALSE)</f>
        <v>10</v>
      </c>
      <c r="AA134" s="264">
        <f>VLOOKUP('Statistika okresy'!$B134,Body!$B$3:$AR$172,26,FALSE)</f>
        <v>10</v>
      </c>
      <c r="AB134" s="264">
        <f>VLOOKUP('Statistika okresy'!$B134,Body!$B$3:$AR$172,27,FALSE)</f>
        <v>5</v>
      </c>
      <c r="AC134" s="265">
        <f>VLOOKUP('Statistika okresy'!$B134,Body!$B$3:$AR$172,35,FALSE)</f>
        <v>14.666666666666682</v>
      </c>
      <c r="AD134" s="264">
        <f>VLOOKUP('Statistika okresy'!$B134,Body!$B$3:$AR$172,36,FALSE)</f>
        <v>29.051679680642152</v>
      </c>
      <c r="AE134" s="264">
        <f>VLOOKUP('Statistika okresy'!$B134,Body!$B$3:$AR$172,37,FALSE)</f>
        <v>27.181145621903823</v>
      </c>
      <c r="AF134" s="264">
        <f>VLOOKUP('Statistika okresy'!$B134,Body!$B$3:$AR$172,38,FALSE)</f>
        <v>62.171141712436025</v>
      </c>
      <c r="AG134" s="264">
        <f>VLOOKUP('Statistika okresy'!$B134,Body!$B$3:$AR$172,39,FALSE)</f>
        <v>62.171141712436025</v>
      </c>
      <c r="AH134" s="264">
        <f>VLOOKUP('Statistika okresy'!$B134,Body!$B$3:$AR$172,40,FALSE)</f>
        <v>91.222821393078178</v>
      </c>
      <c r="AI134" s="264">
        <f>VLOOKUP('Statistika okresy'!$B134,Body!$B$3:$AR$172,41,FALSE)</f>
        <v>89.352287334339849</v>
      </c>
      <c r="AJ134" s="390"/>
      <c r="AK134" s="407">
        <f>VLOOKUP('Statistika okresy'!$B134,Body!$B$3:$AR$172,43,FALSE)</f>
        <v>195.2417753940847</v>
      </c>
    </row>
    <row r="135" spans="1:37" ht="15.5" x14ac:dyDescent="0.35">
      <c r="A135" s="382">
        <v>1039</v>
      </c>
      <c r="B135" s="156" t="s">
        <v>553</v>
      </c>
      <c r="C135" s="352" t="s">
        <v>963</v>
      </c>
      <c r="D135" s="264">
        <f>VLOOKUP('Statistika okresy'!$B135,Body!$B$3:$AR$172,3,FALSE)</f>
        <v>7</v>
      </c>
      <c r="E135" s="264">
        <f>VLOOKUP('Statistika okresy'!$B135,Body!$B$3:$AR$172,4,FALSE)</f>
        <v>8</v>
      </c>
      <c r="F135" s="264">
        <f>VLOOKUP('Statistika okresy'!$B135,Body!$B$3:$AR$172,5,FALSE)</f>
        <v>5</v>
      </c>
      <c r="G135" s="264">
        <f>VLOOKUP('Statistika okresy'!$B135,Body!$B$3:$AR$172,6,FALSE)</f>
        <v>4</v>
      </c>
      <c r="H135" s="264">
        <f>VLOOKUP('Statistika okresy'!$B135,Body!$B$3:$AR$172,7,FALSE)</f>
        <v>9</v>
      </c>
      <c r="I135" s="264">
        <f>VLOOKUP('Statistika okresy'!$B135,Body!$B$3:$AR$172,8,FALSE)</f>
        <v>7</v>
      </c>
      <c r="J135" s="264">
        <f>VLOOKUP('Statistika okresy'!$B135,Body!$B$3:$AR$172,9,FALSE)</f>
        <v>2</v>
      </c>
      <c r="K135" s="264">
        <f>VLOOKUP('Statistika okresy'!$B135,Body!$B$3:$AR$172,10,FALSE)</f>
        <v>1</v>
      </c>
      <c r="L135" s="264">
        <f>VLOOKUP('Statistika okresy'!$B135,Body!$B$3:$AR$172,11,FALSE)</f>
        <v>6</v>
      </c>
      <c r="M135" s="264">
        <f>VLOOKUP('Statistika okresy'!$B135,Body!$B$3:$AR$172,12,FALSE)</f>
        <v>5</v>
      </c>
      <c r="N135" s="264">
        <f>VLOOKUP('Statistika okresy'!$B135,Body!$B$3:$AR$172,13,FALSE)</f>
        <v>7</v>
      </c>
      <c r="O135" s="264">
        <f>VLOOKUP('Statistika okresy'!$B135,Body!$B$3:$AR$172,14,FALSE)</f>
        <v>8</v>
      </c>
      <c r="P135" s="264">
        <f>VLOOKUP('Statistika okresy'!$B135,Body!$B$3:$AR$172,15,FALSE)</f>
        <v>10</v>
      </c>
      <c r="Q135" s="264">
        <f>VLOOKUP('Statistika okresy'!$B135,Body!$B$3:$AR$172,16,FALSE)</f>
        <v>3</v>
      </c>
      <c r="R135" s="264">
        <f>VLOOKUP('Statistika okresy'!$B135,Body!$B$3:$AR$172,17,FALSE)</f>
        <v>3</v>
      </c>
      <c r="S135" s="264">
        <f>VLOOKUP('Statistika okresy'!$B135,Body!$B$3:$AR$172,18,FALSE)</f>
        <v>8</v>
      </c>
      <c r="T135" s="264">
        <f>VLOOKUP('Statistika okresy'!$B135,Body!$B$3:$AR$172,19,FALSE)</f>
        <v>8</v>
      </c>
      <c r="U135" s="264">
        <f>VLOOKUP('Statistika okresy'!$B135,Body!$B$3:$AR$172,20,FALSE)</f>
        <v>5</v>
      </c>
      <c r="V135" s="264">
        <f>VLOOKUP('Statistika okresy'!$B135,Body!$B$3:$AR$172,21,FALSE)</f>
        <v>5</v>
      </c>
      <c r="W135" s="264">
        <f>VLOOKUP('Statistika okresy'!$B135,Body!$B$3:$AR$172,22,FALSE)</f>
        <v>7</v>
      </c>
      <c r="X135" s="264">
        <f>VLOOKUP('Statistika okresy'!$B135,Body!$B$3:$AR$172,23,FALSE)</f>
        <v>2</v>
      </c>
      <c r="Y135" s="264">
        <f>VLOOKUP('Statistika okresy'!$B135,Body!$B$3:$AR$172,24,FALSE)</f>
        <v>8</v>
      </c>
      <c r="Z135" s="264">
        <f>VLOOKUP('Statistika okresy'!$B135,Body!$B$3:$AR$172,25,FALSE)</f>
        <v>10</v>
      </c>
      <c r="AA135" s="264">
        <f>VLOOKUP('Statistika okresy'!$B135,Body!$B$3:$AR$172,26,FALSE)</f>
        <v>10</v>
      </c>
      <c r="AB135" s="264">
        <f>VLOOKUP('Statistika okresy'!$B135,Body!$B$3:$AR$172,27,FALSE)</f>
        <v>10</v>
      </c>
      <c r="AC135" s="265">
        <f>VLOOKUP('Statistika okresy'!$B135,Body!$B$3:$AR$172,35,FALSE)</f>
        <v>16.000000000000014</v>
      </c>
      <c r="AD135" s="264">
        <f>VLOOKUP('Statistika okresy'!$B135,Body!$B$3:$AR$172,36,FALSE)</f>
        <v>35.235302080417767</v>
      </c>
      <c r="AE135" s="264">
        <f>VLOOKUP('Statistika okresy'!$B135,Body!$B$3:$AR$172,37,FALSE)</f>
        <v>33.204292099036948</v>
      </c>
      <c r="AF135" s="264">
        <f>VLOOKUP('Statistika okresy'!$B135,Body!$B$3:$AR$172,38,FALSE)</f>
        <v>58.409378900005613</v>
      </c>
      <c r="AG135" s="264">
        <f>VLOOKUP('Statistika okresy'!$B135,Body!$B$3:$AR$172,39,FALSE)</f>
        <v>61.498565314409582</v>
      </c>
      <c r="AH135" s="264">
        <f>VLOOKUP('Statistika okresy'!$B135,Body!$B$3:$AR$172,40,FALSE)</f>
        <v>93.644680980423374</v>
      </c>
      <c r="AI135" s="264">
        <f>VLOOKUP('Statistika okresy'!$B135,Body!$B$3:$AR$172,41,FALSE)</f>
        <v>94.702857413446537</v>
      </c>
      <c r="AJ135" s="390"/>
      <c r="AK135" s="407">
        <f>VLOOKUP('Statistika okresy'!$B135,Body!$B$3:$AR$172,43,FALSE)</f>
        <v>204.34753839386991</v>
      </c>
    </row>
    <row r="136" spans="1:37" ht="15.5" x14ac:dyDescent="0.35">
      <c r="A136" s="382">
        <v>1042</v>
      </c>
      <c r="B136" s="156" t="s">
        <v>528</v>
      </c>
      <c r="C136" s="352" t="s">
        <v>963</v>
      </c>
      <c r="D136" s="264">
        <f>VLOOKUP('Statistika okresy'!$B136,Body!$B$3:$AR$172,3,FALSE)</f>
        <v>6</v>
      </c>
      <c r="E136" s="264">
        <f>VLOOKUP('Statistika okresy'!$B136,Body!$B$3:$AR$172,4,FALSE)</f>
        <v>6</v>
      </c>
      <c r="F136" s="264">
        <f>VLOOKUP('Statistika okresy'!$B136,Body!$B$3:$AR$172,5,FALSE)</f>
        <v>4</v>
      </c>
      <c r="G136" s="264">
        <f>VLOOKUP('Statistika okresy'!$B136,Body!$B$3:$AR$172,6,FALSE)</f>
        <v>3</v>
      </c>
      <c r="H136" s="264">
        <f>VLOOKUP('Statistika okresy'!$B136,Body!$B$3:$AR$172,7,FALSE)</f>
        <v>3</v>
      </c>
      <c r="I136" s="264">
        <f>VLOOKUP('Statistika okresy'!$B136,Body!$B$3:$AR$172,8,FALSE)</f>
        <v>2</v>
      </c>
      <c r="J136" s="264">
        <f>VLOOKUP('Statistika okresy'!$B136,Body!$B$3:$AR$172,9,FALSE)</f>
        <v>3</v>
      </c>
      <c r="K136" s="264">
        <f>VLOOKUP('Statistika okresy'!$B136,Body!$B$3:$AR$172,10,FALSE)</f>
        <v>1</v>
      </c>
      <c r="L136" s="264">
        <f>VLOOKUP('Statistika okresy'!$B136,Body!$B$3:$AR$172,11,FALSE)</f>
        <v>4</v>
      </c>
      <c r="M136" s="264">
        <f>VLOOKUP('Statistika okresy'!$B136,Body!$B$3:$AR$172,12,FALSE)</f>
        <v>3</v>
      </c>
      <c r="N136" s="264">
        <f>VLOOKUP('Statistika okresy'!$B136,Body!$B$3:$AR$172,13,FALSE)</f>
        <v>6</v>
      </c>
      <c r="O136" s="264">
        <f>VLOOKUP('Statistika okresy'!$B136,Body!$B$3:$AR$172,14,FALSE)</f>
        <v>7</v>
      </c>
      <c r="P136" s="264">
        <f>VLOOKUP('Statistika okresy'!$B136,Body!$B$3:$AR$172,15,FALSE)</f>
        <v>5</v>
      </c>
      <c r="Q136" s="264">
        <f>VLOOKUP('Statistika okresy'!$B136,Body!$B$3:$AR$172,16,FALSE)</f>
        <v>3</v>
      </c>
      <c r="R136" s="264">
        <f>VLOOKUP('Statistika okresy'!$B136,Body!$B$3:$AR$172,17,FALSE)</f>
        <v>3</v>
      </c>
      <c r="S136" s="264">
        <f>VLOOKUP('Statistika okresy'!$B136,Body!$B$3:$AR$172,18,FALSE)</f>
        <v>7</v>
      </c>
      <c r="T136" s="264">
        <f>VLOOKUP('Statistika okresy'!$B136,Body!$B$3:$AR$172,19,FALSE)</f>
        <v>7</v>
      </c>
      <c r="U136" s="264">
        <f>VLOOKUP('Statistika okresy'!$B136,Body!$B$3:$AR$172,20,FALSE)</f>
        <v>5</v>
      </c>
      <c r="V136" s="264">
        <f>VLOOKUP('Statistika okresy'!$B136,Body!$B$3:$AR$172,21,FALSE)</f>
        <v>6</v>
      </c>
      <c r="W136" s="264">
        <f>VLOOKUP('Statistika okresy'!$B136,Body!$B$3:$AR$172,22,FALSE)</f>
        <v>5</v>
      </c>
      <c r="X136" s="264">
        <f>VLOOKUP('Statistika okresy'!$B136,Body!$B$3:$AR$172,23,FALSE)</f>
        <v>3</v>
      </c>
      <c r="Y136" s="264">
        <f>VLOOKUP('Statistika okresy'!$B136,Body!$B$3:$AR$172,24,FALSE)</f>
        <v>3</v>
      </c>
      <c r="Z136" s="264">
        <f>VLOOKUP('Statistika okresy'!$B136,Body!$B$3:$AR$172,25,FALSE)</f>
        <v>1</v>
      </c>
      <c r="AA136" s="264">
        <f>VLOOKUP('Statistika okresy'!$B136,Body!$B$3:$AR$172,26,FALSE)</f>
        <v>10</v>
      </c>
      <c r="AB136" s="264">
        <f>VLOOKUP('Statistika okresy'!$B136,Body!$B$3:$AR$172,27,FALSE)</f>
        <v>5</v>
      </c>
      <c r="AC136" s="265">
        <f>VLOOKUP('Statistika okresy'!$B136,Body!$B$3:$AR$172,35,FALSE)</f>
        <v>14.666666666666682</v>
      </c>
      <c r="AD136" s="264">
        <f>VLOOKUP('Statistika okresy'!$B136,Body!$B$3:$AR$172,36,FALSE)</f>
        <v>25.765282968536606</v>
      </c>
      <c r="AE136" s="264">
        <f>VLOOKUP('Statistika okresy'!$B136,Body!$B$3:$AR$172,37,FALSE)</f>
        <v>23.43092042703578</v>
      </c>
      <c r="AF136" s="264">
        <f>VLOOKUP('Statistika okresy'!$B136,Body!$B$3:$AR$172,38,FALSE)</f>
        <v>51.048656568184057</v>
      </c>
      <c r="AG136" s="264">
        <f>VLOOKUP('Statistika okresy'!$B136,Body!$B$3:$AR$172,39,FALSE)</f>
        <v>49.504063360982066</v>
      </c>
      <c r="AH136" s="264">
        <f>VLOOKUP('Statistika okresy'!$B136,Body!$B$3:$AR$172,40,FALSE)</f>
        <v>76.813939536720667</v>
      </c>
      <c r="AI136" s="264">
        <f>VLOOKUP('Statistika okresy'!$B136,Body!$B$3:$AR$172,41,FALSE)</f>
        <v>72.934983788017846</v>
      </c>
      <c r="AJ136" s="390"/>
      <c r="AK136" s="407">
        <f>VLOOKUP('Statistika okresy'!$B136,Body!$B$3:$AR$172,43,FALSE)</f>
        <v>164.4155899914052</v>
      </c>
    </row>
    <row r="137" spans="1:37" ht="15.5" x14ac:dyDescent="0.35">
      <c r="A137" s="382">
        <v>1045</v>
      </c>
      <c r="B137" s="156" t="s">
        <v>541</v>
      </c>
      <c r="C137" s="352" t="s">
        <v>963</v>
      </c>
      <c r="D137" s="264">
        <f>VLOOKUP('Statistika okresy'!$B137,Body!$B$3:$AR$172,3,FALSE)</f>
        <v>5</v>
      </c>
      <c r="E137" s="264">
        <f>VLOOKUP('Statistika okresy'!$B137,Body!$B$3:$AR$172,4,FALSE)</f>
        <v>5</v>
      </c>
      <c r="F137" s="264">
        <f>VLOOKUP('Statistika okresy'!$B137,Body!$B$3:$AR$172,5,FALSE)</f>
        <v>4</v>
      </c>
      <c r="G137" s="264">
        <f>VLOOKUP('Statistika okresy'!$B137,Body!$B$3:$AR$172,6,FALSE)</f>
        <v>3</v>
      </c>
      <c r="H137" s="264">
        <f>VLOOKUP('Statistika okresy'!$B137,Body!$B$3:$AR$172,7,FALSE)</f>
        <v>1</v>
      </c>
      <c r="I137" s="264">
        <f>VLOOKUP('Statistika okresy'!$B137,Body!$B$3:$AR$172,8,FALSE)</f>
        <v>4</v>
      </c>
      <c r="J137" s="264">
        <f>VLOOKUP('Statistika okresy'!$B137,Body!$B$3:$AR$172,9,FALSE)</f>
        <v>1</v>
      </c>
      <c r="K137" s="264">
        <f>VLOOKUP('Statistika okresy'!$B137,Body!$B$3:$AR$172,10,FALSE)</f>
        <v>1</v>
      </c>
      <c r="L137" s="264">
        <f>VLOOKUP('Statistika okresy'!$B137,Body!$B$3:$AR$172,11,FALSE)</f>
        <v>3</v>
      </c>
      <c r="M137" s="264">
        <f>VLOOKUP('Statistika okresy'!$B137,Body!$B$3:$AR$172,12,FALSE)</f>
        <v>3</v>
      </c>
      <c r="N137" s="264">
        <f>VLOOKUP('Statistika okresy'!$B137,Body!$B$3:$AR$172,13,FALSE)</f>
        <v>6</v>
      </c>
      <c r="O137" s="264">
        <f>VLOOKUP('Statistika okresy'!$B137,Body!$B$3:$AR$172,14,FALSE)</f>
        <v>7</v>
      </c>
      <c r="P137" s="264">
        <f>VLOOKUP('Statistika okresy'!$B137,Body!$B$3:$AR$172,15,FALSE)</f>
        <v>6</v>
      </c>
      <c r="Q137" s="264">
        <f>VLOOKUP('Statistika okresy'!$B137,Body!$B$3:$AR$172,16,FALSE)</f>
        <v>3</v>
      </c>
      <c r="R137" s="264">
        <f>VLOOKUP('Statistika okresy'!$B137,Body!$B$3:$AR$172,17,FALSE)</f>
        <v>3</v>
      </c>
      <c r="S137" s="264">
        <f>VLOOKUP('Statistika okresy'!$B137,Body!$B$3:$AR$172,18,FALSE)</f>
        <v>7</v>
      </c>
      <c r="T137" s="264">
        <f>VLOOKUP('Statistika okresy'!$B137,Body!$B$3:$AR$172,19,FALSE)</f>
        <v>7</v>
      </c>
      <c r="U137" s="264">
        <f>VLOOKUP('Statistika okresy'!$B137,Body!$B$3:$AR$172,20,FALSE)</f>
        <v>5</v>
      </c>
      <c r="V137" s="264">
        <f>VLOOKUP('Statistika okresy'!$B137,Body!$B$3:$AR$172,21,FALSE)</f>
        <v>6</v>
      </c>
      <c r="W137" s="264">
        <f>VLOOKUP('Statistika okresy'!$B137,Body!$B$3:$AR$172,22,FALSE)</f>
        <v>7</v>
      </c>
      <c r="X137" s="264">
        <f>VLOOKUP('Statistika okresy'!$B137,Body!$B$3:$AR$172,23,FALSE)</f>
        <v>9</v>
      </c>
      <c r="Y137" s="264">
        <f>VLOOKUP('Statistika okresy'!$B137,Body!$B$3:$AR$172,24,FALSE)</f>
        <v>10</v>
      </c>
      <c r="Z137" s="264">
        <f>VLOOKUP('Statistika okresy'!$B137,Body!$B$3:$AR$172,25,FALSE)</f>
        <v>10</v>
      </c>
      <c r="AA137" s="264">
        <f>VLOOKUP('Statistika okresy'!$B137,Body!$B$3:$AR$172,26,FALSE)</f>
        <v>3</v>
      </c>
      <c r="AB137" s="264">
        <f>VLOOKUP('Statistika okresy'!$B137,Body!$B$3:$AR$172,27,FALSE)</f>
        <v>10</v>
      </c>
      <c r="AC137" s="265">
        <f>VLOOKUP('Statistika okresy'!$B137,Body!$B$3:$AR$172,35,FALSE)</f>
        <v>6.6666666666666714</v>
      </c>
      <c r="AD137" s="264">
        <f>VLOOKUP('Statistika okresy'!$B137,Body!$B$3:$AR$172,36,FALSE)</f>
        <v>24.73670521563859</v>
      </c>
      <c r="AE137" s="264">
        <f>VLOOKUP('Statistika okresy'!$B137,Body!$B$3:$AR$172,37,FALSE)</f>
        <v>24.348544877717536</v>
      </c>
      <c r="AF137" s="264">
        <f>VLOOKUP('Statistika okresy'!$B137,Body!$B$3:$AR$172,38,FALSE)</f>
        <v>62.131093016600801</v>
      </c>
      <c r="AG137" s="264">
        <f>VLOOKUP('Statistika okresy'!$B137,Body!$B$3:$AR$172,39,FALSE)</f>
        <v>63.675686223802792</v>
      </c>
      <c r="AH137" s="264">
        <f>VLOOKUP('Statistika okresy'!$B137,Body!$B$3:$AR$172,40,FALSE)</f>
        <v>86.867798232239394</v>
      </c>
      <c r="AI137" s="264">
        <f>VLOOKUP('Statistika okresy'!$B137,Body!$B$3:$AR$172,41,FALSE)</f>
        <v>88.024231101520328</v>
      </c>
      <c r="AJ137" s="390"/>
      <c r="AK137" s="407">
        <f>VLOOKUP('Statistika okresy'!$B137,Body!$B$3:$AR$172,43,FALSE)</f>
        <v>181.55869600042638</v>
      </c>
    </row>
    <row r="138" spans="1:37" ht="15.5" x14ac:dyDescent="0.35">
      <c r="A138" s="382">
        <v>1048</v>
      </c>
      <c r="B138" s="156" t="s">
        <v>540</v>
      </c>
      <c r="C138" s="352" t="s">
        <v>963</v>
      </c>
      <c r="D138" s="264">
        <f>VLOOKUP('Statistika okresy'!$B138,Body!$B$3:$AR$172,3,FALSE)</f>
        <v>8</v>
      </c>
      <c r="E138" s="264">
        <f>VLOOKUP('Statistika okresy'!$B138,Body!$B$3:$AR$172,4,FALSE)</f>
        <v>6</v>
      </c>
      <c r="F138" s="264">
        <f>VLOOKUP('Statistika okresy'!$B138,Body!$B$3:$AR$172,5,FALSE)</f>
        <v>8</v>
      </c>
      <c r="G138" s="264">
        <f>VLOOKUP('Statistika okresy'!$B138,Body!$B$3:$AR$172,6,FALSE)</f>
        <v>5</v>
      </c>
      <c r="H138" s="264">
        <f>VLOOKUP('Statistika okresy'!$B138,Body!$B$3:$AR$172,7,FALSE)</f>
        <v>10</v>
      </c>
      <c r="I138" s="264">
        <f>VLOOKUP('Statistika okresy'!$B138,Body!$B$3:$AR$172,8,FALSE)</f>
        <v>6</v>
      </c>
      <c r="J138" s="264">
        <f>VLOOKUP('Statistika okresy'!$B138,Body!$B$3:$AR$172,9,FALSE)</f>
        <v>3</v>
      </c>
      <c r="K138" s="264">
        <f>VLOOKUP('Statistika okresy'!$B138,Body!$B$3:$AR$172,10,FALSE)</f>
        <v>2</v>
      </c>
      <c r="L138" s="264">
        <f>VLOOKUP('Statistika okresy'!$B138,Body!$B$3:$AR$172,11,FALSE)</f>
        <v>6</v>
      </c>
      <c r="M138" s="264">
        <f>VLOOKUP('Statistika okresy'!$B138,Body!$B$3:$AR$172,12,FALSE)</f>
        <v>7</v>
      </c>
      <c r="N138" s="264">
        <f>VLOOKUP('Statistika okresy'!$B138,Body!$B$3:$AR$172,13,FALSE)</f>
        <v>7</v>
      </c>
      <c r="O138" s="264">
        <f>VLOOKUP('Statistika okresy'!$B138,Body!$B$3:$AR$172,14,FALSE)</f>
        <v>7</v>
      </c>
      <c r="P138" s="264">
        <f>VLOOKUP('Statistika okresy'!$B138,Body!$B$3:$AR$172,15,FALSE)</f>
        <v>3</v>
      </c>
      <c r="Q138" s="264">
        <f>VLOOKUP('Statistika okresy'!$B138,Body!$B$3:$AR$172,16,FALSE)</f>
        <v>5</v>
      </c>
      <c r="R138" s="264">
        <f>VLOOKUP('Statistika okresy'!$B138,Body!$B$3:$AR$172,17,FALSE)</f>
        <v>6</v>
      </c>
      <c r="S138" s="264">
        <f>VLOOKUP('Statistika okresy'!$B138,Body!$B$3:$AR$172,18,FALSE)</f>
        <v>9</v>
      </c>
      <c r="T138" s="264">
        <f>VLOOKUP('Statistika okresy'!$B138,Body!$B$3:$AR$172,19,FALSE)</f>
        <v>7</v>
      </c>
      <c r="U138" s="264">
        <f>VLOOKUP('Statistika okresy'!$B138,Body!$B$3:$AR$172,20,FALSE)</f>
        <v>5</v>
      </c>
      <c r="V138" s="264">
        <f>VLOOKUP('Statistika okresy'!$B138,Body!$B$3:$AR$172,21,FALSE)</f>
        <v>6</v>
      </c>
      <c r="W138" s="264">
        <f>VLOOKUP('Statistika okresy'!$B138,Body!$B$3:$AR$172,22,FALSE)</f>
        <v>6</v>
      </c>
      <c r="X138" s="264">
        <f>VLOOKUP('Statistika okresy'!$B138,Body!$B$3:$AR$172,23,FALSE)</f>
        <v>10</v>
      </c>
      <c r="Y138" s="264">
        <f>VLOOKUP('Statistika okresy'!$B138,Body!$B$3:$AR$172,24,FALSE)</f>
        <v>10</v>
      </c>
      <c r="Z138" s="264">
        <f>VLOOKUP('Statistika okresy'!$B138,Body!$B$3:$AR$172,25,FALSE)</f>
        <v>10</v>
      </c>
      <c r="AA138" s="264">
        <f>VLOOKUP('Statistika okresy'!$B138,Body!$B$3:$AR$172,26,FALSE)</f>
        <v>1</v>
      </c>
      <c r="AB138" s="264">
        <f>VLOOKUP('Statistika okresy'!$B138,Body!$B$3:$AR$172,27,FALSE)</f>
        <v>5</v>
      </c>
      <c r="AC138" s="265">
        <f>VLOOKUP('Statistika okresy'!$B138,Body!$B$3:$AR$172,35,FALSE)</f>
        <v>2.6666666666666687</v>
      </c>
      <c r="AD138" s="264">
        <f>VLOOKUP('Statistika okresy'!$B138,Body!$B$3:$AR$172,36,FALSE)</f>
        <v>38.420576288607357</v>
      </c>
      <c r="AE138" s="264">
        <f>VLOOKUP('Statistika okresy'!$B138,Body!$B$3:$AR$172,37,FALSE)</f>
        <v>32.882238221643966</v>
      </c>
      <c r="AF138" s="264">
        <f>VLOOKUP('Statistika okresy'!$B138,Body!$B$3:$AR$172,38,FALSE)</f>
        <v>70.697397465828928</v>
      </c>
      <c r="AG138" s="264">
        <f>VLOOKUP('Statistika okresy'!$B138,Body!$B$3:$AR$172,39,FALSE)</f>
        <v>62.870149551676953</v>
      </c>
      <c r="AH138" s="264">
        <f>VLOOKUP('Statistika okresy'!$B138,Body!$B$3:$AR$172,40,FALSE)</f>
        <v>109.11797375443629</v>
      </c>
      <c r="AI138" s="264">
        <f>VLOOKUP('Statistika okresy'!$B138,Body!$B$3:$AR$172,41,FALSE)</f>
        <v>95.752387773320919</v>
      </c>
      <c r="AJ138" s="390"/>
      <c r="AK138" s="407">
        <f>VLOOKUP('Statistika okresy'!$B138,Body!$B$3:$AR$172,43,FALSE)</f>
        <v>207.53702819442387</v>
      </c>
    </row>
    <row r="139" spans="1:37" ht="15.5" x14ac:dyDescent="0.35">
      <c r="A139" s="382">
        <v>1051</v>
      </c>
      <c r="B139" s="156" t="s">
        <v>542</v>
      </c>
      <c r="C139" s="352" t="s">
        <v>963</v>
      </c>
      <c r="D139" s="264">
        <f>VLOOKUP('Statistika okresy'!$B139,Body!$B$3:$AR$172,3,FALSE)</f>
        <v>5</v>
      </c>
      <c r="E139" s="264">
        <f>VLOOKUP('Statistika okresy'!$B139,Body!$B$3:$AR$172,4,FALSE)</f>
        <v>5</v>
      </c>
      <c r="F139" s="264">
        <f>VLOOKUP('Statistika okresy'!$B139,Body!$B$3:$AR$172,5,FALSE)</f>
        <v>5</v>
      </c>
      <c r="G139" s="264">
        <f>VLOOKUP('Statistika okresy'!$B139,Body!$B$3:$AR$172,6,FALSE)</f>
        <v>3</v>
      </c>
      <c r="H139" s="264">
        <f>VLOOKUP('Statistika okresy'!$B139,Body!$B$3:$AR$172,7,FALSE)</f>
        <v>5</v>
      </c>
      <c r="I139" s="264">
        <f>VLOOKUP('Statistika okresy'!$B139,Body!$B$3:$AR$172,8,FALSE)</f>
        <v>2</v>
      </c>
      <c r="J139" s="264">
        <f>VLOOKUP('Statistika okresy'!$B139,Body!$B$3:$AR$172,9,FALSE)</f>
        <v>10</v>
      </c>
      <c r="K139" s="264">
        <f>VLOOKUP('Statistika okresy'!$B139,Body!$B$3:$AR$172,10,FALSE)</f>
        <v>8</v>
      </c>
      <c r="L139" s="264">
        <f>VLOOKUP('Statistika okresy'!$B139,Body!$B$3:$AR$172,11,FALSE)</f>
        <v>5</v>
      </c>
      <c r="M139" s="264">
        <f>VLOOKUP('Statistika okresy'!$B139,Body!$B$3:$AR$172,12,FALSE)</f>
        <v>4</v>
      </c>
      <c r="N139" s="264">
        <f>VLOOKUP('Statistika okresy'!$B139,Body!$B$3:$AR$172,13,FALSE)</f>
        <v>5</v>
      </c>
      <c r="O139" s="264">
        <f>VLOOKUP('Statistika okresy'!$B139,Body!$B$3:$AR$172,14,FALSE)</f>
        <v>5</v>
      </c>
      <c r="P139" s="264">
        <f>VLOOKUP('Statistika okresy'!$B139,Body!$B$3:$AR$172,15,FALSE)</f>
        <v>6</v>
      </c>
      <c r="Q139" s="264">
        <f>VLOOKUP('Statistika okresy'!$B139,Body!$B$3:$AR$172,16,FALSE)</f>
        <v>5</v>
      </c>
      <c r="R139" s="264">
        <f>VLOOKUP('Statistika okresy'!$B139,Body!$B$3:$AR$172,17,FALSE)</f>
        <v>5</v>
      </c>
      <c r="S139" s="264">
        <f>VLOOKUP('Statistika okresy'!$B139,Body!$B$3:$AR$172,18,FALSE)</f>
        <v>7</v>
      </c>
      <c r="T139" s="264">
        <f>VLOOKUP('Statistika okresy'!$B139,Body!$B$3:$AR$172,19,FALSE)</f>
        <v>7</v>
      </c>
      <c r="U139" s="264">
        <f>VLOOKUP('Statistika okresy'!$B139,Body!$B$3:$AR$172,20,FALSE)</f>
        <v>6</v>
      </c>
      <c r="V139" s="264">
        <f>VLOOKUP('Statistika okresy'!$B139,Body!$B$3:$AR$172,21,FALSE)</f>
        <v>5</v>
      </c>
      <c r="W139" s="264">
        <f>VLOOKUP('Statistika okresy'!$B139,Body!$B$3:$AR$172,22,FALSE)</f>
        <v>10</v>
      </c>
      <c r="X139" s="264">
        <f>VLOOKUP('Statistika okresy'!$B139,Body!$B$3:$AR$172,23,FALSE)</f>
        <v>5</v>
      </c>
      <c r="Y139" s="264">
        <f>VLOOKUP('Statistika okresy'!$B139,Body!$B$3:$AR$172,24,FALSE)</f>
        <v>8</v>
      </c>
      <c r="Z139" s="264">
        <f>VLOOKUP('Statistika okresy'!$B139,Body!$B$3:$AR$172,25,FALSE)</f>
        <v>10</v>
      </c>
      <c r="AA139" s="264">
        <f>VLOOKUP('Statistika okresy'!$B139,Body!$B$3:$AR$172,26,FALSE)</f>
        <v>5</v>
      </c>
      <c r="AB139" s="264">
        <f>VLOOKUP('Statistika okresy'!$B139,Body!$B$3:$AR$172,27,FALSE)</f>
        <v>5</v>
      </c>
      <c r="AC139" s="265">
        <f>VLOOKUP('Statistika okresy'!$B139,Body!$B$3:$AR$172,35,FALSE)</f>
        <v>8.0000000000000071</v>
      </c>
      <c r="AD139" s="264">
        <f>VLOOKUP('Statistika okresy'!$B139,Body!$B$3:$AR$172,36,FALSE)</f>
        <v>32.169334089898939</v>
      </c>
      <c r="AE139" s="264">
        <f>VLOOKUP('Statistika okresy'!$B139,Body!$B$3:$AR$172,37,FALSE)</f>
        <v>26.709770043008092</v>
      </c>
      <c r="AF139" s="264">
        <f>VLOOKUP('Statistika okresy'!$B139,Body!$B$3:$AR$172,38,FALSE)</f>
        <v>58.795045697815475</v>
      </c>
      <c r="AG139" s="264">
        <f>VLOOKUP('Statistika okresy'!$B139,Body!$B$3:$AR$172,39,FALSE)</f>
        <v>66.518011733825404</v>
      </c>
      <c r="AH139" s="264">
        <f>VLOOKUP('Statistika okresy'!$B139,Body!$B$3:$AR$172,40,FALSE)</f>
        <v>90.964379787714421</v>
      </c>
      <c r="AI139" s="264">
        <f>VLOOKUP('Statistika okresy'!$B139,Body!$B$3:$AR$172,41,FALSE)</f>
        <v>93.227781776833496</v>
      </c>
      <c r="AJ139" s="390"/>
      <c r="AK139" s="407">
        <f>VLOOKUP('Statistika okresy'!$B139,Body!$B$3:$AR$172,43,FALSE)</f>
        <v>192.19216156454792</v>
      </c>
    </row>
    <row r="140" spans="1:37" ht="15.5" x14ac:dyDescent="0.35">
      <c r="A140" s="382">
        <v>1054</v>
      </c>
      <c r="B140" s="156" t="s">
        <v>118</v>
      </c>
      <c r="C140" s="352" t="s">
        <v>963</v>
      </c>
      <c r="D140" s="264">
        <f>VLOOKUP('Statistika okresy'!$B140,Body!$B$3:$AR$172,3,FALSE)</f>
        <v>5</v>
      </c>
      <c r="E140" s="264">
        <f>VLOOKUP('Statistika okresy'!$B140,Body!$B$3:$AR$172,4,FALSE)</f>
        <v>4</v>
      </c>
      <c r="F140" s="264">
        <f>VLOOKUP('Statistika okresy'!$B140,Body!$B$3:$AR$172,5,FALSE)</f>
        <v>3</v>
      </c>
      <c r="G140" s="264">
        <f>VLOOKUP('Statistika okresy'!$B140,Body!$B$3:$AR$172,6,FALSE)</f>
        <v>2</v>
      </c>
      <c r="H140" s="264">
        <f>VLOOKUP('Statistika okresy'!$B140,Body!$B$3:$AR$172,7,FALSE)</f>
        <v>1</v>
      </c>
      <c r="I140" s="264">
        <f>VLOOKUP('Statistika okresy'!$B140,Body!$B$3:$AR$172,8,FALSE)</f>
        <v>8</v>
      </c>
      <c r="J140" s="264">
        <f>VLOOKUP('Statistika okresy'!$B140,Body!$B$3:$AR$172,9,FALSE)</f>
        <v>2</v>
      </c>
      <c r="K140" s="264">
        <f>VLOOKUP('Statistika okresy'!$B140,Body!$B$3:$AR$172,10,FALSE)</f>
        <v>2</v>
      </c>
      <c r="L140" s="264">
        <f>VLOOKUP('Statistika okresy'!$B140,Body!$B$3:$AR$172,11,FALSE)</f>
        <v>2</v>
      </c>
      <c r="M140" s="264">
        <f>VLOOKUP('Statistika okresy'!$B140,Body!$B$3:$AR$172,12,FALSE)</f>
        <v>3</v>
      </c>
      <c r="N140" s="264">
        <f>VLOOKUP('Statistika okresy'!$B140,Body!$B$3:$AR$172,13,FALSE)</f>
        <v>5</v>
      </c>
      <c r="O140" s="264">
        <f>VLOOKUP('Statistika okresy'!$B140,Body!$B$3:$AR$172,14,FALSE)</f>
        <v>6</v>
      </c>
      <c r="P140" s="264">
        <f>VLOOKUP('Statistika okresy'!$B140,Body!$B$3:$AR$172,15,FALSE)</f>
        <v>6</v>
      </c>
      <c r="Q140" s="264">
        <f>VLOOKUP('Statistika okresy'!$B140,Body!$B$3:$AR$172,16,FALSE)</f>
        <v>3</v>
      </c>
      <c r="R140" s="264">
        <f>VLOOKUP('Statistika okresy'!$B140,Body!$B$3:$AR$172,17,FALSE)</f>
        <v>4</v>
      </c>
      <c r="S140" s="264">
        <f>VLOOKUP('Statistika okresy'!$B140,Body!$B$3:$AR$172,18,FALSE)</f>
        <v>7</v>
      </c>
      <c r="T140" s="264">
        <f>VLOOKUP('Statistika okresy'!$B140,Body!$B$3:$AR$172,19,FALSE)</f>
        <v>7</v>
      </c>
      <c r="U140" s="264">
        <f>VLOOKUP('Statistika okresy'!$B140,Body!$B$3:$AR$172,20,FALSE)</f>
        <v>5</v>
      </c>
      <c r="V140" s="264">
        <f>VLOOKUP('Statistika okresy'!$B140,Body!$B$3:$AR$172,21,FALSE)</f>
        <v>6</v>
      </c>
      <c r="W140" s="264">
        <f>VLOOKUP('Statistika okresy'!$B140,Body!$B$3:$AR$172,22,FALSE)</f>
        <v>5</v>
      </c>
      <c r="X140" s="264">
        <f>VLOOKUP('Statistika okresy'!$B140,Body!$B$3:$AR$172,23,FALSE)</f>
        <v>5</v>
      </c>
      <c r="Y140" s="264">
        <f>VLOOKUP('Statistika okresy'!$B140,Body!$B$3:$AR$172,24,FALSE)</f>
        <v>8</v>
      </c>
      <c r="Z140" s="264">
        <f>VLOOKUP('Statistika okresy'!$B140,Body!$B$3:$AR$172,25,FALSE)</f>
        <v>10</v>
      </c>
      <c r="AA140" s="264">
        <f>VLOOKUP('Statistika okresy'!$B140,Body!$B$3:$AR$172,26,FALSE)</f>
        <v>10</v>
      </c>
      <c r="AB140" s="264">
        <f>VLOOKUP('Statistika okresy'!$B140,Body!$B$3:$AR$172,27,FALSE)</f>
        <v>10</v>
      </c>
      <c r="AC140" s="265">
        <f>VLOOKUP('Statistika okresy'!$B140,Body!$B$3:$AR$172,35,FALSE)</f>
        <v>16.000000000000014</v>
      </c>
      <c r="AD140" s="264">
        <f>VLOOKUP('Statistika okresy'!$B140,Body!$B$3:$AR$172,36,FALSE)</f>
        <v>21.613586666609422</v>
      </c>
      <c r="AE140" s="264">
        <f>VLOOKUP('Statistika okresy'!$B140,Body!$B$3:$AR$172,37,FALSE)</f>
        <v>23.651399465550291</v>
      </c>
      <c r="AF140" s="264">
        <f>VLOOKUP('Statistika okresy'!$B140,Body!$B$3:$AR$172,38,FALSE)</f>
        <v>58.257517755360041</v>
      </c>
      <c r="AG140" s="264">
        <f>VLOOKUP('Statistika okresy'!$B140,Body!$B$3:$AR$172,39,FALSE)</f>
        <v>56.71292454815805</v>
      </c>
      <c r="AH140" s="264">
        <f>VLOOKUP('Statistika okresy'!$B140,Body!$B$3:$AR$172,40,FALSE)</f>
        <v>79.871104421969463</v>
      </c>
      <c r="AI140" s="264">
        <f>VLOOKUP('Statistika okresy'!$B140,Body!$B$3:$AR$172,41,FALSE)</f>
        <v>80.364324013708341</v>
      </c>
      <c r="AJ140" s="390"/>
      <c r="AK140" s="407">
        <f>VLOOKUP('Statistika okresy'!$B140,Body!$B$3:$AR$172,43,FALSE)</f>
        <v>176.23542843567782</v>
      </c>
    </row>
    <row r="141" spans="1:37" ht="15.5" x14ac:dyDescent="0.35">
      <c r="A141" s="382">
        <v>1057</v>
      </c>
      <c r="B141" s="156" t="s">
        <v>535</v>
      </c>
      <c r="C141" s="352" t="s">
        <v>963</v>
      </c>
      <c r="D141" s="264">
        <f>VLOOKUP('Statistika okresy'!$B141,Body!$B$3:$AR$172,3,FALSE)</f>
        <v>6</v>
      </c>
      <c r="E141" s="264">
        <f>VLOOKUP('Statistika okresy'!$B141,Body!$B$3:$AR$172,4,FALSE)</f>
        <v>6</v>
      </c>
      <c r="F141" s="264">
        <f>VLOOKUP('Statistika okresy'!$B141,Body!$B$3:$AR$172,5,FALSE)</f>
        <v>3</v>
      </c>
      <c r="G141" s="264">
        <f>VLOOKUP('Statistika okresy'!$B141,Body!$B$3:$AR$172,6,FALSE)</f>
        <v>2</v>
      </c>
      <c r="H141" s="264">
        <f>VLOOKUP('Statistika okresy'!$B141,Body!$B$3:$AR$172,7,FALSE)</f>
        <v>1</v>
      </c>
      <c r="I141" s="264">
        <f>VLOOKUP('Statistika okresy'!$B141,Body!$B$3:$AR$172,8,FALSE)</f>
        <v>1</v>
      </c>
      <c r="J141" s="264">
        <f>VLOOKUP('Statistika okresy'!$B141,Body!$B$3:$AR$172,9,FALSE)</f>
        <v>1</v>
      </c>
      <c r="K141" s="264">
        <f>VLOOKUP('Statistika okresy'!$B141,Body!$B$3:$AR$172,10,FALSE)</f>
        <v>1</v>
      </c>
      <c r="L141" s="264">
        <f>VLOOKUP('Statistika okresy'!$B141,Body!$B$3:$AR$172,11,FALSE)</f>
        <v>6</v>
      </c>
      <c r="M141" s="264">
        <f>VLOOKUP('Statistika okresy'!$B141,Body!$B$3:$AR$172,12,FALSE)</f>
        <v>7</v>
      </c>
      <c r="N141" s="264">
        <f>VLOOKUP('Statistika okresy'!$B141,Body!$B$3:$AR$172,13,FALSE)</f>
        <v>7</v>
      </c>
      <c r="O141" s="264">
        <f>VLOOKUP('Statistika okresy'!$B141,Body!$B$3:$AR$172,14,FALSE)</f>
        <v>8</v>
      </c>
      <c r="P141" s="264">
        <f>VLOOKUP('Statistika okresy'!$B141,Body!$B$3:$AR$172,15,FALSE)</f>
        <v>6</v>
      </c>
      <c r="Q141" s="264">
        <f>VLOOKUP('Statistika okresy'!$B141,Body!$B$3:$AR$172,16,FALSE)</f>
        <v>6</v>
      </c>
      <c r="R141" s="264">
        <f>VLOOKUP('Statistika okresy'!$B141,Body!$B$3:$AR$172,17,FALSE)</f>
        <v>6</v>
      </c>
      <c r="S141" s="264">
        <f>VLOOKUP('Statistika okresy'!$B141,Body!$B$3:$AR$172,18,FALSE)</f>
        <v>9</v>
      </c>
      <c r="T141" s="264">
        <f>VLOOKUP('Statistika okresy'!$B141,Body!$B$3:$AR$172,19,FALSE)</f>
        <v>9</v>
      </c>
      <c r="U141" s="264">
        <f>VLOOKUP('Statistika okresy'!$B141,Body!$B$3:$AR$172,20,FALSE)</f>
        <v>5</v>
      </c>
      <c r="V141" s="264">
        <f>VLOOKUP('Statistika okresy'!$B141,Body!$B$3:$AR$172,21,FALSE)</f>
        <v>6</v>
      </c>
      <c r="W141" s="264">
        <f>VLOOKUP('Statistika okresy'!$B141,Body!$B$3:$AR$172,22,FALSE)</f>
        <v>3</v>
      </c>
      <c r="X141" s="264">
        <f>VLOOKUP('Statistika okresy'!$B141,Body!$B$3:$AR$172,23,FALSE)</f>
        <v>9</v>
      </c>
      <c r="Y141" s="264">
        <f>VLOOKUP('Statistika okresy'!$B141,Body!$B$3:$AR$172,24,FALSE)</f>
        <v>10</v>
      </c>
      <c r="Z141" s="264">
        <f>VLOOKUP('Statistika okresy'!$B141,Body!$B$3:$AR$172,25,FALSE)</f>
        <v>10</v>
      </c>
      <c r="AA141" s="264">
        <f>VLOOKUP('Statistika okresy'!$B141,Body!$B$3:$AR$172,26,FALSE)</f>
        <v>10</v>
      </c>
      <c r="AB141" s="264">
        <f>VLOOKUP('Statistika okresy'!$B141,Body!$B$3:$AR$172,27,FALSE)</f>
        <v>5</v>
      </c>
      <c r="AC141" s="265">
        <f>VLOOKUP('Statistika okresy'!$B141,Body!$B$3:$AR$172,35,FALSE)</f>
        <v>14.666666666666682</v>
      </c>
      <c r="AD141" s="264">
        <f>VLOOKUP('Statistika okresy'!$B141,Body!$B$3:$AR$172,36,FALSE)</f>
        <v>29.559042159699121</v>
      </c>
      <c r="AE141" s="264">
        <f>VLOOKUP('Statistika okresy'!$B141,Body!$B$3:$AR$172,37,FALSE)</f>
        <v>29.135108429567325</v>
      </c>
      <c r="AF141" s="264">
        <f>VLOOKUP('Statistika okresy'!$B141,Body!$B$3:$AR$172,38,FALSE)</f>
        <v>69.958340930752783</v>
      </c>
      <c r="AG141" s="264">
        <f>VLOOKUP('Statistika okresy'!$B141,Body!$B$3:$AR$172,39,FALSE)</f>
        <v>65.32456130914683</v>
      </c>
      <c r="AH141" s="264">
        <f>VLOOKUP('Statistika okresy'!$B141,Body!$B$3:$AR$172,40,FALSE)</f>
        <v>99.517383090451901</v>
      </c>
      <c r="AI141" s="264">
        <f>VLOOKUP('Statistika okresy'!$B141,Body!$B$3:$AR$172,41,FALSE)</f>
        <v>94.459669738714155</v>
      </c>
      <c r="AJ141" s="390"/>
      <c r="AK141" s="407">
        <f>VLOOKUP('Statistika okresy'!$B141,Body!$B$3:$AR$172,43,FALSE)</f>
        <v>208.64371949583273</v>
      </c>
    </row>
    <row r="142" spans="1:37" ht="15.5" x14ac:dyDescent="0.35">
      <c r="A142" s="382">
        <v>1060</v>
      </c>
      <c r="B142" s="156" t="s">
        <v>525</v>
      </c>
      <c r="C142" s="352" t="s">
        <v>963</v>
      </c>
      <c r="D142" s="264">
        <f>VLOOKUP('Statistika okresy'!$B142,Body!$B$3:$AR$172,3,FALSE)</f>
        <v>5</v>
      </c>
      <c r="E142" s="264">
        <f>VLOOKUP('Statistika okresy'!$B142,Body!$B$3:$AR$172,4,FALSE)</f>
        <v>5</v>
      </c>
      <c r="F142" s="264">
        <f>VLOOKUP('Statistika okresy'!$B142,Body!$B$3:$AR$172,5,FALSE)</f>
        <v>4</v>
      </c>
      <c r="G142" s="264">
        <f>VLOOKUP('Statistika okresy'!$B142,Body!$B$3:$AR$172,6,FALSE)</f>
        <v>3</v>
      </c>
      <c r="H142" s="264">
        <f>VLOOKUP('Statistika okresy'!$B142,Body!$B$3:$AR$172,7,FALSE)</f>
        <v>1</v>
      </c>
      <c r="I142" s="264">
        <f>VLOOKUP('Statistika okresy'!$B142,Body!$B$3:$AR$172,8,FALSE)</f>
        <v>9</v>
      </c>
      <c r="J142" s="264">
        <f>VLOOKUP('Statistika okresy'!$B142,Body!$B$3:$AR$172,9,FALSE)</f>
        <v>3</v>
      </c>
      <c r="K142" s="264">
        <f>VLOOKUP('Statistika okresy'!$B142,Body!$B$3:$AR$172,10,FALSE)</f>
        <v>2</v>
      </c>
      <c r="L142" s="264">
        <f>VLOOKUP('Statistika okresy'!$B142,Body!$B$3:$AR$172,11,FALSE)</f>
        <v>8</v>
      </c>
      <c r="M142" s="264">
        <f>VLOOKUP('Statistika okresy'!$B142,Body!$B$3:$AR$172,12,FALSE)</f>
        <v>7</v>
      </c>
      <c r="N142" s="264">
        <f>VLOOKUP('Statistika okresy'!$B142,Body!$B$3:$AR$172,13,FALSE)</f>
        <v>7</v>
      </c>
      <c r="O142" s="264">
        <f>VLOOKUP('Statistika okresy'!$B142,Body!$B$3:$AR$172,14,FALSE)</f>
        <v>7</v>
      </c>
      <c r="P142" s="264">
        <f>VLOOKUP('Statistika okresy'!$B142,Body!$B$3:$AR$172,15,FALSE)</f>
        <v>6</v>
      </c>
      <c r="Q142" s="264">
        <f>VLOOKUP('Statistika okresy'!$B142,Body!$B$3:$AR$172,16,FALSE)</f>
        <v>6</v>
      </c>
      <c r="R142" s="264">
        <f>VLOOKUP('Statistika okresy'!$B142,Body!$B$3:$AR$172,17,FALSE)</f>
        <v>7</v>
      </c>
      <c r="S142" s="264">
        <f>VLOOKUP('Statistika okresy'!$B142,Body!$B$3:$AR$172,18,FALSE)</f>
        <v>7</v>
      </c>
      <c r="T142" s="264">
        <f>VLOOKUP('Statistika okresy'!$B142,Body!$B$3:$AR$172,19,FALSE)</f>
        <v>7</v>
      </c>
      <c r="U142" s="264">
        <f>VLOOKUP('Statistika okresy'!$B142,Body!$B$3:$AR$172,20,FALSE)</f>
        <v>6</v>
      </c>
      <c r="V142" s="264">
        <f>VLOOKUP('Statistika okresy'!$B142,Body!$B$3:$AR$172,21,FALSE)</f>
        <v>4</v>
      </c>
      <c r="W142" s="264">
        <f>VLOOKUP('Statistika okresy'!$B142,Body!$B$3:$AR$172,22,FALSE)</f>
        <v>5</v>
      </c>
      <c r="X142" s="264">
        <f>VLOOKUP('Statistika okresy'!$B142,Body!$B$3:$AR$172,23,FALSE)</f>
        <v>9</v>
      </c>
      <c r="Y142" s="264">
        <f>VLOOKUP('Statistika okresy'!$B142,Body!$B$3:$AR$172,24,FALSE)</f>
        <v>8</v>
      </c>
      <c r="Z142" s="264">
        <f>VLOOKUP('Statistika okresy'!$B142,Body!$B$3:$AR$172,25,FALSE)</f>
        <v>10</v>
      </c>
      <c r="AA142" s="264">
        <f>VLOOKUP('Statistika okresy'!$B142,Body!$B$3:$AR$172,26,FALSE)</f>
        <v>10</v>
      </c>
      <c r="AB142" s="264">
        <f>VLOOKUP('Statistika okresy'!$B142,Body!$B$3:$AR$172,27,FALSE)</f>
        <v>10</v>
      </c>
      <c r="AC142" s="265">
        <f>VLOOKUP('Statistika okresy'!$B142,Body!$B$3:$AR$172,35,FALSE)</f>
        <v>16.000000000000014</v>
      </c>
      <c r="AD142" s="264">
        <f>VLOOKUP('Statistika okresy'!$B142,Body!$B$3:$AR$172,36,FALSE)</f>
        <v>32.775255759670969</v>
      </c>
      <c r="AE142" s="264">
        <f>VLOOKUP('Statistika okresy'!$B142,Body!$B$3:$AR$172,37,FALSE)</f>
        <v>33.089856231539095</v>
      </c>
      <c r="AF142" s="264">
        <f>VLOOKUP('Statistika okresy'!$B142,Body!$B$3:$AR$172,38,FALSE)</f>
        <v>60.20667863091807</v>
      </c>
      <c r="AG142" s="264">
        <f>VLOOKUP('Statistika okresy'!$B142,Body!$B$3:$AR$172,39,FALSE)</f>
        <v>61.751271838120054</v>
      </c>
      <c r="AH142" s="264">
        <f>VLOOKUP('Statistika okresy'!$B142,Body!$B$3:$AR$172,40,FALSE)</f>
        <v>92.981934390589032</v>
      </c>
      <c r="AI142" s="264">
        <f>VLOOKUP('Statistika okresy'!$B142,Body!$B$3:$AR$172,41,FALSE)</f>
        <v>94.841128069659149</v>
      </c>
      <c r="AJ142" s="390"/>
      <c r="AK142" s="407">
        <f>VLOOKUP('Statistika okresy'!$B142,Body!$B$3:$AR$172,43,FALSE)</f>
        <v>203.8230624602482</v>
      </c>
    </row>
    <row r="143" spans="1:37" ht="15.5" x14ac:dyDescent="0.35">
      <c r="A143" s="382">
        <v>1063</v>
      </c>
      <c r="B143" s="156" t="s">
        <v>524</v>
      </c>
      <c r="C143" s="352" t="s">
        <v>963</v>
      </c>
      <c r="D143" s="264">
        <f>VLOOKUP('Statistika okresy'!$B143,Body!$B$3:$AR$172,3,FALSE)</f>
        <v>6</v>
      </c>
      <c r="E143" s="264">
        <f>VLOOKUP('Statistika okresy'!$B143,Body!$B$3:$AR$172,4,FALSE)</f>
        <v>5</v>
      </c>
      <c r="F143" s="264">
        <f>VLOOKUP('Statistika okresy'!$B143,Body!$B$3:$AR$172,5,FALSE)</f>
        <v>3</v>
      </c>
      <c r="G143" s="264">
        <f>VLOOKUP('Statistika okresy'!$B143,Body!$B$3:$AR$172,6,FALSE)</f>
        <v>2</v>
      </c>
      <c r="H143" s="264">
        <f>VLOOKUP('Statistika okresy'!$B143,Body!$B$3:$AR$172,7,FALSE)</f>
        <v>1</v>
      </c>
      <c r="I143" s="264">
        <f>VLOOKUP('Statistika okresy'!$B143,Body!$B$3:$AR$172,8,FALSE)</f>
        <v>1</v>
      </c>
      <c r="J143" s="264">
        <f>VLOOKUP('Statistika okresy'!$B143,Body!$B$3:$AR$172,9,FALSE)</f>
        <v>2</v>
      </c>
      <c r="K143" s="264">
        <f>VLOOKUP('Statistika okresy'!$B143,Body!$B$3:$AR$172,10,FALSE)</f>
        <v>1</v>
      </c>
      <c r="L143" s="264">
        <f>VLOOKUP('Statistika okresy'!$B143,Body!$B$3:$AR$172,11,FALSE)</f>
        <v>4</v>
      </c>
      <c r="M143" s="264">
        <f>VLOOKUP('Statistika okresy'!$B143,Body!$B$3:$AR$172,12,FALSE)</f>
        <v>4</v>
      </c>
      <c r="N143" s="264">
        <f>VLOOKUP('Statistika okresy'!$B143,Body!$B$3:$AR$172,13,FALSE)</f>
        <v>7</v>
      </c>
      <c r="O143" s="264">
        <f>VLOOKUP('Statistika okresy'!$B143,Body!$B$3:$AR$172,14,FALSE)</f>
        <v>8</v>
      </c>
      <c r="P143" s="264">
        <f>VLOOKUP('Statistika okresy'!$B143,Body!$B$3:$AR$172,15,FALSE)</f>
        <v>6</v>
      </c>
      <c r="Q143" s="264">
        <f>VLOOKUP('Statistika okresy'!$B143,Body!$B$3:$AR$172,16,FALSE)</f>
        <v>4</v>
      </c>
      <c r="R143" s="264">
        <f>VLOOKUP('Statistika okresy'!$B143,Body!$B$3:$AR$172,17,FALSE)</f>
        <v>5</v>
      </c>
      <c r="S143" s="264">
        <f>VLOOKUP('Statistika okresy'!$B143,Body!$B$3:$AR$172,18,FALSE)</f>
        <v>8</v>
      </c>
      <c r="T143" s="264">
        <f>VLOOKUP('Statistika okresy'!$B143,Body!$B$3:$AR$172,19,FALSE)</f>
        <v>10</v>
      </c>
      <c r="U143" s="264">
        <f>VLOOKUP('Statistika okresy'!$B143,Body!$B$3:$AR$172,20,FALSE)</f>
        <v>5</v>
      </c>
      <c r="V143" s="264">
        <f>VLOOKUP('Statistika okresy'!$B143,Body!$B$3:$AR$172,21,FALSE)</f>
        <v>6</v>
      </c>
      <c r="W143" s="264">
        <f>VLOOKUP('Statistika okresy'!$B143,Body!$B$3:$AR$172,22,FALSE)</f>
        <v>7</v>
      </c>
      <c r="X143" s="264">
        <f>VLOOKUP('Statistika okresy'!$B143,Body!$B$3:$AR$172,23,FALSE)</f>
        <v>5</v>
      </c>
      <c r="Y143" s="264">
        <f>VLOOKUP('Statistika okresy'!$B143,Body!$B$3:$AR$172,24,FALSE)</f>
        <v>8</v>
      </c>
      <c r="Z143" s="264">
        <f>VLOOKUP('Statistika okresy'!$B143,Body!$B$3:$AR$172,25,FALSE)</f>
        <v>10</v>
      </c>
      <c r="AA143" s="264">
        <f>VLOOKUP('Statistika okresy'!$B143,Body!$B$3:$AR$172,26,FALSE)</f>
        <v>3</v>
      </c>
      <c r="AB143" s="264">
        <f>VLOOKUP('Statistika okresy'!$B143,Body!$B$3:$AR$172,27,FALSE)</f>
        <v>5</v>
      </c>
      <c r="AC143" s="265">
        <f>VLOOKUP('Statistika okresy'!$B143,Body!$B$3:$AR$172,35,FALSE)</f>
        <v>5.3333333333333375</v>
      </c>
      <c r="AD143" s="264">
        <f>VLOOKUP('Statistika okresy'!$B143,Body!$B$3:$AR$172,36,FALSE)</f>
        <v>26.048675925675852</v>
      </c>
      <c r="AE143" s="264">
        <f>VLOOKUP('Statistika okresy'!$B143,Body!$B$3:$AR$172,37,FALSE)</f>
        <v>25.651183536855861</v>
      </c>
      <c r="AF143" s="264">
        <f>VLOOKUP('Statistika okresy'!$B143,Body!$B$3:$AR$172,38,FALSE)</f>
        <v>62.171141712436025</v>
      </c>
      <c r="AG143" s="264">
        <f>VLOOKUP('Statistika okresy'!$B143,Body!$B$3:$AR$172,39,FALSE)</f>
        <v>71.542982833790006</v>
      </c>
      <c r="AH143" s="264">
        <f>VLOOKUP('Statistika okresy'!$B143,Body!$B$3:$AR$172,40,FALSE)</f>
        <v>88.219817638111877</v>
      </c>
      <c r="AI143" s="264">
        <f>VLOOKUP('Statistika okresy'!$B143,Body!$B$3:$AR$172,41,FALSE)</f>
        <v>97.19416637064586</v>
      </c>
      <c r="AJ143" s="390"/>
      <c r="AK143" s="407">
        <f>VLOOKUP('Statistika okresy'!$B143,Body!$B$3:$AR$172,43,FALSE)</f>
        <v>190.74731734209107</v>
      </c>
    </row>
    <row r="144" spans="1:37" ht="15.5" x14ac:dyDescent="0.35">
      <c r="A144" s="382">
        <v>1066</v>
      </c>
      <c r="B144" s="156" t="s">
        <v>534</v>
      </c>
      <c r="C144" s="352" t="s">
        <v>963</v>
      </c>
      <c r="D144" s="264">
        <f>VLOOKUP('Statistika okresy'!$B144,Body!$B$3:$AR$172,3,FALSE)</f>
        <v>4</v>
      </c>
      <c r="E144" s="264">
        <f>VLOOKUP('Statistika okresy'!$B144,Body!$B$3:$AR$172,4,FALSE)</f>
        <v>5</v>
      </c>
      <c r="F144" s="264">
        <f>VLOOKUP('Statistika okresy'!$B144,Body!$B$3:$AR$172,5,FALSE)</f>
        <v>3</v>
      </c>
      <c r="G144" s="264">
        <f>VLOOKUP('Statistika okresy'!$B144,Body!$B$3:$AR$172,6,FALSE)</f>
        <v>2</v>
      </c>
      <c r="H144" s="264">
        <f>VLOOKUP('Statistika okresy'!$B144,Body!$B$3:$AR$172,7,FALSE)</f>
        <v>1</v>
      </c>
      <c r="I144" s="264">
        <f>VLOOKUP('Statistika okresy'!$B144,Body!$B$3:$AR$172,8,FALSE)</f>
        <v>1</v>
      </c>
      <c r="J144" s="264">
        <f>VLOOKUP('Statistika okresy'!$B144,Body!$B$3:$AR$172,9,FALSE)</f>
        <v>1</v>
      </c>
      <c r="K144" s="264">
        <f>VLOOKUP('Statistika okresy'!$B144,Body!$B$3:$AR$172,10,FALSE)</f>
        <v>1</v>
      </c>
      <c r="L144" s="264">
        <f>VLOOKUP('Statistika okresy'!$B144,Body!$B$3:$AR$172,11,FALSE)</f>
        <v>2</v>
      </c>
      <c r="M144" s="264">
        <f>VLOOKUP('Statistika okresy'!$B144,Body!$B$3:$AR$172,12,FALSE)</f>
        <v>2</v>
      </c>
      <c r="N144" s="264">
        <f>VLOOKUP('Statistika okresy'!$B144,Body!$B$3:$AR$172,13,FALSE)</f>
        <v>4</v>
      </c>
      <c r="O144" s="264">
        <f>VLOOKUP('Statistika okresy'!$B144,Body!$B$3:$AR$172,14,FALSE)</f>
        <v>5</v>
      </c>
      <c r="P144" s="264">
        <f>VLOOKUP('Statistika okresy'!$B144,Body!$B$3:$AR$172,15,FALSE)</f>
        <v>6</v>
      </c>
      <c r="Q144" s="264">
        <f>VLOOKUP('Statistika okresy'!$B144,Body!$B$3:$AR$172,16,FALSE)</f>
        <v>2</v>
      </c>
      <c r="R144" s="264">
        <f>VLOOKUP('Statistika okresy'!$B144,Body!$B$3:$AR$172,17,FALSE)</f>
        <v>2</v>
      </c>
      <c r="S144" s="264">
        <f>VLOOKUP('Statistika okresy'!$B144,Body!$B$3:$AR$172,18,FALSE)</f>
        <v>4</v>
      </c>
      <c r="T144" s="264">
        <f>VLOOKUP('Statistika okresy'!$B144,Body!$B$3:$AR$172,19,FALSE)</f>
        <v>4</v>
      </c>
      <c r="U144" s="264">
        <f>VLOOKUP('Statistika okresy'!$B144,Body!$B$3:$AR$172,20,FALSE)</f>
        <v>5</v>
      </c>
      <c r="V144" s="264">
        <f>VLOOKUP('Statistika okresy'!$B144,Body!$B$3:$AR$172,21,FALSE)</f>
        <v>6</v>
      </c>
      <c r="W144" s="264">
        <f>VLOOKUP('Statistika okresy'!$B144,Body!$B$3:$AR$172,22,FALSE)</f>
        <v>6</v>
      </c>
      <c r="X144" s="264">
        <f>VLOOKUP('Statistika okresy'!$B144,Body!$B$3:$AR$172,23,FALSE)</f>
        <v>9</v>
      </c>
      <c r="Y144" s="264">
        <f>VLOOKUP('Statistika okresy'!$B144,Body!$B$3:$AR$172,24,FALSE)</f>
        <v>8</v>
      </c>
      <c r="Z144" s="264">
        <f>VLOOKUP('Statistika okresy'!$B144,Body!$B$3:$AR$172,25,FALSE)</f>
        <v>10</v>
      </c>
      <c r="AA144" s="264">
        <f>VLOOKUP('Statistika okresy'!$B144,Body!$B$3:$AR$172,26,FALSE)</f>
        <v>3</v>
      </c>
      <c r="AB144" s="264">
        <f>VLOOKUP('Statistika okresy'!$B144,Body!$B$3:$AR$172,27,FALSE)</f>
        <v>5</v>
      </c>
      <c r="AC144" s="265">
        <f>VLOOKUP('Statistika okresy'!$B144,Body!$B$3:$AR$172,35,FALSE)</f>
        <v>5.3333333333333375</v>
      </c>
      <c r="AD144" s="264">
        <f>VLOOKUP('Statistika okresy'!$B144,Body!$B$3:$AR$172,36,FALSE)</f>
        <v>19.078427328119872</v>
      </c>
      <c r="AE144" s="264">
        <f>VLOOKUP('Statistika okresy'!$B144,Body!$B$3:$AR$172,37,FALSE)</f>
        <v>18.344191163671962</v>
      </c>
      <c r="AF144" s="264">
        <f>VLOOKUP('Statistika okresy'!$B144,Body!$B$3:$AR$172,38,FALSE)</f>
        <v>49.472872024436654</v>
      </c>
      <c r="AG144" s="264">
        <f>VLOOKUP('Statistika okresy'!$B144,Body!$B$3:$AR$172,39,FALSE)</f>
        <v>49.472872024436654</v>
      </c>
      <c r="AH144" s="264">
        <f>VLOOKUP('Statistika okresy'!$B144,Body!$B$3:$AR$172,40,FALSE)</f>
        <v>68.551299352556526</v>
      </c>
      <c r="AI144" s="264">
        <f>VLOOKUP('Statistika okresy'!$B144,Body!$B$3:$AR$172,41,FALSE)</f>
        <v>67.817063188108619</v>
      </c>
      <c r="AJ144" s="390"/>
      <c r="AK144" s="407">
        <f>VLOOKUP('Statistika okresy'!$B144,Body!$B$3:$AR$172,43,FALSE)</f>
        <v>141.70169587399849</v>
      </c>
    </row>
    <row r="145" spans="1:37" ht="15.5" x14ac:dyDescent="0.35">
      <c r="A145" s="382">
        <v>1069</v>
      </c>
      <c r="B145" s="156" t="s">
        <v>128</v>
      </c>
      <c r="C145" s="352" t="s">
        <v>963</v>
      </c>
      <c r="D145" s="264">
        <f>VLOOKUP('Statistika okresy'!$B145,Body!$B$3:$AR$172,3,FALSE)</f>
        <v>10</v>
      </c>
      <c r="E145" s="264">
        <f>VLOOKUP('Statistika okresy'!$B145,Body!$B$3:$AR$172,4,FALSE)</f>
        <v>10</v>
      </c>
      <c r="F145" s="264">
        <f>VLOOKUP('Statistika okresy'!$B145,Body!$B$3:$AR$172,5,FALSE)</f>
        <v>7</v>
      </c>
      <c r="G145" s="264">
        <f>VLOOKUP('Statistika okresy'!$B145,Body!$B$3:$AR$172,6,FALSE)</f>
        <v>4</v>
      </c>
      <c r="H145" s="264">
        <f>VLOOKUP('Statistika okresy'!$B145,Body!$B$3:$AR$172,7,FALSE)</f>
        <v>1</v>
      </c>
      <c r="I145" s="264">
        <f>VLOOKUP('Statistika okresy'!$B145,Body!$B$3:$AR$172,8,FALSE)</f>
        <v>1</v>
      </c>
      <c r="J145" s="264">
        <f>VLOOKUP('Statistika okresy'!$B145,Body!$B$3:$AR$172,9,FALSE)</f>
        <v>1</v>
      </c>
      <c r="K145" s="264">
        <f>VLOOKUP('Statistika okresy'!$B145,Body!$B$3:$AR$172,10,FALSE)</f>
        <v>1</v>
      </c>
      <c r="L145" s="264">
        <f>VLOOKUP('Statistika okresy'!$B145,Body!$B$3:$AR$172,11,FALSE)</f>
        <v>7</v>
      </c>
      <c r="M145" s="264">
        <f>VLOOKUP('Statistika okresy'!$B145,Body!$B$3:$AR$172,12,FALSE)</f>
        <v>6</v>
      </c>
      <c r="N145" s="264">
        <f>VLOOKUP('Statistika okresy'!$B145,Body!$B$3:$AR$172,13,FALSE)</f>
        <v>8</v>
      </c>
      <c r="O145" s="264">
        <f>VLOOKUP('Statistika okresy'!$B145,Body!$B$3:$AR$172,14,FALSE)</f>
        <v>8</v>
      </c>
      <c r="P145" s="264">
        <f>VLOOKUP('Statistika okresy'!$B145,Body!$B$3:$AR$172,15,FALSE)</f>
        <v>5</v>
      </c>
      <c r="Q145" s="264">
        <f>VLOOKUP('Statistika okresy'!$B145,Body!$B$3:$AR$172,16,FALSE)</f>
        <v>3</v>
      </c>
      <c r="R145" s="264">
        <f>VLOOKUP('Statistika okresy'!$B145,Body!$B$3:$AR$172,17,FALSE)</f>
        <v>3</v>
      </c>
      <c r="S145" s="264">
        <f>VLOOKUP('Statistika okresy'!$B145,Body!$B$3:$AR$172,18,FALSE)</f>
        <v>8</v>
      </c>
      <c r="T145" s="264">
        <f>VLOOKUP('Statistika okresy'!$B145,Body!$B$3:$AR$172,19,FALSE)</f>
        <v>7</v>
      </c>
      <c r="U145" s="264">
        <f>VLOOKUP('Statistika okresy'!$B145,Body!$B$3:$AR$172,20,FALSE)</f>
        <v>5</v>
      </c>
      <c r="V145" s="264">
        <f>VLOOKUP('Statistika okresy'!$B145,Body!$B$3:$AR$172,21,FALSE)</f>
        <v>6</v>
      </c>
      <c r="W145" s="264">
        <f>VLOOKUP('Statistika okresy'!$B145,Body!$B$3:$AR$172,22,FALSE)</f>
        <v>10</v>
      </c>
      <c r="X145" s="264">
        <f>VLOOKUP('Statistika okresy'!$B145,Body!$B$3:$AR$172,23,FALSE)</f>
        <v>9</v>
      </c>
      <c r="Y145" s="264">
        <f>VLOOKUP('Statistika okresy'!$B145,Body!$B$3:$AR$172,24,FALSE)</f>
        <v>10</v>
      </c>
      <c r="Z145" s="264">
        <f>VLOOKUP('Statistika okresy'!$B145,Body!$B$3:$AR$172,25,FALSE)</f>
        <v>10</v>
      </c>
      <c r="AA145" s="264">
        <f>VLOOKUP('Statistika okresy'!$B145,Body!$B$3:$AR$172,26,FALSE)</f>
        <v>3</v>
      </c>
      <c r="AB145" s="264">
        <f>VLOOKUP('Statistika okresy'!$B145,Body!$B$3:$AR$172,27,FALSE)</f>
        <v>5</v>
      </c>
      <c r="AC145" s="265">
        <f>VLOOKUP('Statistika okresy'!$B145,Body!$B$3:$AR$172,35,FALSE)</f>
        <v>5.3333333333333375</v>
      </c>
      <c r="AD145" s="264">
        <f>VLOOKUP('Statistika okresy'!$B145,Body!$B$3:$AR$172,36,FALSE)</f>
        <v>35.422158991167805</v>
      </c>
      <c r="AE145" s="264">
        <f>VLOOKUP('Statistika okresy'!$B145,Body!$B$3:$AR$172,37,FALSE)</f>
        <v>29.163211384666791</v>
      </c>
      <c r="AF145" s="264">
        <f>VLOOKUP('Statistika okresy'!$B145,Body!$B$3:$AR$172,38,FALSE)</f>
        <v>66.044716973676799</v>
      </c>
      <c r="AG145" s="264">
        <f>VLOOKUP('Statistika okresy'!$B145,Body!$B$3:$AR$172,39,FALSE)</f>
        <v>68.309465845408752</v>
      </c>
      <c r="AH145" s="264">
        <f>VLOOKUP('Statistika okresy'!$B145,Body!$B$3:$AR$172,40,FALSE)</f>
        <v>101.4668759648446</v>
      </c>
      <c r="AI145" s="264">
        <f>VLOOKUP('Statistika okresy'!$B145,Body!$B$3:$AR$172,41,FALSE)</f>
        <v>97.472677230075547</v>
      </c>
      <c r="AJ145" s="390"/>
      <c r="AK145" s="407">
        <f>VLOOKUP('Statistika okresy'!$B145,Body!$B$3:$AR$172,43,FALSE)</f>
        <v>204.27288652825351</v>
      </c>
    </row>
    <row r="146" spans="1:37" ht="15.5" x14ac:dyDescent="0.35">
      <c r="A146" s="382">
        <v>1072</v>
      </c>
      <c r="B146" s="156" t="s">
        <v>543</v>
      </c>
      <c r="C146" s="352" t="s">
        <v>963</v>
      </c>
      <c r="D146" s="264">
        <f>VLOOKUP('Statistika okresy'!$B146,Body!$B$3:$AR$172,3,FALSE)</f>
        <v>5</v>
      </c>
      <c r="E146" s="264">
        <f>VLOOKUP('Statistika okresy'!$B146,Body!$B$3:$AR$172,4,FALSE)</f>
        <v>5</v>
      </c>
      <c r="F146" s="264">
        <f>VLOOKUP('Statistika okresy'!$B146,Body!$B$3:$AR$172,5,FALSE)</f>
        <v>8</v>
      </c>
      <c r="G146" s="264">
        <f>VLOOKUP('Statistika okresy'!$B146,Body!$B$3:$AR$172,6,FALSE)</f>
        <v>6</v>
      </c>
      <c r="H146" s="264">
        <f>VLOOKUP('Statistika okresy'!$B146,Body!$B$3:$AR$172,7,FALSE)</f>
        <v>1</v>
      </c>
      <c r="I146" s="264">
        <f>VLOOKUP('Statistika okresy'!$B146,Body!$B$3:$AR$172,8,FALSE)</f>
        <v>1</v>
      </c>
      <c r="J146" s="264">
        <f>VLOOKUP('Statistika okresy'!$B146,Body!$B$3:$AR$172,9,FALSE)</f>
        <v>1</v>
      </c>
      <c r="K146" s="264">
        <f>VLOOKUP('Statistika okresy'!$B146,Body!$B$3:$AR$172,10,FALSE)</f>
        <v>1</v>
      </c>
      <c r="L146" s="264">
        <f>VLOOKUP('Statistika okresy'!$B146,Body!$B$3:$AR$172,11,FALSE)</f>
        <v>6</v>
      </c>
      <c r="M146" s="264">
        <f>VLOOKUP('Statistika okresy'!$B146,Body!$B$3:$AR$172,12,FALSE)</f>
        <v>5</v>
      </c>
      <c r="N146" s="264">
        <f>VLOOKUP('Statistika okresy'!$B146,Body!$B$3:$AR$172,13,FALSE)</f>
        <v>6</v>
      </c>
      <c r="O146" s="264">
        <f>VLOOKUP('Statistika okresy'!$B146,Body!$B$3:$AR$172,14,FALSE)</f>
        <v>7</v>
      </c>
      <c r="P146" s="264">
        <f>VLOOKUP('Statistika okresy'!$B146,Body!$B$3:$AR$172,15,FALSE)</f>
        <v>5</v>
      </c>
      <c r="Q146" s="264">
        <f>VLOOKUP('Statistika okresy'!$B146,Body!$B$3:$AR$172,16,FALSE)</f>
        <v>3</v>
      </c>
      <c r="R146" s="264">
        <f>VLOOKUP('Statistika okresy'!$B146,Body!$B$3:$AR$172,17,FALSE)</f>
        <v>3</v>
      </c>
      <c r="S146" s="264">
        <f>VLOOKUP('Statistika okresy'!$B146,Body!$B$3:$AR$172,18,FALSE)</f>
        <v>8</v>
      </c>
      <c r="T146" s="264">
        <f>VLOOKUP('Statistika okresy'!$B146,Body!$B$3:$AR$172,19,FALSE)</f>
        <v>8</v>
      </c>
      <c r="U146" s="264">
        <f>VLOOKUP('Statistika okresy'!$B146,Body!$B$3:$AR$172,20,FALSE)</f>
        <v>5</v>
      </c>
      <c r="V146" s="264">
        <f>VLOOKUP('Statistika okresy'!$B146,Body!$B$3:$AR$172,21,FALSE)</f>
        <v>6</v>
      </c>
      <c r="W146" s="264">
        <f>VLOOKUP('Statistika okresy'!$B146,Body!$B$3:$AR$172,22,FALSE)</f>
        <v>10</v>
      </c>
      <c r="X146" s="264">
        <f>VLOOKUP('Statistika okresy'!$B146,Body!$B$3:$AR$172,23,FALSE)</f>
        <v>9</v>
      </c>
      <c r="Y146" s="264">
        <f>VLOOKUP('Statistika okresy'!$B146,Body!$B$3:$AR$172,24,FALSE)</f>
        <v>10</v>
      </c>
      <c r="Z146" s="264">
        <f>VLOOKUP('Statistika okresy'!$B146,Body!$B$3:$AR$172,25,FALSE)</f>
        <v>10</v>
      </c>
      <c r="AA146" s="264">
        <f>VLOOKUP('Statistika okresy'!$B146,Body!$B$3:$AR$172,26,FALSE)</f>
        <v>5</v>
      </c>
      <c r="AB146" s="264">
        <f>VLOOKUP('Statistika okresy'!$B146,Body!$B$3:$AR$172,27,FALSE)</f>
        <v>5</v>
      </c>
      <c r="AC146" s="265">
        <f>VLOOKUP('Statistika okresy'!$B146,Body!$B$3:$AR$172,35,FALSE)</f>
        <v>8.0000000000000071</v>
      </c>
      <c r="AD146" s="264">
        <f>VLOOKUP('Statistika okresy'!$B146,Body!$B$3:$AR$172,36,FALSE)</f>
        <v>33.361622843129503</v>
      </c>
      <c r="AE146" s="264">
        <f>VLOOKUP('Statistika okresy'!$B146,Body!$B$3:$AR$172,37,FALSE)</f>
        <v>29.772464193687309</v>
      </c>
      <c r="AF146" s="264">
        <f>VLOOKUP('Statistika okresy'!$B146,Body!$B$3:$AR$172,38,FALSE)</f>
        <v>66.044716973676799</v>
      </c>
      <c r="AG146" s="264">
        <f>VLOOKUP('Statistika okresy'!$B146,Body!$B$3:$AR$172,39,FALSE)</f>
        <v>72.223089802484736</v>
      </c>
      <c r="AH146" s="264">
        <f>VLOOKUP('Statistika okresy'!$B146,Body!$B$3:$AR$172,40,FALSE)</f>
        <v>99.406339816806309</v>
      </c>
      <c r="AI146" s="264">
        <f>VLOOKUP('Statistika okresy'!$B146,Body!$B$3:$AR$172,41,FALSE)</f>
        <v>101.99555399617205</v>
      </c>
      <c r="AJ146" s="390"/>
      <c r="AK146" s="407">
        <f>VLOOKUP('Statistika okresy'!$B146,Body!$B$3:$AR$172,43,FALSE)</f>
        <v>209.40189381297836</v>
      </c>
    </row>
    <row r="147" spans="1:37" ht="15.5" x14ac:dyDescent="0.35">
      <c r="A147" s="382">
        <v>1075</v>
      </c>
      <c r="B147" s="156" t="s">
        <v>561</v>
      </c>
      <c r="C147" s="352" t="s">
        <v>963</v>
      </c>
      <c r="D147" s="264">
        <f>VLOOKUP('Statistika okresy'!$B147,Body!$B$3:$AR$172,3,FALSE)</f>
        <v>10</v>
      </c>
      <c r="E147" s="264">
        <f>VLOOKUP('Statistika okresy'!$B147,Body!$B$3:$AR$172,4,FALSE)</f>
        <v>6</v>
      </c>
      <c r="F147" s="264">
        <f>VLOOKUP('Statistika okresy'!$B147,Body!$B$3:$AR$172,5,FALSE)</f>
        <v>3</v>
      </c>
      <c r="G147" s="264">
        <f>VLOOKUP('Statistika okresy'!$B147,Body!$B$3:$AR$172,6,FALSE)</f>
        <v>2</v>
      </c>
      <c r="H147" s="264">
        <f>VLOOKUP('Statistika okresy'!$B147,Body!$B$3:$AR$172,7,FALSE)</f>
        <v>1</v>
      </c>
      <c r="I147" s="264">
        <f>VLOOKUP('Statistika okresy'!$B147,Body!$B$3:$AR$172,8,FALSE)</f>
        <v>1</v>
      </c>
      <c r="J147" s="264">
        <f>VLOOKUP('Statistika okresy'!$B147,Body!$B$3:$AR$172,9,FALSE)</f>
        <v>1</v>
      </c>
      <c r="K147" s="264">
        <f>VLOOKUP('Statistika okresy'!$B147,Body!$B$3:$AR$172,10,FALSE)</f>
        <v>1</v>
      </c>
      <c r="L147" s="264">
        <f>VLOOKUP('Statistika okresy'!$B147,Body!$B$3:$AR$172,11,FALSE)</f>
        <v>2</v>
      </c>
      <c r="M147" s="264">
        <f>VLOOKUP('Statistika okresy'!$B147,Body!$B$3:$AR$172,12,FALSE)</f>
        <v>4</v>
      </c>
      <c r="N147" s="264">
        <f>VLOOKUP('Statistika okresy'!$B147,Body!$B$3:$AR$172,13,FALSE)</f>
        <v>9</v>
      </c>
      <c r="O147" s="264">
        <f>VLOOKUP('Statistika okresy'!$B147,Body!$B$3:$AR$172,14,FALSE)</f>
        <v>8</v>
      </c>
      <c r="P147" s="264">
        <f>VLOOKUP('Statistika okresy'!$B147,Body!$B$3:$AR$172,15,FALSE)</f>
        <v>3</v>
      </c>
      <c r="Q147" s="264">
        <f>VLOOKUP('Statistika okresy'!$B147,Body!$B$3:$AR$172,16,FALSE)</f>
        <v>4</v>
      </c>
      <c r="R147" s="264">
        <f>VLOOKUP('Statistika okresy'!$B147,Body!$B$3:$AR$172,17,FALSE)</f>
        <v>5</v>
      </c>
      <c r="S147" s="264">
        <f>VLOOKUP('Statistika okresy'!$B147,Body!$B$3:$AR$172,18,FALSE)</f>
        <v>8</v>
      </c>
      <c r="T147" s="264">
        <f>VLOOKUP('Statistika okresy'!$B147,Body!$B$3:$AR$172,19,FALSE)</f>
        <v>10</v>
      </c>
      <c r="U147" s="264">
        <f>VLOOKUP('Statistika okresy'!$B147,Body!$B$3:$AR$172,20,FALSE)</f>
        <v>5</v>
      </c>
      <c r="V147" s="264">
        <f>VLOOKUP('Statistika okresy'!$B147,Body!$B$3:$AR$172,21,FALSE)</f>
        <v>6</v>
      </c>
      <c r="W147" s="264">
        <f>VLOOKUP('Statistika okresy'!$B147,Body!$B$3:$AR$172,22,FALSE)</f>
        <v>6</v>
      </c>
      <c r="X147" s="264">
        <f>VLOOKUP('Statistika okresy'!$B147,Body!$B$3:$AR$172,23,FALSE)</f>
        <v>10</v>
      </c>
      <c r="Y147" s="264">
        <f>VLOOKUP('Statistika okresy'!$B147,Body!$B$3:$AR$172,24,FALSE)</f>
        <v>10</v>
      </c>
      <c r="Z147" s="264">
        <f>VLOOKUP('Statistika okresy'!$B147,Body!$B$3:$AR$172,25,FALSE)</f>
        <v>10</v>
      </c>
      <c r="AA147" s="264">
        <f>VLOOKUP('Statistika okresy'!$B147,Body!$B$3:$AR$172,26,FALSE)</f>
        <v>1</v>
      </c>
      <c r="AB147" s="264">
        <f>VLOOKUP('Statistika okresy'!$B147,Body!$B$3:$AR$172,27,FALSE)</f>
        <v>5</v>
      </c>
      <c r="AC147" s="265">
        <f>VLOOKUP('Statistika okresy'!$B147,Body!$B$3:$AR$172,35,FALSE)</f>
        <v>2.6666666666666687</v>
      </c>
      <c r="AD147" s="264">
        <f>VLOOKUP('Statistika okresy'!$B147,Body!$B$3:$AR$172,36,FALSE)</f>
        <v>25.108886312347281</v>
      </c>
      <c r="AE147" s="264">
        <f>VLOOKUP('Statistika okresy'!$B147,Body!$B$3:$AR$172,37,FALSE)</f>
        <v>23.590461837864289</v>
      </c>
      <c r="AF147" s="264">
        <f>VLOOKUP('Statistika okresy'!$B147,Body!$B$3:$AR$172,38,FALSE)</f>
        <v>66.783773508752944</v>
      </c>
      <c r="AG147" s="264">
        <f>VLOOKUP('Statistika okresy'!$B147,Body!$B$3:$AR$172,39,FALSE)</f>
        <v>74.611021422904926</v>
      </c>
      <c r="AH147" s="264">
        <f>VLOOKUP('Statistika okresy'!$B147,Body!$B$3:$AR$172,40,FALSE)</f>
        <v>91.892659821100224</v>
      </c>
      <c r="AI147" s="264">
        <f>VLOOKUP('Statistika okresy'!$B147,Body!$B$3:$AR$172,41,FALSE)</f>
        <v>98.201483260769209</v>
      </c>
      <c r="AJ147" s="390"/>
      <c r="AK147" s="407">
        <f>VLOOKUP('Statistika okresy'!$B147,Body!$B$3:$AR$172,43,FALSE)</f>
        <v>192.7608097485361</v>
      </c>
    </row>
    <row r="148" spans="1:37" ht="15.5" x14ac:dyDescent="0.35">
      <c r="A148" s="382">
        <v>1078</v>
      </c>
      <c r="B148" s="156" t="s">
        <v>127</v>
      </c>
      <c r="C148" s="352" t="s">
        <v>963</v>
      </c>
      <c r="D148" s="264">
        <f>VLOOKUP('Statistika okresy'!$B148,Body!$B$3:$AR$172,3,FALSE)</f>
        <v>6</v>
      </c>
      <c r="E148" s="264">
        <f>VLOOKUP('Statistika okresy'!$B148,Body!$B$3:$AR$172,4,FALSE)</f>
        <v>7</v>
      </c>
      <c r="F148" s="264">
        <f>VLOOKUP('Statistika okresy'!$B148,Body!$B$3:$AR$172,5,FALSE)</f>
        <v>8</v>
      </c>
      <c r="G148" s="264">
        <f>VLOOKUP('Statistika okresy'!$B148,Body!$B$3:$AR$172,6,FALSE)</f>
        <v>6</v>
      </c>
      <c r="H148" s="264">
        <f>VLOOKUP('Statistika okresy'!$B148,Body!$B$3:$AR$172,7,FALSE)</f>
        <v>1</v>
      </c>
      <c r="I148" s="264">
        <f>VLOOKUP('Statistika okresy'!$B148,Body!$B$3:$AR$172,8,FALSE)</f>
        <v>1</v>
      </c>
      <c r="J148" s="264">
        <f>VLOOKUP('Statistika okresy'!$B148,Body!$B$3:$AR$172,9,FALSE)</f>
        <v>3</v>
      </c>
      <c r="K148" s="264">
        <f>VLOOKUP('Statistika okresy'!$B148,Body!$B$3:$AR$172,10,FALSE)</f>
        <v>1</v>
      </c>
      <c r="L148" s="264">
        <f>VLOOKUP('Statistika okresy'!$B148,Body!$B$3:$AR$172,11,FALSE)</f>
        <v>9</v>
      </c>
      <c r="M148" s="264">
        <f>VLOOKUP('Statistika okresy'!$B148,Body!$B$3:$AR$172,12,FALSE)</f>
        <v>8</v>
      </c>
      <c r="N148" s="264">
        <f>VLOOKUP('Statistika okresy'!$B148,Body!$B$3:$AR$172,13,FALSE)</f>
        <v>8</v>
      </c>
      <c r="O148" s="264">
        <f>VLOOKUP('Statistika okresy'!$B148,Body!$B$3:$AR$172,14,FALSE)</f>
        <v>8</v>
      </c>
      <c r="P148" s="264">
        <f>VLOOKUP('Statistika okresy'!$B148,Body!$B$3:$AR$172,15,FALSE)</f>
        <v>6</v>
      </c>
      <c r="Q148" s="264">
        <f>VLOOKUP('Statistika okresy'!$B148,Body!$B$3:$AR$172,16,FALSE)</f>
        <v>3</v>
      </c>
      <c r="R148" s="264">
        <f>VLOOKUP('Statistika okresy'!$B148,Body!$B$3:$AR$172,17,FALSE)</f>
        <v>4</v>
      </c>
      <c r="S148" s="264">
        <f>VLOOKUP('Statistika okresy'!$B148,Body!$B$3:$AR$172,18,FALSE)</f>
        <v>7</v>
      </c>
      <c r="T148" s="264">
        <f>VLOOKUP('Statistika okresy'!$B148,Body!$B$3:$AR$172,19,FALSE)</f>
        <v>8</v>
      </c>
      <c r="U148" s="264">
        <f>VLOOKUP('Statistika okresy'!$B148,Body!$B$3:$AR$172,20,FALSE)</f>
        <v>5</v>
      </c>
      <c r="V148" s="264">
        <f>VLOOKUP('Statistika okresy'!$B148,Body!$B$3:$AR$172,21,FALSE)</f>
        <v>7</v>
      </c>
      <c r="W148" s="264">
        <f>VLOOKUP('Statistika okresy'!$B148,Body!$B$3:$AR$172,22,FALSE)</f>
        <v>6</v>
      </c>
      <c r="X148" s="264">
        <f>VLOOKUP('Statistika okresy'!$B148,Body!$B$3:$AR$172,23,FALSE)</f>
        <v>5</v>
      </c>
      <c r="Y148" s="264">
        <f>VLOOKUP('Statistika okresy'!$B148,Body!$B$3:$AR$172,24,FALSE)</f>
        <v>10</v>
      </c>
      <c r="Z148" s="264">
        <f>VLOOKUP('Statistika okresy'!$B148,Body!$B$3:$AR$172,25,FALSE)</f>
        <v>10</v>
      </c>
      <c r="AA148" s="264">
        <f>VLOOKUP('Statistika okresy'!$B148,Body!$B$3:$AR$172,26,FALSE)</f>
        <v>10</v>
      </c>
      <c r="AB148" s="264">
        <f>VLOOKUP('Statistika okresy'!$B148,Body!$B$3:$AR$172,27,FALSE)</f>
        <v>5</v>
      </c>
      <c r="AC148" s="265">
        <f>VLOOKUP('Statistika okresy'!$B148,Body!$B$3:$AR$172,35,FALSE)</f>
        <v>14.666666666666682</v>
      </c>
      <c r="AD148" s="264">
        <f>VLOOKUP('Statistika okresy'!$B148,Body!$B$3:$AR$172,36,FALSE)</f>
        <v>38.426498501550391</v>
      </c>
      <c r="AE148" s="264">
        <f>VLOOKUP('Statistika okresy'!$B148,Body!$B$3:$AR$172,37,FALSE)</f>
        <v>35.19194187900969</v>
      </c>
      <c r="AF148" s="264">
        <f>VLOOKUP('Statistika okresy'!$B148,Body!$B$3:$AR$172,38,FALSE)</f>
        <v>60.719460083498205</v>
      </c>
      <c r="AG148" s="264">
        <f>VLOOKUP('Statistika okresy'!$B148,Body!$B$3:$AR$172,39,FALSE)</f>
        <v>63.088490833372219</v>
      </c>
      <c r="AH148" s="264">
        <f>VLOOKUP('Statistika okresy'!$B148,Body!$B$3:$AR$172,40,FALSE)</f>
        <v>99.145958585048589</v>
      </c>
      <c r="AI148" s="264">
        <f>VLOOKUP('Statistika okresy'!$B148,Body!$B$3:$AR$172,41,FALSE)</f>
        <v>98.280432712381909</v>
      </c>
      <c r="AJ148" s="390"/>
      <c r="AK148" s="407">
        <f>VLOOKUP('Statistika okresy'!$B148,Body!$B$3:$AR$172,43,FALSE)</f>
        <v>212.09305796409717</v>
      </c>
    </row>
    <row r="149" spans="1:37" ht="15.5" x14ac:dyDescent="0.35">
      <c r="A149" s="382">
        <v>1081</v>
      </c>
      <c r="B149" s="156" t="s">
        <v>564</v>
      </c>
      <c r="C149" s="352" t="s">
        <v>963</v>
      </c>
      <c r="D149" s="264">
        <f>VLOOKUP('Statistika okresy'!$B149,Body!$B$3:$AR$172,3,FALSE)</f>
        <v>6</v>
      </c>
      <c r="E149" s="264">
        <f>VLOOKUP('Statistika okresy'!$B149,Body!$B$3:$AR$172,4,FALSE)</f>
        <v>6</v>
      </c>
      <c r="F149" s="264">
        <f>VLOOKUP('Statistika okresy'!$B149,Body!$B$3:$AR$172,5,FALSE)</f>
        <v>9</v>
      </c>
      <c r="G149" s="264">
        <f>VLOOKUP('Statistika okresy'!$B149,Body!$B$3:$AR$172,6,FALSE)</f>
        <v>7</v>
      </c>
      <c r="H149" s="264">
        <f>VLOOKUP('Statistika okresy'!$B149,Body!$B$3:$AR$172,7,FALSE)</f>
        <v>1</v>
      </c>
      <c r="I149" s="264">
        <f>VLOOKUP('Statistika okresy'!$B149,Body!$B$3:$AR$172,8,FALSE)</f>
        <v>1</v>
      </c>
      <c r="J149" s="264">
        <f>VLOOKUP('Statistika okresy'!$B149,Body!$B$3:$AR$172,9,FALSE)</f>
        <v>1</v>
      </c>
      <c r="K149" s="264">
        <f>VLOOKUP('Statistika okresy'!$B149,Body!$B$3:$AR$172,10,FALSE)</f>
        <v>1</v>
      </c>
      <c r="L149" s="264">
        <f>VLOOKUP('Statistika okresy'!$B149,Body!$B$3:$AR$172,11,FALSE)</f>
        <v>9</v>
      </c>
      <c r="M149" s="264">
        <f>VLOOKUP('Statistika okresy'!$B149,Body!$B$3:$AR$172,12,FALSE)</f>
        <v>7</v>
      </c>
      <c r="N149" s="264">
        <f>VLOOKUP('Statistika okresy'!$B149,Body!$B$3:$AR$172,13,FALSE)</f>
        <v>6</v>
      </c>
      <c r="O149" s="264">
        <f>VLOOKUP('Statistika okresy'!$B149,Body!$B$3:$AR$172,14,FALSE)</f>
        <v>7</v>
      </c>
      <c r="P149" s="264">
        <f>VLOOKUP('Statistika okresy'!$B149,Body!$B$3:$AR$172,15,FALSE)</f>
        <v>6</v>
      </c>
      <c r="Q149" s="264">
        <f>VLOOKUP('Statistika okresy'!$B149,Body!$B$3:$AR$172,16,FALSE)</f>
        <v>5</v>
      </c>
      <c r="R149" s="264">
        <f>VLOOKUP('Statistika okresy'!$B149,Body!$B$3:$AR$172,17,FALSE)</f>
        <v>5</v>
      </c>
      <c r="S149" s="264">
        <f>VLOOKUP('Statistika okresy'!$B149,Body!$B$3:$AR$172,18,FALSE)</f>
        <v>7</v>
      </c>
      <c r="T149" s="264">
        <f>VLOOKUP('Statistika okresy'!$B149,Body!$B$3:$AR$172,19,FALSE)</f>
        <v>7</v>
      </c>
      <c r="U149" s="264">
        <f>VLOOKUP('Statistika okresy'!$B149,Body!$B$3:$AR$172,20,FALSE)</f>
        <v>5</v>
      </c>
      <c r="V149" s="264">
        <f>VLOOKUP('Statistika okresy'!$B149,Body!$B$3:$AR$172,21,FALSE)</f>
        <v>6</v>
      </c>
      <c r="W149" s="264">
        <f>VLOOKUP('Statistika okresy'!$B149,Body!$B$3:$AR$172,22,FALSE)</f>
        <v>5</v>
      </c>
      <c r="X149" s="264">
        <f>VLOOKUP('Statistika okresy'!$B149,Body!$B$3:$AR$172,23,FALSE)</f>
        <v>9</v>
      </c>
      <c r="Y149" s="264">
        <f>VLOOKUP('Statistika okresy'!$B149,Body!$B$3:$AR$172,24,FALSE)</f>
        <v>8</v>
      </c>
      <c r="Z149" s="264">
        <f>VLOOKUP('Statistika okresy'!$B149,Body!$B$3:$AR$172,25,FALSE)</f>
        <v>10</v>
      </c>
      <c r="AA149" s="264">
        <f>VLOOKUP('Statistika okresy'!$B149,Body!$B$3:$AR$172,26,FALSE)</f>
        <v>3</v>
      </c>
      <c r="AB149" s="264">
        <f>VLOOKUP('Statistika okresy'!$B149,Body!$B$3:$AR$172,27,FALSE)</f>
        <v>5</v>
      </c>
      <c r="AC149" s="265">
        <f>VLOOKUP('Statistika okresy'!$B149,Body!$B$3:$AR$172,35,FALSE)</f>
        <v>5.3333333333333375</v>
      </c>
      <c r="AD149" s="264">
        <f>VLOOKUP('Statistika okresy'!$B149,Body!$B$3:$AR$172,36,FALSE)</f>
        <v>40.720182298783243</v>
      </c>
      <c r="AE149" s="264">
        <f>VLOOKUP('Statistika okresy'!$B149,Body!$B$3:$AR$172,37,FALSE)</f>
        <v>36.483678219055022</v>
      </c>
      <c r="AF149" s="264">
        <f>VLOOKUP('Statistika okresy'!$B149,Body!$B$3:$AR$172,38,FALSE)</f>
        <v>61.213743895664614</v>
      </c>
      <c r="AG149" s="264">
        <f>VLOOKUP('Statistika okresy'!$B149,Body!$B$3:$AR$172,39,FALSE)</f>
        <v>59.669150688462629</v>
      </c>
      <c r="AH149" s="264">
        <f>VLOOKUP('Statistika okresy'!$B149,Body!$B$3:$AR$172,40,FALSE)</f>
        <v>101.93392619444785</v>
      </c>
      <c r="AI149" s="264">
        <f>VLOOKUP('Statistika okresy'!$B149,Body!$B$3:$AR$172,41,FALSE)</f>
        <v>96.152828907517659</v>
      </c>
      <c r="AJ149" s="390"/>
      <c r="AK149" s="407">
        <f>VLOOKUP('Statistika okresy'!$B149,Body!$B$3:$AR$172,43,FALSE)</f>
        <v>203.42008843529885</v>
      </c>
    </row>
    <row r="150" spans="1:37" ht="15.5" x14ac:dyDescent="0.35">
      <c r="A150" s="382">
        <v>1087</v>
      </c>
      <c r="B150" s="156" t="s">
        <v>555</v>
      </c>
      <c r="C150" s="352" t="s">
        <v>963</v>
      </c>
      <c r="D150" s="264">
        <f>VLOOKUP('Statistika okresy'!$B150,Body!$B$3:$AR$172,3,FALSE)</f>
        <v>4</v>
      </c>
      <c r="E150" s="264">
        <f>VLOOKUP('Statistika okresy'!$B150,Body!$B$3:$AR$172,4,FALSE)</f>
        <v>7</v>
      </c>
      <c r="F150" s="264">
        <f>VLOOKUP('Statistika okresy'!$B150,Body!$B$3:$AR$172,5,FALSE)</f>
        <v>8</v>
      </c>
      <c r="G150" s="264">
        <f>VLOOKUP('Statistika okresy'!$B150,Body!$B$3:$AR$172,6,FALSE)</f>
        <v>6</v>
      </c>
      <c r="H150" s="264">
        <f>VLOOKUP('Statistika okresy'!$B150,Body!$B$3:$AR$172,7,FALSE)</f>
        <v>2</v>
      </c>
      <c r="I150" s="264">
        <f>VLOOKUP('Statistika okresy'!$B150,Body!$B$3:$AR$172,8,FALSE)</f>
        <v>8</v>
      </c>
      <c r="J150" s="264">
        <f>VLOOKUP('Statistika okresy'!$B150,Body!$B$3:$AR$172,9,FALSE)</f>
        <v>3</v>
      </c>
      <c r="K150" s="264">
        <f>VLOOKUP('Statistika okresy'!$B150,Body!$B$3:$AR$172,10,FALSE)</f>
        <v>2</v>
      </c>
      <c r="L150" s="264">
        <f>VLOOKUP('Statistika okresy'!$B150,Body!$B$3:$AR$172,11,FALSE)</f>
        <v>8</v>
      </c>
      <c r="M150" s="264">
        <f>VLOOKUP('Statistika okresy'!$B150,Body!$B$3:$AR$172,12,FALSE)</f>
        <v>8</v>
      </c>
      <c r="N150" s="264">
        <f>VLOOKUP('Statistika okresy'!$B150,Body!$B$3:$AR$172,13,FALSE)</f>
        <v>8</v>
      </c>
      <c r="O150" s="264">
        <f>VLOOKUP('Statistika okresy'!$B150,Body!$B$3:$AR$172,14,FALSE)</f>
        <v>8</v>
      </c>
      <c r="P150" s="264">
        <f>VLOOKUP('Statistika okresy'!$B150,Body!$B$3:$AR$172,15,FALSE)</f>
        <v>5</v>
      </c>
      <c r="Q150" s="264">
        <f>VLOOKUP('Statistika okresy'!$B150,Body!$B$3:$AR$172,16,FALSE)</f>
        <v>3</v>
      </c>
      <c r="R150" s="264">
        <f>VLOOKUP('Statistika okresy'!$B150,Body!$B$3:$AR$172,17,FALSE)</f>
        <v>3</v>
      </c>
      <c r="S150" s="264">
        <f>VLOOKUP('Statistika okresy'!$B150,Body!$B$3:$AR$172,18,FALSE)</f>
        <v>8</v>
      </c>
      <c r="T150" s="264">
        <f>VLOOKUP('Statistika okresy'!$B150,Body!$B$3:$AR$172,19,FALSE)</f>
        <v>10</v>
      </c>
      <c r="U150" s="264">
        <f>VLOOKUP('Statistika okresy'!$B150,Body!$B$3:$AR$172,20,FALSE)</f>
        <v>5</v>
      </c>
      <c r="V150" s="264">
        <f>VLOOKUP('Statistika okresy'!$B150,Body!$B$3:$AR$172,21,FALSE)</f>
        <v>5</v>
      </c>
      <c r="W150" s="264">
        <f>VLOOKUP('Statistika okresy'!$B150,Body!$B$3:$AR$172,22,FALSE)</f>
        <v>8</v>
      </c>
      <c r="X150" s="264">
        <f>VLOOKUP('Statistika okresy'!$B150,Body!$B$3:$AR$172,23,FALSE)</f>
        <v>9</v>
      </c>
      <c r="Y150" s="264">
        <f>VLOOKUP('Statistika okresy'!$B150,Body!$B$3:$AR$172,24,FALSE)</f>
        <v>8</v>
      </c>
      <c r="Z150" s="264">
        <f>VLOOKUP('Statistika okresy'!$B150,Body!$B$3:$AR$172,25,FALSE)</f>
        <v>10</v>
      </c>
      <c r="AA150" s="264">
        <f>VLOOKUP('Statistika okresy'!$B150,Body!$B$3:$AR$172,26,FALSE)</f>
        <v>5</v>
      </c>
      <c r="AB150" s="264">
        <f>VLOOKUP('Statistika okresy'!$B150,Body!$B$3:$AR$172,27,FALSE)</f>
        <v>10</v>
      </c>
      <c r="AC150" s="265">
        <f>VLOOKUP('Statistika okresy'!$B150,Body!$B$3:$AR$172,35,FALSE)</f>
        <v>9.3333333333333428</v>
      </c>
      <c r="AD150" s="264">
        <f>VLOOKUP('Statistika okresy'!$B150,Body!$B$3:$AR$172,36,FALSE)</f>
        <v>36.533518455169606</v>
      </c>
      <c r="AE150" s="264">
        <f>VLOOKUP('Statistika okresy'!$B150,Body!$B$3:$AR$172,37,FALSE)</f>
        <v>34.975801132280587</v>
      </c>
      <c r="AF150" s="264">
        <f>VLOOKUP('Statistika okresy'!$B150,Body!$B$3:$AR$172,38,FALSE)</f>
        <v>63.58277464553862</v>
      </c>
      <c r="AG150" s="264">
        <f>VLOOKUP('Statistika okresy'!$B150,Body!$B$3:$AR$172,39,FALSE)</f>
        <v>76.04380218129657</v>
      </c>
      <c r="AH150" s="264">
        <f>VLOOKUP('Statistika okresy'!$B150,Body!$B$3:$AR$172,40,FALSE)</f>
        <v>100.11629310070822</v>
      </c>
      <c r="AI150" s="264">
        <f>VLOOKUP('Statistika okresy'!$B150,Body!$B$3:$AR$172,41,FALSE)</f>
        <v>111.01960331357716</v>
      </c>
      <c r="AJ150" s="390"/>
      <c r="AK150" s="407">
        <f>VLOOKUP('Statistika okresy'!$B150,Body!$B$3:$AR$172,43,FALSE)</f>
        <v>220.46922974761873</v>
      </c>
    </row>
    <row r="151" spans="1:37" ht="15.5" x14ac:dyDescent="0.35">
      <c r="A151" s="382">
        <v>1090</v>
      </c>
      <c r="B151" s="156" t="s">
        <v>126</v>
      </c>
      <c r="C151" s="352" t="s">
        <v>963</v>
      </c>
      <c r="D151" s="264">
        <f>VLOOKUP('Statistika okresy'!$B151,Body!$B$3:$AR$172,3,FALSE)</f>
        <v>4</v>
      </c>
      <c r="E151" s="264">
        <f>VLOOKUP('Statistika okresy'!$B151,Body!$B$3:$AR$172,4,FALSE)</f>
        <v>4</v>
      </c>
      <c r="F151" s="264">
        <f>VLOOKUP('Statistika okresy'!$B151,Body!$B$3:$AR$172,5,FALSE)</f>
        <v>6</v>
      </c>
      <c r="G151" s="264">
        <f>VLOOKUP('Statistika okresy'!$B151,Body!$B$3:$AR$172,6,FALSE)</f>
        <v>5</v>
      </c>
      <c r="H151" s="264">
        <f>VLOOKUP('Statistika okresy'!$B151,Body!$B$3:$AR$172,7,FALSE)</f>
        <v>1</v>
      </c>
      <c r="I151" s="264">
        <f>VLOOKUP('Statistika okresy'!$B151,Body!$B$3:$AR$172,8,FALSE)</f>
        <v>3</v>
      </c>
      <c r="J151" s="264">
        <f>VLOOKUP('Statistika okresy'!$B151,Body!$B$3:$AR$172,9,FALSE)</f>
        <v>1</v>
      </c>
      <c r="K151" s="264">
        <f>VLOOKUP('Statistika okresy'!$B151,Body!$B$3:$AR$172,10,FALSE)</f>
        <v>1</v>
      </c>
      <c r="L151" s="264">
        <f>VLOOKUP('Statistika okresy'!$B151,Body!$B$3:$AR$172,11,FALSE)</f>
        <v>9</v>
      </c>
      <c r="M151" s="264">
        <f>VLOOKUP('Statistika okresy'!$B151,Body!$B$3:$AR$172,12,FALSE)</f>
        <v>9</v>
      </c>
      <c r="N151" s="264">
        <f>VLOOKUP('Statistika okresy'!$B151,Body!$B$3:$AR$172,13,FALSE)</f>
        <v>5</v>
      </c>
      <c r="O151" s="264">
        <f>VLOOKUP('Statistika okresy'!$B151,Body!$B$3:$AR$172,14,FALSE)</f>
        <v>5</v>
      </c>
      <c r="P151" s="264">
        <f>VLOOKUP('Statistika okresy'!$B151,Body!$B$3:$AR$172,15,FALSE)</f>
        <v>5</v>
      </c>
      <c r="Q151" s="264">
        <f>VLOOKUP('Statistika okresy'!$B151,Body!$B$3:$AR$172,16,FALSE)</f>
        <v>4</v>
      </c>
      <c r="R151" s="264">
        <f>VLOOKUP('Statistika okresy'!$B151,Body!$B$3:$AR$172,17,FALSE)</f>
        <v>4</v>
      </c>
      <c r="S151" s="264">
        <f>VLOOKUP('Statistika okresy'!$B151,Body!$B$3:$AR$172,18,FALSE)</f>
        <v>10</v>
      </c>
      <c r="T151" s="264">
        <f>VLOOKUP('Statistika okresy'!$B151,Body!$B$3:$AR$172,19,FALSE)</f>
        <v>9</v>
      </c>
      <c r="U151" s="264">
        <f>VLOOKUP('Statistika okresy'!$B151,Body!$B$3:$AR$172,20,FALSE)</f>
        <v>5</v>
      </c>
      <c r="V151" s="264">
        <f>VLOOKUP('Statistika okresy'!$B151,Body!$B$3:$AR$172,21,FALSE)</f>
        <v>5</v>
      </c>
      <c r="W151" s="264">
        <f>VLOOKUP('Statistika okresy'!$B151,Body!$B$3:$AR$172,22,FALSE)</f>
        <v>7</v>
      </c>
      <c r="X151" s="264">
        <f>VLOOKUP('Statistika okresy'!$B151,Body!$B$3:$AR$172,23,FALSE)</f>
        <v>9</v>
      </c>
      <c r="Y151" s="264">
        <f>VLOOKUP('Statistika okresy'!$B151,Body!$B$3:$AR$172,24,FALSE)</f>
        <v>10</v>
      </c>
      <c r="Z151" s="264">
        <f>VLOOKUP('Statistika okresy'!$B151,Body!$B$3:$AR$172,25,FALSE)</f>
        <v>10</v>
      </c>
      <c r="AA151" s="264">
        <f>VLOOKUP('Statistika okresy'!$B151,Body!$B$3:$AR$172,26,FALSE)</f>
        <v>5</v>
      </c>
      <c r="AB151" s="264">
        <f>VLOOKUP('Statistika okresy'!$B151,Body!$B$3:$AR$172,27,FALSE)</f>
        <v>10</v>
      </c>
      <c r="AC151" s="265">
        <f>VLOOKUP('Statistika okresy'!$B151,Body!$B$3:$AR$172,35,FALSE)</f>
        <v>9.3333333333333428</v>
      </c>
      <c r="AD151" s="264">
        <f>VLOOKUP('Statistika okresy'!$B151,Body!$B$3:$AR$172,36,FALSE)</f>
        <v>31.631138728103977</v>
      </c>
      <c r="AE151" s="264">
        <f>VLOOKUP('Statistika okresy'!$B151,Body!$B$3:$AR$172,37,FALSE)</f>
        <v>30.216017217696837</v>
      </c>
      <c r="AF151" s="264">
        <f>VLOOKUP('Statistika okresy'!$B151,Body!$B$3:$AR$172,38,FALSE)</f>
        <v>72.327371680626783</v>
      </c>
      <c r="AG151" s="264">
        <f>VLOOKUP('Statistika okresy'!$B151,Body!$B$3:$AR$172,39,FALSE)</f>
        <v>71.502934137954767</v>
      </c>
      <c r="AH151" s="264">
        <f>VLOOKUP('Statistika okresy'!$B151,Body!$B$3:$AR$172,40,FALSE)</f>
        <v>103.95851040873076</v>
      </c>
      <c r="AI151" s="264">
        <f>VLOOKUP('Statistika okresy'!$B151,Body!$B$3:$AR$172,41,FALSE)</f>
        <v>101.7189513556516</v>
      </c>
      <c r="AJ151" s="390"/>
      <c r="AK151" s="407">
        <f>VLOOKUP('Statistika okresy'!$B151,Body!$B$3:$AR$172,43,FALSE)</f>
        <v>215.01079509771571</v>
      </c>
    </row>
    <row r="152" spans="1:37" ht="15.5" x14ac:dyDescent="0.35">
      <c r="A152" s="382">
        <v>1093</v>
      </c>
      <c r="B152" s="156" t="s">
        <v>531</v>
      </c>
      <c r="C152" s="352" t="s">
        <v>963</v>
      </c>
      <c r="D152" s="264">
        <f>VLOOKUP('Statistika okresy'!$B152,Body!$B$3:$AR$172,3,FALSE)</f>
        <v>4</v>
      </c>
      <c r="E152" s="264">
        <f>VLOOKUP('Statistika okresy'!$B152,Body!$B$3:$AR$172,4,FALSE)</f>
        <v>4</v>
      </c>
      <c r="F152" s="264">
        <f>VLOOKUP('Statistika okresy'!$B152,Body!$B$3:$AR$172,5,FALSE)</f>
        <v>8</v>
      </c>
      <c r="G152" s="264">
        <f>VLOOKUP('Statistika okresy'!$B152,Body!$B$3:$AR$172,6,FALSE)</f>
        <v>5</v>
      </c>
      <c r="H152" s="264">
        <f>VLOOKUP('Statistika okresy'!$B152,Body!$B$3:$AR$172,7,FALSE)</f>
        <v>1</v>
      </c>
      <c r="I152" s="264">
        <f>VLOOKUP('Statistika okresy'!$B152,Body!$B$3:$AR$172,8,FALSE)</f>
        <v>3</v>
      </c>
      <c r="J152" s="264">
        <f>VLOOKUP('Statistika okresy'!$B152,Body!$B$3:$AR$172,9,FALSE)</f>
        <v>1</v>
      </c>
      <c r="K152" s="264">
        <f>VLOOKUP('Statistika okresy'!$B152,Body!$B$3:$AR$172,10,FALSE)</f>
        <v>1</v>
      </c>
      <c r="L152" s="264">
        <f>VLOOKUP('Statistika okresy'!$B152,Body!$B$3:$AR$172,11,FALSE)</f>
        <v>8</v>
      </c>
      <c r="M152" s="264">
        <f>VLOOKUP('Statistika okresy'!$B152,Body!$B$3:$AR$172,12,FALSE)</f>
        <v>6</v>
      </c>
      <c r="N152" s="264">
        <f>VLOOKUP('Statistika okresy'!$B152,Body!$B$3:$AR$172,13,FALSE)</f>
        <v>6</v>
      </c>
      <c r="O152" s="264">
        <f>VLOOKUP('Statistika okresy'!$B152,Body!$B$3:$AR$172,14,FALSE)</f>
        <v>6</v>
      </c>
      <c r="P152" s="264">
        <f>VLOOKUP('Statistika okresy'!$B152,Body!$B$3:$AR$172,15,FALSE)</f>
        <v>5</v>
      </c>
      <c r="Q152" s="264">
        <f>VLOOKUP('Statistika okresy'!$B152,Body!$B$3:$AR$172,16,FALSE)</f>
        <v>4</v>
      </c>
      <c r="R152" s="264">
        <f>VLOOKUP('Statistika okresy'!$B152,Body!$B$3:$AR$172,17,FALSE)</f>
        <v>4</v>
      </c>
      <c r="S152" s="264">
        <f>VLOOKUP('Statistika okresy'!$B152,Body!$B$3:$AR$172,18,FALSE)</f>
        <v>10</v>
      </c>
      <c r="T152" s="264">
        <f>VLOOKUP('Statistika okresy'!$B152,Body!$B$3:$AR$172,19,FALSE)</f>
        <v>10</v>
      </c>
      <c r="U152" s="264">
        <f>VLOOKUP('Statistika okresy'!$B152,Body!$B$3:$AR$172,20,FALSE)</f>
        <v>6</v>
      </c>
      <c r="V152" s="264">
        <f>VLOOKUP('Statistika okresy'!$B152,Body!$B$3:$AR$172,21,FALSE)</f>
        <v>6</v>
      </c>
      <c r="W152" s="264">
        <f>VLOOKUP('Statistika okresy'!$B152,Body!$B$3:$AR$172,22,FALSE)</f>
        <v>7</v>
      </c>
      <c r="X152" s="264">
        <f>VLOOKUP('Statistika okresy'!$B152,Body!$B$3:$AR$172,23,FALSE)</f>
        <v>9</v>
      </c>
      <c r="Y152" s="264">
        <f>VLOOKUP('Statistika okresy'!$B152,Body!$B$3:$AR$172,24,FALSE)</f>
        <v>8</v>
      </c>
      <c r="Z152" s="264">
        <f>VLOOKUP('Statistika okresy'!$B152,Body!$B$3:$AR$172,25,FALSE)</f>
        <v>10</v>
      </c>
      <c r="AA152" s="264">
        <f>VLOOKUP('Statistika okresy'!$B152,Body!$B$3:$AR$172,26,FALSE)</f>
        <v>10</v>
      </c>
      <c r="AB152" s="264">
        <f>VLOOKUP('Statistika okresy'!$B152,Body!$B$3:$AR$172,27,FALSE)</f>
        <v>10</v>
      </c>
      <c r="AC152" s="265">
        <f>VLOOKUP('Statistika okresy'!$B152,Body!$B$3:$AR$172,35,FALSE)</f>
        <v>16.000000000000014</v>
      </c>
      <c r="AD152" s="264">
        <f>VLOOKUP('Statistika okresy'!$B152,Body!$B$3:$AR$172,36,FALSE)</f>
        <v>35.524116313615089</v>
      </c>
      <c r="AE152" s="264">
        <f>VLOOKUP('Statistika okresy'!$B152,Body!$B$3:$AR$172,37,FALSE)</f>
        <v>29.073235825159234</v>
      </c>
      <c r="AF152" s="264">
        <f>VLOOKUP('Statistika okresy'!$B152,Body!$B$3:$AR$172,38,FALSE)</f>
        <v>75.036736916550026</v>
      </c>
      <c r="AG152" s="264">
        <f>VLOOKUP('Statistika okresy'!$B152,Body!$B$3:$AR$172,39,FALSE)</f>
        <v>76.581330123751997</v>
      </c>
      <c r="AH152" s="264">
        <f>VLOOKUP('Statistika okresy'!$B152,Body!$B$3:$AR$172,40,FALSE)</f>
        <v>110.56085323016512</v>
      </c>
      <c r="AI152" s="264">
        <f>VLOOKUP('Statistika okresy'!$B152,Body!$B$3:$AR$172,41,FALSE)</f>
        <v>105.65456594891123</v>
      </c>
      <c r="AJ152" s="390"/>
      <c r="AK152" s="407">
        <f>VLOOKUP('Statistika okresy'!$B152,Body!$B$3:$AR$172,43,FALSE)</f>
        <v>232.21541917907638</v>
      </c>
    </row>
    <row r="153" spans="1:37" ht="15.5" x14ac:dyDescent="0.35">
      <c r="A153" s="382">
        <v>1096</v>
      </c>
      <c r="B153" s="156" t="s">
        <v>116</v>
      </c>
      <c r="C153" s="352" t="s">
        <v>963</v>
      </c>
      <c r="D153" s="264">
        <f>VLOOKUP('Statistika okresy'!$B153,Body!$B$3:$AR$172,3,FALSE)</f>
        <v>6</v>
      </c>
      <c r="E153" s="264">
        <f>VLOOKUP('Statistika okresy'!$B153,Body!$B$3:$AR$172,4,FALSE)</f>
        <v>6</v>
      </c>
      <c r="F153" s="264">
        <f>VLOOKUP('Statistika okresy'!$B153,Body!$B$3:$AR$172,5,FALSE)</f>
        <v>8</v>
      </c>
      <c r="G153" s="264">
        <f>VLOOKUP('Statistika okresy'!$B153,Body!$B$3:$AR$172,6,FALSE)</f>
        <v>5</v>
      </c>
      <c r="H153" s="264">
        <f>VLOOKUP('Statistika okresy'!$B153,Body!$B$3:$AR$172,7,FALSE)</f>
        <v>1</v>
      </c>
      <c r="I153" s="264">
        <f>VLOOKUP('Statistika okresy'!$B153,Body!$B$3:$AR$172,8,FALSE)</f>
        <v>1</v>
      </c>
      <c r="J153" s="264">
        <f>VLOOKUP('Statistika okresy'!$B153,Body!$B$3:$AR$172,9,FALSE)</f>
        <v>1</v>
      </c>
      <c r="K153" s="264">
        <f>VLOOKUP('Statistika okresy'!$B153,Body!$B$3:$AR$172,10,FALSE)</f>
        <v>1</v>
      </c>
      <c r="L153" s="264">
        <f>VLOOKUP('Statistika okresy'!$B153,Body!$B$3:$AR$172,11,FALSE)</f>
        <v>8</v>
      </c>
      <c r="M153" s="264">
        <f>VLOOKUP('Statistika okresy'!$B153,Body!$B$3:$AR$172,12,FALSE)</f>
        <v>8</v>
      </c>
      <c r="N153" s="264">
        <f>VLOOKUP('Statistika okresy'!$B153,Body!$B$3:$AR$172,13,FALSE)</f>
        <v>6</v>
      </c>
      <c r="O153" s="264">
        <f>VLOOKUP('Statistika okresy'!$B153,Body!$B$3:$AR$172,14,FALSE)</f>
        <v>7</v>
      </c>
      <c r="P153" s="264">
        <f>VLOOKUP('Statistika okresy'!$B153,Body!$B$3:$AR$172,15,FALSE)</f>
        <v>5</v>
      </c>
      <c r="Q153" s="264">
        <f>VLOOKUP('Statistika okresy'!$B153,Body!$B$3:$AR$172,16,FALSE)</f>
        <v>6</v>
      </c>
      <c r="R153" s="264">
        <f>VLOOKUP('Statistika okresy'!$B153,Body!$B$3:$AR$172,17,FALSE)</f>
        <v>7</v>
      </c>
      <c r="S153" s="264">
        <f>VLOOKUP('Statistika okresy'!$B153,Body!$B$3:$AR$172,18,FALSE)</f>
        <v>6</v>
      </c>
      <c r="T153" s="264">
        <f>VLOOKUP('Statistika okresy'!$B153,Body!$B$3:$AR$172,19,FALSE)</f>
        <v>5</v>
      </c>
      <c r="U153" s="264">
        <f>VLOOKUP('Statistika okresy'!$B153,Body!$B$3:$AR$172,20,FALSE)</f>
        <v>5</v>
      </c>
      <c r="V153" s="264">
        <f>VLOOKUP('Statistika okresy'!$B153,Body!$B$3:$AR$172,21,FALSE)</f>
        <v>5</v>
      </c>
      <c r="W153" s="264">
        <f>VLOOKUP('Statistika okresy'!$B153,Body!$B$3:$AR$172,22,FALSE)</f>
        <v>9</v>
      </c>
      <c r="X153" s="264">
        <f>VLOOKUP('Statistika okresy'!$B153,Body!$B$3:$AR$172,23,FALSE)</f>
        <v>9</v>
      </c>
      <c r="Y153" s="264">
        <f>VLOOKUP('Statistika okresy'!$B153,Body!$B$3:$AR$172,24,FALSE)</f>
        <v>8</v>
      </c>
      <c r="Z153" s="264">
        <f>VLOOKUP('Statistika okresy'!$B153,Body!$B$3:$AR$172,25,FALSE)</f>
        <v>10</v>
      </c>
      <c r="AA153" s="264">
        <f>VLOOKUP('Statistika okresy'!$B153,Body!$B$3:$AR$172,26,FALSE)</f>
        <v>5</v>
      </c>
      <c r="AB153" s="264">
        <f>VLOOKUP('Statistika okresy'!$B153,Body!$B$3:$AR$172,27,FALSE)</f>
        <v>5</v>
      </c>
      <c r="AC153" s="265">
        <f>VLOOKUP('Statistika okresy'!$B153,Body!$B$3:$AR$172,35,FALSE)</f>
        <v>8.0000000000000071</v>
      </c>
      <c r="AD153" s="264">
        <f>VLOOKUP('Statistika okresy'!$B153,Body!$B$3:$AR$172,36,FALSE)</f>
        <v>38.607893517321834</v>
      </c>
      <c r="AE153" s="264">
        <f>VLOOKUP('Statistika okresy'!$B153,Body!$B$3:$AR$172,37,FALSE)</f>
        <v>35.000391845310794</v>
      </c>
      <c r="AF153" s="264">
        <f>VLOOKUP('Statistika okresy'!$B153,Body!$B$3:$AR$172,38,FALSE)</f>
        <v>55.755526731386645</v>
      </c>
      <c r="AG153" s="264">
        <f>VLOOKUP('Statistika okresy'!$B153,Body!$B$3:$AR$172,39,FALSE)</f>
        <v>58.020275603118598</v>
      </c>
      <c r="AH153" s="264">
        <f>VLOOKUP('Statistika okresy'!$B153,Body!$B$3:$AR$172,40,FALSE)</f>
        <v>94.363420248708479</v>
      </c>
      <c r="AI153" s="264">
        <f>VLOOKUP('Statistika okresy'!$B153,Body!$B$3:$AR$172,41,FALSE)</f>
        <v>93.020667448429393</v>
      </c>
      <c r="AJ153" s="390"/>
      <c r="AK153" s="407">
        <f>VLOOKUP('Statistika okresy'!$B153,Body!$B$3:$AR$172,43,FALSE)</f>
        <v>195.38408769713789</v>
      </c>
    </row>
    <row r="154" spans="1:37" ht="15.5" x14ac:dyDescent="0.35">
      <c r="A154" s="382">
        <v>1099</v>
      </c>
      <c r="B154" s="156" t="s">
        <v>556</v>
      </c>
      <c r="C154" s="352" t="s">
        <v>963</v>
      </c>
      <c r="D154" s="264">
        <f>VLOOKUP('Statistika okresy'!$B154,Body!$B$3:$AR$172,3,FALSE)</f>
        <v>6</v>
      </c>
      <c r="E154" s="264">
        <f>VLOOKUP('Statistika okresy'!$B154,Body!$B$3:$AR$172,4,FALSE)</f>
        <v>5</v>
      </c>
      <c r="F154" s="264">
        <f>VLOOKUP('Statistika okresy'!$B154,Body!$B$3:$AR$172,5,FALSE)</f>
        <v>8</v>
      </c>
      <c r="G154" s="264">
        <f>VLOOKUP('Statistika okresy'!$B154,Body!$B$3:$AR$172,6,FALSE)</f>
        <v>6</v>
      </c>
      <c r="H154" s="264">
        <f>VLOOKUP('Statistika okresy'!$B154,Body!$B$3:$AR$172,7,FALSE)</f>
        <v>1</v>
      </c>
      <c r="I154" s="264">
        <f>VLOOKUP('Statistika okresy'!$B154,Body!$B$3:$AR$172,8,FALSE)</f>
        <v>7</v>
      </c>
      <c r="J154" s="264">
        <f>VLOOKUP('Statistika okresy'!$B154,Body!$B$3:$AR$172,9,FALSE)</f>
        <v>2</v>
      </c>
      <c r="K154" s="264">
        <f>VLOOKUP('Statistika okresy'!$B154,Body!$B$3:$AR$172,10,FALSE)</f>
        <v>2</v>
      </c>
      <c r="L154" s="264">
        <f>VLOOKUP('Statistika okresy'!$B154,Body!$B$3:$AR$172,11,FALSE)</f>
        <v>9</v>
      </c>
      <c r="M154" s="264">
        <f>VLOOKUP('Statistika okresy'!$B154,Body!$B$3:$AR$172,12,FALSE)</f>
        <v>8</v>
      </c>
      <c r="N154" s="264">
        <f>VLOOKUP('Statistika okresy'!$B154,Body!$B$3:$AR$172,13,FALSE)</f>
        <v>6</v>
      </c>
      <c r="O154" s="264">
        <f>VLOOKUP('Statistika okresy'!$B154,Body!$B$3:$AR$172,14,FALSE)</f>
        <v>6</v>
      </c>
      <c r="P154" s="264">
        <f>VLOOKUP('Statistika okresy'!$B154,Body!$B$3:$AR$172,15,FALSE)</f>
        <v>6</v>
      </c>
      <c r="Q154" s="264">
        <f>VLOOKUP('Statistika okresy'!$B154,Body!$B$3:$AR$172,16,FALSE)</f>
        <v>4</v>
      </c>
      <c r="R154" s="264">
        <f>VLOOKUP('Statistika okresy'!$B154,Body!$B$3:$AR$172,17,FALSE)</f>
        <v>4</v>
      </c>
      <c r="S154" s="264">
        <f>VLOOKUP('Statistika okresy'!$B154,Body!$B$3:$AR$172,18,FALSE)</f>
        <v>8</v>
      </c>
      <c r="T154" s="264">
        <f>VLOOKUP('Statistika okresy'!$B154,Body!$B$3:$AR$172,19,FALSE)</f>
        <v>10</v>
      </c>
      <c r="U154" s="264">
        <f>VLOOKUP('Statistika okresy'!$B154,Body!$B$3:$AR$172,20,FALSE)</f>
        <v>5</v>
      </c>
      <c r="V154" s="264">
        <f>VLOOKUP('Statistika okresy'!$B154,Body!$B$3:$AR$172,21,FALSE)</f>
        <v>6</v>
      </c>
      <c r="W154" s="264">
        <f>VLOOKUP('Statistika okresy'!$B154,Body!$B$3:$AR$172,22,FALSE)</f>
        <v>10</v>
      </c>
      <c r="X154" s="264">
        <f>VLOOKUP('Statistika okresy'!$B154,Body!$B$3:$AR$172,23,FALSE)</f>
        <v>5</v>
      </c>
      <c r="Y154" s="264">
        <f>VLOOKUP('Statistika okresy'!$B154,Body!$B$3:$AR$172,24,FALSE)</f>
        <v>8</v>
      </c>
      <c r="Z154" s="264">
        <f>VLOOKUP('Statistika okresy'!$B154,Body!$B$3:$AR$172,25,FALSE)</f>
        <v>10</v>
      </c>
      <c r="AA154" s="264">
        <f>VLOOKUP('Statistika okresy'!$B154,Body!$B$3:$AR$172,26,FALSE)</f>
        <v>10</v>
      </c>
      <c r="AB154" s="264">
        <f>VLOOKUP('Statistika okresy'!$B154,Body!$B$3:$AR$172,27,FALSE)</f>
        <v>10</v>
      </c>
      <c r="AC154" s="265">
        <f>VLOOKUP('Statistika okresy'!$B154,Body!$B$3:$AR$172,35,FALSE)</f>
        <v>16.000000000000014</v>
      </c>
      <c r="AD154" s="264">
        <f>VLOOKUP('Statistika okresy'!$B154,Body!$B$3:$AR$172,36,FALSE)</f>
        <v>37.838818472477158</v>
      </c>
      <c r="AE154" s="264">
        <f>VLOOKUP('Statistika okresy'!$B154,Body!$B$3:$AR$172,37,FALSE)</f>
        <v>34.479599573738092</v>
      </c>
      <c r="AF154" s="264">
        <f>VLOOKUP('Statistika okresy'!$B154,Body!$B$3:$AR$172,38,FALSE)</f>
        <v>62.171141712436025</v>
      </c>
      <c r="AG154" s="264">
        <f>VLOOKUP('Statistika okresy'!$B154,Body!$B$3:$AR$172,39,FALSE)</f>
        <v>76.176762455395973</v>
      </c>
      <c r="AH154" s="264">
        <f>VLOOKUP('Statistika okresy'!$B154,Body!$B$3:$AR$172,40,FALSE)</f>
        <v>100.00996018491318</v>
      </c>
      <c r="AI154" s="264">
        <f>VLOOKUP('Statistika okresy'!$B154,Body!$B$3:$AR$172,41,FALSE)</f>
        <v>110.65636202913407</v>
      </c>
      <c r="AJ154" s="390"/>
      <c r="AK154" s="407">
        <f>VLOOKUP('Statistika okresy'!$B154,Body!$B$3:$AR$172,43,FALSE)</f>
        <v>226.66632221404728</v>
      </c>
    </row>
    <row r="155" spans="1:37" ht="15.5" x14ac:dyDescent="0.35">
      <c r="A155" s="382">
        <v>1102</v>
      </c>
      <c r="B155" s="156" t="s">
        <v>112</v>
      </c>
      <c r="C155" s="352" t="s">
        <v>963</v>
      </c>
      <c r="D155" s="264">
        <f>VLOOKUP('Statistika okresy'!$B155,Body!$B$3:$AR$172,3,FALSE)</f>
        <v>4</v>
      </c>
      <c r="E155" s="264">
        <f>VLOOKUP('Statistika okresy'!$B155,Body!$B$3:$AR$172,4,FALSE)</f>
        <v>4</v>
      </c>
      <c r="F155" s="264">
        <f>VLOOKUP('Statistika okresy'!$B155,Body!$B$3:$AR$172,5,FALSE)</f>
        <v>10</v>
      </c>
      <c r="G155" s="264">
        <f>VLOOKUP('Statistika okresy'!$B155,Body!$B$3:$AR$172,6,FALSE)</f>
        <v>10</v>
      </c>
      <c r="H155" s="264">
        <f>VLOOKUP('Statistika okresy'!$B155,Body!$B$3:$AR$172,7,FALSE)</f>
        <v>1</v>
      </c>
      <c r="I155" s="264">
        <f>VLOOKUP('Statistika okresy'!$B155,Body!$B$3:$AR$172,8,FALSE)</f>
        <v>2</v>
      </c>
      <c r="J155" s="264">
        <f>VLOOKUP('Statistika okresy'!$B155,Body!$B$3:$AR$172,9,FALSE)</f>
        <v>1</v>
      </c>
      <c r="K155" s="264">
        <f>VLOOKUP('Statistika okresy'!$B155,Body!$B$3:$AR$172,10,FALSE)</f>
        <v>1</v>
      </c>
      <c r="L155" s="264">
        <f>VLOOKUP('Statistika okresy'!$B155,Body!$B$3:$AR$172,11,FALSE)</f>
        <v>10</v>
      </c>
      <c r="M155" s="264">
        <f>VLOOKUP('Statistika okresy'!$B155,Body!$B$3:$AR$172,12,FALSE)</f>
        <v>9</v>
      </c>
      <c r="N155" s="264">
        <f>VLOOKUP('Statistika okresy'!$B155,Body!$B$3:$AR$172,13,FALSE)</f>
        <v>4</v>
      </c>
      <c r="O155" s="264">
        <f>VLOOKUP('Statistika okresy'!$B155,Body!$B$3:$AR$172,14,FALSE)</f>
        <v>4</v>
      </c>
      <c r="P155" s="264">
        <f>VLOOKUP('Statistika okresy'!$B155,Body!$B$3:$AR$172,15,FALSE)</f>
        <v>5</v>
      </c>
      <c r="Q155" s="264">
        <f>VLOOKUP('Statistika okresy'!$B155,Body!$B$3:$AR$172,16,FALSE)</f>
        <v>2</v>
      </c>
      <c r="R155" s="264">
        <f>VLOOKUP('Statistika okresy'!$B155,Body!$B$3:$AR$172,17,FALSE)</f>
        <v>3</v>
      </c>
      <c r="S155" s="264">
        <f>VLOOKUP('Statistika okresy'!$B155,Body!$B$3:$AR$172,18,FALSE)</f>
        <v>6</v>
      </c>
      <c r="T155" s="264">
        <f>VLOOKUP('Statistika okresy'!$B155,Body!$B$3:$AR$172,19,FALSE)</f>
        <v>7</v>
      </c>
      <c r="U155" s="264">
        <f>VLOOKUP('Statistika okresy'!$B155,Body!$B$3:$AR$172,20,FALSE)</f>
        <v>5</v>
      </c>
      <c r="V155" s="264">
        <f>VLOOKUP('Statistika okresy'!$B155,Body!$B$3:$AR$172,21,FALSE)</f>
        <v>4</v>
      </c>
      <c r="W155" s="264">
        <f>VLOOKUP('Statistika okresy'!$B155,Body!$B$3:$AR$172,22,FALSE)</f>
        <v>6</v>
      </c>
      <c r="X155" s="264">
        <f>VLOOKUP('Statistika okresy'!$B155,Body!$B$3:$AR$172,23,FALSE)</f>
        <v>9</v>
      </c>
      <c r="Y155" s="264">
        <f>VLOOKUP('Statistika okresy'!$B155,Body!$B$3:$AR$172,24,FALSE)</f>
        <v>8</v>
      </c>
      <c r="Z155" s="264">
        <f>VLOOKUP('Statistika okresy'!$B155,Body!$B$3:$AR$172,25,FALSE)</f>
        <v>10</v>
      </c>
      <c r="AA155" s="264">
        <f>VLOOKUP('Statistika okresy'!$B155,Body!$B$3:$AR$172,26,FALSE)</f>
        <v>5</v>
      </c>
      <c r="AB155" s="264">
        <f>VLOOKUP('Statistika okresy'!$B155,Body!$B$3:$AR$172,27,FALSE)</f>
        <v>10</v>
      </c>
      <c r="AC155" s="265">
        <f>VLOOKUP('Statistika okresy'!$B155,Body!$B$3:$AR$172,35,FALSE)</f>
        <v>9.3333333333333428</v>
      </c>
      <c r="AD155" s="264">
        <f>VLOOKUP('Statistika okresy'!$B155,Body!$B$3:$AR$172,36,FALSE)</f>
        <v>36.551674283255934</v>
      </c>
      <c r="AE155" s="264">
        <f>VLOOKUP('Statistika okresy'!$B155,Body!$B$3:$AR$172,37,FALSE)</f>
        <v>37.336880733018937</v>
      </c>
      <c r="AF155" s="264">
        <f>VLOOKUP('Statistika okresy'!$B155,Body!$B$3:$AR$172,38,FALSE)</f>
        <v>54.210933524184661</v>
      </c>
      <c r="AG155" s="264">
        <f>VLOOKUP('Statistika okresy'!$B155,Body!$B$3:$AR$172,39,FALSE)</f>
        <v>61.213743895664614</v>
      </c>
      <c r="AH155" s="264">
        <f>VLOOKUP('Statistika okresy'!$B155,Body!$B$3:$AR$172,40,FALSE)</f>
        <v>90.762607807440588</v>
      </c>
      <c r="AI155" s="264">
        <f>VLOOKUP('Statistika okresy'!$B155,Body!$B$3:$AR$172,41,FALSE)</f>
        <v>98.550624628683551</v>
      </c>
      <c r="AJ155" s="390"/>
      <c r="AK155" s="407">
        <f>VLOOKUP('Statistika okresy'!$B155,Body!$B$3:$AR$172,43,FALSE)</f>
        <v>198.64656576945748</v>
      </c>
    </row>
    <row r="156" spans="1:37" ht="15.5" x14ac:dyDescent="0.35">
      <c r="A156" s="382">
        <v>4322</v>
      </c>
      <c r="B156" s="156" t="s">
        <v>551</v>
      </c>
      <c r="C156" s="352" t="s">
        <v>963</v>
      </c>
      <c r="D156" s="264">
        <f>VLOOKUP('Statistika okresy'!$B156,Body!$B$3:$AR$172,3,FALSE)</f>
        <v>3</v>
      </c>
      <c r="E156" s="264">
        <f>VLOOKUP('Statistika okresy'!$B156,Body!$B$3:$AR$172,4,FALSE)</f>
        <v>3</v>
      </c>
      <c r="F156" s="264">
        <f>VLOOKUP('Statistika okresy'!$B156,Body!$B$3:$AR$172,5,FALSE)</f>
        <v>6</v>
      </c>
      <c r="G156" s="264">
        <f>VLOOKUP('Statistika okresy'!$B156,Body!$B$3:$AR$172,6,FALSE)</f>
        <v>4</v>
      </c>
      <c r="H156" s="264">
        <f>VLOOKUP('Statistika okresy'!$B156,Body!$B$3:$AR$172,7,FALSE)</f>
        <v>1</v>
      </c>
      <c r="I156" s="264">
        <f>VLOOKUP('Statistika okresy'!$B156,Body!$B$3:$AR$172,8,FALSE)</f>
        <v>1</v>
      </c>
      <c r="J156" s="264">
        <f>VLOOKUP('Statistika okresy'!$B156,Body!$B$3:$AR$172,9,FALSE)</f>
        <v>6</v>
      </c>
      <c r="K156" s="264">
        <f>VLOOKUP('Statistika okresy'!$B156,Body!$B$3:$AR$172,10,FALSE)</f>
        <v>5</v>
      </c>
      <c r="L156" s="264">
        <f>VLOOKUP('Statistika okresy'!$B156,Body!$B$3:$AR$172,11,FALSE)</f>
        <v>4</v>
      </c>
      <c r="M156" s="264">
        <f>VLOOKUP('Statistika okresy'!$B156,Body!$B$3:$AR$172,12,FALSE)</f>
        <v>3</v>
      </c>
      <c r="N156" s="264">
        <f>VLOOKUP('Statistika okresy'!$B156,Body!$B$3:$AR$172,13,FALSE)</f>
        <v>3</v>
      </c>
      <c r="O156" s="264">
        <f>VLOOKUP('Statistika okresy'!$B156,Body!$B$3:$AR$172,14,FALSE)</f>
        <v>3</v>
      </c>
      <c r="P156" s="264">
        <f>VLOOKUP('Statistika okresy'!$B156,Body!$B$3:$AR$172,15,FALSE)</f>
        <v>5</v>
      </c>
      <c r="Q156" s="264">
        <f>VLOOKUP('Statistika okresy'!$B156,Body!$B$3:$AR$172,16,FALSE)</f>
        <v>4</v>
      </c>
      <c r="R156" s="264">
        <f>VLOOKUP('Statistika okresy'!$B156,Body!$B$3:$AR$172,17,FALSE)</f>
        <v>3</v>
      </c>
      <c r="S156" s="264">
        <f>VLOOKUP('Statistika okresy'!$B156,Body!$B$3:$AR$172,18,FALSE)</f>
        <v>10</v>
      </c>
      <c r="T156" s="264">
        <f>VLOOKUP('Statistika okresy'!$B156,Body!$B$3:$AR$172,19,FALSE)</f>
        <v>7</v>
      </c>
      <c r="U156" s="264">
        <f>VLOOKUP('Statistika okresy'!$B156,Body!$B$3:$AR$172,20,FALSE)</f>
        <v>5</v>
      </c>
      <c r="V156" s="264">
        <f>VLOOKUP('Statistika okresy'!$B156,Body!$B$3:$AR$172,21,FALSE)</f>
        <v>6</v>
      </c>
      <c r="W156" s="264">
        <f>VLOOKUP('Statistika okresy'!$B156,Body!$B$3:$AR$172,22,FALSE)</f>
        <v>6</v>
      </c>
      <c r="X156" s="264">
        <f>VLOOKUP('Statistika okresy'!$B156,Body!$B$3:$AR$172,23,FALSE)</f>
        <v>5</v>
      </c>
      <c r="Y156" s="264">
        <f>VLOOKUP('Statistika okresy'!$B156,Body!$B$3:$AR$172,24,FALSE)</f>
        <v>8</v>
      </c>
      <c r="Z156" s="264">
        <f>VLOOKUP('Statistika okresy'!$B156,Body!$B$3:$AR$172,25,FALSE)</f>
        <v>10</v>
      </c>
      <c r="AA156" s="264">
        <f>VLOOKUP('Statistika okresy'!$B156,Body!$B$3:$AR$172,26,FALSE)</f>
        <v>5</v>
      </c>
      <c r="AB156" s="264">
        <f>VLOOKUP('Statistika okresy'!$B156,Body!$B$3:$AR$172,27,FALSE)</f>
        <v>5</v>
      </c>
      <c r="AC156" s="265">
        <f>VLOOKUP('Statistika okresy'!$B156,Body!$B$3:$AR$172,35,FALSE)</f>
        <v>8.0000000000000071</v>
      </c>
      <c r="AD156" s="264">
        <f>VLOOKUP('Statistika okresy'!$B156,Body!$B$3:$AR$172,36,FALSE)</f>
        <v>27.428937975641329</v>
      </c>
      <c r="AE156" s="264">
        <f>VLOOKUP('Statistika okresy'!$B156,Body!$B$3:$AR$172,37,FALSE)</f>
        <v>21.641662983679517</v>
      </c>
      <c r="AF156" s="264">
        <f>VLOOKUP('Statistika okresy'!$B156,Body!$B$3:$AR$172,38,FALSE)</f>
        <v>69.998389626588022</v>
      </c>
      <c r="AG156" s="264">
        <f>VLOOKUP('Statistika okresy'!$B156,Body!$B$3:$AR$172,39,FALSE)</f>
        <v>58.257517755360041</v>
      </c>
      <c r="AH156" s="264">
        <f>VLOOKUP('Statistika okresy'!$B156,Body!$B$3:$AR$172,40,FALSE)</f>
        <v>97.427327602229354</v>
      </c>
      <c r="AI156" s="264">
        <f>VLOOKUP('Statistika okresy'!$B156,Body!$B$3:$AR$172,41,FALSE)</f>
        <v>79.899180739039565</v>
      </c>
      <c r="AJ156" s="390"/>
      <c r="AK156" s="407">
        <f>VLOOKUP('Statistika okresy'!$B156,Body!$B$3:$AR$172,43,FALSE)</f>
        <v>185.32650834126892</v>
      </c>
    </row>
    <row r="157" spans="1:37" ht="15.5" x14ac:dyDescent="0.35">
      <c r="A157" s="382">
        <v>4325</v>
      </c>
      <c r="B157" s="156" t="s">
        <v>530</v>
      </c>
      <c r="C157" s="352" t="s">
        <v>963</v>
      </c>
      <c r="D157" s="264">
        <f>VLOOKUP('Statistika okresy'!$B157,Body!$B$3:$AR$172,3,FALSE)</f>
        <v>3</v>
      </c>
      <c r="E157" s="264">
        <f>VLOOKUP('Statistika okresy'!$B157,Body!$B$3:$AR$172,4,FALSE)</f>
        <v>4</v>
      </c>
      <c r="F157" s="264">
        <f>VLOOKUP('Statistika okresy'!$B157,Body!$B$3:$AR$172,5,FALSE)</f>
        <v>4</v>
      </c>
      <c r="G157" s="264">
        <f>VLOOKUP('Statistika okresy'!$B157,Body!$B$3:$AR$172,6,FALSE)</f>
        <v>3</v>
      </c>
      <c r="H157" s="264">
        <f>VLOOKUP('Statistika okresy'!$B157,Body!$B$3:$AR$172,7,FALSE)</f>
        <v>1</v>
      </c>
      <c r="I157" s="264">
        <f>VLOOKUP('Statistika okresy'!$B157,Body!$B$3:$AR$172,8,FALSE)</f>
        <v>1</v>
      </c>
      <c r="J157" s="264">
        <f>VLOOKUP('Statistika okresy'!$B157,Body!$B$3:$AR$172,9,FALSE)</f>
        <v>2</v>
      </c>
      <c r="K157" s="264">
        <f>VLOOKUP('Statistika okresy'!$B157,Body!$B$3:$AR$172,10,FALSE)</f>
        <v>1</v>
      </c>
      <c r="L157" s="264">
        <f>VLOOKUP('Statistika okresy'!$B157,Body!$B$3:$AR$172,11,FALSE)</f>
        <v>2</v>
      </c>
      <c r="M157" s="264">
        <f>VLOOKUP('Statistika okresy'!$B157,Body!$B$3:$AR$172,12,FALSE)</f>
        <v>2</v>
      </c>
      <c r="N157" s="264">
        <f>VLOOKUP('Statistika okresy'!$B157,Body!$B$3:$AR$172,13,FALSE)</f>
        <v>2</v>
      </c>
      <c r="O157" s="264">
        <f>VLOOKUP('Statistika okresy'!$B157,Body!$B$3:$AR$172,14,FALSE)</f>
        <v>4</v>
      </c>
      <c r="P157" s="264">
        <f>VLOOKUP('Statistika okresy'!$B157,Body!$B$3:$AR$172,15,FALSE)</f>
        <v>6</v>
      </c>
      <c r="Q157" s="264">
        <f>VLOOKUP('Statistika okresy'!$B157,Body!$B$3:$AR$172,16,FALSE)</f>
        <v>3</v>
      </c>
      <c r="R157" s="264">
        <f>VLOOKUP('Statistika okresy'!$B157,Body!$B$3:$AR$172,17,FALSE)</f>
        <v>2</v>
      </c>
      <c r="S157" s="264">
        <f>VLOOKUP('Statistika okresy'!$B157,Body!$B$3:$AR$172,18,FALSE)</f>
        <v>6</v>
      </c>
      <c r="T157" s="264">
        <f>VLOOKUP('Statistika okresy'!$B157,Body!$B$3:$AR$172,19,FALSE)</f>
        <v>4</v>
      </c>
      <c r="U157" s="264">
        <f>VLOOKUP('Statistika okresy'!$B157,Body!$B$3:$AR$172,20,FALSE)</f>
        <v>5</v>
      </c>
      <c r="V157" s="264">
        <f>VLOOKUP('Statistika okresy'!$B157,Body!$B$3:$AR$172,21,FALSE)</f>
        <v>6</v>
      </c>
      <c r="W157" s="264">
        <f>VLOOKUP('Statistika okresy'!$B157,Body!$B$3:$AR$172,22,FALSE)</f>
        <v>4</v>
      </c>
      <c r="X157" s="264">
        <f>VLOOKUP('Statistika okresy'!$B157,Body!$B$3:$AR$172,23,FALSE)</f>
        <v>9</v>
      </c>
      <c r="Y157" s="264">
        <f>VLOOKUP('Statistika okresy'!$B157,Body!$B$3:$AR$172,24,FALSE)</f>
        <v>10</v>
      </c>
      <c r="Z157" s="264">
        <f>VLOOKUP('Statistika okresy'!$B157,Body!$B$3:$AR$172,25,FALSE)</f>
        <v>10</v>
      </c>
      <c r="AA157" s="264">
        <f>VLOOKUP('Statistika okresy'!$B157,Body!$B$3:$AR$172,26,FALSE)</f>
        <v>10</v>
      </c>
      <c r="AB157" s="264">
        <f>VLOOKUP('Statistika okresy'!$B157,Body!$B$3:$AR$172,27,FALSE)</f>
        <v>5</v>
      </c>
      <c r="AC157" s="265">
        <f>VLOOKUP('Statistika okresy'!$B157,Body!$B$3:$AR$172,35,FALSE)</f>
        <v>14.666666666666682</v>
      </c>
      <c r="AD157" s="264">
        <f>VLOOKUP('Statistika okresy'!$B157,Body!$B$3:$AR$172,36,FALSE)</f>
        <v>20.412270038446412</v>
      </c>
      <c r="AE157" s="264">
        <f>VLOOKUP('Statistika okresy'!$B157,Body!$B$3:$AR$172,37,FALSE)</f>
        <v>19.078427328119872</v>
      </c>
      <c r="AF157" s="264">
        <f>VLOOKUP('Statistika okresy'!$B157,Body!$B$3:$AR$172,38,FALSE)</f>
        <v>58.217469059524817</v>
      </c>
      <c r="AG157" s="264">
        <f>VLOOKUP('Statistika okresy'!$B157,Body!$B$3:$AR$172,39,FALSE)</f>
        <v>47.301034730968858</v>
      </c>
      <c r="AH157" s="264">
        <f>VLOOKUP('Statistika okresy'!$B157,Body!$B$3:$AR$172,40,FALSE)</f>
        <v>78.629739097971225</v>
      </c>
      <c r="AI157" s="264">
        <f>VLOOKUP('Statistika okresy'!$B157,Body!$B$3:$AR$172,41,FALSE)</f>
        <v>66.379462059088723</v>
      </c>
      <c r="AJ157" s="390"/>
      <c r="AK157" s="407">
        <f>VLOOKUP('Statistika okresy'!$B157,Body!$B$3:$AR$172,43,FALSE)</f>
        <v>159.67586782372663</v>
      </c>
    </row>
    <row r="158" spans="1:37" ht="15.5" x14ac:dyDescent="0.35">
      <c r="A158" s="382">
        <v>4328</v>
      </c>
      <c r="B158" s="156" t="s">
        <v>533</v>
      </c>
      <c r="C158" s="352" t="s">
        <v>963</v>
      </c>
      <c r="D158" s="264">
        <f>VLOOKUP('Statistika okresy'!$B158,Body!$B$3:$AR$172,3,FALSE)</f>
        <v>6</v>
      </c>
      <c r="E158" s="264">
        <f>VLOOKUP('Statistika okresy'!$B158,Body!$B$3:$AR$172,4,FALSE)</f>
        <v>7</v>
      </c>
      <c r="F158" s="264">
        <f>VLOOKUP('Statistika okresy'!$B158,Body!$B$3:$AR$172,5,FALSE)</f>
        <v>4</v>
      </c>
      <c r="G158" s="264">
        <f>VLOOKUP('Statistika okresy'!$B158,Body!$B$3:$AR$172,6,FALSE)</f>
        <v>2</v>
      </c>
      <c r="H158" s="264">
        <f>VLOOKUP('Statistika okresy'!$B158,Body!$B$3:$AR$172,7,FALSE)</f>
        <v>1</v>
      </c>
      <c r="I158" s="264">
        <f>VLOOKUP('Statistika okresy'!$B158,Body!$B$3:$AR$172,8,FALSE)</f>
        <v>1</v>
      </c>
      <c r="J158" s="264">
        <f>VLOOKUP('Statistika okresy'!$B158,Body!$B$3:$AR$172,9,FALSE)</f>
        <v>1</v>
      </c>
      <c r="K158" s="264">
        <f>VLOOKUP('Statistika okresy'!$B158,Body!$B$3:$AR$172,10,FALSE)</f>
        <v>1</v>
      </c>
      <c r="L158" s="264">
        <f>VLOOKUP('Statistika okresy'!$B158,Body!$B$3:$AR$172,11,FALSE)</f>
        <v>7</v>
      </c>
      <c r="M158" s="264">
        <f>VLOOKUP('Statistika okresy'!$B158,Body!$B$3:$AR$172,12,FALSE)</f>
        <v>6</v>
      </c>
      <c r="N158" s="264">
        <f>VLOOKUP('Statistika okresy'!$B158,Body!$B$3:$AR$172,13,FALSE)</f>
        <v>8</v>
      </c>
      <c r="O158" s="264">
        <f>VLOOKUP('Statistika okresy'!$B158,Body!$B$3:$AR$172,14,FALSE)</f>
        <v>8</v>
      </c>
      <c r="P158" s="264">
        <f>VLOOKUP('Statistika okresy'!$B158,Body!$B$3:$AR$172,15,FALSE)</f>
        <v>3</v>
      </c>
      <c r="Q158" s="264">
        <f>VLOOKUP('Statistika okresy'!$B158,Body!$B$3:$AR$172,16,FALSE)</f>
        <v>5</v>
      </c>
      <c r="R158" s="264">
        <f>VLOOKUP('Statistika okresy'!$B158,Body!$B$3:$AR$172,17,FALSE)</f>
        <v>4</v>
      </c>
      <c r="S158" s="264">
        <f>VLOOKUP('Statistika okresy'!$B158,Body!$B$3:$AR$172,18,FALSE)</f>
        <v>7</v>
      </c>
      <c r="T158" s="264">
        <f>VLOOKUP('Statistika okresy'!$B158,Body!$B$3:$AR$172,19,FALSE)</f>
        <v>6</v>
      </c>
      <c r="U158" s="264">
        <f>VLOOKUP('Statistika okresy'!$B158,Body!$B$3:$AR$172,20,FALSE)</f>
        <v>5</v>
      </c>
      <c r="V158" s="264">
        <f>VLOOKUP('Statistika okresy'!$B158,Body!$B$3:$AR$172,21,FALSE)</f>
        <v>6</v>
      </c>
      <c r="W158" s="264">
        <f>VLOOKUP('Statistika okresy'!$B158,Body!$B$3:$AR$172,22,FALSE)</f>
        <v>6</v>
      </c>
      <c r="X158" s="264">
        <f>VLOOKUP('Statistika okresy'!$B158,Body!$B$3:$AR$172,23,FALSE)</f>
        <v>10</v>
      </c>
      <c r="Y158" s="264">
        <f>VLOOKUP('Statistika okresy'!$B158,Body!$B$3:$AR$172,24,FALSE)</f>
        <v>8</v>
      </c>
      <c r="Z158" s="264">
        <f>VLOOKUP('Statistika okresy'!$B158,Body!$B$3:$AR$172,25,FALSE)</f>
        <v>10</v>
      </c>
      <c r="AA158" s="264">
        <f>VLOOKUP('Statistika okresy'!$B158,Body!$B$3:$AR$172,26,FALSE)</f>
        <v>3</v>
      </c>
      <c r="AB158" s="264">
        <f>VLOOKUP('Statistika okresy'!$B158,Body!$B$3:$AR$172,27,FALSE)</f>
        <v>5</v>
      </c>
      <c r="AC158" s="265">
        <f>VLOOKUP('Statistika okresy'!$B158,Body!$B$3:$AR$172,35,FALSE)</f>
        <v>5.3333333333333375</v>
      </c>
      <c r="AD158" s="264">
        <f>VLOOKUP('Statistika okresy'!$B158,Body!$B$3:$AR$172,36,FALSE)</f>
        <v>29.273566246199042</v>
      </c>
      <c r="AE158" s="264">
        <f>VLOOKUP('Statistika okresy'!$B158,Body!$B$3:$AR$172,37,FALSE)</f>
        <v>24.017350088522832</v>
      </c>
      <c r="AF158" s="264">
        <f>VLOOKUP('Statistika okresy'!$B158,Body!$B$3:$AR$172,38,FALSE)</f>
        <v>61.952800430740766</v>
      </c>
      <c r="AG158" s="264">
        <f>VLOOKUP('Statistika okresy'!$B158,Body!$B$3:$AR$172,39,FALSE)</f>
        <v>58.039176473664781</v>
      </c>
      <c r="AH158" s="264">
        <f>VLOOKUP('Statistika okresy'!$B158,Body!$B$3:$AR$172,40,FALSE)</f>
        <v>91.226366676939804</v>
      </c>
      <c r="AI158" s="264">
        <f>VLOOKUP('Statistika okresy'!$B158,Body!$B$3:$AR$172,41,FALSE)</f>
        <v>82.056526562187614</v>
      </c>
      <c r="AJ158" s="390"/>
      <c r="AK158" s="407">
        <f>VLOOKUP('Statistika okresy'!$B158,Body!$B$3:$AR$172,43,FALSE)</f>
        <v>178.61622657246076</v>
      </c>
    </row>
    <row r="159" spans="1:37" ht="15.5" x14ac:dyDescent="0.35">
      <c r="A159" s="382">
        <v>4331</v>
      </c>
      <c r="B159" s="156" t="s">
        <v>563</v>
      </c>
      <c r="C159" s="352" t="s">
        <v>963</v>
      </c>
      <c r="D159" s="264">
        <f>VLOOKUP('Statistika okresy'!$B159,Body!$B$3:$AR$172,3,FALSE)</f>
        <v>5</v>
      </c>
      <c r="E159" s="264">
        <f>VLOOKUP('Statistika okresy'!$B159,Body!$B$3:$AR$172,4,FALSE)</f>
        <v>5</v>
      </c>
      <c r="F159" s="264">
        <f>VLOOKUP('Statistika okresy'!$B159,Body!$B$3:$AR$172,5,FALSE)</f>
        <v>4</v>
      </c>
      <c r="G159" s="264">
        <f>VLOOKUP('Statistika okresy'!$B159,Body!$B$3:$AR$172,6,FALSE)</f>
        <v>3</v>
      </c>
      <c r="H159" s="264">
        <f>VLOOKUP('Statistika okresy'!$B159,Body!$B$3:$AR$172,7,FALSE)</f>
        <v>9</v>
      </c>
      <c r="I159" s="264">
        <f>VLOOKUP('Statistika okresy'!$B159,Body!$B$3:$AR$172,8,FALSE)</f>
        <v>8</v>
      </c>
      <c r="J159" s="264">
        <f>VLOOKUP('Statistika okresy'!$B159,Body!$B$3:$AR$172,9,FALSE)</f>
        <v>3</v>
      </c>
      <c r="K159" s="264">
        <f>VLOOKUP('Statistika okresy'!$B159,Body!$B$3:$AR$172,10,FALSE)</f>
        <v>2</v>
      </c>
      <c r="L159" s="264">
        <f>VLOOKUP('Statistika okresy'!$B159,Body!$B$3:$AR$172,11,FALSE)</f>
        <v>4</v>
      </c>
      <c r="M159" s="264">
        <f>VLOOKUP('Statistika okresy'!$B159,Body!$B$3:$AR$172,12,FALSE)</f>
        <v>4</v>
      </c>
      <c r="N159" s="264">
        <f>VLOOKUP('Statistika okresy'!$B159,Body!$B$3:$AR$172,13,FALSE)</f>
        <v>6</v>
      </c>
      <c r="O159" s="264">
        <f>VLOOKUP('Statistika okresy'!$B159,Body!$B$3:$AR$172,14,FALSE)</f>
        <v>6</v>
      </c>
      <c r="P159" s="264">
        <f>VLOOKUP('Statistika okresy'!$B159,Body!$B$3:$AR$172,15,FALSE)</f>
        <v>5</v>
      </c>
      <c r="Q159" s="264">
        <f>VLOOKUP('Statistika okresy'!$B159,Body!$B$3:$AR$172,16,FALSE)</f>
        <v>4</v>
      </c>
      <c r="R159" s="264">
        <f>VLOOKUP('Statistika okresy'!$B159,Body!$B$3:$AR$172,17,FALSE)</f>
        <v>4</v>
      </c>
      <c r="S159" s="264">
        <f>VLOOKUP('Statistika okresy'!$B159,Body!$B$3:$AR$172,18,FALSE)</f>
        <v>7</v>
      </c>
      <c r="T159" s="264">
        <f>VLOOKUP('Statistika okresy'!$B159,Body!$B$3:$AR$172,19,FALSE)</f>
        <v>8</v>
      </c>
      <c r="U159" s="264">
        <f>VLOOKUP('Statistika okresy'!$B159,Body!$B$3:$AR$172,20,FALSE)</f>
        <v>5</v>
      </c>
      <c r="V159" s="264">
        <f>VLOOKUP('Statistika okresy'!$B159,Body!$B$3:$AR$172,21,FALSE)</f>
        <v>6</v>
      </c>
      <c r="W159" s="264">
        <f>VLOOKUP('Statistika okresy'!$B159,Body!$B$3:$AR$172,22,FALSE)</f>
        <v>5</v>
      </c>
      <c r="X159" s="264">
        <f>VLOOKUP('Statistika okresy'!$B159,Body!$B$3:$AR$172,23,FALSE)</f>
        <v>9</v>
      </c>
      <c r="Y159" s="264">
        <f>VLOOKUP('Statistika okresy'!$B159,Body!$B$3:$AR$172,24,FALSE)</f>
        <v>3</v>
      </c>
      <c r="Z159" s="264">
        <f>VLOOKUP('Statistika okresy'!$B159,Body!$B$3:$AR$172,25,FALSE)</f>
        <v>10</v>
      </c>
      <c r="AA159" s="264">
        <f>VLOOKUP('Statistika okresy'!$B159,Body!$B$3:$AR$172,26,FALSE)</f>
        <v>10</v>
      </c>
      <c r="AB159" s="264">
        <f>VLOOKUP('Statistika okresy'!$B159,Body!$B$3:$AR$172,27,FALSE)</f>
        <v>10</v>
      </c>
      <c r="AC159" s="265">
        <f>VLOOKUP('Statistika okresy'!$B159,Body!$B$3:$AR$172,35,FALSE)</f>
        <v>16.000000000000014</v>
      </c>
      <c r="AD159" s="264">
        <f>VLOOKUP('Statistika okresy'!$B159,Body!$B$3:$AR$172,36,FALSE)</f>
        <v>27.999323223443682</v>
      </c>
      <c r="AE159" s="264">
        <f>VLOOKUP('Statistika okresy'!$B159,Body!$B$3:$AR$172,37,FALSE)</f>
        <v>25.707067052224073</v>
      </c>
      <c r="AF159" s="264">
        <f>VLOOKUP('Statistika okresy'!$B159,Body!$B$3:$AR$172,38,FALSE)</f>
        <v>58.92037109332415</v>
      </c>
      <c r="AG159" s="264">
        <f>VLOOKUP('Statistika okresy'!$B159,Body!$B$3:$AR$172,39,FALSE)</f>
        <v>61.289401843198164</v>
      </c>
      <c r="AH159" s="264">
        <f>VLOOKUP('Statistika okresy'!$B159,Body!$B$3:$AR$172,40,FALSE)</f>
        <v>86.919694316767831</v>
      </c>
      <c r="AI159" s="264">
        <f>VLOOKUP('Statistika okresy'!$B159,Body!$B$3:$AR$172,41,FALSE)</f>
        <v>86.99646889542224</v>
      </c>
      <c r="AJ159" s="390"/>
      <c r="AK159" s="407">
        <f>VLOOKUP('Statistika okresy'!$B159,Body!$B$3:$AR$172,43,FALSE)</f>
        <v>189.9161632121901</v>
      </c>
    </row>
    <row r="160" spans="1:37" ht="15.5" x14ac:dyDescent="0.35">
      <c r="A160" s="382">
        <v>4334</v>
      </c>
      <c r="B160" s="156" t="s">
        <v>532</v>
      </c>
      <c r="C160" s="352" t="s">
        <v>963</v>
      </c>
      <c r="D160" s="264">
        <f>VLOOKUP('Statistika okresy'!$B160,Body!$B$3:$AR$172,3,FALSE)</f>
        <v>8</v>
      </c>
      <c r="E160" s="264">
        <f>VLOOKUP('Statistika okresy'!$B160,Body!$B$3:$AR$172,4,FALSE)</f>
        <v>9</v>
      </c>
      <c r="F160" s="264">
        <f>VLOOKUP('Statistika okresy'!$B160,Body!$B$3:$AR$172,5,FALSE)</f>
        <v>4</v>
      </c>
      <c r="G160" s="264">
        <f>VLOOKUP('Statistika okresy'!$B160,Body!$B$3:$AR$172,6,FALSE)</f>
        <v>2</v>
      </c>
      <c r="H160" s="264">
        <f>VLOOKUP('Statistika okresy'!$B160,Body!$B$3:$AR$172,7,FALSE)</f>
        <v>1</v>
      </c>
      <c r="I160" s="264">
        <f>VLOOKUP('Statistika okresy'!$B160,Body!$B$3:$AR$172,8,FALSE)</f>
        <v>7</v>
      </c>
      <c r="J160" s="264">
        <f>VLOOKUP('Statistika okresy'!$B160,Body!$B$3:$AR$172,9,FALSE)</f>
        <v>2</v>
      </c>
      <c r="K160" s="264">
        <f>VLOOKUP('Statistika okresy'!$B160,Body!$B$3:$AR$172,10,FALSE)</f>
        <v>2</v>
      </c>
      <c r="L160" s="264">
        <f>VLOOKUP('Statistika okresy'!$B160,Body!$B$3:$AR$172,11,FALSE)</f>
        <v>3</v>
      </c>
      <c r="M160" s="264">
        <f>VLOOKUP('Statistika okresy'!$B160,Body!$B$3:$AR$172,12,FALSE)</f>
        <v>4</v>
      </c>
      <c r="N160" s="264">
        <f>VLOOKUP('Statistika okresy'!$B160,Body!$B$3:$AR$172,13,FALSE)</f>
        <v>7</v>
      </c>
      <c r="O160" s="264">
        <f>VLOOKUP('Statistika okresy'!$B160,Body!$B$3:$AR$172,14,FALSE)</f>
        <v>8</v>
      </c>
      <c r="P160" s="264">
        <f>VLOOKUP('Statistika okresy'!$B160,Body!$B$3:$AR$172,15,FALSE)</f>
        <v>5</v>
      </c>
      <c r="Q160" s="264">
        <f>VLOOKUP('Statistika okresy'!$B160,Body!$B$3:$AR$172,16,FALSE)</f>
        <v>4</v>
      </c>
      <c r="R160" s="264">
        <f>VLOOKUP('Statistika okresy'!$B160,Body!$B$3:$AR$172,17,FALSE)</f>
        <v>4</v>
      </c>
      <c r="S160" s="264">
        <f>VLOOKUP('Statistika okresy'!$B160,Body!$B$3:$AR$172,18,FALSE)</f>
        <v>7</v>
      </c>
      <c r="T160" s="264">
        <f>VLOOKUP('Statistika okresy'!$B160,Body!$B$3:$AR$172,19,FALSE)</f>
        <v>7</v>
      </c>
      <c r="U160" s="264">
        <f>VLOOKUP('Statistika okresy'!$B160,Body!$B$3:$AR$172,20,FALSE)</f>
        <v>5</v>
      </c>
      <c r="V160" s="264">
        <f>VLOOKUP('Statistika okresy'!$B160,Body!$B$3:$AR$172,21,FALSE)</f>
        <v>6</v>
      </c>
      <c r="W160" s="264">
        <f>VLOOKUP('Statistika okresy'!$B160,Body!$B$3:$AR$172,22,FALSE)</f>
        <v>7</v>
      </c>
      <c r="X160" s="264">
        <f>VLOOKUP('Statistika okresy'!$B160,Body!$B$3:$AR$172,23,FALSE)</f>
        <v>5</v>
      </c>
      <c r="Y160" s="264">
        <f>VLOOKUP('Statistika okresy'!$B160,Body!$B$3:$AR$172,24,FALSE)</f>
        <v>5</v>
      </c>
      <c r="Z160" s="264">
        <f>VLOOKUP('Statistika okresy'!$B160,Body!$B$3:$AR$172,25,FALSE)</f>
        <v>1</v>
      </c>
      <c r="AA160" s="264">
        <f>VLOOKUP('Statistika okresy'!$B160,Body!$B$3:$AR$172,26,FALSE)</f>
        <v>5</v>
      </c>
      <c r="AB160" s="264">
        <f>VLOOKUP('Statistika okresy'!$B160,Body!$B$3:$AR$172,27,FALSE)</f>
        <v>10</v>
      </c>
      <c r="AC160" s="265">
        <f>VLOOKUP('Statistika okresy'!$B160,Body!$B$3:$AR$172,35,FALSE)</f>
        <v>9.3333333333333428</v>
      </c>
      <c r="AD160" s="264">
        <f>VLOOKUP('Statistika okresy'!$B160,Body!$B$3:$AR$172,36,FALSE)</f>
        <v>27.146695647747485</v>
      </c>
      <c r="AE160" s="264">
        <f>VLOOKUP('Statistika okresy'!$B160,Body!$B$3:$AR$172,37,FALSE)</f>
        <v>26.555508499840833</v>
      </c>
      <c r="AF160" s="264">
        <f>VLOOKUP('Statistika okresy'!$B160,Body!$B$3:$AR$172,38,FALSE)</f>
        <v>53.444118759272527</v>
      </c>
      <c r="AG160" s="264">
        <f>VLOOKUP('Statistika okresy'!$B160,Body!$B$3:$AR$172,39,FALSE)</f>
        <v>54.988711966474511</v>
      </c>
      <c r="AH160" s="264">
        <f>VLOOKUP('Statistika okresy'!$B160,Body!$B$3:$AR$172,40,FALSE)</f>
        <v>80.590814407020019</v>
      </c>
      <c r="AI160" s="264">
        <f>VLOOKUP('Statistika okresy'!$B160,Body!$B$3:$AR$172,41,FALSE)</f>
        <v>81.544220466315352</v>
      </c>
      <c r="AJ160" s="390"/>
      <c r="AK160" s="407">
        <f>VLOOKUP('Statistika okresy'!$B160,Body!$B$3:$AR$172,43,FALSE)</f>
        <v>171.46836820666871</v>
      </c>
    </row>
    <row r="161" spans="1:37" ht="15.5" x14ac:dyDescent="0.35">
      <c r="A161" s="382">
        <v>4339</v>
      </c>
      <c r="B161" s="156" t="s">
        <v>507</v>
      </c>
      <c r="C161" s="352" t="s">
        <v>963</v>
      </c>
      <c r="D161" s="264">
        <f>VLOOKUP('Statistika okresy'!$B161,Body!$B$3:$AR$172,3,FALSE)</f>
        <v>7</v>
      </c>
      <c r="E161" s="264">
        <f>VLOOKUP('Statistika okresy'!$B161,Body!$B$3:$AR$172,4,FALSE)</f>
        <v>6</v>
      </c>
      <c r="F161" s="264">
        <f>VLOOKUP('Statistika okresy'!$B161,Body!$B$3:$AR$172,5,FALSE)</f>
        <v>6</v>
      </c>
      <c r="G161" s="264">
        <f>VLOOKUP('Statistika okresy'!$B161,Body!$B$3:$AR$172,6,FALSE)</f>
        <v>4</v>
      </c>
      <c r="H161" s="264">
        <f>VLOOKUP('Statistika okresy'!$B161,Body!$B$3:$AR$172,7,FALSE)</f>
        <v>2</v>
      </c>
      <c r="I161" s="264">
        <f>VLOOKUP('Statistika okresy'!$B161,Body!$B$3:$AR$172,8,FALSE)</f>
        <v>9</v>
      </c>
      <c r="J161" s="264">
        <f>VLOOKUP('Statistika okresy'!$B161,Body!$B$3:$AR$172,9,FALSE)</f>
        <v>3</v>
      </c>
      <c r="K161" s="264">
        <f>VLOOKUP('Statistika okresy'!$B161,Body!$B$3:$AR$172,10,FALSE)</f>
        <v>2</v>
      </c>
      <c r="L161" s="264">
        <f>VLOOKUP('Statistika okresy'!$B161,Body!$B$3:$AR$172,11,FALSE)</f>
        <v>4</v>
      </c>
      <c r="M161" s="264">
        <f>VLOOKUP('Statistika okresy'!$B161,Body!$B$3:$AR$172,12,FALSE)</f>
        <v>4</v>
      </c>
      <c r="N161" s="264">
        <f>VLOOKUP('Statistika okresy'!$B161,Body!$B$3:$AR$172,13,FALSE)</f>
        <v>6</v>
      </c>
      <c r="O161" s="264">
        <f>VLOOKUP('Statistika okresy'!$B161,Body!$B$3:$AR$172,14,FALSE)</f>
        <v>6</v>
      </c>
      <c r="P161" s="264">
        <f>VLOOKUP('Statistika okresy'!$B161,Body!$B$3:$AR$172,15,FALSE)</f>
        <v>5</v>
      </c>
      <c r="Q161" s="264">
        <f>VLOOKUP('Statistika okresy'!$B161,Body!$B$3:$AR$172,16,FALSE)</f>
        <v>4</v>
      </c>
      <c r="R161" s="264">
        <f>VLOOKUP('Statistika okresy'!$B161,Body!$B$3:$AR$172,17,FALSE)</f>
        <v>5</v>
      </c>
      <c r="S161" s="264">
        <f>VLOOKUP('Statistika okresy'!$B161,Body!$B$3:$AR$172,18,FALSE)</f>
        <v>10</v>
      </c>
      <c r="T161" s="264">
        <f>VLOOKUP('Statistika okresy'!$B161,Body!$B$3:$AR$172,19,FALSE)</f>
        <v>9</v>
      </c>
      <c r="U161" s="264">
        <f>VLOOKUP('Statistika okresy'!$B161,Body!$B$3:$AR$172,20,FALSE)</f>
        <v>5</v>
      </c>
      <c r="V161" s="264">
        <f>VLOOKUP('Statistika okresy'!$B161,Body!$B$3:$AR$172,21,FALSE)</f>
        <v>6</v>
      </c>
      <c r="W161" s="264">
        <f>VLOOKUP('Statistika okresy'!$B161,Body!$B$3:$AR$172,22,FALSE)</f>
        <v>6</v>
      </c>
      <c r="X161" s="264">
        <f>VLOOKUP('Statistika okresy'!$B161,Body!$B$3:$AR$172,23,FALSE)</f>
        <v>5</v>
      </c>
      <c r="Y161" s="264">
        <f>VLOOKUP('Statistika okresy'!$B161,Body!$B$3:$AR$172,24,FALSE)</f>
        <v>10</v>
      </c>
      <c r="Z161" s="264">
        <f>VLOOKUP('Statistika okresy'!$B161,Body!$B$3:$AR$172,25,FALSE)</f>
        <v>10</v>
      </c>
      <c r="AA161" s="264">
        <f>VLOOKUP('Statistika okresy'!$B161,Body!$B$3:$AR$172,26,FALSE)</f>
        <v>5</v>
      </c>
      <c r="AB161" s="264">
        <f>VLOOKUP('Statistika okresy'!$B161,Body!$B$3:$AR$172,27,FALSE)</f>
        <v>10</v>
      </c>
      <c r="AC161" s="265">
        <f>VLOOKUP('Statistika okresy'!$B161,Body!$B$3:$AR$172,35,FALSE)</f>
        <v>9.3333333333333428</v>
      </c>
      <c r="AD161" s="264">
        <f>VLOOKUP('Statistika okresy'!$B161,Body!$B$3:$AR$172,36,FALSE)</f>
        <v>30.820533413701035</v>
      </c>
      <c r="AE161" s="264">
        <f>VLOOKUP('Statistika okresy'!$B161,Body!$B$3:$AR$172,37,FALSE)</f>
        <v>29.347195986981358</v>
      </c>
      <c r="AF161" s="264">
        <f>VLOOKUP('Statistika okresy'!$B161,Body!$B$3:$AR$172,38,FALSE)</f>
        <v>70.915738747524202</v>
      </c>
      <c r="AG161" s="264">
        <f>VLOOKUP('Statistika okresy'!$B161,Body!$B$3:$AR$172,39,FALSE)</f>
        <v>67.002114790448204</v>
      </c>
      <c r="AH161" s="264">
        <f>VLOOKUP('Statistika okresy'!$B161,Body!$B$3:$AR$172,40,FALSE)</f>
        <v>101.73627216122523</v>
      </c>
      <c r="AI161" s="264">
        <f>VLOOKUP('Statistika okresy'!$B161,Body!$B$3:$AR$172,41,FALSE)</f>
        <v>96.349310777429565</v>
      </c>
      <c r="AJ161" s="390"/>
      <c r="AK161" s="407">
        <f>VLOOKUP('Statistika okresy'!$B161,Body!$B$3:$AR$172,43,FALSE)</f>
        <v>207.41891627198814</v>
      </c>
    </row>
    <row r="162" spans="1:37" ht="15.5" x14ac:dyDescent="0.35">
      <c r="A162" s="382">
        <v>4342</v>
      </c>
      <c r="B162" s="156" t="s">
        <v>552</v>
      </c>
      <c r="C162" s="352" t="s">
        <v>963</v>
      </c>
      <c r="D162" s="264">
        <f>VLOOKUP('Statistika okresy'!$B162,Body!$B$3:$AR$172,3,FALSE)</f>
        <v>5</v>
      </c>
      <c r="E162" s="264">
        <f>VLOOKUP('Statistika okresy'!$B162,Body!$B$3:$AR$172,4,FALSE)</f>
        <v>5</v>
      </c>
      <c r="F162" s="264">
        <f>VLOOKUP('Statistika okresy'!$B162,Body!$B$3:$AR$172,5,FALSE)</f>
        <v>7</v>
      </c>
      <c r="G162" s="264">
        <f>VLOOKUP('Statistika okresy'!$B162,Body!$B$3:$AR$172,6,FALSE)</f>
        <v>4</v>
      </c>
      <c r="H162" s="264">
        <f>VLOOKUP('Statistika okresy'!$B162,Body!$B$3:$AR$172,7,FALSE)</f>
        <v>1</v>
      </c>
      <c r="I162" s="264">
        <f>VLOOKUP('Statistika okresy'!$B162,Body!$B$3:$AR$172,8,FALSE)</f>
        <v>10</v>
      </c>
      <c r="J162" s="264">
        <f>VLOOKUP('Statistika okresy'!$B162,Body!$B$3:$AR$172,9,FALSE)</f>
        <v>4</v>
      </c>
      <c r="K162" s="264">
        <f>VLOOKUP('Statistika okresy'!$B162,Body!$B$3:$AR$172,10,FALSE)</f>
        <v>2</v>
      </c>
      <c r="L162" s="264">
        <f>VLOOKUP('Statistika okresy'!$B162,Body!$B$3:$AR$172,11,FALSE)</f>
        <v>4</v>
      </c>
      <c r="M162" s="264">
        <f>VLOOKUP('Statistika okresy'!$B162,Body!$B$3:$AR$172,12,FALSE)</f>
        <v>3</v>
      </c>
      <c r="N162" s="264">
        <f>VLOOKUP('Statistika okresy'!$B162,Body!$B$3:$AR$172,13,FALSE)</f>
        <v>4</v>
      </c>
      <c r="O162" s="264">
        <f>VLOOKUP('Statistika okresy'!$B162,Body!$B$3:$AR$172,14,FALSE)</f>
        <v>4</v>
      </c>
      <c r="P162" s="264">
        <f>VLOOKUP('Statistika okresy'!$B162,Body!$B$3:$AR$172,15,FALSE)</f>
        <v>3</v>
      </c>
      <c r="Q162" s="264">
        <f>VLOOKUP('Statistika okresy'!$B162,Body!$B$3:$AR$172,16,FALSE)</f>
        <v>3</v>
      </c>
      <c r="R162" s="264">
        <f>VLOOKUP('Statistika okresy'!$B162,Body!$B$3:$AR$172,17,FALSE)</f>
        <v>4</v>
      </c>
      <c r="S162" s="264">
        <f>VLOOKUP('Statistika okresy'!$B162,Body!$B$3:$AR$172,18,FALSE)</f>
        <v>8</v>
      </c>
      <c r="T162" s="264">
        <f>VLOOKUP('Statistika okresy'!$B162,Body!$B$3:$AR$172,19,FALSE)</f>
        <v>8</v>
      </c>
      <c r="U162" s="264">
        <f>VLOOKUP('Statistika okresy'!$B162,Body!$B$3:$AR$172,20,FALSE)</f>
        <v>3</v>
      </c>
      <c r="V162" s="264">
        <f>VLOOKUP('Statistika okresy'!$B162,Body!$B$3:$AR$172,21,FALSE)</f>
        <v>6</v>
      </c>
      <c r="W162" s="264">
        <f>VLOOKUP('Statistika okresy'!$B162,Body!$B$3:$AR$172,22,FALSE)</f>
        <v>7</v>
      </c>
      <c r="X162" s="264">
        <f>VLOOKUP('Statistika okresy'!$B162,Body!$B$3:$AR$172,23,FALSE)</f>
        <v>8</v>
      </c>
      <c r="Y162" s="264">
        <f>VLOOKUP('Statistika okresy'!$B162,Body!$B$3:$AR$172,24,FALSE)</f>
        <v>8</v>
      </c>
      <c r="Z162" s="264">
        <f>VLOOKUP('Statistika okresy'!$B162,Body!$B$3:$AR$172,25,FALSE)</f>
        <v>10</v>
      </c>
      <c r="AA162" s="264">
        <f>VLOOKUP('Statistika okresy'!$B162,Body!$B$3:$AR$172,26,FALSE)</f>
        <v>1</v>
      </c>
      <c r="AB162" s="264">
        <f>VLOOKUP('Statistika okresy'!$B162,Body!$B$3:$AR$172,27,FALSE)</f>
        <v>10</v>
      </c>
      <c r="AC162" s="265">
        <f>VLOOKUP('Statistika okresy'!$B162,Body!$B$3:$AR$172,35,FALSE)</f>
        <v>4.0000000000000036</v>
      </c>
      <c r="AD162" s="264">
        <f>VLOOKUP('Statistika okresy'!$B162,Body!$B$3:$AR$172,36,FALSE)</f>
        <v>27.581425845484183</v>
      </c>
      <c r="AE162" s="264">
        <f>VLOOKUP('Statistika okresy'!$B162,Body!$B$3:$AR$172,37,FALSE)</f>
        <v>24.188648635725563</v>
      </c>
      <c r="AF162" s="264">
        <f>VLOOKUP('Statistika okresy'!$B162,Body!$B$3:$AR$172,38,FALSE)</f>
        <v>60.224069018349617</v>
      </c>
      <c r="AG162" s="264">
        <f>VLOOKUP('Statistika okresy'!$B162,Body!$B$3:$AR$172,39,FALSE)</f>
        <v>61.768662225551608</v>
      </c>
      <c r="AH162" s="264">
        <f>VLOOKUP('Statistika okresy'!$B162,Body!$B$3:$AR$172,40,FALSE)</f>
        <v>87.8054948638338</v>
      </c>
      <c r="AI162" s="264">
        <f>VLOOKUP('Statistika okresy'!$B162,Body!$B$3:$AR$172,41,FALSE)</f>
        <v>85.957310861277165</v>
      </c>
      <c r="AJ162" s="390"/>
      <c r="AK162" s="407">
        <f>VLOOKUP('Statistika okresy'!$B162,Body!$B$3:$AR$172,43,FALSE)</f>
        <v>177.76280572511098</v>
      </c>
    </row>
    <row r="163" spans="1:37" ht="15.5" x14ac:dyDescent="0.35">
      <c r="A163" s="382">
        <v>4345</v>
      </c>
      <c r="B163" s="156" t="s">
        <v>558</v>
      </c>
      <c r="C163" s="352" t="s">
        <v>963</v>
      </c>
      <c r="D163" s="264">
        <f>VLOOKUP('Statistika okresy'!$B163,Body!$B$3:$AR$172,3,FALSE)</f>
        <v>6</v>
      </c>
      <c r="E163" s="264">
        <f>VLOOKUP('Statistika okresy'!$B163,Body!$B$3:$AR$172,4,FALSE)</f>
        <v>6</v>
      </c>
      <c r="F163" s="264">
        <f>VLOOKUP('Statistika okresy'!$B163,Body!$B$3:$AR$172,5,FALSE)</f>
        <v>3</v>
      </c>
      <c r="G163" s="264">
        <f>VLOOKUP('Statistika okresy'!$B163,Body!$B$3:$AR$172,6,FALSE)</f>
        <v>3</v>
      </c>
      <c r="H163" s="264">
        <f>VLOOKUP('Statistika okresy'!$B163,Body!$B$3:$AR$172,7,FALSE)</f>
        <v>1</v>
      </c>
      <c r="I163" s="264">
        <f>VLOOKUP('Statistika okresy'!$B163,Body!$B$3:$AR$172,8,FALSE)</f>
        <v>4</v>
      </c>
      <c r="J163" s="264">
        <f>VLOOKUP('Statistika okresy'!$B163,Body!$B$3:$AR$172,9,FALSE)</f>
        <v>1</v>
      </c>
      <c r="K163" s="264">
        <f>VLOOKUP('Statistika okresy'!$B163,Body!$B$3:$AR$172,10,FALSE)</f>
        <v>1</v>
      </c>
      <c r="L163" s="264">
        <f>VLOOKUP('Statistika okresy'!$B163,Body!$B$3:$AR$172,11,FALSE)</f>
        <v>3</v>
      </c>
      <c r="M163" s="264">
        <f>VLOOKUP('Statistika okresy'!$B163,Body!$B$3:$AR$172,12,FALSE)</f>
        <v>3</v>
      </c>
      <c r="N163" s="264">
        <f>VLOOKUP('Statistika okresy'!$B163,Body!$B$3:$AR$172,13,FALSE)</f>
        <v>7</v>
      </c>
      <c r="O163" s="264">
        <f>VLOOKUP('Statistika okresy'!$B163,Body!$B$3:$AR$172,14,FALSE)</f>
        <v>8</v>
      </c>
      <c r="P163" s="264">
        <f>VLOOKUP('Statistika okresy'!$B163,Body!$B$3:$AR$172,15,FALSE)</f>
        <v>10</v>
      </c>
      <c r="Q163" s="264">
        <f>VLOOKUP('Statistika okresy'!$B163,Body!$B$3:$AR$172,16,FALSE)</f>
        <v>2</v>
      </c>
      <c r="R163" s="264">
        <f>VLOOKUP('Statistika okresy'!$B163,Body!$B$3:$AR$172,17,FALSE)</f>
        <v>2</v>
      </c>
      <c r="S163" s="264">
        <f>VLOOKUP('Statistika okresy'!$B163,Body!$B$3:$AR$172,18,FALSE)</f>
        <v>3</v>
      </c>
      <c r="T163" s="264">
        <f>VLOOKUP('Statistika okresy'!$B163,Body!$B$3:$AR$172,19,FALSE)</f>
        <v>2</v>
      </c>
      <c r="U163" s="264">
        <f>VLOOKUP('Statistika okresy'!$B163,Body!$B$3:$AR$172,20,FALSE)</f>
        <v>5</v>
      </c>
      <c r="V163" s="264">
        <f>VLOOKUP('Statistika okresy'!$B163,Body!$B$3:$AR$172,21,FALSE)</f>
        <v>6</v>
      </c>
      <c r="W163" s="264">
        <f>VLOOKUP('Statistika okresy'!$B163,Body!$B$3:$AR$172,22,FALSE)</f>
        <v>5</v>
      </c>
      <c r="X163" s="264">
        <f>VLOOKUP('Statistika okresy'!$B163,Body!$B$3:$AR$172,23,FALSE)</f>
        <v>5</v>
      </c>
      <c r="Y163" s="264">
        <f>VLOOKUP('Statistika okresy'!$B163,Body!$B$3:$AR$172,24,FALSE)</f>
        <v>8</v>
      </c>
      <c r="Z163" s="264">
        <f>VLOOKUP('Statistika okresy'!$B163,Body!$B$3:$AR$172,25,FALSE)</f>
        <v>10</v>
      </c>
      <c r="AA163" s="264">
        <f>VLOOKUP('Statistika okresy'!$B163,Body!$B$3:$AR$172,26,FALSE)</f>
        <v>10</v>
      </c>
      <c r="AB163" s="264">
        <f>VLOOKUP('Statistika okresy'!$B163,Body!$B$3:$AR$172,27,FALSE)</f>
        <v>10</v>
      </c>
      <c r="AC163" s="265">
        <f>VLOOKUP('Statistika okresy'!$B163,Body!$B$3:$AR$172,35,FALSE)</f>
        <v>16.000000000000014</v>
      </c>
      <c r="AD163" s="264">
        <f>VLOOKUP('Statistika okresy'!$B163,Body!$B$3:$AR$172,36,FALSE)</f>
        <v>25.994643038589228</v>
      </c>
      <c r="AE163" s="264">
        <f>VLOOKUP('Statistika okresy'!$B163,Body!$B$3:$AR$172,37,FALSE)</f>
        <v>27.477016759406499</v>
      </c>
      <c r="AF163" s="264">
        <f>VLOOKUP('Statistika okresy'!$B163,Body!$B$3:$AR$172,38,FALSE)</f>
        <v>42.603021927056076</v>
      </c>
      <c r="AG163" s="264">
        <f>VLOOKUP('Statistika okresy'!$B163,Body!$B$3:$AR$172,39,FALSE)</f>
        <v>37.144804762778094</v>
      </c>
      <c r="AH163" s="264">
        <f>VLOOKUP('Statistika okresy'!$B163,Body!$B$3:$AR$172,40,FALSE)</f>
        <v>68.597664965645308</v>
      </c>
      <c r="AI163" s="264">
        <f>VLOOKUP('Statistika okresy'!$B163,Body!$B$3:$AR$172,41,FALSE)</f>
        <v>64.62182152218459</v>
      </c>
      <c r="AJ163" s="390"/>
      <c r="AK163" s="407">
        <f>VLOOKUP('Statistika okresy'!$B163,Body!$B$3:$AR$172,43,FALSE)</f>
        <v>149.2194864878299</v>
      </c>
    </row>
    <row r="164" spans="1:37" ht="15.5" x14ac:dyDescent="0.35">
      <c r="A164" s="382">
        <v>4351</v>
      </c>
      <c r="B164" s="156" t="s">
        <v>110</v>
      </c>
      <c r="C164" s="352" t="s">
        <v>963</v>
      </c>
      <c r="D164" s="264">
        <f>VLOOKUP('Statistika okresy'!$B164,Body!$B$3:$AR$172,3,FALSE)</f>
        <v>6</v>
      </c>
      <c r="E164" s="264">
        <f>VLOOKUP('Statistika okresy'!$B164,Body!$B$3:$AR$172,4,FALSE)</f>
        <v>6</v>
      </c>
      <c r="F164" s="264">
        <f>VLOOKUP('Statistika okresy'!$B164,Body!$B$3:$AR$172,5,FALSE)</f>
        <v>3</v>
      </c>
      <c r="G164" s="264">
        <f>VLOOKUP('Statistika okresy'!$B164,Body!$B$3:$AR$172,6,FALSE)</f>
        <v>2</v>
      </c>
      <c r="H164" s="264">
        <f>VLOOKUP('Statistika okresy'!$B164,Body!$B$3:$AR$172,7,FALSE)</f>
        <v>1</v>
      </c>
      <c r="I164" s="264">
        <f>VLOOKUP('Statistika okresy'!$B164,Body!$B$3:$AR$172,8,FALSE)</f>
        <v>1</v>
      </c>
      <c r="J164" s="264">
        <f>VLOOKUP('Statistika okresy'!$B164,Body!$B$3:$AR$172,9,FALSE)</f>
        <v>1</v>
      </c>
      <c r="K164" s="264">
        <f>VLOOKUP('Statistika okresy'!$B164,Body!$B$3:$AR$172,10,FALSE)</f>
        <v>1</v>
      </c>
      <c r="L164" s="264">
        <f>VLOOKUP('Statistika okresy'!$B164,Body!$B$3:$AR$172,11,FALSE)</f>
        <v>1</v>
      </c>
      <c r="M164" s="264">
        <f>VLOOKUP('Statistika okresy'!$B164,Body!$B$3:$AR$172,12,FALSE)</f>
        <v>1</v>
      </c>
      <c r="N164" s="264">
        <f>VLOOKUP('Statistika okresy'!$B164,Body!$B$3:$AR$172,13,FALSE)</f>
        <v>3</v>
      </c>
      <c r="O164" s="264">
        <f>VLOOKUP('Statistika okresy'!$B164,Body!$B$3:$AR$172,14,FALSE)</f>
        <v>4</v>
      </c>
      <c r="P164" s="264">
        <f>VLOOKUP('Statistika okresy'!$B164,Body!$B$3:$AR$172,15,FALSE)</f>
        <v>10</v>
      </c>
      <c r="Q164" s="264">
        <f>VLOOKUP('Statistika okresy'!$B164,Body!$B$3:$AR$172,16,FALSE)</f>
        <v>2</v>
      </c>
      <c r="R164" s="264">
        <f>VLOOKUP('Statistika okresy'!$B164,Body!$B$3:$AR$172,17,FALSE)</f>
        <v>2</v>
      </c>
      <c r="S164" s="264">
        <f>VLOOKUP('Statistika okresy'!$B164,Body!$B$3:$AR$172,18,FALSE)</f>
        <v>4</v>
      </c>
      <c r="T164" s="264">
        <f>VLOOKUP('Statistika okresy'!$B164,Body!$B$3:$AR$172,19,FALSE)</f>
        <v>4</v>
      </c>
      <c r="U164" s="264">
        <f>VLOOKUP('Statistika okresy'!$B164,Body!$B$3:$AR$172,20,FALSE)</f>
        <v>5</v>
      </c>
      <c r="V164" s="264">
        <f>VLOOKUP('Statistika okresy'!$B164,Body!$B$3:$AR$172,21,FALSE)</f>
        <v>7</v>
      </c>
      <c r="W164" s="264">
        <f>VLOOKUP('Statistika okresy'!$B164,Body!$B$3:$AR$172,22,FALSE)</f>
        <v>6</v>
      </c>
      <c r="X164" s="264">
        <f>VLOOKUP('Statistika okresy'!$B164,Body!$B$3:$AR$172,23,FALSE)</f>
        <v>5</v>
      </c>
      <c r="Y164" s="264">
        <f>VLOOKUP('Statistika okresy'!$B164,Body!$B$3:$AR$172,24,FALSE)</f>
        <v>8</v>
      </c>
      <c r="Z164" s="264">
        <f>VLOOKUP('Statistika okresy'!$B164,Body!$B$3:$AR$172,25,FALSE)</f>
        <v>10</v>
      </c>
      <c r="AA164" s="264">
        <f>VLOOKUP('Statistika okresy'!$B164,Body!$B$3:$AR$172,26,FALSE)</f>
        <v>10</v>
      </c>
      <c r="AB164" s="264">
        <f>VLOOKUP('Statistika okresy'!$B164,Body!$B$3:$AR$172,27,FALSE)</f>
        <v>5</v>
      </c>
      <c r="AC164" s="265">
        <f>VLOOKUP('Statistika okresy'!$B164,Body!$B$3:$AR$172,35,FALSE)</f>
        <v>14.666666666666682</v>
      </c>
      <c r="AD164" s="264">
        <f>VLOOKUP('Statistika okresy'!$B164,Body!$B$3:$AR$172,36,FALSE)</f>
        <v>21.50293258473517</v>
      </c>
      <c r="AE164" s="264">
        <f>VLOOKUP('Statistika okresy'!$B164,Body!$B$3:$AR$172,37,FALSE)</f>
        <v>20.431653424317336</v>
      </c>
      <c r="AF164" s="264">
        <f>VLOOKUP('Statistika okresy'!$B164,Body!$B$3:$AR$172,38,FALSE)</f>
        <v>48.061239091334052</v>
      </c>
      <c r="AG164" s="264">
        <f>VLOOKUP('Statistika okresy'!$B164,Body!$B$3:$AR$172,39,FALSE)</f>
        <v>46.516645884132068</v>
      </c>
      <c r="AH164" s="264">
        <f>VLOOKUP('Statistika okresy'!$B164,Body!$B$3:$AR$172,40,FALSE)</f>
        <v>69.564171676069222</v>
      </c>
      <c r="AI164" s="264">
        <f>VLOOKUP('Statistika okresy'!$B164,Body!$B$3:$AR$172,41,FALSE)</f>
        <v>66.948299308449407</v>
      </c>
      <c r="AJ164" s="390"/>
      <c r="AK164" s="407">
        <f>VLOOKUP('Statistika okresy'!$B164,Body!$B$3:$AR$172,43,FALSE)</f>
        <v>151.17913765118533</v>
      </c>
    </row>
    <row r="165" spans="1:37" ht="15.5" x14ac:dyDescent="0.35">
      <c r="A165" s="382">
        <v>4354</v>
      </c>
      <c r="B165" s="156" t="s">
        <v>527</v>
      </c>
      <c r="C165" s="352" t="s">
        <v>963</v>
      </c>
      <c r="D165" s="264">
        <f>VLOOKUP('Statistika okresy'!$B165,Body!$B$3:$AR$172,3,FALSE)</f>
        <v>7</v>
      </c>
      <c r="E165" s="264">
        <f>VLOOKUP('Statistika okresy'!$B165,Body!$B$3:$AR$172,4,FALSE)</f>
        <v>5</v>
      </c>
      <c r="F165" s="264">
        <f>VLOOKUP('Statistika okresy'!$B165,Body!$B$3:$AR$172,5,FALSE)</f>
        <v>5</v>
      </c>
      <c r="G165" s="264">
        <f>VLOOKUP('Statistika okresy'!$B165,Body!$B$3:$AR$172,6,FALSE)</f>
        <v>3</v>
      </c>
      <c r="H165" s="264">
        <f>VLOOKUP('Statistika okresy'!$B165,Body!$B$3:$AR$172,7,FALSE)</f>
        <v>1</v>
      </c>
      <c r="I165" s="264">
        <f>VLOOKUP('Statistika okresy'!$B165,Body!$B$3:$AR$172,8,FALSE)</f>
        <v>1</v>
      </c>
      <c r="J165" s="264">
        <f>VLOOKUP('Statistika okresy'!$B165,Body!$B$3:$AR$172,9,FALSE)</f>
        <v>2</v>
      </c>
      <c r="K165" s="264">
        <f>VLOOKUP('Statistika okresy'!$B165,Body!$B$3:$AR$172,10,FALSE)</f>
        <v>1</v>
      </c>
      <c r="L165" s="264">
        <f>VLOOKUP('Statistika okresy'!$B165,Body!$B$3:$AR$172,11,FALSE)</f>
        <v>3</v>
      </c>
      <c r="M165" s="264">
        <f>VLOOKUP('Statistika okresy'!$B165,Body!$B$3:$AR$172,12,FALSE)</f>
        <v>3</v>
      </c>
      <c r="N165" s="264">
        <f>VLOOKUP('Statistika okresy'!$B165,Body!$B$3:$AR$172,13,FALSE)</f>
        <v>6</v>
      </c>
      <c r="O165" s="264">
        <f>VLOOKUP('Statistika okresy'!$B165,Body!$B$3:$AR$172,14,FALSE)</f>
        <v>5</v>
      </c>
      <c r="P165" s="264">
        <f>VLOOKUP('Statistika okresy'!$B165,Body!$B$3:$AR$172,15,FALSE)</f>
        <v>6</v>
      </c>
      <c r="Q165" s="264">
        <f>VLOOKUP('Statistika okresy'!$B165,Body!$B$3:$AR$172,16,FALSE)</f>
        <v>5</v>
      </c>
      <c r="R165" s="264">
        <f>VLOOKUP('Statistika okresy'!$B165,Body!$B$3:$AR$172,17,FALSE)</f>
        <v>4</v>
      </c>
      <c r="S165" s="264">
        <f>VLOOKUP('Statistika okresy'!$B165,Body!$B$3:$AR$172,18,FALSE)</f>
        <v>7</v>
      </c>
      <c r="T165" s="264">
        <f>VLOOKUP('Statistika okresy'!$B165,Body!$B$3:$AR$172,19,FALSE)</f>
        <v>7</v>
      </c>
      <c r="U165" s="264">
        <f>VLOOKUP('Statistika okresy'!$B165,Body!$B$3:$AR$172,20,FALSE)</f>
        <v>6</v>
      </c>
      <c r="V165" s="264">
        <f>VLOOKUP('Statistika okresy'!$B165,Body!$B$3:$AR$172,21,FALSE)</f>
        <v>6</v>
      </c>
      <c r="W165" s="264">
        <f>VLOOKUP('Statistika okresy'!$B165,Body!$B$3:$AR$172,22,FALSE)</f>
        <v>6</v>
      </c>
      <c r="X165" s="264">
        <f>VLOOKUP('Statistika okresy'!$B165,Body!$B$3:$AR$172,23,FALSE)</f>
        <v>9</v>
      </c>
      <c r="Y165" s="264">
        <f>VLOOKUP('Statistika okresy'!$B165,Body!$B$3:$AR$172,24,FALSE)</f>
        <v>8</v>
      </c>
      <c r="Z165" s="264">
        <f>VLOOKUP('Statistika okresy'!$B165,Body!$B$3:$AR$172,25,FALSE)</f>
        <v>10</v>
      </c>
      <c r="AA165" s="264">
        <f>VLOOKUP('Statistika okresy'!$B165,Body!$B$3:$AR$172,26,FALSE)</f>
        <v>3</v>
      </c>
      <c r="AB165" s="264">
        <f>VLOOKUP('Statistika okresy'!$B165,Body!$B$3:$AR$172,27,FALSE)</f>
        <v>5</v>
      </c>
      <c r="AC165" s="265">
        <f>VLOOKUP('Statistika okresy'!$B165,Body!$B$3:$AR$172,35,FALSE)</f>
        <v>5.3333333333333375</v>
      </c>
      <c r="AD165" s="264">
        <f>VLOOKUP('Statistika okresy'!$B165,Body!$B$3:$AR$172,36,FALSE)</f>
        <v>29.885032316399343</v>
      </c>
      <c r="AE165" s="264">
        <f>VLOOKUP('Statistika okresy'!$B165,Body!$B$3:$AR$172,37,FALSE)</f>
        <v>23.271761864463215</v>
      </c>
      <c r="AF165" s="264">
        <f>VLOOKUP('Statistika okresy'!$B165,Body!$B$3:$AR$172,38,FALSE)</f>
        <v>63.295865045322039</v>
      </c>
      <c r="AG165" s="264">
        <f>VLOOKUP('Statistika okresy'!$B165,Body!$B$3:$AR$172,39,FALSE)</f>
        <v>63.295865045322039</v>
      </c>
      <c r="AH165" s="264">
        <f>VLOOKUP('Statistika okresy'!$B165,Body!$B$3:$AR$172,40,FALSE)</f>
        <v>93.180897361721378</v>
      </c>
      <c r="AI165" s="264">
        <f>VLOOKUP('Statistika okresy'!$B165,Body!$B$3:$AR$172,41,FALSE)</f>
        <v>86.567626909785247</v>
      </c>
      <c r="AJ165" s="390"/>
      <c r="AK165" s="407">
        <f>VLOOKUP('Statistika okresy'!$B165,Body!$B$3:$AR$172,43,FALSE)</f>
        <v>185.08185760483997</v>
      </c>
    </row>
    <row r="166" spans="1:37" ht="15.5" x14ac:dyDescent="0.35">
      <c r="A166" s="382">
        <v>4357</v>
      </c>
      <c r="B166" s="156" t="s">
        <v>114</v>
      </c>
      <c r="C166" s="352" t="s">
        <v>963</v>
      </c>
      <c r="D166" s="264">
        <f>VLOOKUP('Statistika okresy'!$B166,Body!$B$3:$AR$172,3,FALSE)</f>
        <v>6</v>
      </c>
      <c r="E166" s="264">
        <f>VLOOKUP('Statistika okresy'!$B166,Body!$B$3:$AR$172,4,FALSE)</f>
        <v>6</v>
      </c>
      <c r="F166" s="264">
        <f>VLOOKUP('Statistika okresy'!$B166,Body!$B$3:$AR$172,5,FALSE)</f>
        <v>4</v>
      </c>
      <c r="G166" s="264">
        <f>VLOOKUP('Statistika okresy'!$B166,Body!$B$3:$AR$172,6,FALSE)</f>
        <v>3</v>
      </c>
      <c r="H166" s="264">
        <f>VLOOKUP('Statistika okresy'!$B166,Body!$B$3:$AR$172,7,FALSE)</f>
        <v>1</v>
      </c>
      <c r="I166" s="264">
        <f>VLOOKUP('Statistika okresy'!$B166,Body!$B$3:$AR$172,8,FALSE)</f>
        <v>1</v>
      </c>
      <c r="J166" s="264">
        <f>VLOOKUP('Statistika okresy'!$B166,Body!$B$3:$AR$172,9,FALSE)</f>
        <v>3</v>
      </c>
      <c r="K166" s="264">
        <f>VLOOKUP('Statistika okresy'!$B166,Body!$B$3:$AR$172,10,FALSE)</f>
        <v>2</v>
      </c>
      <c r="L166" s="264">
        <f>VLOOKUP('Statistika okresy'!$B166,Body!$B$3:$AR$172,11,FALSE)</f>
        <v>4</v>
      </c>
      <c r="M166" s="264">
        <f>VLOOKUP('Statistika okresy'!$B166,Body!$B$3:$AR$172,12,FALSE)</f>
        <v>5</v>
      </c>
      <c r="N166" s="264">
        <f>VLOOKUP('Statistika okresy'!$B166,Body!$B$3:$AR$172,13,FALSE)</f>
        <v>6</v>
      </c>
      <c r="O166" s="264">
        <f>VLOOKUP('Statistika okresy'!$B166,Body!$B$3:$AR$172,14,FALSE)</f>
        <v>7</v>
      </c>
      <c r="P166" s="264">
        <f>VLOOKUP('Statistika okresy'!$B166,Body!$B$3:$AR$172,15,FALSE)</f>
        <v>5</v>
      </c>
      <c r="Q166" s="264">
        <f>VLOOKUP('Statistika okresy'!$B166,Body!$B$3:$AR$172,16,FALSE)</f>
        <v>5</v>
      </c>
      <c r="R166" s="264">
        <f>VLOOKUP('Statistika okresy'!$B166,Body!$B$3:$AR$172,17,FALSE)</f>
        <v>6</v>
      </c>
      <c r="S166" s="264">
        <f>VLOOKUP('Statistika okresy'!$B166,Body!$B$3:$AR$172,18,FALSE)</f>
        <v>8</v>
      </c>
      <c r="T166" s="264">
        <f>VLOOKUP('Statistika okresy'!$B166,Body!$B$3:$AR$172,19,FALSE)</f>
        <v>9</v>
      </c>
      <c r="U166" s="264">
        <f>VLOOKUP('Statistika okresy'!$B166,Body!$B$3:$AR$172,20,FALSE)</f>
        <v>5</v>
      </c>
      <c r="V166" s="264">
        <f>VLOOKUP('Statistika okresy'!$B166,Body!$B$3:$AR$172,21,FALSE)</f>
        <v>6</v>
      </c>
      <c r="W166" s="264">
        <f>VLOOKUP('Statistika okresy'!$B166,Body!$B$3:$AR$172,22,FALSE)</f>
        <v>4</v>
      </c>
      <c r="X166" s="264">
        <f>VLOOKUP('Statistika okresy'!$B166,Body!$B$3:$AR$172,23,FALSE)</f>
        <v>8</v>
      </c>
      <c r="Y166" s="264">
        <f>VLOOKUP('Statistika okresy'!$B166,Body!$B$3:$AR$172,24,FALSE)</f>
        <v>10</v>
      </c>
      <c r="Z166" s="264">
        <f>VLOOKUP('Statistika okresy'!$B166,Body!$B$3:$AR$172,25,FALSE)</f>
        <v>10</v>
      </c>
      <c r="AA166" s="264">
        <f>VLOOKUP('Statistika okresy'!$B166,Body!$B$3:$AR$172,26,FALSE)</f>
        <v>1</v>
      </c>
      <c r="AB166" s="264">
        <f>VLOOKUP('Statistika okresy'!$B166,Body!$B$3:$AR$172,27,FALSE)</f>
        <v>5</v>
      </c>
      <c r="AC166" s="265">
        <f>VLOOKUP('Statistika okresy'!$B166,Body!$B$3:$AR$172,35,FALSE)</f>
        <v>2.6666666666666687</v>
      </c>
      <c r="AD166" s="264">
        <f>VLOOKUP('Statistika okresy'!$B166,Body!$B$3:$AR$172,36,FALSE)</f>
        <v>27.719561631972315</v>
      </c>
      <c r="AE166" s="264">
        <f>VLOOKUP('Statistika okresy'!$B166,Body!$B$3:$AR$172,37,FALSE)</f>
        <v>28.306457669408282</v>
      </c>
      <c r="AF166" s="264">
        <f>VLOOKUP('Statistika okresy'!$B166,Body!$B$3:$AR$172,38,FALSE)</f>
        <v>65.30566043860064</v>
      </c>
      <c r="AG166" s="264">
        <f>VLOOKUP('Statistika okresy'!$B166,Body!$B$3:$AR$172,39,FALSE)</f>
        <v>66.130097981272669</v>
      </c>
      <c r="AH166" s="264">
        <f>VLOOKUP('Statistika okresy'!$B166,Body!$B$3:$AR$172,40,FALSE)</f>
        <v>93.025222070572951</v>
      </c>
      <c r="AI166" s="264">
        <f>VLOOKUP('Statistika okresy'!$B166,Body!$B$3:$AR$172,41,FALSE)</f>
        <v>94.436555650680958</v>
      </c>
      <c r="AJ166" s="390"/>
      <c r="AK166" s="407">
        <f>VLOOKUP('Statistika okresy'!$B166,Body!$B$3:$AR$172,43,FALSE)</f>
        <v>190.12844438792055</v>
      </c>
    </row>
    <row r="167" spans="1:37" ht="15.5" x14ac:dyDescent="0.35">
      <c r="A167" s="382">
        <v>4360</v>
      </c>
      <c r="B167" s="156" t="s">
        <v>125</v>
      </c>
      <c r="C167" s="352" t="s">
        <v>964</v>
      </c>
      <c r="D167" s="264">
        <f>VLOOKUP('Statistika okresy'!$B167,Body!$B$3:$AR$172,3,FALSE)</f>
        <v>5</v>
      </c>
      <c r="E167" s="264">
        <f>VLOOKUP('Statistika okresy'!$B167,Body!$B$3:$AR$172,4,FALSE)</f>
        <v>5</v>
      </c>
      <c r="F167" s="264">
        <f>VLOOKUP('Statistika okresy'!$B167,Body!$B$3:$AR$172,5,FALSE)</f>
        <v>4</v>
      </c>
      <c r="G167" s="264">
        <f>VLOOKUP('Statistika okresy'!$B167,Body!$B$3:$AR$172,6,FALSE)</f>
        <v>3</v>
      </c>
      <c r="H167" s="264">
        <f>VLOOKUP('Statistika okresy'!$B167,Body!$B$3:$AR$172,7,FALSE)</f>
        <v>2</v>
      </c>
      <c r="I167" s="264">
        <f>VLOOKUP('Statistika okresy'!$B167,Body!$B$3:$AR$172,8,FALSE)</f>
        <v>5</v>
      </c>
      <c r="J167" s="264">
        <f>VLOOKUP('Statistika okresy'!$B167,Body!$B$3:$AR$172,9,FALSE)</f>
        <v>1</v>
      </c>
      <c r="K167" s="264">
        <f>VLOOKUP('Statistika okresy'!$B167,Body!$B$3:$AR$172,10,FALSE)</f>
        <v>1</v>
      </c>
      <c r="L167" s="264">
        <f>VLOOKUP('Statistika okresy'!$B167,Body!$B$3:$AR$172,11,FALSE)</f>
        <v>3</v>
      </c>
      <c r="M167" s="264">
        <f>VLOOKUP('Statistika okresy'!$B167,Body!$B$3:$AR$172,12,FALSE)</f>
        <v>2</v>
      </c>
      <c r="N167" s="264">
        <f>VLOOKUP('Statistika okresy'!$B167,Body!$B$3:$AR$172,13,FALSE)</f>
        <v>4</v>
      </c>
      <c r="O167" s="264">
        <f>VLOOKUP('Statistika okresy'!$B167,Body!$B$3:$AR$172,14,FALSE)</f>
        <v>5</v>
      </c>
      <c r="P167" s="264">
        <f>VLOOKUP('Statistika okresy'!$B167,Body!$B$3:$AR$172,15,FALSE)</f>
        <v>6</v>
      </c>
      <c r="Q167" s="264">
        <f>VLOOKUP('Statistika okresy'!$B167,Body!$B$3:$AR$172,16,FALSE)</f>
        <v>3</v>
      </c>
      <c r="R167" s="264">
        <f>VLOOKUP('Statistika okresy'!$B167,Body!$B$3:$AR$172,17,FALSE)</f>
        <v>3</v>
      </c>
      <c r="S167" s="264">
        <f>VLOOKUP('Statistika okresy'!$B167,Body!$B$3:$AR$172,18,FALSE)</f>
        <v>6</v>
      </c>
      <c r="T167" s="264">
        <f>VLOOKUP('Statistika okresy'!$B167,Body!$B$3:$AR$172,19,FALSE)</f>
        <v>6</v>
      </c>
      <c r="U167" s="264">
        <f>VLOOKUP('Statistika okresy'!$B167,Body!$B$3:$AR$172,20,FALSE)</f>
        <v>5</v>
      </c>
      <c r="V167" s="264">
        <f>VLOOKUP('Statistika okresy'!$B167,Body!$B$3:$AR$172,21,FALSE)</f>
        <v>6</v>
      </c>
      <c r="W167" s="264">
        <f>VLOOKUP('Statistika okresy'!$B167,Body!$B$3:$AR$172,22,FALSE)</f>
        <v>8</v>
      </c>
      <c r="X167" s="264">
        <f>VLOOKUP('Statistika okresy'!$B167,Body!$B$3:$AR$172,23,FALSE)</f>
        <v>5</v>
      </c>
      <c r="Y167" s="264">
        <f>VLOOKUP('Statistika okresy'!$B167,Body!$B$3:$AR$172,24,FALSE)</f>
        <v>5</v>
      </c>
      <c r="Z167" s="264">
        <f>VLOOKUP('Statistika okresy'!$B167,Body!$B$3:$AR$172,25,FALSE)</f>
        <v>10</v>
      </c>
      <c r="AA167" s="264">
        <f>VLOOKUP('Statistika okresy'!$B167,Body!$B$3:$AR$172,26,FALSE)</f>
        <v>10</v>
      </c>
      <c r="AB167" s="264">
        <f>VLOOKUP('Statistika okresy'!$B167,Body!$B$3:$AR$172,27,FALSE)</f>
        <v>10</v>
      </c>
      <c r="AC167" s="265">
        <f>VLOOKUP('Statistika okresy'!$B167,Body!$B$3:$AR$172,35,FALSE)</f>
        <v>16.000000000000014</v>
      </c>
      <c r="AD167" s="264">
        <f>VLOOKUP('Statistika okresy'!$B167,Body!$B$3:$AR$172,36,FALSE)</f>
        <v>23.365901693163188</v>
      </c>
      <c r="AE167" s="264">
        <f>VLOOKUP('Statistika okresy'!$B167,Body!$B$3:$AR$172,37,FALSE)</f>
        <v>22.330395924956097</v>
      </c>
      <c r="AF167" s="264">
        <f>VLOOKUP('Statistika okresy'!$B167,Body!$B$3:$AR$172,38,FALSE)</f>
        <v>52.967870116879773</v>
      </c>
      <c r="AG167" s="264">
        <f>VLOOKUP('Statistika okresy'!$B167,Body!$B$3:$AR$172,39,FALSE)</f>
        <v>56.057056531283742</v>
      </c>
      <c r="AH167" s="264">
        <f>VLOOKUP('Statistika okresy'!$B167,Body!$B$3:$AR$172,40,FALSE)</f>
        <v>76.333771810042961</v>
      </c>
      <c r="AI167" s="264">
        <f>VLOOKUP('Statistika okresy'!$B167,Body!$B$3:$AR$172,41,FALSE)</f>
        <v>78.387452456239842</v>
      </c>
      <c r="AJ167" s="390"/>
      <c r="AK167" s="407">
        <f>VLOOKUP('Statistika okresy'!$B167,Body!$B$3:$AR$172,43,FALSE)</f>
        <v>170.72122426628283</v>
      </c>
    </row>
    <row r="168" spans="1:37" ht="15.5" x14ac:dyDescent="0.35">
      <c r="A168" s="382">
        <v>4363</v>
      </c>
      <c r="B168" s="156" t="s">
        <v>115</v>
      </c>
      <c r="C168" s="352" t="s">
        <v>963</v>
      </c>
      <c r="D168" s="264">
        <f>VLOOKUP('Statistika okresy'!$B168,Body!$B$3:$AR$172,3,FALSE)</f>
        <v>5</v>
      </c>
      <c r="E168" s="264">
        <f>VLOOKUP('Statistika okresy'!$B168,Body!$B$3:$AR$172,4,FALSE)</f>
        <v>6</v>
      </c>
      <c r="F168" s="264">
        <f>VLOOKUP('Statistika okresy'!$B168,Body!$B$3:$AR$172,5,FALSE)</f>
        <v>4</v>
      </c>
      <c r="G168" s="264">
        <f>VLOOKUP('Statistika okresy'!$B168,Body!$B$3:$AR$172,6,FALSE)</f>
        <v>3</v>
      </c>
      <c r="H168" s="264">
        <f>VLOOKUP('Statistika okresy'!$B168,Body!$B$3:$AR$172,7,FALSE)</f>
        <v>2</v>
      </c>
      <c r="I168" s="264">
        <f>VLOOKUP('Statistika okresy'!$B168,Body!$B$3:$AR$172,8,FALSE)</f>
        <v>1</v>
      </c>
      <c r="J168" s="264">
        <f>VLOOKUP('Statistika okresy'!$B168,Body!$B$3:$AR$172,9,FALSE)</f>
        <v>1</v>
      </c>
      <c r="K168" s="264">
        <f>VLOOKUP('Statistika okresy'!$B168,Body!$B$3:$AR$172,10,FALSE)</f>
        <v>1</v>
      </c>
      <c r="L168" s="264">
        <f>VLOOKUP('Statistika okresy'!$B168,Body!$B$3:$AR$172,11,FALSE)</f>
        <v>4</v>
      </c>
      <c r="M168" s="264">
        <f>VLOOKUP('Statistika okresy'!$B168,Body!$B$3:$AR$172,12,FALSE)</f>
        <v>4</v>
      </c>
      <c r="N168" s="264">
        <f>VLOOKUP('Statistika okresy'!$B168,Body!$B$3:$AR$172,13,FALSE)</f>
        <v>6</v>
      </c>
      <c r="O168" s="264">
        <f>VLOOKUP('Statistika okresy'!$B168,Body!$B$3:$AR$172,14,FALSE)</f>
        <v>7</v>
      </c>
      <c r="P168" s="264">
        <f>VLOOKUP('Statistika okresy'!$B168,Body!$B$3:$AR$172,15,FALSE)</f>
        <v>3</v>
      </c>
      <c r="Q168" s="264">
        <f>VLOOKUP('Statistika okresy'!$B168,Body!$B$3:$AR$172,16,FALSE)</f>
        <v>4</v>
      </c>
      <c r="R168" s="264">
        <f>VLOOKUP('Statistika okresy'!$B168,Body!$B$3:$AR$172,17,FALSE)</f>
        <v>4</v>
      </c>
      <c r="S168" s="264">
        <f>VLOOKUP('Statistika okresy'!$B168,Body!$B$3:$AR$172,18,FALSE)</f>
        <v>8</v>
      </c>
      <c r="T168" s="264">
        <f>VLOOKUP('Statistika okresy'!$B168,Body!$B$3:$AR$172,19,FALSE)</f>
        <v>8</v>
      </c>
      <c r="U168" s="264">
        <f>VLOOKUP('Statistika okresy'!$B168,Body!$B$3:$AR$172,20,FALSE)</f>
        <v>5</v>
      </c>
      <c r="V168" s="264">
        <f>VLOOKUP('Statistika okresy'!$B168,Body!$B$3:$AR$172,21,FALSE)</f>
        <v>6</v>
      </c>
      <c r="W168" s="264">
        <f>VLOOKUP('Statistika okresy'!$B168,Body!$B$3:$AR$172,22,FALSE)</f>
        <v>6</v>
      </c>
      <c r="X168" s="264">
        <f>VLOOKUP('Statistika okresy'!$B168,Body!$B$3:$AR$172,23,FALSE)</f>
        <v>10</v>
      </c>
      <c r="Y168" s="264">
        <f>VLOOKUP('Statistika okresy'!$B168,Body!$B$3:$AR$172,24,FALSE)</f>
        <v>10</v>
      </c>
      <c r="Z168" s="264">
        <f>VLOOKUP('Statistika okresy'!$B168,Body!$B$3:$AR$172,25,FALSE)</f>
        <v>10</v>
      </c>
      <c r="AA168" s="264">
        <f>VLOOKUP('Statistika okresy'!$B168,Body!$B$3:$AR$172,26,FALSE)</f>
        <v>1</v>
      </c>
      <c r="AB168" s="264">
        <f>VLOOKUP('Statistika okresy'!$B168,Body!$B$3:$AR$172,27,FALSE)</f>
        <v>5</v>
      </c>
      <c r="AC168" s="265">
        <f>VLOOKUP('Statistika okresy'!$B168,Body!$B$3:$AR$172,35,FALSE)</f>
        <v>2.6666666666666687</v>
      </c>
      <c r="AD168" s="264">
        <f>VLOOKUP('Statistika okresy'!$B168,Body!$B$3:$AR$172,36,FALSE)</f>
        <v>24.418837831012173</v>
      </c>
      <c r="AE168" s="264">
        <f>VLOOKUP('Statistika okresy'!$B168,Body!$B$3:$AR$172,37,FALSE)</f>
        <v>23.456895392398675</v>
      </c>
      <c r="AF168" s="264">
        <f>VLOOKUP('Statistika okresy'!$B168,Body!$B$3:$AR$172,38,FALSE)</f>
        <v>66.783773508752944</v>
      </c>
      <c r="AG168" s="264">
        <f>VLOOKUP('Statistika okresy'!$B168,Body!$B$3:$AR$172,39,FALSE)</f>
        <v>66.783773508752944</v>
      </c>
      <c r="AH168" s="264">
        <f>VLOOKUP('Statistika okresy'!$B168,Body!$B$3:$AR$172,40,FALSE)</f>
        <v>91.202611339765113</v>
      </c>
      <c r="AI168" s="264">
        <f>VLOOKUP('Statistika okresy'!$B168,Body!$B$3:$AR$172,41,FALSE)</f>
        <v>90.240668901151622</v>
      </c>
      <c r="AJ168" s="390"/>
      <c r="AK168" s="407">
        <f>VLOOKUP('Statistika okresy'!$B168,Body!$B$3:$AR$172,43,FALSE)</f>
        <v>184.10994690758341</v>
      </c>
    </row>
    <row r="169" spans="1:37" ht="15.5" x14ac:dyDescent="0.35">
      <c r="A169" s="382">
        <v>4366</v>
      </c>
      <c r="B169" s="156" t="s">
        <v>113</v>
      </c>
      <c r="C169" s="352" t="s">
        <v>963</v>
      </c>
      <c r="D169" s="264">
        <f>VLOOKUP('Statistika okresy'!$B169,Body!$B$3:$AR$172,3,FALSE)</f>
        <v>4</v>
      </c>
      <c r="E169" s="264">
        <f>VLOOKUP('Statistika okresy'!$B169,Body!$B$3:$AR$172,4,FALSE)</f>
        <v>5</v>
      </c>
      <c r="F169" s="264">
        <f>VLOOKUP('Statistika okresy'!$B169,Body!$B$3:$AR$172,5,FALSE)</f>
        <v>4</v>
      </c>
      <c r="G169" s="264">
        <f>VLOOKUP('Statistika okresy'!$B169,Body!$B$3:$AR$172,6,FALSE)</f>
        <v>3</v>
      </c>
      <c r="H169" s="264">
        <f>VLOOKUP('Statistika okresy'!$B169,Body!$B$3:$AR$172,7,FALSE)</f>
        <v>1</v>
      </c>
      <c r="I169" s="264">
        <f>VLOOKUP('Statistika okresy'!$B169,Body!$B$3:$AR$172,8,FALSE)</f>
        <v>1</v>
      </c>
      <c r="J169" s="264">
        <f>VLOOKUP('Statistika okresy'!$B169,Body!$B$3:$AR$172,9,FALSE)</f>
        <v>5</v>
      </c>
      <c r="K169" s="264">
        <f>VLOOKUP('Statistika okresy'!$B169,Body!$B$3:$AR$172,10,FALSE)</f>
        <v>2</v>
      </c>
      <c r="L169" s="264">
        <f>VLOOKUP('Statistika okresy'!$B169,Body!$B$3:$AR$172,11,FALSE)</f>
        <v>6</v>
      </c>
      <c r="M169" s="264">
        <f>VLOOKUP('Statistika okresy'!$B169,Body!$B$3:$AR$172,12,FALSE)</f>
        <v>7</v>
      </c>
      <c r="N169" s="264">
        <f>VLOOKUP('Statistika okresy'!$B169,Body!$B$3:$AR$172,13,FALSE)</f>
        <v>6</v>
      </c>
      <c r="O169" s="264">
        <f>VLOOKUP('Statistika okresy'!$B169,Body!$B$3:$AR$172,14,FALSE)</f>
        <v>7</v>
      </c>
      <c r="P169" s="264">
        <f>VLOOKUP('Statistika okresy'!$B169,Body!$B$3:$AR$172,15,FALSE)</f>
        <v>5</v>
      </c>
      <c r="Q169" s="264">
        <f>VLOOKUP('Statistika okresy'!$B169,Body!$B$3:$AR$172,16,FALSE)</f>
        <v>3</v>
      </c>
      <c r="R169" s="264">
        <f>VLOOKUP('Statistika okresy'!$B169,Body!$B$3:$AR$172,17,FALSE)</f>
        <v>3</v>
      </c>
      <c r="S169" s="264">
        <f>VLOOKUP('Statistika okresy'!$B169,Body!$B$3:$AR$172,18,FALSE)</f>
        <v>7</v>
      </c>
      <c r="T169" s="264">
        <f>VLOOKUP('Statistika okresy'!$B169,Body!$B$3:$AR$172,19,FALSE)</f>
        <v>6</v>
      </c>
      <c r="U169" s="264">
        <f>VLOOKUP('Statistika okresy'!$B169,Body!$B$3:$AR$172,20,FALSE)</f>
        <v>5</v>
      </c>
      <c r="V169" s="264">
        <f>VLOOKUP('Statistika okresy'!$B169,Body!$B$3:$AR$172,21,FALSE)</f>
        <v>6</v>
      </c>
      <c r="W169" s="264">
        <f>VLOOKUP('Statistika okresy'!$B169,Body!$B$3:$AR$172,22,FALSE)</f>
        <v>7</v>
      </c>
      <c r="X169" s="264">
        <f>VLOOKUP('Statistika okresy'!$B169,Body!$B$3:$AR$172,23,FALSE)</f>
        <v>5</v>
      </c>
      <c r="Y169" s="264">
        <f>VLOOKUP('Statistika okresy'!$B169,Body!$B$3:$AR$172,24,FALSE)</f>
        <v>5</v>
      </c>
      <c r="Z169" s="264">
        <f>VLOOKUP('Statistika okresy'!$B169,Body!$B$3:$AR$172,25,FALSE)</f>
        <v>10</v>
      </c>
      <c r="AA169" s="264">
        <f>VLOOKUP('Statistika okresy'!$B169,Body!$B$3:$AR$172,26,FALSE)</f>
        <v>10</v>
      </c>
      <c r="AB169" s="264">
        <f>VLOOKUP('Statistika okresy'!$B169,Body!$B$3:$AR$172,27,FALSE)</f>
        <v>5</v>
      </c>
      <c r="AC169" s="265">
        <f>VLOOKUP('Statistika okresy'!$B169,Body!$B$3:$AR$172,35,FALSE)</f>
        <v>14.666666666666682</v>
      </c>
      <c r="AD169" s="264">
        <f>VLOOKUP('Statistika okresy'!$B169,Body!$B$3:$AR$172,36,FALSE)</f>
        <v>26.318506965469023</v>
      </c>
      <c r="AE169" s="264">
        <f>VLOOKUP('Statistika okresy'!$B169,Body!$B$3:$AR$172,37,FALSE)</f>
        <v>25.649568716360086</v>
      </c>
      <c r="AF169" s="264">
        <f>VLOOKUP('Statistika okresy'!$B169,Body!$B$3:$AR$172,38,FALSE)</f>
        <v>56.881494073955757</v>
      </c>
      <c r="AG169" s="264">
        <f>VLOOKUP('Statistika okresy'!$B169,Body!$B$3:$AR$172,39,FALSE)</f>
        <v>54.512463324081757</v>
      </c>
      <c r="AH169" s="264">
        <f>VLOOKUP('Statistika okresy'!$B169,Body!$B$3:$AR$172,40,FALSE)</f>
        <v>83.200001039424777</v>
      </c>
      <c r="AI169" s="264">
        <f>VLOOKUP('Statistika okresy'!$B169,Body!$B$3:$AR$172,41,FALSE)</f>
        <v>80.162032040441844</v>
      </c>
      <c r="AJ169" s="390"/>
      <c r="AK169" s="407">
        <f>VLOOKUP('Statistika okresy'!$B169,Body!$B$3:$AR$172,43,FALSE)</f>
        <v>178.02869974653331</v>
      </c>
    </row>
    <row r="170" spans="1:37" ht="15.5" x14ac:dyDescent="0.35">
      <c r="A170" s="382">
        <v>4369</v>
      </c>
      <c r="B170" s="156" t="s">
        <v>109</v>
      </c>
      <c r="C170" s="352" t="s">
        <v>963</v>
      </c>
      <c r="D170" s="264">
        <f>VLOOKUP('Statistika okresy'!$B170,Body!$B$3:$AR$172,3,FALSE)</f>
        <v>5</v>
      </c>
      <c r="E170" s="264">
        <f>VLOOKUP('Statistika okresy'!$B170,Body!$B$3:$AR$172,4,FALSE)</f>
        <v>5</v>
      </c>
      <c r="F170" s="264">
        <f>VLOOKUP('Statistika okresy'!$B170,Body!$B$3:$AR$172,5,FALSE)</f>
        <v>10</v>
      </c>
      <c r="G170" s="264">
        <f>VLOOKUP('Statistika okresy'!$B170,Body!$B$3:$AR$172,6,FALSE)</f>
        <v>7</v>
      </c>
      <c r="H170" s="264">
        <f>VLOOKUP('Statistika okresy'!$B170,Body!$B$3:$AR$172,7,FALSE)</f>
        <v>1</v>
      </c>
      <c r="I170" s="264">
        <f>VLOOKUP('Statistika okresy'!$B170,Body!$B$3:$AR$172,8,FALSE)</f>
        <v>6</v>
      </c>
      <c r="J170" s="264">
        <f>VLOOKUP('Statistika okresy'!$B170,Body!$B$3:$AR$172,9,FALSE)</f>
        <v>1</v>
      </c>
      <c r="K170" s="264">
        <f>VLOOKUP('Statistika okresy'!$B170,Body!$B$3:$AR$172,10,FALSE)</f>
        <v>2</v>
      </c>
      <c r="L170" s="264">
        <f>VLOOKUP('Statistika okresy'!$B170,Body!$B$3:$AR$172,11,FALSE)</f>
        <v>7</v>
      </c>
      <c r="M170" s="264">
        <f>VLOOKUP('Statistika okresy'!$B170,Body!$B$3:$AR$172,12,FALSE)</f>
        <v>6</v>
      </c>
      <c r="N170" s="264">
        <f>VLOOKUP('Statistika okresy'!$B170,Body!$B$3:$AR$172,13,FALSE)</f>
        <v>4</v>
      </c>
      <c r="O170" s="264">
        <f>VLOOKUP('Statistika okresy'!$B170,Body!$B$3:$AR$172,14,FALSE)</f>
        <v>5</v>
      </c>
      <c r="P170" s="264">
        <f>VLOOKUP('Statistika okresy'!$B170,Body!$B$3:$AR$172,15,FALSE)</f>
        <v>10</v>
      </c>
      <c r="Q170" s="264">
        <f>VLOOKUP('Statistika okresy'!$B170,Body!$B$3:$AR$172,16,FALSE)</f>
        <v>3</v>
      </c>
      <c r="R170" s="264">
        <f>VLOOKUP('Statistika okresy'!$B170,Body!$B$3:$AR$172,17,FALSE)</f>
        <v>7</v>
      </c>
      <c r="S170" s="264">
        <f>VLOOKUP('Statistika okresy'!$B170,Body!$B$3:$AR$172,18,FALSE)</f>
        <v>7</v>
      </c>
      <c r="T170" s="264">
        <f>VLOOKUP('Statistika okresy'!$B170,Body!$B$3:$AR$172,19,FALSE)</f>
        <v>10</v>
      </c>
      <c r="U170" s="264">
        <f>VLOOKUP('Statistika okresy'!$B170,Body!$B$3:$AR$172,20,FALSE)</f>
        <v>5</v>
      </c>
      <c r="V170" s="264">
        <f>VLOOKUP('Statistika okresy'!$B170,Body!$B$3:$AR$172,21,FALSE)</f>
        <v>6</v>
      </c>
      <c r="W170" s="264">
        <f>VLOOKUP('Statistika okresy'!$B170,Body!$B$3:$AR$172,22,FALSE)</f>
        <v>9</v>
      </c>
      <c r="X170" s="264">
        <f>VLOOKUP('Statistika okresy'!$B170,Body!$B$3:$AR$172,23,FALSE)</f>
        <v>9</v>
      </c>
      <c r="Y170" s="264">
        <f>VLOOKUP('Statistika okresy'!$B170,Body!$B$3:$AR$172,24,FALSE)</f>
        <v>10</v>
      </c>
      <c r="Z170" s="264">
        <f>VLOOKUP('Statistika okresy'!$B170,Body!$B$3:$AR$172,25,FALSE)</f>
        <v>10</v>
      </c>
      <c r="AA170" s="264">
        <f>VLOOKUP('Statistika okresy'!$B170,Body!$B$3:$AR$172,26,FALSE)</f>
        <v>1</v>
      </c>
      <c r="AB170" s="264">
        <f>VLOOKUP('Statistika okresy'!$B170,Body!$B$3:$AR$172,27,FALSE)</f>
        <v>10</v>
      </c>
      <c r="AC170" s="265">
        <f>VLOOKUP('Statistika okresy'!$B170,Body!$B$3:$AR$172,35,FALSE)</f>
        <v>4.0000000000000036</v>
      </c>
      <c r="AD170" s="264">
        <f>VLOOKUP('Statistika okresy'!$B170,Body!$B$3:$AR$172,36,FALSE)</f>
        <v>40.147801085853686</v>
      </c>
      <c r="AE170" s="264">
        <f>VLOOKUP('Statistika okresy'!$B170,Body!$B$3:$AR$172,37,FALSE)</f>
        <v>40.840038010350597</v>
      </c>
      <c r="AF170" s="264">
        <f>VLOOKUP('Statistika okresy'!$B170,Body!$B$3:$AR$172,38,FALSE)</f>
        <v>62.131093016600801</v>
      </c>
      <c r="AG170" s="264">
        <f>VLOOKUP('Statistika okresy'!$B170,Body!$B$3:$AR$172,39,FALSE)</f>
        <v>78.505744509434734</v>
      </c>
      <c r="AH170" s="264">
        <f>VLOOKUP('Statistika okresy'!$B170,Body!$B$3:$AR$172,40,FALSE)</f>
        <v>102.27889410245449</v>
      </c>
      <c r="AI170" s="264">
        <f>VLOOKUP('Statistika okresy'!$B170,Body!$B$3:$AR$172,41,FALSE)</f>
        <v>119.34578251978533</v>
      </c>
      <c r="AJ170" s="390"/>
      <c r="AK170" s="407">
        <f>VLOOKUP('Statistika okresy'!$B170,Body!$B$3:$AR$172,43,FALSE)</f>
        <v>225.6246766222398</v>
      </c>
    </row>
    <row r="171" spans="1:37" ht="15.5" x14ac:dyDescent="0.35">
      <c r="A171" s="382">
        <v>4372</v>
      </c>
      <c r="B171" s="156" t="s">
        <v>548</v>
      </c>
      <c r="C171" s="352" t="s">
        <v>963</v>
      </c>
      <c r="D171" s="264">
        <f>VLOOKUP('Statistika okresy'!$B171,Body!$B$3:$AR$172,3,FALSE)</f>
        <v>3</v>
      </c>
      <c r="E171" s="264">
        <f>VLOOKUP('Statistika okresy'!$B171,Body!$B$3:$AR$172,4,FALSE)</f>
        <v>3</v>
      </c>
      <c r="F171" s="264">
        <f>VLOOKUP('Statistika okresy'!$B171,Body!$B$3:$AR$172,5,FALSE)</f>
        <v>9</v>
      </c>
      <c r="G171" s="264">
        <f>VLOOKUP('Statistika okresy'!$B171,Body!$B$3:$AR$172,6,FALSE)</f>
        <v>6</v>
      </c>
      <c r="H171" s="264">
        <f>VLOOKUP('Statistika okresy'!$B171,Body!$B$3:$AR$172,7,FALSE)</f>
        <v>1</v>
      </c>
      <c r="I171" s="264">
        <f>VLOOKUP('Statistika okresy'!$B171,Body!$B$3:$AR$172,8,FALSE)</f>
        <v>1</v>
      </c>
      <c r="J171" s="264">
        <f>VLOOKUP('Statistika okresy'!$B171,Body!$B$3:$AR$172,9,FALSE)</f>
        <v>2</v>
      </c>
      <c r="K171" s="264">
        <f>VLOOKUP('Statistika okresy'!$B171,Body!$B$3:$AR$172,10,FALSE)</f>
        <v>1</v>
      </c>
      <c r="L171" s="264">
        <f>VLOOKUP('Statistika okresy'!$B171,Body!$B$3:$AR$172,11,FALSE)</f>
        <v>7</v>
      </c>
      <c r="M171" s="264">
        <f>VLOOKUP('Statistika okresy'!$B171,Body!$B$3:$AR$172,12,FALSE)</f>
        <v>6</v>
      </c>
      <c r="N171" s="264">
        <f>VLOOKUP('Statistika okresy'!$B171,Body!$B$3:$AR$172,13,FALSE)</f>
        <v>2</v>
      </c>
      <c r="O171" s="264">
        <f>VLOOKUP('Statistika okresy'!$B171,Body!$B$3:$AR$172,14,FALSE)</f>
        <v>3</v>
      </c>
      <c r="P171" s="264">
        <f>VLOOKUP('Statistika okresy'!$B171,Body!$B$3:$AR$172,15,FALSE)</f>
        <v>6</v>
      </c>
      <c r="Q171" s="264">
        <f>VLOOKUP('Statistika okresy'!$B171,Body!$B$3:$AR$172,16,FALSE)</f>
        <v>4</v>
      </c>
      <c r="R171" s="264">
        <f>VLOOKUP('Statistika okresy'!$B171,Body!$B$3:$AR$172,17,FALSE)</f>
        <v>5</v>
      </c>
      <c r="S171" s="264">
        <f>VLOOKUP('Statistika okresy'!$B171,Body!$B$3:$AR$172,18,FALSE)</f>
        <v>10</v>
      </c>
      <c r="T171" s="264">
        <f>VLOOKUP('Statistika okresy'!$B171,Body!$B$3:$AR$172,19,FALSE)</f>
        <v>9</v>
      </c>
      <c r="U171" s="264">
        <f>VLOOKUP('Statistika okresy'!$B171,Body!$B$3:$AR$172,20,FALSE)</f>
        <v>5</v>
      </c>
      <c r="V171" s="264">
        <f>VLOOKUP('Statistika okresy'!$B171,Body!$B$3:$AR$172,21,FALSE)</f>
        <v>6</v>
      </c>
      <c r="W171" s="264">
        <f>VLOOKUP('Statistika okresy'!$B171,Body!$B$3:$AR$172,22,FALSE)</f>
        <v>6</v>
      </c>
      <c r="X171" s="264">
        <f>VLOOKUP('Statistika okresy'!$B171,Body!$B$3:$AR$172,23,FALSE)</f>
        <v>10</v>
      </c>
      <c r="Y171" s="264">
        <f>VLOOKUP('Statistika okresy'!$B171,Body!$B$3:$AR$172,24,FALSE)</f>
        <v>10</v>
      </c>
      <c r="Z171" s="264">
        <f>VLOOKUP('Statistika okresy'!$B171,Body!$B$3:$AR$172,25,FALSE)</f>
        <v>10</v>
      </c>
      <c r="AA171" s="264">
        <f>VLOOKUP('Statistika okresy'!$B171,Body!$B$3:$AR$172,26,FALSE)</f>
        <v>3</v>
      </c>
      <c r="AB171" s="264">
        <f>VLOOKUP('Statistika okresy'!$B171,Body!$B$3:$AR$172,27,FALSE)</f>
        <v>5</v>
      </c>
      <c r="AC171" s="265">
        <f>VLOOKUP('Statistika okresy'!$B171,Body!$B$3:$AR$172,35,FALSE)</f>
        <v>5.3333333333333375</v>
      </c>
      <c r="AD171" s="264">
        <f>VLOOKUP('Statistika okresy'!$B171,Body!$B$3:$AR$172,36,FALSE)</f>
        <v>34.206513089451661</v>
      </c>
      <c r="AE171" s="264">
        <f>VLOOKUP('Statistika okresy'!$B171,Body!$B$3:$AR$172,37,FALSE)</f>
        <v>29.757650148838909</v>
      </c>
      <c r="AF171" s="264">
        <f>VLOOKUP('Statistika okresy'!$B171,Body!$B$3:$AR$172,38,FALSE)</f>
        <v>74.611021422904926</v>
      </c>
      <c r="AG171" s="264">
        <f>VLOOKUP('Statistika okresy'!$B171,Body!$B$3:$AR$172,39,FALSE)</f>
        <v>70.697397465828928</v>
      </c>
      <c r="AH171" s="264">
        <f>VLOOKUP('Statistika okresy'!$B171,Body!$B$3:$AR$172,40,FALSE)</f>
        <v>108.81753451235659</v>
      </c>
      <c r="AI171" s="264">
        <f>VLOOKUP('Statistika okresy'!$B171,Body!$B$3:$AR$172,41,FALSE)</f>
        <v>100.45504761466783</v>
      </c>
      <c r="AJ171" s="390"/>
      <c r="AK171" s="407">
        <f>VLOOKUP('Statistika okresy'!$B171,Body!$B$3:$AR$172,43,FALSE)</f>
        <v>214.60591546035775</v>
      </c>
    </row>
    <row r="172" spans="1:37" ht="15.5" x14ac:dyDescent="0.35">
      <c r="A172" s="382">
        <v>4375</v>
      </c>
      <c r="B172" s="156" t="s">
        <v>121</v>
      </c>
      <c r="C172" s="352" t="s">
        <v>963</v>
      </c>
      <c r="D172" s="264">
        <f>VLOOKUP('Statistika okresy'!$B172,Body!$B$3:$AR$172,3,FALSE)</f>
        <v>6</v>
      </c>
      <c r="E172" s="264">
        <f>VLOOKUP('Statistika okresy'!$B172,Body!$B$3:$AR$172,4,FALSE)</f>
        <v>7</v>
      </c>
      <c r="F172" s="264">
        <f>VLOOKUP('Statistika okresy'!$B172,Body!$B$3:$AR$172,5,FALSE)</f>
        <v>5</v>
      </c>
      <c r="G172" s="264">
        <f>VLOOKUP('Statistika okresy'!$B172,Body!$B$3:$AR$172,6,FALSE)</f>
        <v>3</v>
      </c>
      <c r="H172" s="264">
        <f>VLOOKUP('Statistika okresy'!$B172,Body!$B$3:$AR$172,7,FALSE)</f>
        <v>1</v>
      </c>
      <c r="I172" s="264">
        <f>VLOOKUP('Statistika okresy'!$B172,Body!$B$3:$AR$172,8,FALSE)</f>
        <v>1</v>
      </c>
      <c r="J172" s="264">
        <f>VLOOKUP('Statistika okresy'!$B172,Body!$B$3:$AR$172,9,FALSE)</f>
        <v>2</v>
      </c>
      <c r="K172" s="264">
        <f>VLOOKUP('Statistika okresy'!$B172,Body!$B$3:$AR$172,10,FALSE)</f>
        <v>1</v>
      </c>
      <c r="L172" s="264">
        <f>VLOOKUP('Statistika okresy'!$B172,Body!$B$3:$AR$172,11,FALSE)</f>
        <v>4</v>
      </c>
      <c r="M172" s="264">
        <f>VLOOKUP('Statistika okresy'!$B172,Body!$B$3:$AR$172,12,FALSE)</f>
        <v>4</v>
      </c>
      <c r="N172" s="264">
        <f>VLOOKUP('Statistika okresy'!$B172,Body!$B$3:$AR$172,13,FALSE)</f>
        <v>6</v>
      </c>
      <c r="O172" s="264">
        <f>VLOOKUP('Statistika okresy'!$B172,Body!$B$3:$AR$172,14,FALSE)</f>
        <v>7</v>
      </c>
      <c r="P172" s="264">
        <f>VLOOKUP('Statistika okresy'!$B172,Body!$B$3:$AR$172,15,FALSE)</f>
        <v>6</v>
      </c>
      <c r="Q172" s="264">
        <f>VLOOKUP('Statistika okresy'!$B172,Body!$B$3:$AR$172,16,FALSE)</f>
        <v>2</v>
      </c>
      <c r="R172" s="264">
        <f>VLOOKUP('Statistika okresy'!$B172,Body!$B$3:$AR$172,17,FALSE)</f>
        <v>2</v>
      </c>
      <c r="S172" s="264">
        <f>VLOOKUP('Statistika okresy'!$B172,Body!$B$3:$AR$172,18,FALSE)</f>
        <v>4</v>
      </c>
      <c r="T172" s="264">
        <f>VLOOKUP('Statistika okresy'!$B172,Body!$B$3:$AR$172,19,FALSE)</f>
        <v>4</v>
      </c>
      <c r="U172" s="264">
        <f>VLOOKUP('Statistika okresy'!$B172,Body!$B$3:$AR$172,20,FALSE)</f>
        <v>5</v>
      </c>
      <c r="V172" s="264">
        <f>VLOOKUP('Statistika okresy'!$B172,Body!$B$3:$AR$172,21,FALSE)</f>
        <v>6</v>
      </c>
      <c r="W172" s="264">
        <f>VLOOKUP('Statistika okresy'!$B172,Body!$B$3:$AR$172,22,FALSE)</f>
        <v>7</v>
      </c>
      <c r="X172" s="264">
        <f>VLOOKUP('Statistika okresy'!$B172,Body!$B$3:$AR$172,23,FALSE)</f>
        <v>9</v>
      </c>
      <c r="Y172" s="264">
        <f>VLOOKUP('Statistika okresy'!$B172,Body!$B$3:$AR$172,24,FALSE)</f>
        <v>8</v>
      </c>
      <c r="Z172" s="264">
        <f>VLOOKUP('Statistika okresy'!$B172,Body!$B$3:$AR$172,25,FALSE)</f>
        <v>10</v>
      </c>
      <c r="AA172" s="264">
        <f>VLOOKUP('Statistika okresy'!$B172,Body!$B$3:$AR$172,26,FALSE)</f>
        <v>10</v>
      </c>
      <c r="AB172" s="264">
        <f>VLOOKUP('Statistika okresy'!$B172,Body!$B$3:$AR$172,27,FALSE)</f>
        <v>5</v>
      </c>
      <c r="AC172" s="265">
        <f>VLOOKUP('Statistika okresy'!$B172,Body!$B$3:$AR$172,35,FALSE)</f>
        <v>14.666666666666682</v>
      </c>
      <c r="AD172" s="264">
        <f>VLOOKUP('Statistika okresy'!$B172,Body!$B$3:$AR$172,36,FALSE)</f>
        <v>26.580797933065117</v>
      </c>
      <c r="AE172" s="264">
        <f>VLOOKUP('Statistika okresy'!$B172,Body!$B$3:$AR$172,37,FALSE)</f>
        <v>23.782011871563189</v>
      </c>
      <c r="AF172" s="264">
        <f>VLOOKUP('Statistika okresy'!$B172,Body!$B$3:$AR$172,38,FALSE)</f>
        <v>49.472872024436654</v>
      </c>
      <c r="AG172" s="264">
        <f>VLOOKUP('Statistika okresy'!$B172,Body!$B$3:$AR$172,39,FALSE)</f>
        <v>51.017465231638639</v>
      </c>
      <c r="AH172" s="264">
        <f>VLOOKUP('Statistika okresy'!$B172,Body!$B$3:$AR$172,40,FALSE)</f>
        <v>76.053669957501768</v>
      </c>
      <c r="AI172" s="264">
        <f>VLOOKUP('Statistika okresy'!$B172,Body!$B$3:$AR$172,41,FALSE)</f>
        <v>74.799477103201824</v>
      </c>
      <c r="AJ172" s="390"/>
      <c r="AK172" s="407">
        <f>VLOOKUP('Statistika okresy'!$B172,Body!$B$3:$AR$172,43,FALSE)</f>
        <v>165.51981372737026</v>
      </c>
    </row>
    <row r="173" spans="1:37" ht="16" thickBot="1" x14ac:dyDescent="0.4">
      <c r="A173" s="383">
        <v>4378</v>
      </c>
      <c r="B173" s="384" t="s">
        <v>547</v>
      </c>
      <c r="C173" s="397" t="s">
        <v>963</v>
      </c>
      <c r="D173" s="264">
        <f>VLOOKUP('Statistika okresy'!$B173,Body!$B$3:$AR$172,3,FALSE)</f>
        <v>7</v>
      </c>
      <c r="E173" s="264">
        <f>VLOOKUP('Statistika okresy'!$B173,Body!$B$3:$AR$172,4,FALSE)</f>
        <v>6</v>
      </c>
      <c r="F173" s="264">
        <f>VLOOKUP('Statistika okresy'!$B173,Body!$B$3:$AR$172,5,FALSE)</f>
        <v>4</v>
      </c>
      <c r="G173" s="264">
        <f>VLOOKUP('Statistika okresy'!$B173,Body!$B$3:$AR$172,6,FALSE)</f>
        <v>4</v>
      </c>
      <c r="H173" s="264">
        <f>VLOOKUP('Statistika okresy'!$B173,Body!$B$3:$AR$172,7,FALSE)</f>
        <v>1</v>
      </c>
      <c r="I173" s="264">
        <f>VLOOKUP('Statistika okresy'!$B173,Body!$B$3:$AR$172,8,FALSE)</f>
        <v>1</v>
      </c>
      <c r="J173" s="264">
        <f>VLOOKUP('Statistika okresy'!$B173,Body!$B$3:$AR$172,9,FALSE)</f>
        <v>1</v>
      </c>
      <c r="K173" s="264">
        <f>VLOOKUP('Statistika okresy'!$B173,Body!$B$3:$AR$172,10,FALSE)</f>
        <v>1</v>
      </c>
      <c r="L173" s="264">
        <f>VLOOKUP('Statistika okresy'!$B173,Body!$B$3:$AR$172,11,FALSE)</f>
        <v>8</v>
      </c>
      <c r="M173" s="264">
        <f>VLOOKUP('Statistika okresy'!$B173,Body!$B$3:$AR$172,12,FALSE)</f>
        <v>7</v>
      </c>
      <c r="N173" s="264">
        <f>VLOOKUP('Statistika okresy'!$B173,Body!$B$3:$AR$172,13,FALSE)</f>
        <v>7</v>
      </c>
      <c r="O173" s="264">
        <f>VLOOKUP('Statistika okresy'!$B173,Body!$B$3:$AR$172,14,FALSE)</f>
        <v>6</v>
      </c>
      <c r="P173" s="264">
        <f>VLOOKUP('Statistika okresy'!$B173,Body!$B$3:$AR$172,15,FALSE)</f>
        <v>5</v>
      </c>
      <c r="Q173" s="264">
        <f>VLOOKUP('Statistika okresy'!$B173,Body!$B$3:$AR$172,16,FALSE)</f>
        <v>4</v>
      </c>
      <c r="R173" s="264">
        <f>VLOOKUP('Statistika okresy'!$B173,Body!$B$3:$AR$172,17,FALSE)</f>
        <v>5</v>
      </c>
      <c r="S173" s="264">
        <f>VLOOKUP('Statistika okresy'!$B173,Body!$B$3:$AR$172,18,FALSE)</f>
        <v>10</v>
      </c>
      <c r="T173" s="264">
        <f>VLOOKUP('Statistika okresy'!$B173,Body!$B$3:$AR$172,19,FALSE)</f>
        <v>9</v>
      </c>
      <c r="U173" s="264">
        <f>VLOOKUP('Statistika okresy'!$B173,Body!$B$3:$AR$172,20,FALSE)</f>
        <v>5</v>
      </c>
      <c r="V173" s="264">
        <f>VLOOKUP('Statistika okresy'!$B173,Body!$B$3:$AR$172,21,FALSE)</f>
        <v>6</v>
      </c>
      <c r="W173" s="264">
        <f>VLOOKUP('Statistika okresy'!$B173,Body!$B$3:$AR$172,22,FALSE)</f>
        <v>7</v>
      </c>
      <c r="X173" s="264">
        <f>VLOOKUP('Statistika okresy'!$B173,Body!$B$3:$AR$172,23,FALSE)</f>
        <v>10</v>
      </c>
      <c r="Y173" s="264">
        <f>VLOOKUP('Statistika okresy'!$B173,Body!$B$3:$AR$172,24,FALSE)</f>
        <v>10</v>
      </c>
      <c r="Z173" s="264">
        <f>VLOOKUP('Statistika okresy'!$B173,Body!$B$3:$AR$172,25,FALSE)</f>
        <v>10</v>
      </c>
      <c r="AA173" s="264">
        <f>VLOOKUP('Statistika okresy'!$B173,Body!$B$3:$AR$172,26,FALSE)</f>
        <v>3</v>
      </c>
      <c r="AB173" s="264">
        <f>VLOOKUP('Statistika okresy'!$B173,Body!$B$3:$AR$172,27,FALSE)</f>
        <v>5</v>
      </c>
      <c r="AC173" s="265">
        <f>VLOOKUP('Statistika okresy'!$B173,Body!$B$3:$AR$172,35,FALSE)</f>
        <v>5.3333333333333375</v>
      </c>
      <c r="AD173" s="264">
        <f>VLOOKUP('Statistika okresy'!$B173,Body!$B$3:$AR$172,36,FALSE)</f>
        <v>29.852363964892049</v>
      </c>
      <c r="AE173" s="264">
        <f>VLOOKUP('Statistika okresy'!$B173,Body!$B$3:$AR$172,37,FALSE)</f>
        <v>29.273566246199042</v>
      </c>
      <c r="AF173" s="264">
        <f>VLOOKUP('Statistika okresy'!$B173,Body!$B$3:$AR$172,38,FALSE)</f>
        <v>74.611021422904926</v>
      </c>
      <c r="AG173" s="264">
        <f>VLOOKUP('Statistika okresy'!$B173,Body!$B$3:$AR$172,39,FALSE)</f>
        <v>72.241990673030912</v>
      </c>
      <c r="AH173" s="264">
        <f>VLOOKUP('Statistika okresy'!$B173,Body!$B$3:$AR$172,40,FALSE)</f>
        <v>104.46338538779698</v>
      </c>
      <c r="AI173" s="264">
        <f>VLOOKUP('Statistika okresy'!$B173,Body!$B$3:$AR$172,41,FALSE)</f>
        <v>101.51555691922995</v>
      </c>
      <c r="AJ173" s="389"/>
      <c r="AK173" s="407">
        <f>VLOOKUP('Statistika okresy'!$B173,Body!$B$3:$AR$172,43,FALSE)</f>
        <v>211.31227564036027</v>
      </c>
    </row>
  </sheetData>
  <mergeCells count="1">
    <mergeCell ref="A2:B4"/>
  </mergeCells>
  <conditionalFormatting sqref="D7:R173 AF7:AG173">
    <cfRule type="containsText" dxfId="54" priority="41" operator="containsText" text=" ">
      <formula>NOT(ISERROR(SEARCH(" ",D7)))</formula>
    </cfRule>
    <cfRule type="containsText" dxfId="53" priority="42" operator="containsText" text="&quot; &quot;">
      <formula>NOT(ISERROR(SEARCH(""" """,D7)))</formula>
    </cfRule>
    <cfRule type="cellIs" dxfId="52" priority="43" operator="equal">
      <formula>""" """</formula>
    </cfRule>
  </conditionalFormatting>
  <conditionalFormatting sqref="D7:Z173 AD7:AJ173">
    <cfRule type="containsText" dxfId="51" priority="44" operator="containsText" text=" ">
      <formula>NOT(ISERROR(SEARCH(" ",D7)))</formula>
    </cfRule>
  </conditionalFormatting>
  <conditionalFormatting sqref="D2:D4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:E4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2:F4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4">
      <colorScale>
        <cfvo type="min"/>
        <cfvo type="max"/>
        <color rgb="FFFF7128"/>
        <color rgb="FFFFEF9C"/>
      </colorScale>
    </cfRule>
  </conditionalFormatting>
  <conditionalFormatting sqref="G2:G4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6">
      <colorScale>
        <cfvo type="min"/>
        <cfvo type="max"/>
        <color rgb="FFFF7128"/>
        <color rgb="FFFFEF9C"/>
      </colorScale>
    </cfRule>
    <cfRule type="colorScale" priority="37">
      <colorScale>
        <cfvo type="min"/>
        <cfvo type="max"/>
        <color rgb="FFFFFF00"/>
        <color rgb="FFFF0000"/>
      </colorScale>
    </cfRule>
  </conditionalFormatting>
  <conditionalFormatting sqref="H2:J4 L2:R4">
    <cfRule type="colorScale" priority="35">
      <colorScale>
        <cfvo type="min"/>
        <cfvo type="max"/>
        <color rgb="FFFFFF00"/>
        <color rgb="FFFF0000"/>
      </colorScale>
    </cfRule>
  </conditionalFormatting>
  <conditionalFormatting sqref="H2:H4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2:I4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2:J4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:K4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:L4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2:M4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2:N4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2:O4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2:P4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2:Q4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2:R4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2:S4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2:T4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2:U4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:V4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2:W4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2:X4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2:Y4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Z2:Z4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A2:AA4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B2:AB4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:AC4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2:AD4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2:AE4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F2:AF4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G2:AG4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H2:AH4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I2:AI4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K2:AK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7:R173">
    <cfRule type="colorScale" priority="271">
      <colorScale>
        <cfvo type="min"/>
        <cfvo type="max"/>
        <color rgb="FFFCFCFF"/>
        <color rgb="FF63BE7B"/>
      </colorScale>
    </cfRule>
    <cfRule type="containsText" dxfId="50" priority="272" operator="containsText" text=" ">
      <formula>NOT(ISERROR(SEARCH(" ",D7)))</formula>
    </cfRule>
  </conditionalFormatting>
  <conditionalFormatting sqref="AF7:AG173">
    <cfRule type="colorScale" priority="275">
      <colorScale>
        <cfvo type="min"/>
        <cfvo type="max"/>
        <color theme="0"/>
        <color theme="9" tint="-0.249977111117893"/>
      </colorScale>
    </cfRule>
    <cfRule type="containsText" dxfId="49" priority="276" operator="containsText" text="#HODNOTA!">
      <formula>NOT(ISERROR(SEARCH("#HODNOTA!",AF7)))</formula>
    </cfRule>
    <cfRule type="containsText" dxfId="48" priority="277" operator="containsText" text="Hodnota">
      <formula>NOT(ISERROR(SEARCH("Hodnota",AF7)))</formula>
    </cfRule>
  </conditionalFormatting>
  <conditionalFormatting sqref="S7:Z173">
    <cfRule type="colorScale" priority="281">
      <colorScale>
        <cfvo type="min"/>
        <cfvo type="max"/>
        <color theme="0"/>
        <color rgb="FF00B0F0"/>
      </colorScale>
    </cfRule>
  </conditionalFormatting>
  <conditionalFormatting sqref="AF7:AG173">
    <cfRule type="colorScale" priority="283">
      <colorScale>
        <cfvo type="min"/>
        <cfvo type="max"/>
        <color rgb="FFFFEBAB"/>
        <color theme="9" tint="-0.249977111117893"/>
      </colorScale>
    </cfRule>
    <cfRule type="colorScale" priority="284">
      <colorScale>
        <cfvo type="min"/>
        <cfvo type="max"/>
        <color rgb="FFFF7128"/>
        <color rgb="FFFFEF9C"/>
      </colorScale>
    </cfRule>
  </conditionalFormatting>
  <conditionalFormatting sqref="AD7:AI173">
    <cfRule type="colorScale" priority="287">
      <colorScale>
        <cfvo type="min"/>
        <cfvo type="max"/>
        <color theme="0"/>
        <color theme="9" tint="-0.249977111117893"/>
      </colorScale>
    </cfRule>
  </conditionalFormatting>
  <conditionalFormatting sqref="AA7:AB173">
    <cfRule type="colorScale" priority="289">
      <colorScale>
        <cfvo type="min"/>
        <cfvo type="max"/>
        <color theme="0"/>
        <color theme="2" tint="-0.249977111117893"/>
      </colorScale>
    </cfRule>
  </conditionalFormatting>
  <conditionalFormatting sqref="AH7:AJ173">
    <cfRule type="colorScale" priority="291">
      <colorScale>
        <cfvo type="min"/>
        <cfvo type="max"/>
        <color theme="0"/>
        <color theme="9" tint="-0.249977111117893"/>
      </colorScale>
    </cfRule>
    <cfRule type="colorScale" priority="292">
      <colorScale>
        <cfvo type="min"/>
        <cfvo type="max"/>
        <color rgb="FFFF7128"/>
        <color rgb="FFFFEF9C"/>
      </colorScale>
    </cfRule>
  </conditionalFormatting>
  <conditionalFormatting sqref="AC7:AC173">
    <cfRule type="colorScale" priority="295">
      <colorScale>
        <cfvo type="min"/>
        <cfvo type="max"/>
        <color theme="0"/>
        <color theme="2" tint="-0.249977111117893"/>
      </colorScale>
    </cfRule>
  </conditionalFormatting>
  <conditionalFormatting sqref="AK7:AK173">
    <cfRule type="colorScale" priority="297">
      <colorScale>
        <cfvo type="min"/>
        <cfvo type="max"/>
        <color theme="0"/>
        <color theme="5" tint="0.39997558519241921"/>
      </colorScale>
    </cfRule>
    <cfRule type="containsText" dxfId="47" priority="298" operator="containsText" text=" ">
      <formula>NOT(ISERROR(SEARCH(" ",AK7)))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2090C-1FEF-4B43-987B-1BCCB5E47A3B}">
  <sheetPr codeName="List9"/>
  <dimension ref="A1:AD32"/>
  <sheetViews>
    <sheetView workbookViewId="0">
      <selection activeCell="O29" sqref="O29"/>
    </sheetView>
  </sheetViews>
  <sheetFormatPr defaultRowHeight="14.5" x14ac:dyDescent="0.35"/>
  <sheetData>
    <row r="1" spans="1:30" ht="15.5" x14ac:dyDescent="0.35">
      <c r="A1" s="197" t="s">
        <v>952</v>
      </c>
    </row>
    <row r="3" spans="1:30" s="139" customFormat="1" ht="43.5" x14ac:dyDescent="0.35">
      <c r="A3" s="164" t="s">
        <v>940</v>
      </c>
      <c r="B3" s="165" t="s">
        <v>909</v>
      </c>
      <c r="C3" s="166" t="s">
        <v>910</v>
      </c>
      <c r="D3" s="167" t="s">
        <v>807</v>
      </c>
      <c r="E3" s="168" t="s">
        <v>844</v>
      </c>
      <c r="F3" s="169" t="s">
        <v>911</v>
      </c>
      <c r="G3" s="145" t="s">
        <v>941</v>
      </c>
      <c r="H3" s="170" t="s">
        <v>912</v>
      </c>
      <c r="I3" s="171" t="s">
        <v>913</v>
      </c>
      <c r="J3" s="162"/>
      <c r="K3" s="172" t="s">
        <v>942</v>
      </c>
      <c r="L3" s="242" t="s">
        <v>934</v>
      </c>
      <c r="M3" s="173" t="s">
        <v>943</v>
      </c>
      <c r="N3" s="162"/>
      <c r="O3" s="164" t="s">
        <v>944</v>
      </c>
      <c r="P3" s="140" t="s">
        <v>909</v>
      </c>
      <c r="Q3" s="141" t="s">
        <v>910</v>
      </c>
      <c r="R3" s="142" t="s">
        <v>807</v>
      </c>
      <c r="S3" s="143" t="s">
        <v>844</v>
      </c>
      <c r="T3" s="144" t="s">
        <v>911</v>
      </c>
      <c r="U3" s="145" t="s">
        <v>941</v>
      </c>
      <c r="V3" s="146" t="s">
        <v>912</v>
      </c>
      <c r="W3" s="174" t="s">
        <v>913</v>
      </c>
      <c r="Y3" s="175" t="s">
        <v>945</v>
      </c>
      <c r="Z3" s="175" t="s">
        <v>946</v>
      </c>
      <c r="AA3" s="175" t="s">
        <v>947</v>
      </c>
      <c r="AB3" s="175" t="s">
        <v>948</v>
      </c>
      <c r="AC3" s="176" t="s">
        <v>949</v>
      </c>
    </row>
    <row r="4" spans="1:30" s="139" customFormat="1" x14ac:dyDescent="0.35">
      <c r="A4" s="140" t="s">
        <v>909</v>
      </c>
      <c r="B4" s="177">
        <v>1</v>
      </c>
      <c r="C4" s="178">
        <v>0.2</v>
      </c>
      <c r="D4" s="178">
        <v>0.5</v>
      </c>
      <c r="E4" s="178">
        <f>1/3</f>
        <v>0.33333333333333331</v>
      </c>
      <c r="F4" s="178">
        <f>1/5</f>
        <v>0.2</v>
      </c>
      <c r="G4" s="178">
        <v>0.2</v>
      </c>
      <c r="H4" s="179">
        <v>3</v>
      </c>
      <c r="I4" s="179">
        <v>3</v>
      </c>
      <c r="J4" s="162"/>
      <c r="K4" s="162">
        <f t="shared" ref="K4:K11" si="0">POWER(PRODUCT(B4:I4),1/COUNT(B4:I4))</f>
        <v>0.57530434724994672</v>
      </c>
      <c r="L4" s="148">
        <f>K4/$K$12</f>
        <v>5.5434703284526418E-2</v>
      </c>
      <c r="M4" s="180">
        <f t="shared" ref="M4:M12" si="1">L4*100</f>
        <v>5.5434703284526421</v>
      </c>
      <c r="N4" s="162"/>
      <c r="O4" s="140" t="s">
        <v>909</v>
      </c>
      <c r="P4" s="234">
        <f>B4/B$12</f>
        <v>4.6153846153846156E-2</v>
      </c>
      <c r="Q4" s="181">
        <f t="shared" ref="Q4:W11" si="2">C4/C$12</f>
        <v>6.7039106145251395E-2</v>
      </c>
      <c r="R4" s="181">
        <f t="shared" si="2"/>
        <v>5.940594059405941E-2</v>
      </c>
      <c r="S4" s="181">
        <f t="shared" si="2"/>
        <v>3.5714285714285719E-2</v>
      </c>
      <c r="T4" s="181">
        <f t="shared" si="2"/>
        <v>1.7094017094017096E-2</v>
      </c>
      <c r="U4" s="181">
        <f t="shared" si="2"/>
        <v>3.8461538461538464E-2</v>
      </c>
      <c r="V4" s="181">
        <f t="shared" si="2"/>
        <v>0.11764705882352941</v>
      </c>
      <c r="W4" s="181">
        <f t="shared" si="2"/>
        <v>0.1111111111111111</v>
      </c>
      <c r="Y4" s="181">
        <f>AVERAGE(P4:W4)</f>
        <v>6.1578363012204852E-2</v>
      </c>
      <c r="Z4" s="181">
        <f>B4*Y$4+C4*Y$5+D4*Y$6+E4*Y$7+F4*Y$8+G4*Y$9+H4*Y$10+I4*Y$10</f>
        <v>0.53226353813846172</v>
      </c>
      <c r="AA4" s="181">
        <f>Z4/Y4</f>
        <v>8.6436779430620287</v>
      </c>
    </row>
    <row r="5" spans="1:30" s="139" customFormat="1" x14ac:dyDescent="0.35">
      <c r="A5" s="141" t="s">
        <v>910</v>
      </c>
      <c r="B5" s="182">
        <v>5</v>
      </c>
      <c r="C5" s="183">
        <v>1</v>
      </c>
      <c r="D5" s="178">
        <v>3</v>
      </c>
      <c r="E5" s="178">
        <v>4</v>
      </c>
      <c r="F5" s="178">
        <v>3</v>
      </c>
      <c r="G5" s="178">
        <v>2</v>
      </c>
      <c r="H5" s="178">
        <v>5</v>
      </c>
      <c r="I5" s="178">
        <v>6</v>
      </c>
      <c r="J5" s="162"/>
      <c r="K5" s="162">
        <f t="shared" si="0"/>
        <v>3.1928459826748199</v>
      </c>
      <c r="L5" s="162">
        <f t="shared" ref="L5:L11" si="3">K5/$K$12</f>
        <v>0.30765362808196162</v>
      </c>
      <c r="M5" s="180">
        <f t="shared" si="1"/>
        <v>30.765362808196162</v>
      </c>
      <c r="N5" s="162"/>
      <c r="O5" s="141" t="s">
        <v>910</v>
      </c>
      <c r="P5" s="181">
        <f t="shared" ref="P5:P11" si="4">B5/B$12</f>
        <v>0.23076923076923078</v>
      </c>
      <c r="Q5" s="235">
        <f t="shared" si="2"/>
        <v>0.33519553072625696</v>
      </c>
      <c r="R5" s="181">
        <f t="shared" si="2"/>
        <v>0.35643564356435647</v>
      </c>
      <c r="S5" s="181">
        <f t="shared" si="2"/>
        <v>0.4285714285714286</v>
      </c>
      <c r="T5" s="181">
        <f t="shared" si="2"/>
        <v>0.25641025641025644</v>
      </c>
      <c r="U5" s="181">
        <f t="shared" si="2"/>
        <v>0.38461538461538458</v>
      </c>
      <c r="V5" s="181">
        <f t="shared" si="2"/>
        <v>0.19607843137254902</v>
      </c>
      <c r="W5" s="181">
        <f t="shared" si="2"/>
        <v>0.22222222222222221</v>
      </c>
      <c r="Y5" s="181">
        <f t="shared" ref="Y5:Y11" si="5">AVERAGE(P5:W5)</f>
        <v>0.30128726603146067</v>
      </c>
      <c r="Z5" s="181">
        <f t="shared" ref="Z5:Z11" si="6">B5*Y$4+C5*Y$5+D5*Y$6+E5*Y$7+F5*Y$8+G5*Y$9+H5*Y$10+I5*Y$10</f>
        <v>2.6810533337555622</v>
      </c>
      <c r="AA5" s="181">
        <f>Z5/Y5</f>
        <v>8.8986612978047486</v>
      </c>
    </row>
    <row r="6" spans="1:30" s="139" customFormat="1" x14ac:dyDescent="0.35">
      <c r="A6" s="142" t="s">
        <v>807</v>
      </c>
      <c r="B6" s="182">
        <v>2</v>
      </c>
      <c r="C6" s="178">
        <v>0.33333333333333331</v>
      </c>
      <c r="D6" s="184">
        <v>1</v>
      </c>
      <c r="E6" s="178">
        <v>1</v>
      </c>
      <c r="F6" s="178">
        <v>3</v>
      </c>
      <c r="G6" s="178">
        <v>0.5</v>
      </c>
      <c r="H6" s="179">
        <v>4</v>
      </c>
      <c r="I6" s="179">
        <v>3</v>
      </c>
      <c r="J6" s="162"/>
      <c r="K6" s="162">
        <f t="shared" si="0"/>
        <v>1.364261601821366</v>
      </c>
      <c r="L6" s="162">
        <f t="shared" si="3"/>
        <v>0.13145639775008175</v>
      </c>
      <c r="M6" s="180">
        <f t="shared" si="1"/>
        <v>13.145639775008174</v>
      </c>
      <c r="N6" s="162"/>
      <c r="O6" s="142" t="s">
        <v>807</v>
      </c>
      <c r="P6" s="181">
        <f t="shared" si="4"/>
        <v>9.2307692307692313E-2</v>
      </c>
      <c r="Q6" s="181">
        <f t="shared" si="2"/>
        <v>0.11173184357541899</v>
      </c>
      <c r="R6" s="236">
        <f t="shared" si="2"/>
        <v>0.11881188118811882</v>
      </c>
      <c r="S6" s="181">
        <f t="shared" si="2"/>
        <v>0.10714285714285715</v>
      </c>
      <c r="T6" s="181">
        <f t="shared" si="2"/>
        <v>0.25641025641025644</v>
      </c>
      <c r="U6" s="181">
        <f t="shared" si="2"/>
        <v>9.6153846153846145E-2</v>
      </c>
      <c r="V6" s="181">
        <f t="shared" si="2"/>
        <v>0.15686274509803921</v>
      </c>
      <c r="W6" s="181">
        <f t="shared" si="2"/>
        <v>0.1111111111111111</v>
      </c>
      <c r="Y6" s="181">
        <f t="shared" si="5"/>
        <v>0.13131652912341751</v>
      </c>
      <c r="Z6" s="181">
        <f t="shared" si="6"/>
        <v>1.2046583219930618</v>
      </c>
      <c r="AA6" s="181">
        <f t="shared" ref="AA6:AA11" si="7">Z6/Y6</f>
        <v>9.1736990768379716</v>
      </c>
    </row>
    <row r="7" spans="1:30" s="139" customFormat="1" x14ac:dyDescent="0.35">
      <c r="A7" s="143" t="s">
        <v>844</v>
      </c>
      <c r="B7" s="182">
        <v>3</v>
      </c>
      <c r="C7" s="178">
        <v>0.25</v>
      </c>
      <c r="D7" s="178">
        <v>1</v>
      </c>
      <c r="E7" s="185">
        <v>1</v>
      </c>
      <c r="F7" s="178">
        <v>2</v>
      </c>
      <c r="G7" s="178">
        <v>0.5</v>
      </c>
      <c r="H7" s="179">
        <v>4</v>
      </c>
      <c r="I7" s="179">
        <v>4</v>
      </c>
      <c r="J7" s="162"/>
      <c r="K7" s="162">
        <f t="shared" si="0"/>
        <v>1.364261601821366</v>
      </c>
      <c r="L7" s="162">
        <f t="shared" si="3"/>
        <v>0.13145639775008175</v>
      </c>
      <c r="M7" s="180">
        <f t="shared" si="1"/>
        <v>13.145639775008174</v>
      </c>
      <c r="N7" s="162"/>
      <c r="O7" s="143" t="s">
        <v>844</v>
      </c>
      <c r="P7" s="181">
        <f t="shared" si="4"/>
        <v>0.13846153846153847</v>
      </c>
      <c r="Q7" s="181">
        <f t="shared" si="2"/>
        <v>8.3798882681564241E-2</v>
      </c>
      <c r="R7" s="181">
        <f t="shared" si="2"/>
        <v>0.11881188118811882</v>
      </c>
      <c r="S7" s="237">
        <f t="shared" si="2"/>
        <v>0.10714285714285715</v>
      </c>
      <c r="T7" s="181">
        <f t="shared" si="2"/>
        <v>0.17094017094017094</v>
      </c>
      <c r="U7" s="181">
        <f t="shared" si="2"/>
        <v>9.6153846153846145E-2</v>
      </c>
      <c r="V7" s="181">
        <f t="shared" si="2"/>
        <v>0.15686274509803921</v>
      </c>
      <c r="W7" s="181">
        <f t="shared" si="2"/>
        <v>0.14814814814814814</v>
      </c>
      <c r="Y7" s="181">
        <f t="shared" si="5"/>
        <v>0.12754000872678539</v>
      </c>
      <c r="Z7" s="181">
        <f>B7*Y$4+C7*Y$5+D7*Y$6+E7*Y$7+F7*Y$8+G7*Y$9+H7*Y$10+I7*Y$10</f>
        <v>1.1660463281764035</v>
      </c>
      <c r="AA7" s="181">
        <f t="shared" si="7"/>
        <v>9.1425925073777705</v>
      </c>
    </row>
    <row r="8" spans="1:30" s="139" customFormat="1" x14ac:dyDescent="0.35">
      <c r="A8" s="144" t="s">
        <v>911</v>
      </c>
      <c r="B8" s="178">
        <v>5</v>
      </c>
      <c r="C8" s="178">
        <f>1/3</f>
        <v>0.33333333333333331</v>
      </c>
      <c r="D8" s="178">
        <v>0.33333333333333331</v>
      </c>
      <c r="E8" s="178">
        <v>0.5</v>
      </c>
      <c r="F8" s="186">
        <v>1</v>
      </c>
      <c r="G8" s="178">
        <v>0.5</v>
      </c>
      <c r="H8" s="178">
        <v>4</v>
      </c>
      <c r="I8" s="178">
        <v>4</v>
      </c>
      <c r="J8" s="162"/>
      <c r="K8" s="162">
        <f t="shared" si="0"/>
        <v>1.1049647809598135</v>
      </c>
      <c r="L8" s="162">
        <f t="shared" si="3"/>
        <v>0.10647128787599243</v>
      </c>
      <c r="M8" s="180">
        <f t="shared" si="1"/>
        <v>10.647128787599243</v>
      </c>
      <c r="N8" s="162"/>
      <c r="O8" s="144" t="s">
        <v>911</v>
      </c>
      <c r="P8" s="181">
        <f t="shared" si="4"/>
        <v>0.23076923076923078</v>
      </c>
      <c r="Q8" s="181">
        <f t="shared" si="2"/>
        <v>0.11173184357541899</v>
      </c>
      <c r="R8" s="181">
        <f t="shared" si="2"/>
        <v>3.9603960396039604E-2</v>
      </c>
      <c r="S8" s="181">
        <f t="shared" si="2"/>
        <v>5.3571428571428575E-2</v>
      </c>
      <c r="T8" s="238">
        <f t="shared" si="2"/>
        <v>8.5470085470085472E-2</v>
      </c>
      <c r="U8" s="181">
        <f>G8/G$12</f>
        <v>9.6153846153846145E-2</v>
      </c>
      <c r="V8" s="181">
        <f t="shared" si="2"/>
        <v>0.15686274509803921</v>
      </c>
      <c r="W8" s="181">
        <f t="shared" si="2"/>
        <v>0.14814814814814814</v>
      </c>
      <c r="Y8" s="181">
        <f t="shared" si="5"/>
        <v>0.11528891102277962</v>
      </c>
      <c r="Z8" s="181">
        <f>B8*Y$4+C8*Y$5+D8*Y$6+E8*Y$7+F8*Y$8+G8*Y$9+H8*Y$10+I8*Y$10</f>
        <v>1.0477070582349843</v>
      </c>
      <c r="AA8" s="181">
        <f t="shared" si="7"/>
        <v>9.0876654913322135</v>
      </c>
    </row>
    <row r="9" spans="1:30" s="139" customFormat="1" x14ac:dyDescent="0.35">
      <c r="A9" s="145" t="s">
        <v>941</v>
      </c>
      <c r="B9" s="178">
        <v>5</v>
      </c>
      <c r="C9" s="178">
        <v>0.5</v>
      </c>
      <c r="D9" s="178">
        <v>2</v>
      </c>
      <c r="E9" s="178">
        <v>2</v>
      </c>
      <c r="F9" s="178">
        <v>2</v>
      </c>
      <c r="G9" s="187">
        <v>1</v>
      </c>
      <c r="H9" s="178">
        <v>4</v>
      </c>
      <c r="I9" s="178">
        <v>4</v>
      </c>
      <c r="J9" s="162"/>
      <c r="K9" s="162">
        <f t="shared" si="0"/>
        <v>2.0565711885957794</v>
      </c>
      <c r="L9" s="162">
        <f t="shared" si="3"/>
        <v>0.19816539570451405</v>
      </c>
      <c r="M9" s="180">
        <f t="shared" si="1"/>
        <v>19.816539570451404</v>
      </c>
      <c r="N9" s="162"/>
      <c r="O9" s="145" t="s">
        <v>941</v>
      </c>
      <c r="P9" s="181">
        <f t="shared" si="4"/>
        <v>0.23076923076923078</v>
      </c>
      <c r="Q9" s="181">
        <f t="shared" si="2"/>
        <v>0.16759776536312848</v>
      </c>
      <c r="R9" s="181">
        <f t="shared" si="2"/>
        <v>0.23762376237623764</v>
      </c>
      <c r="S9" s="181">
        <f t="shared" si="2"/>
        <v>0.2142857142857143</v>
      </c>
      <c r="T9" s="181">
        <f t="shared" si="2"/>
        <v>0.17094017094017094</v>
      </c>
      <c r="U9" s="239">
        <f t="shared" si="2"/>
        <v>0.19230769230769229</v>
      </c>
      <c r="V9" s="181">
        <f t="shared" si="2"/>
        <v>0.15686274509803921</v>
      </c>
      <c r="W9" s="181">
        <f t="shared" si="2"/>
        <v>0.14814814814814814</v>
      </c>
      <c r="Y9" s="181">
        <f t="shared" si="5"/>
        <v>0.18981690366104523</v>
      </c>
      <c r="Z9" s="181">
        <f t="shared" si="6"/>
        <v>1.7182898603894041</v>
      </c>
      <c r="AA9" s="181">
        <f t="shared" si="7"/>
        <v>9.0523542806163508</v>
      </c>
    </row>
    <row r="10" spans="1:30" s="139" customFormat="1" x14ac:dyDescent="0.35">
      <c r="A10" s="146" t="s">
        <v>912</v>
      </c>
      <c r="B10" s="178">
        <f>1/3</f>
        <v>0.33333333333333331</v>
      </c>
      <c r="C10" s="178">
        <v>0.2</v>
      </c>
      <c r="D10" s="178">
        <v>0.25</v>
      </c>
      <c r="E10" s="178">
        <v>0.25</v>
      </c>
      <c r="F10" s="178">
        <v>0.25</v>
      </c>
      <c r="G10" s="178">
        <v>0.25</v>
      </c>
      <c r="H10" s="188">
        <v>1</v>
      </c>
      <c r="I10" s="178">
        <v>2</v>
      </c>
      <c r="J10" s="162"/>
      <c r="K10" s="162">
        <f t="shared" si="0"/>
        <v>0.38867566153264393</v>
      </c>
      <c r="L10" s="162">
        <f t="shared" si="3"/>
        <v>3.7451689829867053E-2</v>
      </c>
      <c r="M10" s="180">
        <f t="shared" si="1"/>
        <v>3.7451689829867054</v>
      </c>
      <c r="N10" s="162"/>
      <c r="O10" s="146" t="s">
        <v>912</v>
      </c>
      <c r="P10" s="181">
        <f t="shared" si="4"/>
        <v>1.5384615384615385E-2</v>
      </c>
      <c r="Q10" s="181">
        <f t="shared" si="2"/>
        <v>6.7039106145251395E-2</v>
      </c>
      <c r="R10" s="181">
        <f t="shared" si="2"/>
        <v>2.9702970297029705E-2</v>
      </c>
      <c r="S10" s="181">
        <f t="shared" si="2"/>
        <v>2.6785714285714288E-2</v>
      </c>
      <c r="T10" s="181">
        <f t="shared" si="2"/>
        <v>2.1367521367521368E-2</v>
      </c>
      <c r="U10" s="181">
        <f t="shared" si="2"/>
        <v>4.8076923076923073E-2</v>
      </c>
      <c r="V10" s="241">
        <f t="shared" si="2"/>
        <v>3.9215686274509803E-2</v>
      </c>
      <c r="W10" s="181">
        <f t="shared" si="2"/>
        <v>7.407407407407407E-2</v>
      </c>
      <c r="Y10" s="181">
        <f t="shared" si="5"/>
        <v>4.0205826363204883E-2</v>
      </c>
      <c r="Z10" s="181">
        <f t="shared" si="6"/>
        <v>0.342391641433482</v>
      </c>
      <c r="AA10" s="181">
        <f t="shared" si="7"/>
        <v>8.5159707536027209</v>
      </c>
    </row>
    <row r="11" spans="1:30" s="139" customFormat="1" x14ac:dyDescent="0.35">
      <c r="A11" s="174" t="s">
        <v>913</v>
      </c>
      <c r="B11" s="178">
        <f>1/3</f>
        <v>0.33333333333333331</v>
      </c>
      <c r="C11" s="178">
        <f>1/6</f>
        <v>0.16666666666666666</v>
      </c>
      <c r="D11" s="178">
        <f>1/3</f>
        <v>0.33333333333333331</v>
      </c>
      <c r="E11" s="178">
        <v>0.25</v>
      </c>
      <c r="F11" s="178">
        <v>0.25</v>
      </c>
      <c r="G11" s="178">
        <v>0.25</v>
      </c>
      <c r="H11" s="178">
        <v>0.5</v>
      </c>
      <c r="I11" s="189">
        <v>1</v>
      </c>
      <c r="J11" s="162"/>
      <c r="K11" s="190">
        <f t="shared" si="0"/>
        <v>0.33116889107026293</v>
      </c>
      <c r="L11" s="190">
        <f t="shared" si="3"/>
        <v>3.191049972297489E-2</v>
      </c>
      <c r="M11" s="191">
        <f t="shared" si="1"/>
        <v>3.1910499722974892</v>
      </c>
      <c r="N11" s="162"/>
      <c r="O11" s="174" t="s">
        <v>913</v>
      </c>
      <c r="P11" s="181">
        <f t="shared" si="4"/>
        <v>1.5384615384615385E-2</v>
      </c>
      <c r="Q11" s="181">
        <f t="shared" si="2"/>
        <v>5.5865921787709494E-2</v>
      </c>
      <c r="R11" s="181">
        <f t="shared" si="2"/>
        <v>3.9603960396039604E-2</v>
      </c>
      <c r="S11" s="181">
        <f t="shared" si="2"/>
        <v>2.6785714285714288E-2</v>
      </c>
      <c r="T11" s="181">
        <f t="shared" si="2"/>
        <v>2.1367521367521368E-2</v>
      </c>
      <c r="U11" s="181">
        <f t="shared" si="2"/>
        <v>4.8076923076923073E-2</v>
      </c>
      <c r="V11" s="181">
        <f t="shared" si="2"/>
        <v>1.9607843137254902E-2</v>
      </c>
      <c r="W11" s="240">
        <f t="shared" si="2"/>
        <v>3.7037037037037035E-2</v>
      </c>
      <c r="Y11" s="181">
        <f t="shared" si="5"/>
        <v>3.2966192059101895E-2</v>
      </c>
      <c r="Z11" s="181">
        <f t="shared" si="6"/>
        <v>0.2829830371145774</v>
      </c>
      <c r="AA11" s="181">
        <f t="shared" si="7"/>
        <v>8.5840377501667309</v>
      </c>
      <c r="AC11" s="192" t="s">
        <v>950</v>
      </c>
    </row>
    <row r="12" spans="1:30" s="139" customFormat="1" x14ac:dyDescent="0.35">
      <c r="A12" s="162"/>
      <c r="B12" s="193">
        <f t="shared" ref="B12:I12" si="8">SUM(B4:B11)</f>
        <v>21.666666666666664</v>
      </c>
      <c r="C12" s="193">
        <f t="shared" si="8"/>
        <v>2.9833333333333334</v>
      </c>
      <c r="D12" s="193">
        <f t="shared" si="8"/>
        <v>8.4166666666666661</v>
      </c>
      <c r="E12" s="193">
        <f t="shared" si="8"/>
        <v>9.3333333333333321</v>
      </c>
      <c r="F12" s="193">
        <f t="shared" si="8"/>
        <v>11.7</v>
      </c>
      <c r="G12" s="193">
        <f t="shared" si="8"/>
        <v>5.2</v>
      </c>
      <c r="H12" s="193">
        <f t="shared" si="8"/>
        <v>25.5</v>
      </c>
      <c r="I12" s="193">
        <f t="shared" si="8"/>
        <v>27</v>
      </c>
      <c r="J12" s="162"/>
      <c r="K12" s="162">
        <f>SUM(K4:K11)</f>
        <v>10.378054055725999</v>
      </c>
      <c r="L12" s="162">
        <f>SUM(L4:L11)</f>
        <v>1</v>
      </c>
      <c r="M12" s="147">
        <f t="shared" si="1"/>
        <v>100</v>
      </c>
      <c r="N12" s="162"/>
      <c r="O12" s="162"/>
      <c r="X12" s="139" t="s">
        <v>951</v>
      </c>
      <c r="Y12" s="194">
        <f>SUM(Y4:Y11)</f>
        <v>1</v>
      </c>
      <c r="AA12" s="195">
        <f>AVERAGE(AA4:AA11)</f>
        <v>8.8873323876000665</v>
      </c>
      <c r="AB12" s="181">
        <f>(AA12-8)/(8-1)</f>
        <v>0.12676176965715236</v>
      </c>
      <c r="AC12" s="196">
        <f>AB12/1.41</f>
        <v>8.9901964295852746E-2</v>
      </c>
      <c r="AD12" s="139" t="s">
        <v>940</v>
      </c>
    </row>
    <row r="14" spans="1:30" ht="15.5" x14ac:dyDescent="0.35">
      <c r="A14" s="197" t="s">
        <v>953</v>
      </c>
    </row>
    <row r="16" spans="1:30" s="139" customFormat="1" ht="46.5" customHeight="1" x14ac:dyDescent="0.35">
      <c r="A16" s="164" t="s">
        <v>954</v>
      </c>
      <c r="B16" s="198" t="s">
        <v>936</v>
      </c>
      <c r="C16" s="199" t="s">
        <v>876</v>
      </c>
      <c r="D16" s="200" t="s">
        <v>935</v>
      </c>
      <c r="E16" s="201" t="s">
        <v>939</v>
      </c>
      <c r="F16" s="202" t="s">
        <v>938</v>
      </c>
      <c r="G16" s="203" t="s">
        <v>937</v>
      </c>
      <c r="H16" s="204"/>
      <c r="I16" s="172" t="s">
        <v>942</v>
      </c>
      <c r="J16" s="242" t="s">
        <v>934</v>
      </c>
      <c r="K16" s="173" t="s">
        <v>943</v>
      </c>
      <c r="L16" s="205"/>
      <c r="M16" s="164" t="s">
        <v>954</v>
      </c>
      <c r="N16" s="206" t="s">
        <v>935</v>
      </c>
      <c r="O16" s="207" t="s">
        <v>936</v>
      </c>
      <c r="P16" s="208" t="s">
        <v>937</v>
      </c>
      <c r="Q16" s="209" t="s">
        <v>938</v>
      </c>
      <c r="R16" s="210" t="s">
        <v>876</v>
      </c>
      <c r="S16" s="145" t="s">
        <v>939</v>
      </c>
      <c r="T16" s="205"/>
      <c r="U16" s="175" t="s">
        <v>945</v>
      </c>
      <c r="V16" s="175" t="s">
        <v>946</v>
      </c>
      <c r="W16" s="175" t="s">
        <v>947</v>
      </c>
      <c r="X16" s="175" t="s">
        <v>948</v>
      </c>
      <c r="Y16" s="176" t="s">
        <v>949</v>
      </c>
    </row>
    <row r="17" spans="1:26" s="139" customFormat="1" x14ac:dyDescent="0.35">
      <c r="A17" s="211" t="s">
        <v>936</v>
      </c>
      <c r="B17" s="212">
        <v>1</v>
      </c>
      <c r="C17" s="178">
        <v>3</v>
      </c>
      <c r="D17" s="178">
        <v>3</v>
      </c>
      <c r="E17" s="178">
        <v>5</v>
      </c>
      <c r="F17" s="178">
        <v>7</v>
      </c>
      <c r="G17" s="178">
        <v>7</v>
      </c>
      <c r="H17" s="213"/>
      <c r="I17" s="214">
        <f>POWER(PRODUCT(B17:G17),1/COUNT(B17:G17))</f>
        <v>3.6077361293563257</v>
      </c>
      <c r="J17" s="162">
        <f>I17/$I$23</f>
        <v>0.42912543388991137</v>
      </c>
      <c r="K17" s="180">
        <f>J17*100</f>
        <v>42.912543388991139</v>
      </c>
      <c r="L17" s="213"/>
      <c r="M17" s="140" t="s">
        <v>935</v>
      </c>
      <c r="N17" s="215">
        <f>B17/B$23</f>
        <v>0.46460176991150443</v>
      </c>
      <c r="O17" s="216">
        <f>C17/C$23</f>
        <v>0.57324840764331209</v>
      </c>
      <c r="P17" s="216">
        <f t="shared" ref="P17:S22" si="9">D17/D$23</f>
        <v>0.43478260869565216</v>
      </c>
      <c r="Q17" s="216">
        <f t="shared" si="9"/>
        <v>0.40540540540540537</v>
      </c>
      <c r="R17" s="216">
        <f t="shared" si="9"/>
        <v>0.35</v>
      </c>
      <c r="S17" s="216">
        <f t="shared" si="9"/>
        <v>0.31818181818181818</v>
      </c>
      <c r="T17" s="213"/>
      <c r="U17" s="181">
        <f>AVERAGE(N17:S17)</f>
        <v>0.42437000163961541</v>
      </c>
      <c r="V17" s="181">
        <f>B17*U$17+C17*U$18+D17*U$19+E17*$U$20+F17*$U$21+G17*$U$22</f>
        <v>2.6942108306476769</v>
      </c>
      <c r="W17" s="181">
        <f>V17/U17</f>
        <v>6.3487306365629053</v>
      </c>
    </row>
    <row r="18" spans="1:26" s="139" customFormat="1" x14ac:dyDescent="0.35">
      <c r="A18" s="217" t="s">
        <v>876</v>
      </c>
      <c r="B18" s="178">
        <v>0.33333333333333331</v>
      </c>
      <c r="C18" s="186">
        <v>1</v>
      </c>
      <c r="D18" s="178">
        <v>2</v>
      </c>
      <c r="E18" s="178">
        <v>3</v>
      </c>
      <c r="F18" s="178">
        <v>5</v>
      </c>
      <c r="G18" s="178">
        <v>5</v>
      </c>
      <c r="H18" s="213"/>
      <c r="I18" s="214">
        <f t="shared" ref="I18:I22" si="10">POWER(PRODUCT(B18:G18),1/COUNT(B18:G18))</f>
        <v>1.9193831036664843</v>
      </c>
      <c r="J18" s="162">
        <f>I18/$I$23</f>
        <v>0.22830275763787564</v>
      </c>
      <c r="K18" s="180">
        <f t="shared" ref="K18:K22" si="11">J18*100</f>
        <v>22.830275763787565</v>
      </c>
      <c r="L18" s="213"/>
      <c r="M18" s="141" t="s">
        <v>936</v>
      </c>
      <c r="N18" s="216">
        <f>B18/B$23</f>
        <v>0.15486725663716813</v>
      </c>
      <c r="O18" s="218">
        <f t="shared" ref="O18:O22" si="12">C18/C$23</f>
        <v>0.19108280254777069</v>
      </c>
      <c r="P18" s="216">
        <f t="shared" si="9"/>
        <v>0.28985507246376813</v>
      </c>
      <c r="Q18" s="216">
        <f t="shared" si="9"/>
        <v>0.24324324324324323</v>
      </c>
      <c r="R18" s="216">
        <f t="shared" si="9"/>
        <v>0.25</v>
      </c>
      <c r="S18" s="216">
        <f t="shared" si="9"/>
        <v>0.22727272727272727</v>
      </c>
      <c r="T18" s="213"/>
      <c r="U18" s="181">
        <f t="shared" ref="U18:U22" si="13">AVERAGE(N18:S18)</f>
        <v>0.22605351702744625</v>
      </c>
      <c r="V18" s="181">
        <f t="shared" ref="V18:V22" si="14">B18*U$17+C18*U$18+D18*U$19+E18*$U$20+F18*$U$21+G18*$U$22</f>
        <v>1.4324993467634686</v>
      </c>
      <c r="W18" s="181">
        <f>V18/U18</f>
        <v>6.3369920786923295</v>
      </c>
    </row>
    <row r="19" spans="1:26" s="139" customFormat="1" x14ac:dyDescent="0.35">
      <c r="A19" s="219" t="s">
        <v>935</v>
      </c>
      <c r="B19" s="178">
        <v>0.33333333333333331</v>
      </c>
      <c r="C19" s="178">
        <v>0.5</v>
      </c>
      <c r="D19" s="220">
        <v>1</v>
      </c>
      <c r="E19" s="178">
        <v>2</v>
      </c>
      <c r="F19" s="178">
        <v>5</v>
      </c>
      <c r="G19" s="178">
        <v>5</v>
      </c>
      <c r="H19" s="213"/>
      <c r="I19" s="214">
        <f t="shared" si="10"/>
        <v>1.4238682049934022</v>
      </c>
      <c r="J19" s="162">
        <f t="shared" ref="J19:J22" si="15">I19/$I$23</f>
        <v>0.16936329026337571</v>
      </c>
      <c r="K19" s="180">
        <f t="shared" si="11"/>
        <v>16.936329026337571</v>
      </c>
      <c r="L19" s="213"/>
      <c r="M19" s="142" t="s">
        <v>937</v>
      </c>
      <c r="N19" s="216">
        <f t="shared" ref="N19:N22" si="16">B19/B$23</f>
        <v>0.15486725663716813</v>
      </c>
      <c r="O19" s="216">
        <f t="shared" si="12"/>
        <v>9.5541401273885343E-2</v>
      </c>
      <c r="P19" s="221">
        <f t="shared" si="9"/>
        <v>0.14492753623188406</v>
      </c>
      <c r="Q19" s="216">
        <f t="shared" si="9"/>
        <v>0.16216216216216214</v>
      </c>
      <c r="R19" s="216">
        <f t="shared" si="9"/>
        <v>0.25</v>
      </c>
      <c r="S19" s="216">
        <f t="shared" si="9"/>
        <v>0.22727272727272727</v>
      </c>
      <c r="T19" s="213"/>
      <c r="U19" s="181">
        <f t="shared" si="13"/>
        <v>0.17246184726297117</v>
      </c>
      <c r="V19" s="181">
        <f t="shared" si="14"/>
        <v>1.0642568898102935</v>
      </c>
      <c r="W19" s="181">
        <f t="shared" ref="W19:W22" si="17">V19/U19</f>
        <v>6.1709700243875174</v>
      </c>
    </row>
    <row r="20" spans="1:26" s="139" customFormat="1" x14ac:dyDescent="0.35">
      <c r="A20" s="222" t="s">
        <v>939</v>
      </c>
      <c r="B20" s="178">
        <v>0.2</v>
      </c>
      <c r="C20" s="178">
        <v>0.33333333333333331</v>
      </c>
      <c r="D20" s="178">
        <v>0.5</v>
      </c>
      <c r="E20" s="223">
        <v>1</v>
      </c>
      <c r="F20" s="178">
        <v>1</v>
      </c>
      <c r="G20" s="178">
        <v>3</v>
      </c>
      <c r="H20" s="213"/>
      <c r="I20" s="214">
        <f t="shared" si="10"/>
        <v>0.68129206905796136</v>
      </c>
      <c r="J20" s="162">
        <f t="shared" si="15"/>
        <v>8.1036900775893081E-2</v>
      </c>
      <c r="K20" s="180">
        <f t="shared" si="11"/>
        <v>8.1036900775893077</v>
      </c>
      <c r="L20" s="213"/>
      <c r="M20" s="143" t="s">
        <v>938</v>
      </c>
      <c r="N20" s="216">
        <f t="shared" si="16"/>
        <v>9.2920353982300891E-2</v>
      </c>
      <c r="O20" s="216">
        <f t="shared" si="12"/>
        <v>6.3694267515923567E-2</v>
      </c>
      <c r="P20" s="216">
        <f t="shared" si="9"/>
        <v>7.2463768115942032E-2</v>
      </c>
      <c r="Q20" s="224">
        <f t="shared" si="9"/>
        <v>8.1081081081081072E-2</v>
      </c>
      <c r="R20" s="216">
        <f t="shared" si="9"/>
        <v>0.05</v>
      </c>
      <c r="S20" s="216">
        <f t="shared" si="9"/>
        <v>0.13636363636363635</v>
      </c>
      <c r="T20" s="213"/>
      <c r="U20" s="181">
        <f t="shared" si="13"/>
        <v>8.2753851176480653E-2</v>
      </c>
      <c r="V20" s="181">
        <f t="shared" si="14"/>
        <v>0.50892250425633556</v>
      </c>
      <c r="W20" s="181">
        <f t="shared" si="17"/>
        <v>6.1498346846844472</v>
      </c>
    </row>
    <row r="21" spans="1:26" s="139" customFormat="1" x14ac:dyDescent="0.35">
      <c r="A21" s="225" t="s">
        <v>938</v>
      </c>
      <c r="B21" s="178">
        <v>0.14285714285714285</v>
      </c>
      <c r="C21" s="178">
        <v>0.2</v>
      </c>
      <c r="D21" s="178">
        <v>0.2</v>
      </c>
      <c r="E21" s="178">
        <v>1</v>
      </c>
      <c r="F21" s="185">
        <v>1</v>
      </c>
      <c r="G21" s="178">
        <v>1</v>
      </c>
      <c r="H21" s="213"/>
      <c r="I21" s="214">
        <f t="shared" si="10"/>
        <v>0.42282467645504501</v>
      </c>
      <c r="J21" s="162">
        <f t="shared" si="15"/>
        <v>5.0293263209220639E-2</v>
      </c>
      <c r="K21" s="180">
        <f t="shared" si="11"/>
        <v>5.0293263209220642</v>
      </c>
      <c r="L21" s="213"/>
      <c r="M21" s="144" t="s">
        <v>876</v>
      </c>
      <c r="N21" s="216">
        <f t="shared" si="16"/>
        <v>6.637168141592921E-2</v>
      </c>
      <c r="O21" s="216">
        <f t="shared" si="12"/>
        <v>3.8216560509554139E-2</v>
      </c>
      <c r="P21" s="216">
        <f t="shared" si="9"/>
        <v>2.8985507246376812E-2</v>
      </c>
      <c r="Q21" s="216">
        <f t="shared" si="9"/>
        <v>8.1081081081081072E-2</v>
      </c>
      <c r="R21" s="226">
        <f t="shared" si="9"/>
        <v>0.05</v>
      </c>
      <c r="S21" s="216">
        <f t="shared" si="9"/>
        <v>4.5454545454545456E-2</v>
      </c>
      <c r="T21" s="213"/>
      <c r="U21" s="181">
        <f t="shared" si="13"/>
        <v>5.1684895951247783E-2</v>
      </c>
      <c r="V21" s="181">
        <f t="shared" si="14"/>
        <v>0.31744199287656716</v>
      </c>
      <c r="W21" s="181">
        <f t="shared" si="17"/>
        <v>6.1418715668112593</v>
      </c>
    </row>
    <row r="22" spans="1:26" s="139" customFormat="1" x14ac:dyDescent="0.35">
      <c r="A22" s="227" t="s">
        <v>937</v>
      </c>
      <c r="B22" s="178">
        <v>0.14285714285714285</v>
      </c>
      <c r="C22" s="178">
        <v>0.2</v>
      </c>
      <c r="D22" s="228">
        <v>0.2</v>
      </c>
      <c r="E22" s="178">
        <v>0.33333333333333331</v>
      </c>
      <c r="F22" s="178">
        <v>1</v>
      </c>
      <c r="G22" s="229">
        <v>1</v>
      </c>
      <c r="H22" s="213"/>
      <c r="I22" s="214">
        <f t="shared" si="10"/>
        <v>0.35207899518178976</v>
      </c>
      <c r="J22" s="162">
        <f t="shared" si="15"/>
        <v>4.1878354223723553E-2</v>
      </c>
      <c r="K22" s="180">
        <f t="shared" si="11"/>
        <v>4.1878354223723555</v>
      </c>
      <c r="L22" s="213"/>
      <c r="M22" s="145" t="s">
        <v>939</v>
      </c>
      <c r="N22" s="216">
        <f t="shared" si="16"/>
        <v>6.637168141592921E-2</v>
      </c>
      <c r="O22" s="216">
        <f t="shared" si="12"/>
        <v>3.8216560509554139E-2</v>
      </c>
      <c r="P22" s="216">
        <f t="shared" si="9"/>
        <v>2.8985507246376812E-2</v>
      </c>
      <c r="Q22" s="216">
        <f t="shared" si="9"/>
        <v>2.7027027027027025E-2</v>
      </c>
      <c r="R22" s="216">
        <f t="shared" si="9"/>
        <v>0.05</v>
      </c>
      <c r="S22" s="243">
        <f>G22/G$23</f>
        <v>4.5454545454545456E-2</v>
      </c>
      <c r="T22" s="213"/>
      <c r="U22" s="181">
        <f t="shared" si="13"/>
        <v>4.2675886942238776E-2</v>
      </c>
      <c r="V22" s="181">
        <f t="shared" si="14"/>
        <v>0.26227275875891343</v>
      </c>
      <c r="W22" s="181">
        <f t="shared" si="17"/>
        <v>6.145689698585433</v>
      </c>
      <c r="Y22" s="230" t="str">
        <f>IF(Y23&gt;=0.1,"NEKONZISTENTNÍ",IF(Y23&lt;0.1,"KONZISTENTNÍ","?"))</f>
        <v>KONZISTENTNÍ</v>
      </c>
    </row>
    <row r="23" spans="1:26" s="139" customFormat="1" ht="15.5" x14ac:dyDescent="0.35">
      <c r="A23" s="162"/>
      <c r="B23" s="231">
        <f t="shared" ref="B23:G23" si="18">SUM(B17:B22)</f>
        <v>2.1523809523809523</v>
      </c>
      <c r="C23" s="231">
        <f t="shared" si="18"/>
        <v>5.2333333333333334</v>
      </c>
      <c r="D23" s="231">
        <f t="shared" si="18"/>
        <v>6.9</v>
      </c>
      <c r="E23" s="231">
        <f t="shared" si="18"/>
        <v>12.333333333333334</v>
      </c>
      <c r="F23" s="231">
        <f t="shared" si="18"/>
        <v>20</v>
      </c>
      <c r="G23" s="231">
        <f t="shared" si="18"/>
        <v>22</v>
      </c>
      <c r="H23" s="231"/>
      <c r="I23" s="214">
        <f>SUM(I17:I22)</f>
        <v>8.4071831787110085</v>
      </c>
      <c r="J23" s="214">
        <f>SUM(J17:J22)</f>
        <v>1</v>
      </c>
      <c r="K23" s="147">
        <f t="shared" ref="K23" si="19">J23*100</f>
        <v>100</v>
      </c>
      <c r="L23" s="231"/>
      <c r="M23" s="231"/>
      <c r="N23" s="232"/>
      <c r="O23" s="232"/>
      <c r="P23" s="232"/>
      <c r="Q23" s="232"/>
      <c r="R23" s="232"/>
      <c r="S23" s="232"/>
      <c r="T23" s="231"/>
      <c r="U23" s="194">
        <f>SUM(U17:U22)</f>
        <v>1</v>
      </c>
      <c r="W23" s="195">
        <f>AVERAGE(W17:W22)</f>
        <v>6.2156814482873157</v>
      </c>
      <c r="X23" s="181">
        <f>(W23-6)/(6-1)</f>
        <v>4.3136289657463148E-2</v>
      </c>
      <c r="Y23" s="233">
        <f>X23/1.41</f>
        <v>3.0593113232243369E-2</v>
      </c>
    </row>
    <row r="25" spans="1:26" s="139" customFormat="1" ht="15.5" x14ac:dyDescent="0.35">
      <c r="A25" s="197" t="s">
        <v>982</v>
      </c>
    </row>
    <row r="27" spans="1:26" ht="39.5" x14ac:dyDescent="0.35">
      <c r="A27" s="164" t="s">
        <v>954</v>
      </c>
      <c r="B27" s="198" t="s">
        <v>795</v>
      </c>
      <c r="C27" s="297" t="s">
        <v>980</v>
      </c>
      <c r="D27" s="273"/>
      <c r="E27" s="273"/>
      <c r="F27" s="273"/>
      <c r="G27" s="273"/>
      <c r="H27" s="204"/>
      <c r="I27" s="172" t="s">
        <v>942</v>
      </c>
      <c r="J27" s="242" t="s">
        <v>934</v>
      </c>
      <c r="K27" s="173" t="s">
        <v>943</v>
      </c>
      <c r="L27" s="205"/>
      <c r="M27" s="273"/>
      <c r="N27" s="295"/>
      <c r="O27" s="295"/>
      <c r="P27" s="295"/>
      <c r="Q27" s="295"/>
      <c r="R27" s="295"/>
      <c r="S27" s="273"/>
      <c r="T27" s="295"/>
      <c r="U27" s="341"/>
      <c r="V27" s="341"/>
      <c r="W27" s="341"/>
      <c r="X27" s="341"/>
      <c r="Y27" s="342"/>
      <c r="Z27" s="66"/>
    </row>
    <row r="28" spans="1:26" x14ac:dyDescent="0.35">
      <c r="A28" s="211" t="s">
        <v>795</v>
      </c>
      <c r="B28" s="212">
        <v>1</v>
      </c>
      <c r="C28" s="178">
        <v>5</v>
      </c>
      <c r="D28" s="294"/>
      <c r="E28" s="294"/>
      <c r="F28" s="294"/>
      <c r="G28" s="294"/>
      <c r="H28" s="213"/>
      <c r="I28" s="214">
        <f>POWER(PRODUCT(B28:C28),1/COUNT(B28:C28))</f>
        <v>2.2360679774997898</v>
      </c>
      <c r="J28" s="162">
        <f>I28/$I$30</f>
        <v>0.83333333333333337</v>
      </c>
      <c r="K28" s="180">
        <f>J28*100</f>
        <v>83.333333333333343</v>
      </c>
      <c r="L28" s="213"/>
      <c r="M28" s="273"/>
      <c r="N28" s="296"/>
      <c r="O28" s="296"/>
      <c r="P28" s="296"/>
      <c r="Q28" s="296"/>
      <c r="R28" s="296"/>
      <c r="S28" s="296"/>
      <c r="T28" s="294"/>
      <c r="U28" s="343"/>
      <c r="V28" s="343"/>
      <c r="W28" s="343"/>
      <c r="X28" s="66"/>
      <c r="Y28" s="66"/>
      <c r="Z28" s="66"/>
    </row>
    <row r="29" spans="1:26" x14ac:dyDescent="0.35">
      <c r="A29" s="217" t="s">
        <v>980</v>
      </c>
      <c r="B29" s="178">
        <v>0.2</v>
      </c>
      <c r="C29" s="186">
        <v>1</v>
      </c>
      <c r="D29" s="294"/>
      <c r="E29" s="294"/>
      <c r="F29" s="294"/>
      <c r="G29" s="294"/>
      <c r="H29" s="213"/>
      <c r="I29" s="214">
        <f>POWER(PRODUCT(B29:C29),1/COUNT(B29:C29))</f>
        <v>0.44721359549995793</v>
      </c>
      <c r="J29" s="162">
        <f>I29/$I$30</f>
        <v>0.16666666666666666</v>
      </c>
      <c r="K29" s="180">
        <f t="shared" ref="K29:K30" si="20">J29*100</f>
        <v>16.666666666666664</v>
      </c>
      <c r="L29" s="213"/>
      <c r="M29" s="273"/>
      <c r="N29" s="296"/>
      <c r="O29" s="296"/>
      <c r="P29" s="296"/>
      <c r="Q29" s="296"/>
      <c r="R29" s="296"/>
      <c r="S29" s="296"/>
      <c r="T29" s="294"/>
      <c r="U29" s="343"/>
      <c r="V29" s="343"/>
      <c r="W29" s="343"/>
      <c r="X29" s="66"/>
      <c r="Y29" s="66"/>
      <c r="Z29" s="66"/>
    </row>
    <row r="30" spans="1:26" ht="15.5" x14ac:dyDescent="0.35">
      <c r="A30" s="162"/>
      <c r="B30" s="231">
        <f>SUM(B28:B29)</f>
        <v>1.2</v>
      </c>
      <c r="C30" s="231">
        <f>SUM(C28:C29)</f>
        <v>6</v>
      </c>
      <c r="D30" s="231"/>
      <c r="E30" s="231"/>
      <c r="F30" s="231"/>
      <c r="G30" s="231"/>
      <c r="H30" s="231"/>
      <c r="I30" s="214">
        <f>SUM(I28:I29)</f>
        <v>2.6832815729997477</v>
      </c>
      <c r="J30" s="214">
        <f>SUM(J28:J29)</f>
        <v>1</v>
      </c>
      <c r="K30" s="147">
        <f t="shared" si="20"/>
        <v>100</v>
      </c>
      <c r="L30" s="231"/>
      <c r="M30" s="344"/>
      <c r="N30" s="296"/>
      <c r="O30" s="296"/>
      <c r="P30" s="347"/>
      <c r="Q30" s="347"/>
      <c r="R30" s="232"/>
      <c r="S30" s="232"/>
      <c r="T30" s="344"/>
      <c r="U30" s="343"/>
      <c r="V30" s="66"/>
      <c r="W30" s="345"/>
      <c r="X30" s="343"/>
      <c r="Y30" s="346"/>
      <c r="Z30" s="66"/>
    </row>
    <row r="31" spans="1:26" x14ac:dyDescent="0.35">
      <c r="M31" s="135"/>
      <c r="N31" s="135"/>
      <c r="O31" s="135"/>
      <c r="P31" s="135"/>
      <c r="Q31" s="135"/>
      <c r="T31" s="66"/>
      <c r="U31" s="66"/>
      <c r="V31" s="66"/>
      <c r="W31" s="66"/>
      <c r="X31" s="66"/>
      <c r="Y31" s="66"/>
      <c r="Z31" s="66"/>
    </row>
    <row r="32" spans="1:26" x14ac:dyDescent="0.35">
      <c r="T32" s="66"/>
      <c r="U32" s="66"/>
      <c r="V32" s="66"/>
      <c r="W32" s="66"/>
      <c r="X32" s="66"/>
      <c r="Y32" s="66"/>
      <c r="Z32" s="66"/>
    </row>
  </sheetData>
  <sheetProtection algorithmName="SHA-512" hashValue="DJsysyIzx/qP95rvGlCScNPGtt2hogb+mHpBISFtebPv99SW6KRzAG4ppriosLS8N1ujrQNyUnHDH7Nf5GpWGg==" saltValue="PsXr3e5ZLoAUiHpALFYICg==" spinCount="100000" sheet="1" objects="1" scenarios="1"/>
  <pageMargins left="0.7" right="0.7" top="0.78740157499999996" bottom="0.78740157499999996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14</vt:i4>
      </vt:variant>
    </vt:vector>
  </HeadingPairs>
  <TitlesOfParts>
    <vt:vector size="14" baseType="lpstr">
      <vt:lpstr>DP</vt:lpstr>
      <vt:lpstr>MB - celková hodnota půdy</vt:lpstr>
      <vt:lpstr>MB - mimoprodukční f.p.</vt:lpstr>
      <vt:lpstr>MB - produkční f.p.</vt:lpstr>
      <vt:lpstr>MB - produkční proměnné</vt:lpstr>
      <vt:lpstr>MB - produkční stabilní</vt:lpstr>
      <vt:lpstr>Body</vt:lpstr>
      <vt:lpstr>Statistika okresy</vt:lpstr>
      <vt:lpstr>Saaty matice vah</vt:lpstr>
      <vt:lpstr>Souradnice</vt:lpstr>
      <vt:lpstr>Zdroj data</vt:lpstr>
      <vt:lpstr>List2</vt:lpstr>
      <vt:lpstr>Zdroj hloubka okresy</vt:lpstr>
      <vt:lpstr>Odhad BD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Holky</dc:creator>
  <cp:lastModifiedBy>eshop</cp:lastModifiedBy>
  <cp:lastPrinted>2021-03-24T15:55:19Z</cp:lastPrinted>
  <dcterms:created xsi:type="dcterms:W3CDTF">2020-02-25T10:25:44Z</dcterms:created>
  <dcterms:modified xsi:type="dcterms:W3CDTF">2021-04-22T15:11:22Z</dcterms:modified>
</cp:coreProperties>
</file>