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obg\Desktop\"/>
    </mc:Choice>
  </mc:AlternateContent>
  <xr:revisionPtr revIDLastSave="0" documentId="13_ncr:1_{9384D3FC-F5B1-449F-99E5-99436CB22F7D}" xr6:coauthVersionLast="47" xr6:coauthVersionMax="47" xr10:uidLastSave="{00000000-0000-0000-0000-000000000000}"/>
  <bookViews>
    <workbookView xWindow="-108" yWindow="-108" windowWidth="23256" windowHeight="12576" xr2:uid="{894A402D-54B9-4953-B1CA-049EC7DC95C3}"/>
  </bookViews>
  <sheets>
    <sheet name="greta (3)" sheetId="15" r:id="rId1"/>
    <sheet name="greta (2)" sheetId="6" r:id="rId2"/>
    <sheet name="ma only (2)" sheetId="8" r:id="rId3"/>
    <sheet name="greta + ma (1)" sheetId="7" r:id="rId4"/>
    <sheet name="ekon kalkulace" sheetId="2" r:id="rId5"/>
    <sheet name="GER-CZ GDP correlation" sheetId="3" r:id="rId6"/>
    <sheet name="ma only+2003" sheetId="12" r:id="rId7"/>
    <sheet name="greta 2003" sheetId="13" r:id="rId8"/>
    <sheet name="greta + ma + 2003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4" l="1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25" i="14"/>
  <c r="O5" i="14"/>
  <c r="O11" i="14"/>
  <c r="O12" i="14"/>
  <c r="O13" i="14"/>
  <c r="O15" i="14"/>
  <c r="O16" i="14"/>
  <c r="O17" i="14"/>
  <c r="N7" i="14"/>
  <c r="N9" i="14"/>
  <c r="N19" i="14"/>
  <c r="N22" i="14"/>
  <c r="O6" i="14" s="1"/>
  <c r="D39" i="2"/>
  <c r="C47" i="6"/>
  <c r="B47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48" i="6"/>
  <c r="H20" i="15"/>
  <c r="D20" i="15"/>
  <c r="H19" i="15"/>
  <c r="F19" i="15"/>
  <c r="E19" i="15"/>
  <c r="G19" i="15"/>
  <c r="D19" i="15"/>
  <c r="C19" i="15"/>
  <c r="B19" i="15"/>
  <c r="H18" i="15"/>
  <c r="F18" i="15"/>
  <c r="E18" i="15"/>
  <c r="G18" i="15"/>
  <c r="D18" i="15"/>
  <c r="C18" i="15"/>
  <c r="B18" i="15"/>
  <c r="H17" i="15"/>
  <c r="F17" i="15"/>
  <c r="E17" i="15"/>
  <c r="G17" i="15"/>
  <c r="D17" i="15"/>
  <c r="C17" i="15"/>
  <c r="B17" i="15"/>
  <c r="F16" i="15"/>
  <c r="E16" i="15"/>
  <c r="G16" i="15"/>
  <c r="D16" i="15"/>
  <c r="C16" i="15"/>
  <c r="H16" i="15" s="1"/>
  <c r="B16" i="15"/>
  <c r="F15" i="15"/>
  <c r="E15" i="15"/>
  <c r="G15" i="15"/>
  <c r="D15" i="15"/>
  <c r="C15" i="15"/>
  <c r="H15" i="15" s="1"/>
  <c r="B15" i="15"/>
  <c r="F14" i="15"/>
  <c r="E14" i="15"/>
  <c r="G14" i="15"/>
  <c r="D14" i="15"/>
  <c r="C14" i="15"/>
  <c r="B14" i="15"/>
  <c r="F13" i="15"/>
  <c r="E13" i="15"/>
  <c r="G13" i="15"/>
  <c r="D13" i="15"/>
  <c r="C13" i="15"/>
  <c r="H13" i="15" s="1"/>
  <c r="B13" i="15"/>
  <c r="F12" i="15"/>
  <c r="E12" i="15"/>
  <c r="G12" i="15"/>
  <c r="D12" i="15"/>
  <c r="C12" i="15"/>
  <c r="B12" i="15"/>
  <c r="F11" i="15"/>
  <c r="E11" i="15"/>
  <c r="G11" i="15"/>
  <c r="D11" i="15"/>
  <c r="C11" i="15"/>
  <c r="H12" i="15" s="1"/>
  <c r="B11" i="15"/>
  <c r="F10" i="15"/>
  <c r="E10" i="15"/>
  <c r="G10" i="15"/>
  <c r="D10" i="15"/>
  <c r="C10" i="15"/>
  <c r="H10" i="15" s="1"/>
  <c r="B10" i="15"/>
  <c r="F9" i="15"/>
  <c r="E9" i="15"/>
  <c r="G9" i="15"/>
  <c r="D9" i="15"/>
  <c r="C9" i="15"/>
  <c r="B9" i="15"/>
  <c r="F8" i="15"/>
  <c r="E8" i="15"/>
  <c r="G8" i="15"/>
  <c r="D8" i="15"/>
  <c r="C8" i="15"/>
  <c r="H8" i="15" s="1"/>
  <c r="B8" i="15"/>
  <c r="F7" i="15"/>
  <c r="E7" i="15"/>
  <c r="G7" i="15"/>
  <c r="D7" i="15"/>
  <c r="C7" i="15"/>
  <c r="B7" i="15"/>
  <c r="F6" i="15"/>
  <c r="E6" i="15"/>
  <c r="G6" i="15"/>
  <c r="D6" i="15"/>
  <c r="C6" i="15"/>
  <c r="H7" i="15" s="1"/>
  <c r="B6" i="15"/>
  <c r="H5" i="15"/>
  <c r="F5" i="15"/>
  <c r="E5" i="15"/>
  <c r="G5" i="15"/>
  <c r="D5" i="15"/>
  <c r="C5" i="15"/>
  <c r="B5" i="15"/>
  <c r="F4" i="15"/>
  <c r="E4" i="15"/>
  <c r="G4" i="15"/>
  <c r="D4" i="15"/>
  <c r="C4" i="15"/>
  <c r="H4" i="15" s="1"/>
  <c r="B4" i="15"/>
  <c r="F3" i="15"/>
  <c r="E3" i="15"/>
  <c r="G3" i="15"/>
  <c r="D3" i="15"/>
  <c r="C3" i="15"/>
  <c r="H3" i="15" s="1"/>
  <c r="B3" i="15"/>
  <c r="H2" i="15"/>
  <c r="F2" i="15"/>
  <c r="E2" i="15"/>
  <c r="G2" i="15"/>
  <c r="D2" i="15"/>
  <c r="C2" i="15"/>
  <c r="B2" i="15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" i="7"/>
  <c r="J13" i="7"/>
  <c r="J14" i="7"/>
  <c r="J15" i="7"/>
  <c r="J2" i="7"/>
  <c r="I21" i="14"/>
  <c r="I20" i="14"/>
  <c r="F20" i="14"/>
  <c r="E20" i="14"/>
  <c r="D20" i="14"/>
  <c r="C20" i="14"/>
  <c r="B20" i="14"/>
  <c r="N21" i="14" s="1"/>
  <c r="I19" i="14"/>
  <c r="F19" i="14"/>
  <c r="E19" i="14"/>
  <c r="D19" i="14"/>
  <c r="C19" i="14"/>
  <c r="B19" i="14"/>
  <c r="N20" i="14" s="1"/>
  <c r="I18" i="14"/>
  <c r="F18" i="14"/>
  <c r="E18" i="14"/>
  <c r="D18" i="14"/>
  <c r="C18" i="14"/>
  <c r="B18" i="14"/>
  <c r="I17" i="14"/>
  <c r="F17" i="14"/>
  <c r="E17" i="14"/>
  <c r="D17" i="14"/>
  <c r="C17" i="14"/>
  <c r="B17" i="14"/>
  <c r="N18" i="14" s="1"/>
  <c r="I16" i="14"/>
  <c r="F16" i="14"/>
  <c r="E16" i="14"/>
  <c r="D16" i="14"/>
  <c r="C16" i="14"/>
  <c r="B16" i="14"/>
  <c r="N17" i="14" s="1"/>
  <c r="I15" i="14"/>
  <c r="F15" i="14"/>
  <c r="E15" i="14"/>
  <c r="D15" i="14"/>
  <c r="C15" i="14"/>
  <c r="B15" i="14"/>
  <c r="N16" i="14" s="1"/>
  <c r="I14" i="14"/>
  <c r="F14" i="14"/>
  <c r="E14" i="14"/>
  <c r="D14" i="14"/>
  <c r="C14" i="14"/>
  <c r="B14" i="14"/>
  <c r="N15" i="14" s="1"/>
  <c r="I13" i="14"/>
  <c r="F13" i="14"/>
  <c r="E13" i="14"/>
  <c r="D13" i="14"/>
  <c r="C13" i="14"/>
  <c r="B13" i="14"/>
  <c r="N14" i="14" s="1"/>
  <c r="I12" i="14"/>
  <c r="F12" i="14"/>
  <c r="E12" i="14"/>
  <c r="D12" i="14"/>
  <c r="C12" i="14"/>
  <c r="B12" i="14"/>
  <c r="N13" i="14" s="1"/>
  <c r="I11" i="14"/>
  <c r="F11" i="14"/>
  <c r="E11" i="14"/>
  <c r="D11" i="14"/>
  <c r="C11" i="14"/>
  <c r="B11" i="14"/>
  <c r="N12" i="14" s="1"/>
  <c r="I10" i="14"/>
  <c r="F10" i="14"/>
  <c r="E10" i="14"/>
  <c r="D10" i="14"/>
  <c r="C10" i="14"/>
  <c r="B10" i="14"/>
  <c r="N11" i="14" s="1"/>
  <c r="I9" i="14"/>
  <c r="F9" i="14"/>
  <c r="E9" i="14"/>
  <c r="D9" i="14"/>
  <c r="C9" i="14"/>
  <c r="B9" i="14"/>
  <c r="N10" i="14" s="1"/>
  <c r="I8" i="14"/>
  <c r="F8" i="14"/>
  <c r="E8" i="14"/>
  <c r="D8" i="14"/>
  <c r="C8" i="14"/>
  <c r="B8" i="14"/>
  <c r="I7" i="14"/>
  <c r="F7" i="14"/>
  <c r="E7" i="14"/>
  <c r="D7" i="14"/>
  <c r="C7" i="14"/>
  <c r="B7" i="14"/>
  <c r="N8" i="14" s="1"/>
  <c r="I6" i="14"/>
  <c r="F6" i="14"/>
  <c r="E6" i="14"/>
  <c r="D6" i="14"/>
  <c r="C6" i="14"/>
  <c r="B6" i="14"/>
  <c r="I5" i="14"/>
  <c r="F5" i="14"/>
  <c r="E5" i="14"/>
  <c r="D5" i="14"/>
  <c r="C5" i="14"/>
  <c r="B5" i="14"/>
  <c r="N6" i="14" s="1"/>
  <c r="I4" i="14"/>
  <c r="F4" i="14"/>
  <c r="E4" i="14"/>
  <c r="D4" i="14"/>
  <c r="C4" i="14"/>
  <c r="B4" i="14"/>
  <c r="N5" i="14" s="1"/>
  <c r="I3" i="14"/>
  <c r="F3" i="14"/>
  <c r="E3" i="14"/>
  <c r="D3" i="14"/>
  <c r="C3" i="14"/>
  <c r="B3" i="14"/>
  <c r="N4" i="14" s="1"/>
  <c r="I2" i="14"/>
  <c r="F2" i="14"/>
  <c r="E2" i="14"/>
  <c r="D2" i="14"/>
  <c r="C2" i="14"/>
  <c r="B2" i="14"/>
  <c r="N3" i="14" s="1"/>
  <c r="H2" i="6"/>
  <c r="D21" i="13"/>
  <c r="G20" i="13"/>
  <c r="F20" i="13"/>
  <c r="E20" i="13"/>
  <c r="D20" i="13"/>
  <c r="C20" i="13"/>
  <c r="B20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7" i="13"/>
  <c r="F17" i="13"/>
  <c r="E17" i="13"/>
  <c r="D17" i="13"/>
  <c r="C17" i="13"/>
  <c r="B17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G14" i="13"/>
  <c r="F14" i="13"/>
  <c r="E14" i="13"/>
  <c r="D14" i="13"/>
  <c r="C14" i="13"/>
  <c r="B14" i="13"/>
  <c r="G13" i="13"/>
  <c r="F13" i="13"/>
  <c r="E13" i="13"/>
  <c r="D13" i="13"/>
  <c r="C13" i="13"/>
  <c r="B13" i="13"/>
  <c r="G12" i="13"/>
  <c r="F12" i="13"/>
  <c r="E12" i="13"/>
  <c r="D12" i="13"/>
  <c r="C12" i="13"/>
  <c r="B12" i="13"/>
  <c r="G11" i="13"/>
  <c r="F11" i="13"/>
  <c r="E11" i="13"/>
  <c r="D11" i="13"/>
  <c r="C11" i="13"/>
  <c r="B11" i="13"/>
  <c r="G10" i="13"/>
  <c r="F10" i="13"/>
  <c r="E10" i="13"/>
  <c r="D10" i="13"/>
  <c r="C10" i="13"/>
  <c r="B10" i="13"/>
  <c r="G9" i="13"/>
  <c r="F9" i="13"/>
  <c r="E9" i="13"/>
  <c r="D9" i="13"/>
  <c r="C9" i="13"/>
  <c r="B9" i="13"/>
  <c r="G8" i="13"/>
  <c r="F8" i="13"/>
  <c r="E8" i="13"/>
  <c r="D8" i="13"/>
  <c r="C8" i="13"/>
  <c r="B8" i="13"/>
  <c r="G7" i="13"/>
  <c r="F7" i="13"/>
  <c r="E7" i="13"/>
  <c r="D7" i="13"/>
  <c r="C7" i="13"/>
  <c r="B7" i="13"/>
  <c r="G6" i="13"/>
  <c r="F6" i="13"/>
  <c r="E6" i="13"/>
  <c r="D6" i="13"/>
  <c r="C6" i="13"/>
  <c r="B6" i="13"/>
  <c r="G5" i="13"/>
  <c r="F5" i="13"/>
  <c r="E5" i="13"/>
  <c r="D5" i="13"/>
  <c r="C5" i="13"/>
  <c r="B5" i="13"/>
  <c r="G4" i="13"/>
  <c r="F4" i="13"/>
  <c r="E4" i="13"/>
  <c r="D4" i="13"/>
  <c r="C4" i="13"/>
  <c r="B4" i="13"/>
  <c r="G3" i="13"/>
  <c r="F3" i="13"/>
  <c r="E3" i="13"/>
  <c r="D3" i="13"/>
  <c r="C3" i="13"/>
  <c r="B3" i="13"/>
  <c r="G2" i="13"/>
  <c r="F2" i="13"/>
  <c r="E2" i="13"/>
  <c r="D2" i="13"/>
  <c r="C2" i="13"/>
  <c r="B2" i="13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H2" i="8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3" i="12"/>
  <c r="F21" i="12"/>
  <c r="G20" i="12"/>
  <c r="F20" i="12"/>
  <c r="E20" i="12"/>
  <c r="B20" i="12"/>
  <c r="G19" i="12"/>
  <c r="F19" i="12"/>
  <c r="E19" i="12"/>
  <c r="B19" i="12"/>
  <c r="G18" i="12"/>
  <c r="F18" i="12"/>
  <c r="E18" i="12"/>
  <c r="B18" i="12"/>
  <c r="G17" i="12"/>
  <c r="F17" i="12"/>
  <c r="E17" i="12"/>
  <c r="B17" i="12"/>
  <c r="G16" i="12"/>
  <c r="F16" i="12"/>
  <c r="E16" i="12"/>
  <c r="B16" i="12"/>
  <c r="G15" i="12"/>
  <c r="F15" i="12"/>
  <c r="E15" i="12"/>
  <c r="B15" i="12"/>
  <c r="G14" i="12"/>
  <c r="F14" i="12"/>
  <c r="E14" i="12"/>
  <c r="B14" i="12"/>
  <c r="G13" i="12"/>
  <c r="F13" i="12"/>
  <c r="E13" i="12"/>
  <c r="B13" i="12"/>
  <c r="G12" i="12"/>
  <c r="F12" i="12"/>
  <c r="E12" i="12"/>
  <c r="B12" i="12"/>
  <c r="G11" i="12"/>
  <c r="F11" i="12"/>
  <c r="E11" i="12"/>
  <c r="B11" i="12"/>
  <c r="G10" i="12"/>
  <c r="F10" i="12"/>
  <c r="E10" i="12"/>
  <c r="B10" i="12"/>
  <c r="G9" i="12"/>
  <c r="F9" i="12"/>
  <c r="E9" i="12"/>
  <c r="B9" i="12"/>
  <c r="G8" i="12"/>
  <c r="F8" i="12"/>
  <c r="E8" i="12"/>
  <c r="B8" i="12"/>
  <c r="G7" i="12"/>
  <c r="F7" i="12"/>
  <c r="E7" i="12"/>
  <c r="B7" i="12"/>
  <c r="G6" i="12"/>
  <c r="F6" i="12"/>
  <c r="E6" i="12"/>
  <c r="B6" i="12"/>
  <c r="G5" i="12"/>
  <c r="F5" i="12"/>
  <c r="E5" i="12"/>
  <c r="B5" i="12"/>
  <c r="G4" i="12"/>
  <c r="F4" i="12"/>
  <c r="E4" i="12"/>
  <c r="B4" i="12"/>
  <c r="G3" i="12"/>
  <c r="F3" i="12"/>
  <c r="E3" i="12"/>
  <c r="B3" i="12"/>
  <c r="G2" i="12"/>
  <c r="F2" i="12"/>
  <c r="E2" i="12"/>
  <c r="B2" i="12"/>
  <c r="B64" i="2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G19" i="8"/>
  <c r="E19" i="8"/>
  <c r="H20" i="8" s="1"/>
  <c r="B19" i="8"/>
  <c r="G18" i="8"/>
  <c r="E18" i="8"/>
  <c r="H18" i="8" s="1"/>
  <c r="B18" i="8"/>
  <c r="G17" i="8"/>
  <c r="E17" i="8"/>
  <c r="B17" i="8"/>
  <c r="G16" i="8"/>
  <c r="E16" i="8"/>
  <c r="B16" i="8"/>
  <c r="G15" i="8"/>
  <c r="E15" i="8"/>
  <c r="B15" i="8"/>
  <c r="G14" i="8"/>
  <c r="E14" i="8"/>
  <c r="H14" i="8" s="1"/>
  <c r="B14" i="8"/>
  <c r="G13" i="8"/>
  <c r="E13" i="8"/>
  <c r="B13" i="8"/>
  <c r="G12" i="8"/>
  <c r="E12" i="8"/>
  <c r="B12" i="8"/>
  <c r="G11" i="8"/>
  <c r="E11" i="8"/>
  <c r="B11" i="8"/>
  <c r="G10" i="8"/>
  <c r="E10" i="8"/>
  <c r="H10" i="8" s="1"/>
  <c r="B10" i="8"/>
  <c r="G9" i="8"/>
  <c r="E9" i="8"/>
  <c r="H9" i="8" s="1"/>
  <c r="B9" i="8"/>
  <c r="G8" i="8"/>
  <c r="E8" i="8"/>
  <c r="B8" i="8"/>
  <c r="G7" i="8"/>
  <c r="E7" i="8"/>
  <c r="B7" i="8"/>
  <c r="G6" i="8"/>
  <c r="E6" i="8"/>
  <c r="H6" i="8" s="1"/>
  <c r="B6" i="8"/>
  <c r="G5" i="8"/>
  <c r="E5" i="8"/>
  <c r="B5" i="8"/>
  <c r="G4" i="8"/>
  <c r="E4" i="8"/>
  <c r="B4" i="8"/>
  <c r="G3" i="8"/>
  <c r="E3" i="8"/>
  <c r="B3" i="8"/>
  <c r="G2" i="8"/>
  <c r="E2" i="8"/>
  <c r="B2" i="8"/>
  <c r="F19" i="7"/>
  <c r="E19" i="7"/>
  <c r="D19" i="7"/>
  <c r="C19" i="7"/>
  <c r="J19" i="7" s="1"/>
  <c r="B19" i="7"/>
  <c r="F18" i="7"/>
  <c r="E18" i="7"/>
  <c r="D18" i="7"/>
  <c r="C18" i="7"/>
  <c r="J18" i="7" s="1"/>
  <c r="B18" i="7"/>
  <c r="F17" i="7"/>
  <c r="E17" i="7"/>
  <c r="D17" i="7"/>
  <c r="C17" i="7"/>
  <c r="J17" i="7" s="1"/>
  <c r="B17" i="7"/>
  <c r="F16" i="7"/>
  <c r="E16" i="7"/>
  <c r="D16" i="7"/>
  <c r="C16" i="7"/>
  <c r="J16" i="7" s="1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J11" i="7" s="1"/>
  <c r="B11" i="7"/>
  <c r="F10" i="7"/>
  <c r="E10" i="7"/>
  <c r="D10" i="7"/>
  <c r="C10" i="7"/>
  <c r="J10" i="7" s="1"/>
  <c r="B10" i="7"/>
  <c r="F9" i="7"/>
  <c r="E9" i="7"/>
  <c r="D9" i="7"/>
  <c r="C9" i="7"/>
  <c r="J9" i="7" s="1"/>
  <c r="B9" i="7"/>
  <c r="F8" i="7"/>
  <c r="E8" i="7"/>
  <c r="D8" i="7"/>
  <c r="C8" i="7"/>
  <c r="J8" i="7" s="1"/>
  <c r="B8" i="7"/>
  <c r="F7" i="7"/>
  <c r="E7" i="7"/>
  <c r="D7" i="7"/>
  <c r="C7" i="7"/>
  <c r="J7" i="7" s="1"/>
  <c r="B7" i="7"/>
  <c r="F6" i="7"/>
  <c r="E6" i="7"/>
  <c r="D6" i="7"/>
  <c r="C6" i="7"/>
  <c r="J6" i="7" s="1"/>
  <c r="B6" i="7"/>
  <c r="F5" i="7"/>
  <c r="E5" i="7"/>
  <c r="D5" i="7"/>
  <c r="C5" i="7"/>
  <c r="J5" i="7" s="1"/>
  <c r="B5" i="7"/>
  <c r="F4" i="7"/>
  <c r="E4" i="7"/>
  <c r="D4" i="7"/>
  <c r="C4" i="7"/>
  <c r="J4" i="7" s="1"/>
  <c r="B4" i="7"/>
  <c r="F3" i="7"/>
  <c r="E3" i="7"/>
  <c r="D3" i="7"/>
  <c r="C3" i="7"/>
  <c r="J3" i="7" s="1"/>
  <c r="B3" i="7"/>
  <c r="F2" i="7"/>
  <c r="E2" i="7"/>
  <c r="D2" i="7"/>
  <c r="C2" i="7"/>
  <c r="B2" i="7"/>
  <c r="B2" i="6"/>
  <c r="C2" i="6"/>
  <c r="E2" i="6"/>
  <c r="F2" i="6"/>
  <c r="G2" i="6"/>
  <c r="B3" i="6"/>
  <c r="C3" i="6"/>
  <c r="E3" i="6"/>
  <c r="F3" i="6"/>
  <c r="G3" i="6"/>
  <c r="B4" i="6"/>
  <c r="C4" i="6"/>
  <c r="E4" i="6"/>
  <c r="F4" i="6"/>
  <c r="G4" i="6"/>
  <c r="B5" i="6"/>
  <c r="C5" i="6"/>
  <c r="E5" i="6"/>
  <c r="F5" i="6"/>
  <c r="G5" i="6"/>
  <c r="B6" i="6"/>
  <c r="C6" i="6"/>
  <c r="E6" i="6"/>
  <c r="F6" i="6"/>
  <c r="G6" i="6"/>
  <c r="B7" i="6"/>
  <c r="C7" i="6"/>
  <c r="E7" i="6"/>
  <c r="F7" i="6"/>
  <c r="G7" i="6"/>
  <c r="B8" i="6"/>
  <c r="C8" i="6"/>
  <c r="E8" i="6"/>
  <c r="F8" i="6"/>
  <c r="G8" i="6"/>
  <c r="B9" i="6"/>
  <c r="C9" i="6"/>
  <c r="H10" i="6" s="1"/>
  <c r="E9" i="6"/>
  <c r="F9" i="6"/>
  <c r="G9" i="6"/>
  <c r="B10" i="6"/>
  <c r="C10" i="6"/>
  <c r="E10" i="6"/>
  <c r="F10" i="6"/>
  <c r="G10" i="6"/>
  <c r="B11" i="6"/>
  <c r="C11" i="6"/>
  <c r="E11" i="6"/>
  <c r="F11" i="6"/>
  <c r="G11" i="6"/>
  <c r="B12" i="6"/>
  <c r="C12" i="6"/>
  <c r="E12" i="6"/>
  <c r="F12" i="6"/>
  <c r="G12" i="6"/>
  <c r="B13" i="6"/>
  <c r="C13" i="6"/>
  <c r="E13" i="6"/>
  <c r="F13" i="6"/>
  <c r="G13" i="6"/>
  <c r="B14" i="6"/>
  <c r="C14" i="6"/>
  <c r="E14" i="6"/>
  <c r="F14" i="6"/>
  <c r="G14" i="6"/>
  <c r="B15" i="6"/>
  <c r="C15" i="6"/>
  <c r="H15" i="6" s="1"/>
  <c r="E15" i="6"/>
  <c r="F15" i="6"/>
  <c r="G15" i="6"/>
  <c r="B16" i="6"/>
  <c r="C16" i="6"/>
  <c r="E16" i="6"/>
  <c r="F16" i="6"/>
  <c r="G16" i="6"/>
  <c r="B17" i="6"/>
  <c r="C17" i="6"/>
  <c r="E17" i="6"/>
  <c r="F17" i="6"/>
  <c r="G17" i="6"/>
  <c r="B18" i="6"/>
  <c r="C18" i="6"/>
  <c r="E18" i="6"/>
  <c r="F18" i="6"/>
  <c r="G18" i="6"/>
  <c r="B19" i="6"/>
  <c r="C19" i="6"/>
  <c r="E19" i="6"/>
  <c r="F19" i="6"/>
  <c r="G19" i="6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  <c r="D31" i="2"/>
  <c r="D32" i="2"/>
  <c r="D33" i="2"/>
  <c r="D34" i="2"/>
  <c r="D35" i="2"/>
  <c r="D36" i="2"/>
  <c r="D37" i="2"/>
  <c r="D38" i="2"/>
  <c r="D40" i="2"/>
  <c r="D41" i="2"/>
  <c r="D42" i="2"/>
  <c r="D43" i="2"/>
  <c r="D44" i="2"/>
  <c r="D45" i="2"/>
  <c r="D46" i="2"/>
  <c r="D47" i="2"/>
  <c r="D48" i="2"/>
  <c r="D49" i="2"/>
  <c r="D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30" i="2"/>
  <c r="S30" i="2"/>
  <c r="R30" i="2" s="1"/>
  <c r="R49" i="2"/>
  <c r="S48" i="2"/>
  <c r="R48" i="2" s="1"/>
  <c r="S47" i="2"/>
  <c r="R47" i="2" s="1"/>
  <c r="S46" i="2"/>
  <c r="R46" i="2" s="1"/>
  <c r="S45" i="2"/>
  <c r="R45" i="2" s="1"/>
  <c r="S44" i="2"/>
  <c r="R44" i="2" s="1"/>
  <c r="S43" i="2"/>
  <c r="R43" i="2" s="1"/>
  <c r="S42" i="2"/>
  <c r="R42" i="2" s="1"/>
  <c r="S41" i="2"/>
  <c r="R41" i="2" s="1"/>
  <c r="S40" i="2"/>
  <c r="R40" i="2" s="1"/>
  <c r="S39" i="2"/>
  <c r="R39" i="2" s="1"/>
  <c r="S38" i="2"/>
  <c r="R38" i="2" s="1"/>
  <c r="S37" i="2"/>
  <c r="R37" i="2" s="1"/>
  <c r="S36" i="2"/>
  <c r="R36" i="2" s="1"/>
  <c r="S35" i="2"/>
  <c r="R35" i="2" s="1"/>
  <c r="S34" i="2"/>
  <c r="R34" i="2" s="1"/>
  <c r="S33" i="2"/>
  <c r="R33" i="2" s="1"/>
  <c r="S32" i="2"/>
  <c r="R32" i="2" s="1"/>
  <c r="S31" i="2"/>
  <c r="R31" i="2" s="1"/>
  <c r="R7" i="2"/>
  <c r="R25" i="2" s="1"/>
  <c r="R6" i="2"/>
  <c r="R5" i="2"/>
  <c r="G9" i="2"/>
  <c r="G11" i="2"/>
  <c r="G14" i="2"/>
  <c r="G17" i="2"/>
  <c r="G21" i="2"/>
  <c r="U3" i="2"/>
  <c r="G3" i="2" s="1"/>
  <c r="U4" i="2"/>
  <c r="G4" i="2" s="1"/>
  <c r="U5" i="2"/>
  <c r="U6" i="2"/>
  <c r="U7" i="2"/>
  <c r="G7" i="2" s="1"/>
  <c r="U8" i="2"/>
  <c r="G8" i="2" s="1"/>
  <c r="U9" i="2"/>
  <c r="U10" i="2"/>
  <c r="G10" i="2" s="1"/>
  <c r="U11" i="2"/>
  <c r="U12" i="2"/>
  <c r="G12" i="2" s="1"/>
  <c r="U13" i="2"/>
  <c r="G13" i="2" s="1"/>
  <c r="U14" i="2"/>
  <c r="U15" i="2"/>
  <c r="G15" i="2" s="1"/>
  <c r="U16" i="2"/>
  <c r="G16" i="2" s="1"/>
  <c r="U17" i="2"/>
  <c r="U18" i="2"/>
  <c r="G18" i="2" s="1"/>
  <c r="U19" i="2"/>
  <c r="G19" i="2" s="1"/>
  <c r="U20" i="2"/>
  <c r="G20" i="2" s="1"/>
  <c r="U21" i="2"/>
  <c r="U2" i="2"/>
  <c r="G2" i="2" s="1"/>
  <c r="E17" i="2"/>
  <c r="M9" i="2"/>
  <c r="E9" i="2" s="1"/>
  <c r="M11" i="2"/>
  <c r="E11" i="2" s="1"/>
  <c r="M14" i="2"/>
  <c r="E14" i="2" s="1"/>
  <c r="M17" i="2"/>
  <c r="M21" i="2"/>
  <c r="E21" i="2" s="1"/>
  <c r="L3" i="2"/>
  <c r="M3" i="2" s="1"/>
  <c r="E3" i="2" s="1"/>
  <c r="L4" i="2"/>
  <c r="M4" i="2" s="1"/>
  <c r="E4" i="2" s="1"/>
  <c r="L5" i="2"/>
  <c r="M5" i="2" s="1"/>
  <c r="E5" i="2" s="1"/>
  <c r="L6" i="2"/>
  <c r="M6" i="2" s="1"/>
  <c r="E6" i="2" s="1"/>
  <c r="L7" i="2"/>
  <c r="M7" i="2" s="1"/>
  <c r="E7" i="2" s="1"/>
  <c r="L8" i="2"/>
  <c r="M8" i="2" s="1"/>
  <c r="E8" i="2" s="1"/>
  <c r="L9" i="2"/>
  <c r="L10" i="2"/>
  <c r="M10" i="2" s="1"/>
  <c r="E10" i="2" s="1"/>
  <c r="L11" i="2"/>
  <c r="L12" i="2"/>
  <c r="M12" i="2" s="1"/>
  <c r="E12" i="2" s="1"/>
  <c r="L13" i="2"/>
  <c r="M13" i="2" s="1"/>
  <c r="E13" i="2" s="1"/>
  <c r="L14" i="2"/>
  <c r="L15" i="2"/>
  <c r="M15" i="2" s="1"/>
  <c r="E15" i="2" s="1"/>
  <c r="L16" i="2"/>
  <c r="M16" i="2" s="1"/>
  <c r="E16" i="2" s="1"/>
  <c r="L17" i="2"/>
  <c r="L18" i="2"/>
  <c r="M18" i="2" s="1"/>
  <c r="E18" i="2" s="1"/>
  <c r="L19" i="2"/>
  <c r="M19" i="2" s="1"/>
  <c r="E19" i="2" s="1"/>
  <c r="L20" i="2"/>
  <c r="M20" i="2" s="1"/>
  <c r="E20" i="2" s="1"/>
  <c r="L21" i="2"/>
  <c r="L2" i="2"/>
  <c r="M2" i="2" s="1"/>
  <c r="E2" i="2" s="1"/>
  <c r="O14" i="14" l="1"/>
  <c r="O22" i="14"/>
  <c r="O10" i="14"/>
  <c r="O21" i="14"/>
  <c r="O9" i="14"/>
  <c r="O20" i="14"/>
  <c r="O8" i="14"/>
  <c r="O19" i="14"/>
  <c r="O7" i="14"/>
  <c r="O18" i="14"/>
  <c r="O4" i="14"/>
  <c r="O3" i="14"/>
  <c r="H14" i="15"/>
  <c r="H9" i="15"/>
  <c r="H11" i="15"/>
  <c r="H6" i="15"/>
  <c r="J12" i="7"/>
  <c r="J20" i="7"/>
  <c r="H19" i="6"/>
  <c r="H7" i="6"/>
  <c r="H14" i="6"/>
  <c r="H17" i="6"/>
  <c r="H5" i="6"/>
  <c r="H13" i="6"/>
  <c r="H16" i="6"/>
  <c r="H4" i="6"/>
  <c r="H11" i="6"/>
  <c r="H18" i="6"/>
  <c r="H6" i="6"/>
  <c r="H8" i="6"/>
  <c r="H3" i="6"/>
  <c r="H12" i="6"/>
  <c r="H9" i="6"/>
  <c r="H20" i="6"/>
  <c r="H4" i="8"/>
  <c r="H8" i="8"/>
  <c r="H12" i="8"/>
  <c r="H16" i="8"/>
  <c r="H3" i="8"/>
  <c r="H7" i="8"/>
  <c r="H11" i="8"/>
  <c r="H15" i="8"/>
  <c r="H5" i="8"/>
  <c r="H13" i="8"/>
  <c r="H17" i="8"/>
  <c r="H19" i="8"/>
  <c r="G5" i="2"/>
  <c r="G6" i="2"/>
  <c r="R53" i="2"/>
</calcChain>
</file>

<file path=xl/sharedStrings.xml><?xml version="1.0" encoding="utf-8"?>
<sst xmlns="http://schemas.openxmlformats.org/spreadsheetml/2006/main" count="120" uniqueCount="76">
  <si>
    <t>YEAR</t>
  </si>
  <si>
    <t>GDPCZ : https://www.czso.cz/csu/czso/vyvoj-hrubeho-domaciho-produktu-v-cr-ve-stalych-cenach</t>
  </si>
  <si>
    <t>GDPCZ mil CZK</t>
  </si>
  <si>
    <t>GER in bil USD</t>
  </si>
  <si>
    <t>CZ in bil USD</t>
  </si>
  <si>
    <t>year</t>
  </si>
  <si>
    <t>CZexportoGR</t>
  </si>
  <si>
    <t>CZforExchRate</t>
  </si>
  <si>
    <t>GRtotBeerCons</t>
  </si>
  <si>
    <t>CompetitorPRice</t>
  </si>
  <si>
    <t>EUR</t>
  </si>
  <si>
    <t>EUR (thous)</t>
  </si>
  <si>
    <t xml:space="preserve">EUR/CZK </t>
  </si>
  <si>
    <t>total, hl</t>
  </si>
  <si>
    <t>https://www.statista.com/statistics/508273/beverages-per-capita-consumption-by-type-germany/</t>
  </si>
  <si>
    <t>population</t>
  </si>
  <si>
    <t>https://www.macrotrends.net/countries/DEU/germany/population</t>
  </si>
  <si>
    <t>consum beer per capita liters</t>
  </si>
  <si>
    <t>consum of beer in L</t>
  </si>
  <si>
    <t>conum of beer in HL</t>
  </si>
  <si>
    <t>avg exp price</t>
  </si>
  <si>
    <t>Netto kg= L</t>
  </si>
  <si>
    <t>stat hodnota EUR tis</t>
  </si>
  <si>
    <t>hodnot EUR</t>
  </si>
  <si>
    <t>avg dummy</t>
  </si>
  <si>
    <t>CompetitorPRice%</t>
  </si>
  <si>
    <t>CompetitorPRiceUSD</t>
  </si>
  <si>
    <t>%</t>
  </si>
  <si>
    <t>COMP PRICE FINAL</t>
  </si>
  <si>
    <t>COMP PRICE IN EUR</t>
  </si>
  <si>
    <t>total MIL</t>
  </si>
  <si>
    <t>TOTAL MIL</t>
  </si>
  <si>
    <t>AVG</t>
  </si>
  <si>
    <t>2022 dummy (dont need)</t>
  </si>
  <si>
    <t>per liter / Kg</t>
  </si>
  <si>
    <t>AVGpriceCZbeertoGR</t>
  </si>
  <si>
    <t>DKK</t>
  </si>
  <si>
    <t>https://www.statbank.dk/KN8Y</t>
  </si>
  <si>
    <t>beer vol exp to GR</t>
  </si>
  <si>
    <t>https://www.trademap.org/Bilateral_TS.aspx?nvpm=1%7c276%7c%7c208%7c%7c2203%7c%7c%7c4%7c1%7c1%7c1%7c2%7c1%7c1%7c1%7c1%7c1</t>
  </si>
  <si>
    <t>correction</t>
  </si>
  <si>
    <t>avg price</t>
  </si>
  <si>
    <t>DKK volume sold</t>
  </si>
  <si>
    <t>DKK * 1000</t>
  </si>
  <si>
    <t>Exch DKK/EUR</t>
  </si>
  <si>
    <t>https://freecurrencyrates.com/en/exchange-rate-history/DKK-EUR/2004/cbr</t>
  </si>
  <si>
    <t>DKK CURRENCY VOLUME</t>
  </si>
  <si>
    <t>inflace GR: https://www.macrotrends.net/countries/DEU/germany/inflation-rate-cpi</t>
  </si>
  <si>
    <t>inflaceCZ: https://www.czso.cz/csu/czso/prumerna-rocni-mira-inflace-v-letech-1998-2022</t>
  </si>
  <si>
    <t>GDP GER: https://de.statista.com/statistik/daten/studie/1251/umfrage/entwicklung-des-bruttoinlandsprodukts-seit-dem-jahr-1991/</t>
  </si>
  <si>
    <t>y_EX</t>
  </si>
  <si>
    <t>infl_ger</t>
  </si>
  <si>
    <t>infl_cz</t>
  </si>
  <si>
    <t>gdp_ger</t>
  </si>
  <si>
    <t>exch</t>
  </si>
  <si>
    <t>price_dk</t>
  </si>
  <si>
    <t>diff_exch</t>
  </si>
  <si>
    <t>y</t>
  </si>
  <si>
    <t>avgprice_cz</t>
  </si>
  <si>
    <t>avgprice_dk</t>
  </si>
  <si>
    <t>inf_ger</t>
  </si>
  <si>
    <t>inf_cz</t>
  </si>
  <si>
    <t>exchrate</t>
  </si>
  <si>
    <t>totcons_ger</t>
  </si>
  <si>
    <t>diff_exchr</t>
  </si>
  <si>
    <t>exchrate_x</t>
  </si>
  <si>
    <t>totcons_ger_x</t>
  </si>
  <si>
    <t>exchr_x</t>
  </si>
  <si>
    <t>beercons_ger_x</t>
  </si>
  <si>
    <t>dummy_inf_ger</t>
  </si>
  <si>
    <t>inf_ger_x</t>
  </si>
  <si>
    <t>mby lagged exch rate</t>
  </si>
  <si>
    <t>per liter /kg</t>
  </si>
  <si>
    <t>Czech beer exports(EUR thous.)</t>
  </si>
  <si>
    <t>Export growth rate</t>
  </si>
  <si>
    <t>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</si>
</sst>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_ ;\-0.000\ 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rgb="FF002B54"/>
      <name val="Calibri"/>
      <family val="2"/>
      <scheme val="minor"/>
    </font>
    <font>
      <sz val="11"/>
      <name val="Calibri"/>
      <family val="2"/>
      <scheme val="minor"/>
    </font>
    <font>
      <sz val="10"/>
      <color rgb="FF2526A9"/>
      <name val="Arial"/>
      <family val="2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8F8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3" borderId="0" applyNumberFormat="0" applyBorder="0" applyAlignment="0" applyProtection="0"/>
    <xf numFmtId="43" fontId="14" fillId="0" borderId="0" applyFont="0" applyFill="0" applyBorder="0" applyAlignment="0" applyProtection="0"/>
  </cellStyleXfs>
  <cellXfs count="44">
    <xf numFmtId="0" fontId="0" fillId="0" borderId="0" xfId="0"/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2" borderId="0" xfId="0" applyFill="1"/>
    <xf numFmtId="164" fontId="2" fillId="2" borderId="1" xfId="1" applyNumberFormat="1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6" fillId="3" borderId="0" xfId="3" applyNumberFormat="1"/>
    <xf numFmtId="0" fontId="9" fillId="5" borderId="10" xfId="0" applyFont="1" applyFill="1" applyBorder="1" applyAlignment="1">
      <alignment horizontal="right" wrapText="1"/>
    </xf>
    <xf numFmtId="0" fontId="0" fillId="4" borderId="0" xfId="0" applyFill="1"/>
    <xf numFmtId="0" fontId="0" fillId="6" borderId="0" xfId="0" applyFill="1"/>
    <xf numFmtId="0" fontId="8" fillId="0" borderId="0" xfId="0" applyFont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164" fontId="10" fillId="0" borderId="1" xfId="1" applyNumberFormat="1" applyFont="1" applyBorder="1" applyAlignment="1">
      <alignment horizontal="right"/>
    </xf>
    <xf numFmtId="165" fontId="0" fillId="0" borderId="0" xfId="0" applyNumberFormat="1"/>
    <xf numFmtId="165" fontId="10" fillId="0" borderId="1" xfId="1" applyNumberFormat="1" applyFont="1" applyBorder="1" applyAlignment="1">
      <alignment horizontal="right"/>
    </xf>
    <xf numFmtId="165" fontId="3" fillId="0" borderId="0" xfId="0" applyNumberFormat="1" applyFont="1"/>
    <xf numFmtId="0" fontId="11" fillId="7" borderId="13" xfId="0" applyFont="1" applyFill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10" fillId="0" borderId="2" xfId="1" applyNumberFormat="1" applyFont="1" applyBorder="1" applyAlignment="1">
      <alignment horizontal="right"/>
    </xf>
    <xf numFmtId="1" fontId="0" fillId="0" borderId="0" xfId="0" applyNumberFormat="1"/>
    <xf numFmtId="0" fontId="12" fillId="0" borderId="0" xfId="0" applyFont="1"/>
    <xf numFmtId="0" fontId="13" fillId="0" borderId="0" xfId="0" applyFont="1"/>
    <xf numFmtId="165" fontId="13" fillId="0" borderId="0" xfId="0" applyNumberFormat="1" applyFont="1"/>
    <xf numFmtId="165" fontId="13" fillId="0" borderId="1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2" fontId="0" fillId="0" borderId="0" xfId="4" applyNumberFormat="1" applyFont="1"/>
    <xf numFmtId="2" fontId="0" fillId="0" borderId="0" xfId="0" applyNumberFormat="1"/>
    <xf numFmtId="1" fontId="0" fillId="0" borderId="14" xfId="0" applyNumberFormat="1" applyBorder="1"/>
    <xf numFmtId="165" fontId="0" fillId="0" borderId="4" xfId="0" applyNumberFormat="1" applyBorder="1"/>
    <xf numFmtId="165" fontId="3" fillId="0" borderId="4" xfId="0" applyNumberFormat="1" applyFon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Bad" xfId="3" builtinId="27"/>
    <cellStyle name="Comma" xfId="4" builtinId="3"/>
    <cellStyle name="Normal" xfId="0" builtinId="0"/>
    <cellStyle name="Normal 2" xfId="1" xr:uid="{75FA6662-5E80-4129-983F-50AC64B83CBB}"/>
    <cellStyle name="normální 3 3 2 2" xfId="2" xr:uid="{A8CBEE7D-ECE3-4E4B-ACD6-CE286F843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'greta (2)'!$B$46</c:f>
              <c:strCache>
                <c:ptCount val="1"/>
                <c:pt idx="0">
                  <c:v>avgprice_dk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'greta (2)'!$A$47:$A$66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'greta (2)'!$B$47:$B$66</c:f>
              <c:numCache>
                <c:formatCode>0.000</c:formatCode>
                <c:ptCount val="20"/>
                <c:pt idx="0" formatCode="0.00">
                  <c:v>1.3087952428222358</c:v>
                </c:pt>
                <c:pt idx="1">
                  <c:v>1.6040033454283436</c:v>
                </c:pt>
                <c:pt idx="2">
                  <c:v>0.91965046172038489</c:v>
                </c:pt>
                <c:pt idx="3">
                  <c:v>0.82432361254552378</c:v>
                </c:pt>
                <c:pt idx="4">
                  <c:v>0.82371410754225949</c:v>
                </c:pt>
                <c:pt idx="5">
                  <c:v>0.80316759966190476</c:v>
                </c:pt>
                <c:pt idx="6">
                  <c:v>0.58179668646112959</c:v>
                </c:pt>
                <c:pt idx="7">
                  <c:v>0.58782209517575712</c:v>
                </c:pt>
                <c:pt idx="8">
                  <c:v>0.61049855931089569</c:v>
                </c:pt>
                <c:pt idx="9">
                  <c:v>0.64958788517121446</c:v>
                </c:pt>
                <c:pt idx="10">
                  <c:v>0.62014514059782033</c:v>
                </c:pt>
                <c:pt idx="11">
                  <c:v>0.58388534132410974</c:v>
                </c:pt>
                <c:pt idx="12">
                  <c:v>0.64690198155124856</c:v>
                </c:pt>
                <c:pt idx="13">
                  <c:v>0.60707355620178338</c:v>
                </c:pt>
                <c:pt idx="14">
                  <c:v>0.61870273324852654</c:v>
                </c:pt>
                <c:pt idx="15">
                  <c:v>0.62275382464684725</c:v>
                </c:pt>
                <c:pt idx="16">
                  <c:v>0.61525499942069284</c:v>
                </c:pt>
                <c:pt idx="17">
                  <c:v>0.61061220754848666</c:v>
                </c:pt>
                <c:pt idx="18">
                  <c:v>0.60127399265714698</c:v>
                </c:pt>
                <c:pt idx="19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939-81FE-2B7997D380E1}"/>
            </c:ext>
          </c:extLst>
        </c:ser>
        <c:ser>
          <c:idx val="1"/>
          <c:order val="1"/>
          <c:tx>
            <c:strRef>
              <c:f>'greta (2)'!$C$46</c:f>
              <c:strCache>
                <c:ptCount val="1"/>
                <c:pt idx="0">
                  <c:v>avgprice_cz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'greta (2)'!$A$47:$A$66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'greta (2)'!$C$47:$C$66</c:f>
              <c:numCache>
                <c:formatCode>0.000</c:formatCode>
                <c:ptCount val="20"/>
                <c:pt idx="0" formatCode="0.00">
                  <c:v>0.3864703571466942</c:v>
                </c:pt>
                <c:pt idx="1">
                  <c:v>0.3864703571466942</c:v>
                </c:pt>
                <c:pt idx="2">
                  <c:v>0.3770044128505981</c:v>
                </c:pt>
                <c:pt idx="3">
                  <c:v>0.4900909921089836</c:v>
                </c:pt>
                <c:pt idx="4">
                  <c:v>0.44585513020962814</c:v>
                </c:pt>
                <c:pt idx="5">
                  <c:v>0.51222890312275315</c:v>
                </c:pt>
                <c:pt idx="6">
                  <c:v>0.36393001055694085</c:v>
                </c:pt>
                <c:pt idx="7">
                  <c:v>0.35735443429865243</c:v>
                </c:pt>
                <c:pt idx="8">
                  <c:v>0.38354941465135794</c:v>
                </c:pt>
                <c:pt idx="9">
                  <c:v>0.48678377392599348</c:v>
                </c:pt>
                <c:pt idx="10">
                  <c:v>0.53251229863190785</c:v>
                </c:pt>
                <c:pt idx="11">
                  <c:v>0.54040354722504547</c:v>
                </c:pt>
                <c:pt idx="12">
                  <c:v>0.56113967103712659</c:v>
                </c:pt>
                <c:pt idx="13">
                  <c:v>0.57511478539558314</c:v>
                </c:pt>
                <c:pt idx="14">
                  <c:v>0.5675313827283206</c:v>
                </c:pt>
                <c:pt idx="15">
                  <c:v>0.55588912538717272</c:v>
                </c:pt>
                <c:pt idx="16">
                  <c:v>0.61308492941953019</c:v>
                </c:pt>
                <c:pt idx="17">
                  <c:v>0.52444312412435068</c:v>
                </c:pt>
                <c:pt idx="18">
                  <c:v>0.49782745587713029</c:v>
                </c:pt>
                <c:pt idx="19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939-81FE-2B7997D3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3141328"/>
        <c:axId val="1543136528"/>
      </c:lineChart>
      <c:catAx>
        <c:axId val="15431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136528"/>
        <c:crosses val="autoZero"/>
        <c:auto val="1"/>
        <c:lblAlgn val="ctr"/>
        <c:lblOffset val="100"/>
        <c:noMultiLvlLbl val="0"/>
      </c:catAx>
      <c:valAx>
        <c:axId val="15431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14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'greta + ma + 2003'!$N$1:$N$2</c:f>
              <c:strCache>
                <c:ptCount val="2"/>
                <c:pt idx="0">
                  <c:v>Czech beer exports(EUR thous.)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'greta + ma + 2003'!$M$3:$M$22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'greta + ma + 2003'!$N$3:$N$22</c:f>
              <c:numCache>
                <c:formatCode>0.000</c:formatCode>
                <c:ptCount val="20"/>
                <c:pt idx="0">
                  <c:v>27978</c:v>
                </c:pt>
                <c:pt idx="1">
                  <c:v>31619</c:v>
                </c:pt>
                <c:pt idx="2">
                  <c:v>35279</c:v>
                </c:pt>
                <c:pt idx="3">
                  <c:v>49058</c:v>
                </c:pt>
                <c:pt idx="4">
                  <c:v>44630</c:v>
                </c:pt>
                <c:pt idx="5">
                  <c:v>51274</c:v>
                </c:pt>
                <c:pt idx="6">
                  <c:v>50230</c:v>
                </c:pt>
                <c:pt idx="7">
                  <c:v>40673</c:v>
                </c:pt>
                <c:pt idx="8">
                  <c:v>39078</c:v>
                </c:pt>
                <c:pt idx="9">
                  <c:v>43862</c:v>
                </c:pt>
                <c:pt idx="10">
                  <c:v>46508</c:v>
                </c:pt>
                <c:pt idx="11">
                  <c:v>48418</c:v>
                </c:pt>
                <c:pt idx="12">
                  <c:v>52953</c:v>
                </c:pt>
                <c:pt idx="13">
                  <c:v>55923</c:v>
                </c:pt>
                <c:pt idx="14">
                  <c:v>54100</c:v>
                </c:pt>
                <c:pt idx="15">
                  <c:v>58102</c:v>
                </c:pt>
                <c:pt idx="16">
                  <c:v>65072</c:v>
                </c:pt>
                <c:pt idx="17">
                  <c:v>57071</c:v>
                </c:pt>
                <c:pt idx="18">
                  <c:v>54888</c:v>
                </c:pt>
                <c:pt idx="19">
                  <c:v>53172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1-419F-9720-3BF18EA6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142336"/>
        <c:axId val="2036148096"/>
      </c:lineChart>
      <c:catAx>
        <c:axId val="203614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148096"/>
        <c:crosses val="autoZero"/>
        <c:auto val="1"/>
        <c:lblAlgn val="ctr"/>
        <c:lblOffset val="100"/>
        <c:noMultiLvlLbl val="0"/>
      </c:catAx>
      <c:valAx>
        <c:axId val="20361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14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'greta + ma + 2003'!$O$23:$O$24</c:f>
              <c:strCache>
                <c:ptCount val="2"/>
                <c:pt idx="0">
                  <c:v>Export growth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'greta + ma + 2003'!$N$25:$N$44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'greta + ma + 2003'!$O$25:$O$44</c:f>
              <c:numCache>
                <c:formatCode>0.000</c:formatCode>
                <c:ptCount val="20"/>
                <c:pt idx="0">
                  <c:v>0.90049324469225822</c:v>
                </c:pt>
                <c:pt idx="1">
                  <c:v>0.68164711091432362</c:v>
                </c:pt>
                <c:pt idx="2">
                  <c:v>0.50718557782250062</c:v>
                </c:pt>
                <c:pt idx="3">
                  <c:v>8.3859920909943333E-2</c:v>
                </c:pt>
                <c:pt idx="4">
                  <c:v>0.19139592202554337</c:v>
                </c:pt>
                <c:pt idx="5">
                  <c:v>3.701681163942739E-2</c:v>
                </c:pt>
                <c:pt idx="6">
                  <c:v>5.8570575353374475E-2</c:v>
                </c:pt>
                <c:pt idx="7">
                  <c:v>0.3073046001032626</c:v>
                </c:pt>
                <c:pt idx="8">
                  <c:v>0.36066328880700138</c:v>
                </c:pt>
                <c:pt idx="9">
                  <c:v>0.21225662304500478</c:v>
                </c:pt>
                <c:pt idx="10">
                  <c:v>0.14328717639975919</c:v>
                </c:pt>
                <c:pt idx="11">
                  <c:v>9.8186624808955347E-2</c:v>
                </c:pt>
                <c:pt idx="12">
                  <c:v>4.1357430173927824E-3</c:v>
                </c:pt>
                <c:pt idx="13">
                  <c:v>-4.9192639879834771E-2</c:v>
                </c:pt>
                <c:pt idx="14">
                  <c:v>-1.7153419593345657E-2</c:v>
                </c:pt>
                <c:pt idx="15">
                  <c:v>-8.4850779663350653E-2</c:v>
                </c:pt>
                <c:pt idx="16">
                  <c:v>-0.18287435456110154</c:v>
                </c:pt>
                <c:pt idx="17">
                  <c:v>-6.831841040107936E-2</c:v>
                </c:pt>
                <c:pt idx="18">
                  <c:v>-3.1263664188893744E-2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C-49EC-9415-B0E1B265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369183"/>
        <c:axId val="907367263"/>
      </c:lineChart>
      <c:catAx>
        <c:axId val="90736918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67263"/>
        <c:crosses val="autoZero"/>
        <c:auto val="1"/>
        <c:lblAlgn val="ctr"/>
        <c:lblOffset val="100"/>
        <c:noMultiLvlLbl val="0"/>
      </c:catAx>
      <c:valAx>
        <c:axId val="9073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6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820615</xdr:colOff>
      <xdr:row>21</xdr:row>
      <xdr:rowOff>23446</xdr:rowOff>
    </xdr:from>
    <xdr:to>
      <xdr:col>7</xdr:col>
      <xdr:colOff>117230</xdr:colOff>
      <xdr:row>43</xdr:row>
      <xdr:rowOff>55222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A3CDC-83AB-F666-8193-F620B6755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215" y="3962400"/>
          <a:ext cx="5802923" cy="4158299"/>
        </a:xfrm>
        <a:prstGeom prst="rect">
          <a:avLst/>
        </a:prstGeom>
      </xdr:spPr>
    </xdr:pic>
    <xdr:clientData/>
  </xdr:twoCellAnchor>
  <xdr:twoCellAnchor editAs="oneCell">
    <xdr:from>
      <xdr:col>8</xdr:col>
      <xdr:colOff>117231</xdr:colOff>
      <xdr:row>1</xdr:row>
      <xdr:rowOff>11031</xdr:rowOff>
    </xdr:from>
    <xdr:to>
      <xdr:col>18</xdr:col>
      <xdr:colOff>333416</xdr:colOff>
      <xdr:row>14</xdr:row>
      <xdr:rowOff>22756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0F9528-C0D6-65F7-4F52-5B8270A9F1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080" b="24256"/>
        <a:stretch/>
      </xdr:blipFill>
      <xdr:spPr>
        <a:xfrm>
          <a:off x="7826878" y="190325"/>
          <a:ext cx="6312185" cy="2342549"/>
        </a:xfrm>
        <a:prstGeom prst="rect">
          <a:avLst/>
        </a:prstGeom>
      </xdr:spPr>
    </xdr:pic>
    <xdr:clientData/>
  </xdr:twoCellAnchor>
  <xdr:twoCellAnchor editAs="oneCell">
    <xdr:from>
      <xdr:col>8</xdr:col>
      <xdr:colOff>82062</xdr:colOff>
      <xdr:row>14</xdr:row>
      <xdr:rowOff>105507</xdr:rowOff>
    </xdr:from>
    <xdr:to>
      <xdr:col>18</xdr:col>
      <xdr:colOff>351692</xdr:colOff>
      <xdr:row>22</xdr:row>
      <xdr:rowOff>121120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5F4253-65CF-8F49-6235-5125F2809D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4815" b="47908"/>
        <a:stretch/>
      </xdr:blipFill>
      <xdr:spPr>
        <a:xfrm>
          <a:off x="7807570" y="2731476"/>
          <a:ext cx="6365630" cy="1516167"/>
        </a:xfrm>
        <a:prstGeom prst="rect">
          <a:avLst/>
        </a:prstGeom>
      </xdr:spPr>
    </xdr:pic>
    <xdr:clientData/>
  </xdr:twoCellAnchor>
  <xdr:twoCellAnchor>
    <xdr:from>
      <xdr:col>3</xdr:col>
      <xdr:colOff>1098176</xdr:colOff>
      <xdr:row>49</xdr:row>
      <xdr:rowOff>62753</xdr:rowOff>
    </xdr:from>
    <xdr:to>
      <xdr:col>8</xdr:col>
      <xdr:colOff>497541</xdr:colOff>
      <xdr:row>64</xdr:row>
      <xdr:rowOff>116541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7D4B26-C992-50C4-9C1A-EB5F0A26F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129540</xdr:rowOff>
    </xdr:from>
    <xdr:to>
      <xdr:col>15</xdr:col>
      <xdr:colOff>388620</xdr:colOff>
      <xdr:row>12</xdr:row>
      <xdr:rowOff>7227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BF7B3-38C3-6620-5A69-511CB45D1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2720" y="129540"/>
          <a:ext cx="5250180" cy="2072247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</xdr:colOff>
      <xdr:row>10</xdr:row>
      <xdr:rowOff>84586</xdr:rowOff>
    </xdr:from>
    <xdr:to>
      <xdr:col>15</xdr:col>
      <xdr:colOff>419100</xdr:colOff>
      <xdr:row>30</xdr:row>
      <xdr:rowOff>54025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69CBCD-2AFA-718D-5679-DD797B1ED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5580" y="1913386"/>
          <a:ext cx="5257800" cy="3627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106681</xdr:colOff>
      <xdr:row>1</xdr:row>
      <xdr:rowOff>30480</xdr:rowOff>
    </xdr:from>
    <xdr:to>
      <xdr:col>17</xdr:col>
      <xdr:colOff>419101</xdr:colOff>
      <xdr:row>10</xdr:row>
      <xdr:rowOff>6611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363F-AB77-140B-83CE-EDD8D84DB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9841" y="213360"/>
          <a:ext cx="3970020" cy="1622051"/>
        </a:xfrm>
        <a:prstGeom prst="rect">
          <a:avLst/>
        </a:prstGeom>
      </xdr:spPr>
    </xdr:pic>
    <xdr:clientData/>
  </xdr:twoCellAnchor>
  <xdr:twoCellAnchor editAs="oneCell">
    <xdr:from>
      <xdr:col>11</xdr:col>
      <xdr:colOff>20960</xdr:colOff>
      <xdr:row>10</xdr:row>
      <xdr:rowOff>45720</xdr:rowOff>
    </xdr:from>
    <xdr:to>
      <xdr:col>17</xdr:col>
      <xdr:colOff>452555</xdr:colOff>
      <xdr:row>21</xdr:row>
      <xdr:rowOff>71018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174D65-202B-3D19-BF26-ED5FE75E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580" y="1874520"/>
          <a:ext cx="4089195" cy="2036978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297180</xdr:colOff>
      <xdr:row>20</xdr:row>
      <xdr:rowOff>91440</xdr:rowOff>
    </xdr:from>
    <xdr:to>
      <xdr:col>8</xdr:col>
      <xdr:colOff>30480</xdr:colOff>
      <xdr:row>41</xdr:row>
      <xdr:rowOff>15516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F22D6B-46AD-2FB5-38E5-5ACEED8DC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0220" y="3749040"/>
          <a:ext cx="5295900" cy="3764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396240</xdr:colOff>
      <xdr:row>2</xdr:row>
      <xdr:rowOff>133350</xdr:rowOff>
    </xdr:from>
    <xdr:to>
      <xdr:col>25</xdr:col>
      <xdr:colOff>91440</xdr:colOff>
      <xdr:row>17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EFCE2B-DEAE-C74C-5D85-CE01FD30F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217714</xdr:colOff>
      <xdr:row>26</xdr:row>
      <xdr:rowOff>93024</xdr:rowOff>
    </xdr:from>
    <xdr:to>
      <xdr:col>26</xdr:col>
      <xdr:colOff>494805</xdr:colOff>
      <xdr:row>41</xdr:row>
      <xdr:rowOff>164276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2413F2-E582-E5B9-E5F1-C1CD34D8B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04E8-5B83-48EC-BE66-E819C6040862}">
  <dimension ref="A1:K25"/>
  <sheetViews>
    <sheetView tabSelected="1" zoomScale="85" zoomScaleNormal="85" workbookViewId="0">
      <selection activeCell="D25" sqref="D25"/>
    </sheetView>
  </sheetViews>
  <sheetFormatPr defaultRowHeight="14.4" x14ac:dyDescent="0.3"/>
  <cols>
    <col min="2" max="2" width="14.6640625" bestFit="1" customWidth="1"/>
    <col min="3" max="3" width="13.44140625" bestFit="1" customWidth="1"/>
    <col min="4" max="4" width="16.6640625" bestFit="1" customWidth="1"/>
    <col min="5" max="5" width="17.77734375" bestFit="1" customWidth="1"/>
    <col min="6" max="6" width="15.21875" bestFit="1" customWidth="1"/>
    <col min="7" max="7" width="16.88671875" customWidth="1"/>
  </cols>
  <sheetData>
    <row r="1" spans="1:8" x14ac:dyDescent="0.3">
      <c r="A1" t="s">
        <v>0</v>
      </c>
      <c r="B1" t="s">
        <v>57</v>
      </c>
      <c r="C1" s="10" t="s">
        <v>65</v>
      </c>
      <c r="D1" s="24" t="s">
        <v>53</v>
      </c>
      <c r="E1" t="s">
        <v>59</v>
      </c>
      <c r="F1" t="s">
        <v>58</v>
      </c>
      <c r="G1" s="33" t="s">
        <v>66</v>
      </c>
      <c r="H1" t="s">
        <v>64</v>
      </c>
    </row>
    <row r="2" spans="1:8" x14ac:dyDescent="0.3">
      <c r="A2">
        <v>2004</v>
      </c>
      <c r="B2" s="24">
        <f>'ekon kalkulace'!B3</f>
        <v>31619</v>
      </c>
      <c r="C2" s="26">
        <f>'ekon kalkulace'!C3</f>
        <v>32.398000000000003</v>
      </c>
      <c r="D2" s="24">
        <f>2262.52*1000</f>
        <v>2262520</v>
      </c>
      <c r="E2" s="24">
        <f>'ekon kalkulace'!F3</f>
        <v>1.6040033454283436</v>
      </c>
      <c r="F2" s="24">
        <f>'ekon kalkulace'!G3</f>
        <v>0.3864703571466942</v>
      </c>
      <c r="G2" s="34">
        <f>'ekon kalkulace'!E3</f>
        <v>94269340.680000007</v>
      </c>
      <c r="H2" s="24">
        <f>32.398-31.59</f>
        <v>0.80800000000000338</v>
      </c>
    </row>
    <row r="3" spans="1:8" x14ac:dyDescent="0.3">
      <c r="A3">
        <v>2005</v>
      </c>
      <c r="B3" s="24">
        <f>'ekon kalkulace'!B4</f>
        <v>35279</v>
      </c>
      <c r="C3" s="26">
        <f>'ekon kalkulace'!C4</f>
        <v>30.361000000000001</v>
      </c>
      <c r="D3" s="24">
        <f>2288.31*1000</f>
        <v>2288310</v>
      </c>
      <c r="E3" s="24">
        <f>'ekon kalkulace'!F4</f>
        <v>0.91965046172038489</v>
      </c>
      <c r="F3" s="24">
        <f>'ekon kalkulace'!G4</f>
        <v>0.3770044128505981</v>
      </c>
      <c r="G3" s="34">
        <f>'ekon kalkulace'!E4</f>
        <v>93637629.703999996</v>
      </c>
      <c r="H3" s="24">
        <f t="shared" ref="H3:H20" si="0">C3-C2</f>
        <v>-2.0370000000000026</v>
      </c>
    </row>
    <row r="4" spans="1:8" x14ac:dyDescent="0.3">
      <c r="A4">
        <v>2006</v>
      </c>
      <c r="B4" s="24">
        <f>'ekon kalkulace'!B5</f>
        <v>49058</v>
      </c>
      <c r="C4" s="26">
        <f>'ekon kalkulace'!C5</f>
        <v>29.03</v>
      </c>
      <c r="D4" s="24">
        <f>2385.08*1000</f>
        <v>2385080</v>
      </c>
      <c r="E4" s="24">
        <f>'ekon kalkulace'!F5</f>
        <v>0.82432361254552378</v>
      </c>
      <c r="F4" s="24">
        <f>'ekon kalkulace'!G5</f>
        <v>0.4900909921089836</v>
      </c>
      <c r="G4" s="34">
        <f>'ekon kalkulace'!E5</f>
        <v>94166267.719999999</v>
      </c>
      <c r="H4" s="24">
        <f t="shared" si="0"/>
        <v>-1.3309999999999995</v>
      </c>
    </row>
    <row r="5" spans="1:8" x14ac:dyDescent="0.3">
      <c r="A5">
        <v>2007</v>
      </c>
      <c r="B5" s="24">
        <f>'ekon kalkulace'!B6</f>
        <v>44630</v>
      </c>
      <c r="C5" s="26">
        <f>'ekon kalkulace'!C6</f>
        <v>27.524999999999999</v>
      </c>
      <c r="D5" s="24">
        <f>2499.55*1000</f>
        <v>2499550</v>
      </c>
      <c r="E5" s="24">
        <f>'ekon kalkulace'!F6</f>
        <v>0.82371410754225949</v>
      </c>
      <c r="F5" s="24">
        <f>'ekon kalkulace'!G6</f>
        <v>0.44585513020962814</v>
      </c>
      <c r="G5" s="34">
        <f>'ekon kalkulace'!E6</f>
        <v>90763521.939999998</v>
      </c>
      <c r="H5" s="24">
        <f t="shared" si="0"/>
        <v>-1.5050000000000026</v>
      </c>
    </row>
    <row r="6" spans="1:8" x14ac:dyDescent="0.3">
      <c r="A6">
        <v>2008</v>
      </c>
      <c r="B6" s="24">
        <f>'ekon kalkulace'!B7</f>
        <v>51274</v>
      </c>
      <c r="C6" s="26">
        <f>'ekon kalkulace'!C7</f>
        <v>26.364000000000001</v>
      </c>
      <c r="D6" s="24">
        <f>2546.49*1000</f>
        <v>2546490</v>
      </c>
      <c r="E6" s="24">
        <f>'ekon kalkulace'!F7</f>
        <v>0.80316759966190476</v>
      </c>
      <c r="F6" s="24">
        <f>'ekon kalkulace'!G7</f>
        <v>0.51222890312275315</v>
      </c>
      <c r="G6" s="34">
        <f>'ekon kalkulace'!E7</f>
        <v>90232622.501999989</v>
      </c>
      <c r="H6" s="24">
        <f t="shared" si="0"/>
        <v>-1.1609999999999978</v>
      </c>
    </row>
    <row r="7" spans="1:8" x14ac:dyDescent="0.3">
      <c r="A7">
        <v>2009</v>
      </c>
      <c r="B7" s="24">
        <f>'ekon kalkulace'!B8</f>
        <v>50230</v>
      </c>
      <c r="C7" s="26">
        <f>'ekon kalkulace'!C8</f>
        <v>26.824999999999999</v>
      </c>
      <c r="D7" s="24">
        <f>2445.73*1000</f>
        <v>2445730</v>
      </c>
      <c r="E7" s="24">
        <f>'ekon kalkulace'!F8</f>
        <v>0.58179668646112959</v>
      </c>
      <c r="F7" s="24">
        <f>'ekon kalkulace'!G8</f>
        <v>0.36393001055694085</v>
      </c>
      <c r="G7" s="34">
        <f>'ekon kalkulace'!E8</f>
        <v>89061634.040000007</v>
      </c>
      <c r="H7" s="24">
        <f t="shared" si="0"/>
        <v>0.46099999999999852</v>
      </c>
    </row>
    <row r="8" spans="1:8" x14ac:dyDescent="0.3">
      <c r="A8">
        <v>2010</v>
      </c>
      <c r="B8" s="24">
        <f>'ekon kalkulace'!B9</f>
        <v>40673</v>
      </c>
      <c r="C8" s="26">
        <f>'ekon kalkulace'!C9</f>
        <v>26.285</v>
      </c>
      <c r="D8" s="24">
        <f>2564.4*1000</f>
        <v>2564400</v>
      </c>
      <c r="E8" s="24">
        <f>'ekon kalkulace'!F9</f>
        <v>0.58782209517575712</v>
      </c>
      <c r="F8" s="24">
        <f>'ekon kalkulace'!G9</f>
        <v>0.35735443429865243</v>
      </c>
      <c r="G8" s="34">
        <f>'ekon kalkulace'!E9</f>
        <v>89132298.640000001</v>
      </c>
      <c r="H8" s="24">
        <f t="shared" si="0"/>
        <v>-0.53999999999999915</v>
      </c>
    </row>
    <row r="9" spans="1:8" x14ac:dyDescent="0.3">
      <c r="A9">
        <v>2011</v>
      </c>
      <c r="B9" s="24">
        <f>'ekon kalkulace'!B10</f>
        <v>39078</v>
      </c>
      <c r="C9" s="26">
        <f>'ekon kalkulace'!C10</f>
        <v>25.088000000000001</v>
      </c>
      <c r="D9" s="24">
        <f>2693.56*1000</f>
        <v>2693560</v>
      </c>
      <c r="E9" s="24">
        <f>'ekon kalkulace'!F10</f>
        <v>0.61049855931089569</v>
      </c>
      <c r="F9" s="24">
        <f>'ekon kalkulace'!G10</f>
        <v>0.38354941465135794</v>
      </c>
      <c r="G9" s="34">
        <f>'ekon kalkulace'!E10</f>
        <v>88995752.153999999</v>
      </c>
      <c r="H9" s="24">
        <f t="shared" si="0"/>
        <v>-1.1969999999999992</v>
      </c>
    </row>
    <row r="10" spans="1:8" x14ac:dyDescent="0.3">
      <c r="A10">
        <v>2012</v>
      </c>
      <c r="B10" s="24">
        <f>'ekon kalkulace'!B11</f>
        <v>43862</v>
      </c>
      <c r="C10" s="26">
        <f>'ekon kalkulace'!C11</f>
        <v>25.504999999999999</v>
      </c>
      <c r="D10" s="24">
        <f>2745.31*1000</f>
        <v>2745310</v>
      </c>
      <c r="E10" s="24">
        <f>'ekon kalkulace'!F11</f>
        <v>0.64958788517121446</v>
      </c>
      <c r="F10" s="24">
        <f>'ekon kalkulace'!G11</f>
        <v>0.48678377392599348</v>
      </c>
      <c r="G10" s="34">
        <f>'ekon kalkulace'!E11</f>
        <v>87498391.245000005</v>
      </c>
      <c r="H10" s="24">
        <f t="shared" si="0"/>
        <v>0.41699999999999804</v>
      </c>
    </row>
    <row r="11" spans="1:8" x14ac:dyDescent="0.3">
      <c r="A11">
        <v>2013</v>
      </c>
      <c r="B11" s="24">
        <f>'ekon kalkulace'!B12</f>
        <v>46508</v>
      </c>
      <c r="C11" s="26">
        <f>'ekon kalkulace'!C12</f>
        <v>25.218</v>
      </c>
      <c r="D11" s="24">
        <f>2811.35*1000</f>
        <v>2811350</v>
      </c>
      <c r="E11" s="24">
        <f>'ekon kalkulace'!F12</f>
        <v>0.62014514059782033</v>
      </c>
      <c r="F11" s="24">
        <f>'ekon kalkulace'!G12</f>
        <v>0.53251229863190785</v>
      </c>
      <c r="G11" s="34">
        <f>'ekon kalkulace'!E12</f>
        <v>87071510.005999997</v>
      </c>
      <c r="H11" s="24">
        <f t="shared" si="0"/>
        <v>-0.28699999999999903</v>
      </c>
    </row>
    <row r="12" spans="1:8" x14ac:dyDescent="0.3">
      <c r="A12">
        <v>2014</v>
      </c>
      <c r="B12" s="24">
        <f>'ekon kalkulace'!B13</f>
        <v>48418</v>
      </c>
      <c r="C12" s="26">
        <f>'ekon kalkulace'!C13</f>
        <v>27.481000000000002</v>
      </c>
      <c r="D12" s="24">
        <f>2927.43*1000</f>
        <v>2927430</v>
      </c>
      <c r="E12" s="24">
        <f>'ekon kalkulace'!F13</f>
        <v>0.58388534132410974</v>
      </c>
      <c r="F12" s="24">
        <f>'ekon kalkulace'!G13</f>
        <v>0.54040354722504547</v>
      </c>
      <c r="G12" s="34">
        <f>'ekon kalkulace'!E13</f>
        <v>87507083.924999997</v>
      </c>
      <c r="H12" s="24">
        <f t="shared" si="0"/>
        <v>2.2630000000000017</v>
      </c>
    </row>
    <row r="13" spans="1:8" x14ac:dyDescent="0.3">
      <c r="A13">
        <v>2015</v>
      </c>
      <c r="B13" s="24">
        <f>'ekon kalkulace'!B14</f>
        <v>52953</v>
      </c>
      <c r="C13" s="26">
        <f>'ekon kalkulace'!C14</f>
        <v>27.693000000000001</v>
      </c>
      <c r="D13" s="24">
        <f>3026.18*1000</f>
        <v>3026180</v>
      </c>
      <c r="E13" s="24">
        <f>'ekon kalkulace'!F14</f>
        <v>0.64690198155124856</v>
      </c>
      <c r="F13" s="24">
        <f>'ekon kalkulace'!G14</f>
        <v>0.56113967103712659</v>
      </c>
      <c r="G13" s="34">
        <f>'ekon kalkulace'!E14</f>
        <v>84453349.554000005</v>
      </c>
      <c r="H13" s="24">
        <f t="shared" si="0"/>
        <v>0.21199999999999974</v>
      </c>
    </row>
    <row r="14" spans="1:8" x14ac:dyDescent="0.3">
      <c r="A14">
        <v>2016</v>
      </c>
      <c r="B14" s="24">
        <f>'ekon kalkulace'!B15</f>
        <v>55923</v>
      </c>
      <c r="C14" s="26">
        <f>'ekon kalkulace'!C15</f>
        <v>27.023</v>
      </c>
      <c r="D14" s="24">
        <f>3134.74*1000</f>
        <v>3134740</v>
      </c>
      <c r="E14" s="24">
        <f>'ekon kalkulace'!F15</f>
        <v>0.60707355620178338</v>
      </c>
      <c r="F14" s="24">
        <f>'ekon kalkulace'!G15</f>
        <v>0.57511478539558314</v>
      </c>
      <c r="G14" s="34">
        <f>'ekon kalkulace'!E15</f>
        <v>82907742.96100001</v>
      </c>
      <c r="H14" s="24">
        <f t="shared" si="0"/>
        <v>-0.67000000000000171</v>
      </c>
    </row>
    <row r="15" spans="1:8" x14ac:dyDescent="0.3">
      <c r="A15">
        <v>2017</v>
      </c>
      <c r="B15" s="24">
        <f>'ekon kalkulace'!B16</f>
        <v>54100</v>
      </c>
      <c r="C15" s="26">
        <f>'ekon kalkulace'!C16</f>
        <v>27.021000000000001</v>
      </c>
      <c r="D15" s="24">
        <f>3267.16*1000</f>
        <v>3267160</v>
      </c>
      <c r="E15" s="24">
        <f>'ekon kalkulace'!F16</f>
        <v>0.61870273324852654</v>
      </c>
      <c r="F15" s="24">
        <f>'ekon kalkulace'!G16</f>
        <v>0.5675313827283206</v>
      </c>
      <c r="G15" s="34">
        <f>'ekon kalkulace'!E16</f>
        <v>80971886.519999996</v>
      </c>
      <c r="H15" s="24">
        <f t="shared" si="0"/>
        <v>-1.9999999999988916E-3</v>
      </c>
    </row>
    <row r="16" spans="1:8" x14ac:dyDescent="0.3">
      <c r="A16">
        <v>2018</v>
      </c>
      <c r="B16" s="24">
        <f>'ekon kalkulace'!B17</f>
        <v>58102</v>
      </c>
      <c r="C16" s="26">
        <f>'ekon kalkulace'!C17</f>
        <v>25.494</v>
      </c>
      <c r="D16" s="24">
        <f>3365.45*1000</f>
        <v>3365450</v>
      </c>
      <c r="E16" s="24">
        <f>'ekon kalkulace'!F17</f>
        <v>0.62275382464684725</v>
      </c>
      <c r="F16" s="24">
        <f>'ekon kalkulace'!G17</f>
        <v>0.55588912538717272</v>
      </c>
      <c r="G16" s="34">
        <f>'ekon kalkulace'!E17</f>
        <v>82067729.040000007</v>
      </c>
      <c r="H16" s="24">
        <f t="shared" si="0"/>
        <v>-1.527000000000001</v>
      </c>
    </row>
    <row r="17" spans="1:11" x14ac:dyDescent="0.3">
      <c r="A17">
        <v>2019</v>
      </c>
      <c r="B17" s="24">
        <f>'ekon kalkulace'!B18</f>
        <v>65072</v>
      </c>
      <c r="C17" s="26">
        <f>'ekon kalkulace'!C18</f>
        <v>25.751999999999999</v>
      </c>
      <c r="D17" s="24">
        <f>3474.11*1000</f>
        <v>3474110</v>
      </c>
      <c r="E17" s="24">
        <f>'ekon kalkulace'!F18</f>
        <v>0.61525499942069284</v>
      </c>
      <c r="F17" s="24">
        <f>'ekon kalkulace'!G18</f>
        <v>0.61308492941953019</v>
      </c>
      <c r="G17" s="34">
        <f>'ekon kalkulace'!E18</f>
        <v>80487400.488000005</v>
      </c>
      <c r="H17" s="24">
        <f t="shared" si="0"/>
        <v>0.25799999999999912</v>
      </c>
    </row>
    <row r="18" spans="1:11" x14ac:dyDescent="0.3">
      <c r="A18">
        <v>2020</v>
      </c>
      <c r="B18" s="24">
        <f>'ekon kalkulace'!B19</f>
        <v>57071</v>
      </c>
      <c r="C18" s="26">
        <f>'ekon kalkulace'!C19</f>
        <v>25.411000000000001</v>
      </c>
      <c r="D18" s="24">
        <f>3403.73*1000</f>
        <v>3403730</v>
      </c>
      <c r="E18" s="24">
        <f>'ekon kalkulace'!F19</f>
        <v>0.61061220754848666</v>
      </c>
      <c r="F18" s="24">
        <f>'ekon kalkulace'!G19</f>
        <v>0.52444312412435068</v>
      </c>
      <c r="G18" s="34">
        <f>'ekon kalkulace'!E19</f>
        <v>76995984.912</v>
      </c>
      <c r="H18" s="24">
        <f t="shared" si="0"/>
        <v>-0.34099999999999753</v>
      </c>
    </row>
    <row r="19" spans="1:11" x14ac:dyDescent="0.3">
      <c r="A19">
        <v>2021</v>
      </c>
      <c r="B19" s="24">
        <f>'ekon kalkulace'!B20</f>
        <v>54888</v>
      </c>
      <c r="C19" s="26">
        <f>'ekon kalkulace'!C20</f>
        <v>26.140999999999998</v>
      </c>
      <c r="D19" s="24">
        <f>3617.45*1000</f>
        <v>3617450</v>
      </c>
      <c r="E19" s="24">
        <f>'ekon kalkulace'!F20</f>
        <v>0.60127399265714698</v>
      </c>
      <c r="F19" s="24">
        <f>'ekon kalkulace'!G20</f>
        <v>0.49782745587713029</v>
      </c>
      <c r="G19" s="34">
        <f>'ekon kalkulace'!E20</f>
        <v>74567247.276000008</v>
      </c>
      <c r="H19" s="24">
        <f t="shared" si="0"/>
        <v>0.72999999999999687</v>
      </c>
    </row>
    <row r="20" spans="1:11" x14ac:dyDescent="0.3">
      <c r="A20" s="11">
        <v>2022</v>
      </c>
      <c r="B20" s="29">
        <v>53172</v>
      </c>
      <c r="C20" s="36">
        <v>24.818000000000001</v>
      </c>
      <c r="D20" s="24">
        <f>3876.8*1000</f>
        <v>3876800</v>
      </c>
      <c r="E20" s="25">
        <v>0.56899999999999995</v>
      </c>
      <c r="F20" s="25">
        <v>0.48699999999999999</v>
      </c>
      <c r="G20" s="35">
        <v>76533515.873999998</v>
      </c>
      <c r="H20" s="24">
        <f t="shared" si="0"/>
        <v>-1.3229999999999968</v>
      </c>
    </row>
    <row r="23" spans="1:11" x14ac:dyDescent="0.3">
      <c r="K23" s="33"/>
    </row>
    <row r="24" spans="1:11" x14ac:dyDescent="0.3">
      <c r="K24" s="33"/>
    </row>
    <row r="25" spans="1:11" x14ac:dyDescent="0.3">
      <c r="K2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71B5-C78D-492F-8427-0B432B1D8526}">
  <dimension ref="A1:I71"/>
  <sheetViews>
    <sheetView zoomScale="85" zoomScaleNormal="85" workbookViewId="0">
      <selection activeCell="C2" sqref="C2"/>
    </sheetView>
  </sheetViews>
  <sheetFormatPr defaultRowHeight="14.4" x14ac:dyDescent="0.3"/>
  <cols>
    <col min="2" max="2" width="14.6640625" bestFit="1" customWidth="1"/>
    <col min="3" max="3" width="13.44140625" bestFit="1" customWidth="1"/>
    <col min="4" max="4" width="16.6640625" bestFit="1" customWidth="1"/>
    <col min="5" max="5" width="17.77734375" bestFit="1" customWidth="1"/>
    <col min="6" max="6" width="15.21875" bestFit="1" customWidth="1"/>
    <col min="7" max="7" width="16.88671875" customWidth="1"/>
  </cols>
  <sheetData>
    <row r="1" spans="1:8" x14ac:dyDescent="0.3">
      <c r="A1" t="s">
        <v>0</v>
      </c>
      <c r="B1" t="s">
        <v>57</v>
      </c>
      <c r="C1" s="10" t="s">
        <v>65</v>
      </c>
      <c r="D1" s="24" t="s">
        <v>53</v>
      </c>
      <c r="E1" s="33" t="s">
        <v>66</v>
      </c>
      <c r="F1" t="s">
        <v>59</v>
      </c>
      <c r="G1" t="s">
        <v>58</v>
      </c>
      <c r="H1" t="s">
        <v>64</v>
      </c>
    </row>
    <row r="2" spans="1:8" x14ac:dyDescent="0.3">
      <c r="A2">
        <v>2004</v>
      </c>
      <c r="B2" s="24">
        <f>'ekon kalkulace'!B3</f>
        <v>31619</v>
      </c>
      <c r="C2" s="26">
        <f>'ekon kalkulace'!C3</f>
        <v>32.398000000000003</v>
      </c>
      <c r="D2" s="24">
        <f>2262.52*1000</f>
        <v>2262520</v>
      </c>
      <c r="E2" s="34">
        <f>'ekon kalkulace'!E3</f>
        <v>94269340.680000007</v>
      </c>
      <c r="F2" s="24">
        <f>'ekon kalkulace'!F3</f>
        <v>1.6040033454283436</v>
      </c>
      <c r="G2" s="24">
        <f>'ekon kalkulace'!G3</f>
        <v>0.3864703571466942</v>
      </c>
      <c r="H2" s="24">
        <f>32.398-31.59</f>
        <v>0.80800000000000338</v>
      </c>
    </row>
    <row r="3" spans="1:8" x14ac:dyDescent="0.3">
      <c r="A3">
        <v>2005</v>
      </c>
      <c r="B3" s="24">
        <f>'ekon kalkulace'!B4</f>
        <v>35279</v>
      </c>
      <c r="C3" s="26">
        <f>'ekon kalkulace'!C4</f>
        <v>30.361000000000001</v>
      </c>
      <c r="D3" s="24">
        <f>2288.31*1000</f>
        <v>2288310</v>
      </c>
      <c r="E3" s="34">
        <f>'ekon kalkulace'!E4</f>
        <v>93637629.703999996</v>
      </c>
      <c r="F3" s="24">
        <f>'ekon kalkulace'!F4</f>
        <v>0.91965046172038489</v>
      </c>
      <c r="G3" s="24">
        <f>'ekon kalkulace'!G4</f>
        <v>0.3770044128505981</v>
      </c>
      <c r="H3" s="24">
        <f t="shared" ref="H3:H20" si="0">C3-C2</f>
        <v>-2.0370000000000026</v>
      </c>
    </row>
    <row r="4" spans="1:8" x14ac:dyDescent="0.3">
      <c r="A4">
        <v>2006</v>
      </c>
      <c r="B4" s="24">
        <f>'ekon kalkulace'!B5</f>
        <v>49058</v>
      </c>
      <c r="C4" s="26">
        <f>'ekon kalkulace'!C5</f>
        <v>29.03</v>
      </c>
      <c r="D4" s="24">
        <f>2385.08*1000</f>
        <v>2385080</v>
      </c>
      <c r="E4" s="34">
        <f>'ekon kalkulace'!E5</f>
        <v>94166267.719999999</v>
      </c>
      <c r="F4" s="24">
        <f>'ekon kalkulace'!F5</f>
        <v>0.82432361254552378</v>
      </c>
      <c r="G4" s="24">
        <f>'ekon kalkulace'!G5</f>
        <v>0.4900909921089836</v>
      </c>
      <c r="H4" s="24">
        <f t="shared" si="0"/>
        <v>-1.3309999999999995</v>
      </c>
    </row>
    <row r="5" spans="1:8" x14ac:dyDescent="0.3">
      <c r="A5">
        <v>2007</v>
      </c>
      <c r="B5" s="24">
        <f>'ekon kalkulace'!B6</f>
        <v>44630</v>
      </c>
      <c r="C5" s="26">
        <f>'ekon kalkulace'!C6</f>
        <v>27.524999999999999</v>
      </c>
      <c r="D5" s="24">
        <f>2499.55*1000</f>
        <v>2499550</v>
      </c>
      <c r="E5" s="34">
        <f>'ekon kalkulace'!E6</f>
        <v>90763521.939999998</v>
      </c>
      <c r="F5" s="24">
        <f>'ekon kalkulace'!F6</f>
        <v>0.82371410754225949</v>
      </c>
      <c r="G5" s="24">
        <f>'ekon kalkulace'!G6</f>
        <v>0.44585513020962814</v>
      </c>
      <c r="H5" s="24">
        <f t="shared" si="0"/>
        <v>-1.5050000000000026</v>
      </c>
    </row>
    <row r="6" spans="1:8" x14ac:dyDescent="0.3">
      <c r="A6">
        <v>2008</v>
      </c>
      <c r="B6" s="24">
        <f>'ekon kalkulace'!B7</f>
        <v>51274</v>
      </c>
      <c r="C6" s="26">
        <f>'ekon kalkulace'!C7</f>
        <v>26.364000000000001</v>
      </c>
      <c r="D6" s="24">
        <f>2546.49*1000</f>
        <v>2546490</v>
      </c>
      <c r="E6" s="34">
        <f>'ekon kalkulace'!E7</f>
        <v>90232622.501999989</v>
      </c>
      <c r="F6" s="24">
        <f>'ekon kalkulace'!F7</f>
        <v>0.80316759966190476</v>
      </c>
      <c r="G6" s="24">
        <f>'ekon kalkulace'!G7</f>
        <v>0.51222890312275315</v>
      </c>
      <c r="H6" s="24">
        <f t="shared" si="0"/>
        <v>-1.1609999999999978</v>
      </c>
    </row>
    <row r="7" spans="1:8" x14ac:dyDescent="0.3">
      <c r="A7">
        <v>2009</v>
      </c>
      <c r="B7" s="24">
        <f>'ekon kalkulace'!B8</f>
        <v>50230</v>
      </c>
      <c r="C7" s="26">
        <f>'ekon kalkulace'!C8</f>
        <v>26.824999999999999</v>
      </c>
      <c r="D7" s="24">
        <f>2445.73*1000</f>
        <v>2445730</v>
      </c>
      <c r="E7" s="34">
        <f>'ekon kalkulace'!E8</f>
        <v>89061634.040000007</v>
      </c>
      <c r="F7" s="24">
        <f>'ekon kalkulace'!F8</f>
        <v>0.58179668646112959</v>
      </c>
      <c r="G7" s="24">
        <f>'ekon kalkulace'!G8</f>
        <v>0.36393001055694085</v>
      </c>
      <c r="H7" s="24">
        <f t="shared" si="0"/>
        <v>0.46099999999999852</v>
      </c>
    </row>
    <row r="8" spans="1:8" x14ac:dyDescent="0.3">
      <c r="A8">
        <v>2010</v>
      </c>
      <c r="B8" s="24">
        <f>'ekon kalkulace'!B9</f>
        <v>40673</v>
      </c>
      <c r="C8" s="26">
        <f>'ekon kalkulace'!C9</f>
        <v>26.285</v>
      </c>
      <c r="D8" s="24">
        <f>2564.4*1000</f>
        <v>2564400</v>
      </c>
      <c r="E8" s="34">
        <f>'ekon kalkulace'!E9</f>
        <v>89132298.640000001</v>
      </c>
      <c r="F8" s="24">
        <f>'ekon kalkulace'!F9</f>
        <v>0.58782209517575712</v>
      </c>
      <c r="G8" s="24">
        <f>'ekon kalkulace'!G9</f>
        <v>0.35735443429865243</v>
      </c>
      <c r="H8" s="24">
        <f t="shared" si="0"/>
        <v>-0.53999999999999915</v>
      </c>
    </row>
    <row r="9" spans="1:8" x14ac:dyDescent="0.3">
      <c r="A9">
        <v>2011</v>
      </c>
      <c r="B9" s="24">
        <f>'ekon kalkulace'!B10</f>
        <v>39078</v>
      </c>
      <c r="C9" s="26">
        <f>'ekon kalkulace'!C10</f>
        <v>25.088000000000001</v>
      </c>
      <c r="D9" s="24">
        <f>2693.56*1000</f>
        <v>2693560</v>
      </c>
      <c r="E9" s="34">
        <f>'ekon kalkulace'!E10</f>
        <v>88995752.153999999</v>
      </c>
      <c r="F9" s="24">
        <f>'ekon kalkulace'!F10</f>
        <v>0.61049855931089569</v>
      </c>
      <c r="G9" s="24">
        <f>'ekon kalkulace'!G10</f>
        <v>0.38354941465135794</v>
      </c>
      <c r="H9" s="24">
        <f t="shared" si="0"/>
        <v>-1.1969999999999992</v>
      </c>
    </row>
    <row r="10" spans="1:8" x14ac:dyDescent="0.3">
      <c r="A10">
        <v>2012</v>
      </c>
      <c r="B10" s="24">
        <f>'ekon kalkulace'!B11</f>
        <v>43862</v>
      </c>
      <c r="C10" s="26">
        <f>'ekon kalkulace'!C11</f>
        <v>25.504999999999999</v>
      </c>
      <c r="D10" s="24">
        <f>2745.31*1000</f>
        <v>2745310</v>
      </c>
      <c r="E10" s="34">
        <f>'ekon kalkulace'!E11</f>
        <v>87498391.245000005</v>
      </c>
      <c r="F10" s="24">
        <f>'ekon kalkulace'!F11</f>
        <v>0.64958788517121446</v>
      </c>
      <c r="G10" s="24">
        <f>'ekon kalkulace'!G11</f>
        <v>0.48678377392599348</v>
      </c>
      <c r="H10" s="24">
        <f t="shared" si="0"/>
        <v>0.41699999999999804</v>
      </c>
    </row>
    <row r="11" spans="1:8" x14ac:dyDescent="0.3">
      <c r="A11">
        <v>2013</v>
      </c>
      <c r="B11" s="24">
        <f>'ekon kalkulace'!B12</f>
        <v>46508</v>
      </c>
      <c r="C11" s="26">
        <f>'ekon kalkulace'!C12</f>
        <v>25.218</v>
      </c>
      <c r="D11" s="24">
        <f>2811.35*1000</f>
        <v>2811350</v>
      </c>
      <c r="E11" s="34">
        <f>'ekon kalkulace'!E12</f>
        <v>87071510.005999997</v>
      </c>
      <c r="F11" s="24">
        <f>'ekon kalkulace'!F12</f>
        <v>0.62014514059782033</v>
      </c>
      <c r="G11" s="24">
        <f>'ekon kalkulace'!G12</f>
        <v>0.53251229863190785</v>
      </c>
      <c r="H11" s="24">
        <f t="shared" si="0"/>
        <v>-0.28699999999999903</v>
      </c>
    </row>
    <row r="12" spans="1:8" x14ac:dyDescent="0.3">
      <c r="A12">
        <v>2014</v>
      </c>
      <c r="B12" s="24">
        <f>'ekon kalkulace'!B13</f>
        <v>48418</v>
      </c>
      <c r="C12" s="26">
        <f>'ekon kalkulace'!C13</f>
        <v>27.481000000000002</v>
      </c>
      <c r="D12" s="24">
        <f>2927.43*1000</f>
        <v>2927430</v>
      </c>
      <c r="E12" s="34">
        <f>'ekon kalkulace'!E13</f>
        <v>87507083.924999997</v>
      </c>
      <c r="F12" s="24">
        <f>'ekon kalkulace'!F13</f>
        <v>0.58388534132410974</v>
      </c>
      <c r="G12" s="24">
        <f>'ekon kalkulace'!G13</f>
        <v>0.54040354722504547</v>
      </c>
      <c r="H12" s="24">
        <f t="shared" si="0"/>
        <v>2.2630000000000017</v>
      </c>
    </row>
    <row r="13" spans="1:8" x14ac:dyDescent="0.3">
      <c r="A13">
        <v>2015</v>
      </c>
      <c r="B13" s="24">
        <f>'ekon kalkulace'!B14</f>
        <v>52953</v>
      </c>
      <c r="C13" s="26">
        <f>'ekon kalkulace'!C14</f>
        <v>27.693000000000001</v>
      </c>
      <c r="D13" s="24">
        <f>3026.18*1000</f>
        <v>3026180</v>
      </c>
      <c r="E13" s="34">
        <f>'ekon kalkulace'!E14</f>
        <v>84453349.554000005</v>
      </c>
      <c r="F13" s="24">
        <f>'ekon kalkulace'!F14</f>
        <v>0.64690198155124856</v>
      </c>
      <c r="G13" s="24">
        <f>'ekon kalkulace'!G14</f>
        <v>0.56113967103712659</v>
      </c>
      <c r="H13" s="24">
        <f t="shared" si="0"/>
        <v>0.21199999999999974</v>
      </c>
    </row>
    <row r="14" spans="1:8" x14ac:dyDescent="0.3">
      <c r="A14">
        <v>2016</v>
      </c>
      <c r="B14" s="24">
        <f>'ekon kalkulace'!B15</f>
        <v>55923</v>
      </c>
      <c r="C14" s="26">
        <f>'ekon kalkulace'!C15</f>
        <v>27.023</v>
      </c>
      <c r="D14" s="24">
        <f>3134.74*1000</f>
        <v>3134740</v>
      </c>
      <c r="E14" s="34">
        <f>'ekon kalkulace'!E15</f>
        <v>82907742.96100001</v>
      </c>
      <c r="F14" s="24">
        <f>'ekon kalkulace'!F15</f>
        <v>0.60707355620178338</v>
      </c>
      <c r="G14" s="24">
        <f>'ekon kalkulace'!G15</f>
        <v>0.57511478539558314</v>
      </c>
      <c r="H14" s="24">
        <f t="shared" si="0"/>
        <v>-0.67000000000000171</v>
      </c>
    </row>
    <row r="15" spans="1:8" x14ac:dyDescent="0.3">
      <c r="A15">
        <v>2017</v>
      </c>
      <c r="B15" s="24">
        <f>'ekon kalkulace'!B16</f>
        <v>54100</v>
      </c>
      <c r="C15" s="26">
        <f>'ekon kalkulace'!C16</f>
        <v>27.021000000000001</v>
      </c>
      <c r="D15" s="24">
        <f>3267.16*1000</f>
        <v>3267160</v>
      </c>
      <c r="E15" s="34">
        <f>'ekon kalkulace'!E16</f>
        <v>80971886.519999996</v>
      </c>
      <c r="F15" s="24">
        <f>'ekon kalkulace'!F16</f>
        <v>0.61870273324852654</v>
      </c>
      <c r="G15" s="24">
        <f>'ekon kalkulace'!G16</f>
        <v>0.5675313827283206</v>
      </c>
      <c r="H15" s="24">
        <f t="shared" si="0"/>
        <v>-1.9999999999988916E-3</v>
      </c>
    </row>
    <row r="16" spans="1:8" x14ac:dyDescent="0.3">
      <c r="A16">
        <v>2018</v>
      </c>
      <c r="B16" s="24">
        <f>'ekon kalkulace'!B17</f>
        <v>58102</v>
      </c>
      <c r="C16" s="26">
        <f>'ekon kalkulace'!C17</f>
        <v>25.494</v>
      </c>
      <c r="D16" s="24">
        <f>3365.45*1000</f>
        <v>3365450</v>
      </c>
      <c r="E16" s="34">
        <f>'ekon kalkulace'!E17</f>
        <v>82067729.040000007</v>
      </c>
      <c r="F16" s="24">
        <f>'ekon kalkulace'!F17</f>
        <v>0.62275382464684725</v>
      </c>
      <c r="G16" s="24">
        <f>'ekon kalkulace'!G17</f>
        <v>0.55588912538717272</v>
      </c>
      <c r="H16" s="24">
        <f t="shared" si="0"/>
        <v>-1.527000000000001</v>
      </c>
    </row>
    <row r="17" spans="1:9" x14ac:dyDescent="0.3">
      <c r="A17">
        <v>2019</v>
      </c>
      <c r="B17" s="24">
        <f>'ekon kalkulace'!B18</f>
        <v>65072</v>
      </c>
      <c r="C17" s="26">
        <f>'ekon kalkulace'!C18</f>
        <v>25.751999999999999</v>
      </c>
      <c r="D17" s="24">
        <f>3474.11*1000</f>
        <v>3474110</v>
      </c>
      <c r="E17" s="34">
        <f>'ekon kalkulace'!E18</f>
        <v>80487400.488000005</v>
      </c>
      <c r="F17" s="24">
        <f>'ekon kalkulace'!F18</f>
        <v>0.61525499942069284</v>
      </c>
      <c r="G17" s="24">
        <f>'ekon kalkulace'!G18</f>
        <v>0.61308492941953019</v>
      </c>
      <c r="H17" s="24">
        <f t="shared" si="0"/>
        <v>0.25799999999999912</v>
      </c>
    </row>
    <row r="18" spans="1:9" x14ac:dyDescent="0.3">
      <c r="A18">
        <v>2020</v>
      </c>
      <c r="B18" s="24">
        <f>'ekon kalkulace'!B19</f>
        <v>57071</v>
      </c>
      <c r="C18" s="26">
        <f>'ekon kalkulace'!C19</f>
        <v>25.411000000000001</v>
      </c>
      <c r="D18" s="24">
        <f>3403.73*1000</f>
        <v>3403730</v>
      </c>
      <c r="E18" s="34">
        <f>'ekon kalkulace'!E19</f>
        <v>76995984.912</v>
      </c>
      <c r="F18" s="24">
        <f>'ekon kalkulace'!F19</f>
        <v>0.61061220754848666</v>
      </c>
      <c r="G18" s="24">
        <f>'ekon kalkulace'!G19</f>
        <v>0.52444312412435068</v>
      </c>
      <c r="H18" s="24">
        <f t="shared" si="0"/>
        <v>-0.34099999999999753</v>
      </c>
    </row>
    <row r="19" spans="1:9" x14ac:dyDescent="0.3">
      <c r="A19">
        <v>2021</v>
      </c>
      <c r="B19" s="24">
        <f>'ekon kalkulace'!B20</f>
        <v>54888</v>
      </c>
      <c r="C19" s="26">
        <f>'ekon kalkulace'!C20</f>
        <v>26.140999999999998</v>
      </c>
      <c r="D19" s="24">
        <f>3617.45*1000</f>
        <v>3617450</v>
      </c>
      <c r="E19" s="34">
        <f>'ekon kalkulace'!E20</f>
        <v>74567247.276000008</v>
      </c>
      <c r="F19" s="24">
        <f>'ekon kalkulace'!F20</f>
        <v>0.60127399265714698</v>
      </c>
      <c r="G19" s="24">
        <f>'ekon kalkulace'!G20</f>
        <v>0.49782745587713029</v>
      </c>
      <c r="H19" s="24">
        <f t="shared" si="0"/>
        <v>0.72999999999999687</v>
      </c>
    </row>
    <row r="20" spans="1:9" x14ac:dyDescent="0.3">
      <c r="A20" s="11">
        <v>2022</v>
      </c>
      <c r="B20" s="29">
        <v>53172</v>
      </c>
      <c r="C20" s="36">
        <v>24.818000000000001</v>
      </c>
      <c r="D20" s="24">
        <f>3876.8*1000</f>
        <v>3876800</v>
      </c>
      <c r="E20" s="35">
        <v>76533515.873999998</v>
      </c>
      <c r="F20" s="25">
        <v>0.56899999999999995</v>
      </c>
      <c r="G20" s="25">
        <v>0.48699999999999999</v>
      </c>
      <c r="H20" s="24">
        <f t="shared" si="0"/>
        <v>-1.3229999999999968</v>
      </c>
    </row>
    <row r="21" spans="1:9" x14ac:dyDescent="0.3">
      <c r="E21" s="33"/>
    </row>
    <row r="22" spans="1:9" x14ac:dyDescent="0.3">
      <c r="E22" s="33"/>
    </row>
    <row r="23" spans="1:9" x14ac:dyDescent="0.3">
      <c r="E23" s="33"/>
    </row>
    <row r="32" spans="1:9" x14ac:dyDescent="0.3">
      <c r="I32" t="s">
        <v>71</v>
      </c>
    </row>
    <row r="46" spans="1:5" x14ac:dyDescent="0.3">
      <c r="B46" t="s">
        <v>59</v>
      </c>
      <c r="C46" t="s">
        <v>58</v>
      </c>
    </row>
    <row r="47" spans="1:5" x14ac:dyDescent="0.3">
      <c r="A47">
        <v>2003</v>
      </c>
      <c r="B47" s="37">
        <f>'ekon kalkulace'!F2</f>
        <v>1.3087952428222358</v>
      </c>
      <c r="C47" s="38">
        <f>'greta + ma (1)'!F2</f>
        <v>0.3864703571466942</v>
      </c>
      <c r="D47" s="24"/>
      <c r="E47" s="33"/>
    </row>
    <row r="48" spans="1:5" x14ac:dyDescent="0.3">
      <c r="A48">
        <v>2004</v>
      </c>
      <c r="B48" s="24">
        <f>F2</f>
        <v>1.6040033454283436</v>
      </c>
      <c r="C48" s="24">
        <f>G2</f>
        <v>0.3864703571466942</v>
      </c>
      <c r="D48" s="24"/>
      <c r="E48" s="34"/>
    </row>
    <row r="49" spans="1:5" x14ac:dyDescent="0.3">
      <c r="A49">
        <v>2005</v>
      </c>
      <c r="B49" s="24">
        <f t="shared" ref="B49:B66" si="1">F3</f>
        <v>0.91965046172038489</v>
      </c>
      <c r="C49" s="24">
        <f t="shared" ref="C49:C66" si="2">G3</f>
        <v>0.3770044128505981</v>
      </c>
      <c r="D49" s="24"/>
      <c r="E49" s="34"/>
    </row>
    <row r="50" spans="1:5" x14ac:dyDescent="0.3">
      <c r="A50">
        <v>2006</v>
      </c>
      <c r="B50" s="24">
        <f t="shared" si="1"/>
        <v>0.82432361254552378</v>
      </c>
      <c r="C50" s="24">
        <f t="shared" si="2"/>
        <v>0.4900909921089836</v>
      </c>
      <c r="D50" s="24"/>
      <c r="E50" s="34"/>
    </row>
    <row r="51" spans="1:5" x14ac:dyDescent="0.3">
      <c r="A51">
        <v>2007</v>
      </c>
      <c r="B51" s="24">
        <f t="shared" si="1"/>
        <v>0.82371410754225949</v>
      </c>
      <c r="C51" s="24">
        <f t="shared" si="2"/>
        <v>0.44585513020962814</v>
      </c>
      <c r="D51" s="24"/>
      <c r="E51" s="34"/>
    </row>
    <row r="52" spans="1:5" x14ac:dyDescent="0.3">
      <c r="A52">
        <v>2008</v>
      </c>
      <c r="B52" s="24">
        <f t="shared" si="1"/>
        <v>0.80316759966190476</v>
      </c>
      <c r="C52" s="24">
        <f t="shared" si="2"/>
        <v>0.51222890312275315</v>
      </c>
      <c r="D52" s="24"/>
      <c r="E52" s="34"/>
    </row>
    <row r="53" spans="1:5" x14ac:dyDescent="0.3">
      <c r="A53">
        <v>2009</v>
      </c>
      <c r="B53" s="24">
        <f t="shared" si="1"/>
        <v>0.58179668646112959</v>
      </c>
      <c r="C53" s="24">
        <f t="shared" si="2"/>
        <v>0.36393001055694085</v>
      </c>
      <c r="D53" s="24"/>
      <c r="E53" s="34"/>
    </row>
    <row r="54" spans="1:5" x14ac:dyDescent="0.3">
      <c r="A54">
        <v>2010</v>
      </c>
      <c r="B54" s="24">
        <f t="shared" si="1"/>
        <v>0.58782209517575712</v>
      </c>
      <c r="C54" s="24">
        <f t="shared" si="2"/>
        <v>0.35735443429865243</v>
      </c>
      <c r="D54" s="24"/>
      <c r="E54" s="34"/>
    </row>
    <row r="55" spans="1:5" x14ac:dyDescent="0.3">
      <c r="A55">
        <v>2011</v>
      </c>
      <c r="B55" s="24">
        <f t="shared" si="1"/>
        <v>0.61049855931089569</v>
      </c>
      <c r="C55" s="24">
        <f t="shared" si="2"/>
        <v>0.38354941465135794</v>
      </c>
      <c r="D55" s="24"/>
      <c r="E55" s="34"/>
    </row>
    <row r="56" spans="1:5" x14ac:dyDescent="0.3">
      <c r="A56">
        <v>2012</v>
      </c>
      <c r="B56" s="24">
        <f t="shared" si="1"/>
        <v>0.64958788517121446</v>
      </c>
      <c r="C56" s="24">
        <f t="shared" si="2"/>
        <v>0.48678377392599348</v>
      </c>
      <c r="D56" s="24"/>
      <c r="E56" s="34"/>
    </row>
    <row r="57" spans="1:5" x14ac:dyDescent="0.3">
      <c r="A57">
        <v>2013</v>
      </c>
      <c r="B57" s="24">
        <f t="shared" si="1"/>
        <v>0.62014514059782033</v>
      </c>
      <c r="C57" s="24">
        <f t="shared" si="2"/>
        <v>0.53251229863190785</v>
      </c>
      <c r="D57" s="24"/>
      <c r="E57" s="34"/>
    </row>
    <row r="58" spans="1:5" x14ac:dyDescent="0.3">
      <c r="A58">
        <v>2014</v>
      </c>
      <c r="B58" s="24">
        <f t="shared" si="1"/>
        <v>0.58388534132410974</v>
      </c>
      <c r="C58" s="24">
        <f t="shared" si="2"/>
        <v>0.54040354722504547</v>
      </c>
      <c r="D58" s="24"/>
      <c r="E58" s="34"/>
    </row>
    <row r="59" spans="1:5" x14ac:dyDescent="0.3">
      <c r="A59">
        <v>2015</v>
      </c>
      <c r="B59" s="24">
        <f t="shared" si="1"/>
        <v>0.64690198155124856</v>
      </c>
      <c r="C59" s="24">
        <f t="shared" si="2"/>
        <v>0.56113967103712659</v>
      </c>
      <c r="D59" s="24"/>
      <c r="E59" s="34"/>
    </row>
    <row r="60" spans="1:5" x14ac:dyDescent="0.3">
      <c r="A60">
        <v>2016</v>
      </c>
      <c r="B60" s="24">
        <f t="shared" si="1"/>
        <v>0.60707355620178338</v>
      </c>
      <c r="C60" s="24">
        <f t="shared" si="2"/>
        <v>0.57511478539558314</v>
      </c>
      <c r="D60" s="24"/>
      <c r="E60" s="34"/>
    </row>
    <row r="61" spans="1:5" x14ac:dyDescent="0.3">
      <c r="A61">
        <v>2017</v>
      </c>
      <c r="B61" s="24">
        <f t="shared" si="1"/>
        <v>0.61870273324852654</v>
      </c>
      <c r="C61" s="24">
        <f t="shared" si="2"/>
        <v>0.5675313827283206</v>
      </c>
      <c r="D61" s="24"/>
      <c r="E61" s="34"/>
    </row>
    <row r="62" spans="1:5" x14ac:dyDescent="0.3">
      <c r="A62">
        <v>2018</v>
      </c>
      <c r="B62" s="24">
        <f t="shared" si="1"/>
        <v>0.62275382464684725</v>
      </c>
      <c r="C62" s="24">
        <f t="shared" si="2"/>
        <v>0.55588912538717272</v>
      </c>
      <c r="D62" s="24"/>
      <c r="E62" s="34"/>
    </row>
    <row r="63" spans="1:5" x14ac:dyDescent="0.3">
      <c r="A63">
        <v>2019</v>
      </c>
      <c r="B63" s="24">
        <f t="shared" si="1"/>
        <v>0.61525499942069284</v>
      </c>
      <c r="C63" s="24">
        <f t="shared" si="2"/>
        <v>0.61308492941953019</v>
      </c>
      <c r="D63" s="24"/>
      <c r="E63" s="34"/>
    </row>
    <row r="64" spans="1:5" x14ac:dyDescent="0.3">
      <c r="A64">
        <v>2020</v>
      </c>
      <c r="B64" s="24">
        <f t="shared" si="1"/>
        <v>0.61061220754848666</v>
      </c>
      <c r="C64" s="24">
        <f t="shared" si="2"/>
        <v>0.52444312412435068</v>
      </c>
      <c r="D64" s="24"/>
      <c r="E64" s="34"/>
    </row>
    <row r="65" spans="1:5" x14ac:dyDescent="0.3">
      <c r="A65">
        <v>2021</v>
      </c>
      <c r="B65" s="24">
        <f t="shared" si="1"/>
        <v>0.60127399265714698</v>
      </c>
      <c r="C65" s="24">
        <f t="shared" si="2"/>
        <v>0.49782745587713029</v>
      </c>
      <c r="D65" s="24"/>
      <c r="E65" s="34"/>
    </row>
    <row r="66" spans="1:5" x14ac:dyDescent="0.3">
      <c r="A66" s="11">
        <v>2022</v>
      </c>
      <c r="B66" s="24">
        <f t="shared" si="1"/>
        <v>0.56899999999999995</v>
      </c>
      <c r="C66" s="24">
        <f t="shared" si="2"/>
        <v>0.48699999999999999</v>
      </c>
      <c r="D66" s="24"/>
      <c r="E66" s="35"/>
    </row>
    <row r="70" spans="1:5" x14ac:dyDescent="0.3">
      <c r="B70" t="s">
        <v>72</v>
      </c>
    </row>
    <row r="71" spans="1:5" x14ac:dyDescent="0.3">
      <c r="B71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4948-8637-478B-A8B9-7F5312B23859}">
  <dimension ref="A1:H21"/>
  <sheetViews>
    <sheetView topLeftCell="E13" zoomScale="113" workbookViewId="0">
      <selection activeCell="S23" sqref="S23"/>
    </sheetView>
  </sheetViews>
  <sheetFormatPr defaultRowHeight="14.4" x14ac:dyDescent="0.3"/>
  <cols>
    <col min="3" max="3" width="11.77734375" bestFit="1" customWidth="1"/>
    <col min="4" max="4" width="11.77734375" customWidth="1"/>
    <col min="5" max="5" width="13.109375" bestFit="1" customWidth="1"/>
    <col min="6" max="6" width="14.21875" customWidth="1"/>
    <col min="7" max="7" width="15.77734375" customWidth="1"/>
    <col min="8" max="8" width="10.6640625" customWidth="1"/>
    <col min="9" max="9" width="11" customWidth="1"/>
    <col min="10" max="10" width="10" customWidth="1"/>
    <col min="11" max="11" width="10.44140625" customWidth="1"/>
    <col min="12" max="12" width="12.77734375" customWidth="1"/>
  </cols>
  <sheetData>
    <row r="1" spans="1:8" x14ac:dyDescent="0.3">
      <c r="A1" t="s">
        <v>0</v>
      </c>
      <c r="B1" t="s">
        <v>50</v>
      </c>
      <c r="C1" s="10" t="s">
        <v>52</v>
      </c>
      <c r="D1" t="s">
        <v>51</v>
      </c>
      <c r="E1" s="10" t="s">
        <v>54</v>
      </c>
      <c r="F1" t="s">
        <v>53</v>
      </c>
      <c r="G1" t="s">
        <v>55</v>
      </c>
      <c r="H1" t="s">
        <v>56</v>
      </c>
    </row>
    <row r="2" spans="1:8" x14ac:dyDescent="0.3">
      <c r="A2">
        <v>2004</v>
      </c>
      <c r="B2">
        <f>'ekon kalkulace'!B3</f>
        <v>31619</v>
      </c>
      <c r="C2" s="10">
        <v>2.8</v>
      </c>
      <c r="D2">
        <v>1.67</v>
      </c>
      <c r="E2" s="10">
        <f>'ekon kalkulace'!C3</f>
        <v>32.398000000000003</v>
      </c>
      <c r="F2">
        <f>2262.52*1000</f>
        <v>2262520</v>
      </c>
      <c r="G2">
        <f>'ekon kalkulace'!F3</f>
        <v>1.6040033454283436</v>
      </c>
      <c r="H2">
        <f>32.398-31.59</f>
        <v>0.80800000000000338</v>
      </c>
    </row>
    <row r="3" spans="1:8" x14ac:dyDescent="0.3">
      <c r="A3">
        <v>2005</v>
      </c>
      <c r="B3">
        <f>'ekon kalkulace'!B4</f>
        <v>35279</v>
      </c>
      <c r="C3" s="10">
        <v>1.9</v>
      </c>
      <c r="D3">
        <v>1.55</v>
      </c>
      <c r="E3" s="10">
        <f>'ekon kalkulace'!C4</f>
        <v>30.361000000000001</v>
      </c>
      <c r="F3">
        <f>2288.31*1000</f>
        <v>2288310</v>
      </c>
      <c r="G3">
        <f>'ekon kalkulace'!F4</f>
        <v>0.91965046172038489</v>
      </c>
      <c r="H3">
        <f t="shared" ref="H3:H20" si="0">E3-E2</f>
        <v>-2.0370000000000026</v>
      </c>
    </row>
    <row r="4" spans="1:8" x14ac:dyDescent="0.3">
      <c r="A4">
        <v>2006</v>
      </c>
      <c r="B4">
        <f>'ekon kalkulace'!B5</f>
        <v>49058</v>
      </c>
      <c r="C4" s="10">
        <v>2.5</v>
      </c>
      <c r="D4">
        <v>1.58</v>
      </c>
      <c r="E4" s="10">
        <f>'ekon kalkulace'!C5</f>
        <v>29.03</v>
      </c>
      <c r="F4">
        <f>2385.08*1000</f>
        <v>2385080</v>
      </c>
      <c r="G4">
        <f>'ekon kalkulace'!F5</f>
        <v>0.82432361254552378</v>
      </c>
      <c r="H4">
        <f t="shared" si="0"/>
        <v>-1.3309999999999995</v>
      </c>
    </row>
    <row r="5" spans="1:8" x14ac:dyDescent="0.3">
      <c r="A5">
        <v>2007</v>
      </c>
      <c r="B5">
        <f>'ekon kalkulace'!B6</f>
        <v>44630</v>
      </c>
      <c r="C5" s="10">
        <v>2.8</v>
      </c>
      <c r="D5">
        <v>2.2999999999999998</v>
      </c>
      <c r="E5" s="10">
        <f>'ekon kalkulace'!C6</f>
        <v>27.524999999999999</v>
      </c>
      <c r="F5">
        <f>2499.55*1000</f>
        <v>2499550</v>
      </c>
      <c r="G5">
        <f>'ekon kalkulace'!F6</f>
        <v>0.82371410754225949</v>
      </c>
      <c r="H5">
        <f t="shared" si="0"/>
        <v>-1.5050000000000026</v>
      </c>
    </row>
    <row r="6" spans="1:8" x14ac:dyDescent="0.3">
      <c r="A6">
        <v>2008</v>
      </c>
      <c r="B6">
        <f>'ekon kalkulace'!B7</f>
        <v>51274</v>
      </c>
      <c r="C6" s="10">
        <v>6.3</v>
      </c>
      <c r="D6">
        <v>2.63</v>
      </c>
      <c r="E6" s="10">
        <f>'ekon kalkulace'!C7</f>
        <v>26.364000000000001</v>
      </c>
      <c r="F6">
        <f>2546.49*1000</f>
        <v>2546490</v>
      </c>
      <c r="G6">
        <f>'ekon kalkulace'!F7</f>
        <v>0.80316759966190476</v>
      </c>
      <c r="H6">
        <f t="shared" si="0"/>
        <v>-1.1609999999999978</v>
      </c>
    </row>
    <row r="7" spans="1:8" x14ac:dyDescent="0.3">
      <c r="A7">
        <v>2009</v>
      </c>
      <c r="B7">
        <f>'ekon kalkulace'!B8</f>
        <v>50230</v>
      </c>
      <c r="C7" s="10">
        <v>1</v>
      </c>
      <c r="D7">
        <v>0.31</v>
      </c>
      <c r="E7" s="10">
        <f>'ekon kalkulace'!C8</f>
        <v>26.824999999999999</v>
      </c>
      <c r="F7">
        <f>2445.73*1000</f>
        <v>2445730</v>
      </c>
      <c r="G7">
        <f>'ekon kalkulace'!F8</f>
        <v>0.58179668646112959</v>
      </c>
      <c r="H7">
        <f t="shared" si="0"/>
        <v>0.46099999999999852</v>
      </c>
    </row>
    <row r="8" spans="1:8" x14ac:dyDescent="0.3">
      <c r="A8">
        <v>2010</v>
      </c>
      <c r="B8">
        <f>'ekon kalkulace'!B9</f>
        <v>40673</v>
      </c>
      <c r="C8" s="10">
        <v>1.5</v>
      </c>
      <c r="D8">
        <v>1.1000000000000001</v>
      </c>
      <c r="E8" s="10">
        <f>'ekon kalkulace'!C9</f>
        <v>26.285</v>
      </c>
      <c r="F8">
        <f>2564.4*1000</f>
        <v>2564400</v>
      </c>
      <c r="G8">
        <f>'ekon kalkulace'!F9</f>
        <v>0.58782209517575712</v>
      </c>
      <c r="H8">
        <f t="shared" si="0"/>
        <v>-0.53999999999999915</v>
      </c>
    </row>
    <row r="9" spans="1:8" x14ac:dyDescent="0.3">
      <c r="A9">
        <v>2011</v>
      </c>
      <c r="B9">
        <f>'ekon kalkulace'!B10</f>
        <v>39078</v>
      </c>
      <c r="C9" s="10">
        <v>1.9</v>
      </c>
      <c r="D9">
        <v>2.08</v>
      </c>
      <c r="E9" s="10">
        <f>'ekon kalkulace'!C10</f>
        <v>25.088000000000001</v>
      </c>
      <c r="F9">
        <f>2693.56*1000</f>
        <v>2693560</v>
      </c>
      <c r="G9">
        <f>'ekon kalkulace'!F10</f>
        <v>0.61049855931089569</v>
      </c>
      <c r="H9">
        <f t="shared" si="0"/>
        <v>-1.1969999999999992</v>
      </c>
    </row>
    <row r="10" spans="1:8" x14ac:dyDescent="0.3">
      <c r="A10">
        <v>2012</v>
      </c>
      <c r="B10">
        <f>'ekon kalkulace'!B11</f>
        <v>43862</v>
      </c>
      <c r="C10" s="10">
        <v>3.3</v>
      </c>
      <c r="D10">
        <v>2.0099999999999998</v>
      </c>
      <c r="E10" s="10">
        <f>'ekon kalkulace'!C11</f>
        <v>25.504999999999999</v>
      </c>
      <c r="F10">
        <f>2745.31*1000</f>
        <v>2745310</v>
      </c>
      <c r="G10">
        <f>'ekon kalkulace'!F11</f>
        <v>0.64958788517121446</v>
      </c>
      <c r="H10">
        <f t="shared" si="0"/>
        <v>0.41699999999999804</v>
      </c>
    </row>
    <row r="11" spans="1:8" x14ac:dyDescent="0.3">
      <c r="A11">
        <v>2013</v>
      </c>
      <c r="B11">
        <f>'ekon kalkulace'!B12</f>
        <v>46508</v>
      </c>
      <c r="C11" s="10">
        <v>1.4</v>
      </c>
      <c r="D11">
        <v>1.5</v>
      </c>
      <c r="E11" s="10">
        <f>'ekon kalkulace'!C12</f>
        <v>25.218</v>
      </c>
      <c r="F11">
        <f>2811.35*1000</f>
        <v>2811350</v>
      </c>
      <c r="G11">
        <f>'ekon kalkulace'!F12</f>
        <v>0.62014514059782033</v>
      </c>
      <c r="H11">
        <f t="shared" si="0"/>
        <v>-0.28699999999999903</v>
      </c>
    </row>
    <row r="12" spans="1:8" x14ac:dyDescent="0.3">
      <c r="A12">
        <v>2014</v>
      </c>
      <c r="B12">
        <f>'ekon kalkulace'!B13</f>
        <v>48418</v>
      </c>
      <c r="C12" s="10">
        <v>0.4</v>
      </c>
      <c r="D12">
        <v>0.91</v>
      </c>
      <c r="E12" s="10">
        <f>'ekon kalkulace'!C13</f>
        <v>27.481000000000002</v>
      </c>
      <c r="F12">
        <f>2927.43*1000</f>
        <v>2927430</v>
      </c>
      <c r="G12">
        <f>'ekon kalkulace'!F13</f>
        <v>0.58388534132410974</v>
      </c>
      <c r="H12">
        <f t="shared" si="0"/>
        <v>2.2630000000000017</v>
      </c>
    </row>
    <row r="13" spans="1:8" x14ac:dyDescent="0.3">
      <c r="A13">
        <v>2015</v>
      </c>
      <c r="B13">
        <f>'ekon kalkulace'!B14</f>
        <v>52953</v>
      </c>
      <c r="C13" s="10">
        <v>0.3</v>
      </c>
      <c r="D13">
        <v>0.51</v>
      </c>
      <c r="E13" s="10">
        <f>'ekon kalkulace'!C14</f>
        <v>27.693000000000001</v>
      </c>
      <c r="F13">
        <f>3026.18*1000</f>
        <v>3026180</v>
      </c>
      <c r="G13">
        <f>'ekon kalkulace'!F14</f>
        <v>0.64690198155124856</v>
      </c>
      <c r="H13">
        <f t="shared" si="0"/>
        <v>0.21199999999999974</v>
      </c>
    </row>
    <row r="14" spans="1:8" x14ac:dyDescent="0.3">
      <c r="A14">
        <v>2016</v>
      </c>
      <c r="B14">
        <f>'ekon kalkulace'!B15</f>
        <v>55923</v>
      </c>
      <c r="C14" s="10">
        <v>0.7</v>
      </c>
      <c r="D14">
        <v>0.49</v>
      </c>
      <c r="E14" s="10">
        <f>'ekon kalkulace'!C15</f>
        <v>27.023</v>
      </c>
      <c r="F14">
        <f>3134.74*1000</f>
        <v>3134740</v>
      </c>
      <c r="G14">
        <f>'ekon kalkulace'!F15</f>
        <v>0.60707355620178338</v>
      </c>
      <c r="H14">
        <f t="shared" si="0"/>
        <v>-0.67000000000000171</v>
      </c>
    </row>
    <row r="15" spans="1:8" x14ac:dyDescent="0.3">
      <c r="A15">
        <v>2017</v>
      </c>
      <c r="B15">
        <f>'ekon kalkulace'!B16</f>
        <v>54100</v>
      </c>
      <c r="C15" s="10">
        <v>2.5</v>
      </c>
      <c r="D15">
        <v>1.51</v>
      </c>
      <c r="E15" s="10">
        <f>'ekon kalkulace'!C16</f>
        <v>27.021000000000001</v>
      </c>
      <c r="F15">
        <f>3267.16*1000</f>
        <v>3267160</v>
      </c>
      <c r="G15">
        <f>'ekon kalkulace'!F16</f>
        <v>0.61870273324852654</v>
      </c>
      <c r="H15">
        <f t="shared" si="0"/>
        <v>-1.9999999999988916E-3</v>
      </c>
    </row>
    <row r="16" spans="1:8" x14ac:dyDescent="0.3">
      <c r="A16">
        <v>2018</v>
      </c>
      <c r="B16">
        <f>'ekon kalkulace'!B17</f>
        <v>58102</v>
      </c>
      <c r="C16" s="10">
        <v>2.1</v>
      </c>
      <c r="D16">
        <v>1.73</v>
      </c>
      <c r="E16" s="10">
        <f>'ekon kalkulace'!C17</f>
        <v>25.494</v>
      </c>
      <c r="F16">
        <f>3365.45*1000</f>
        <v>3365450</v>
      </c>
      <c r="G16">
        <f>'ekon kalkulace'!F17</f>
        <v>0.62275382464684725</v>
      </c>
      <c r="H16">
        <f t="shared" si="0"/>
        <v>-1.527000000000001</v>
      </c>
    </row>
    <row r="17" spans="1:8" x14ac:dyDescent="0.3">
      <c r="A17">
        <v>2019</v>
      </c>
      <c r="B17">
        <f>'ekon kalkulace'!B18</f>
        <v>65072</v>
      </c>
      <c r="C17" s="10">
        <v>2.8</v>
      </c>
      <c r="D17">
        <v>1.45</v>
      </c>
      <c r="E17" s="10">
        <f>'ekon kalkulace'!C18</f>
        <v>25.751999999999999</v>
      </c>
      <c r="F17">
        <f>3474.11*1000</f>
        <v>3474110</v>
      </c>
      <c r="G17">
        <f>'ekon kalkulace'!F18</f>
        <v>0.61525499942069284</v>
      </c>
      <c r="H17">
        <f t="shared" si="0"/>
        <v>0.25799999999999912</v>
      </c>
    </row>
    <row r="18" spans="1:8" x14ac:dyDescent="0.3">
      <c r="A18">
        <v>2020</v>
      </c>
      <c r="B18">
        <f>'ekon kalkulace'!B19</f>
        <v>57071</v>
      </c>
      <c r="C18" s="10">
        <v>3.2</v>
      </c>
      <c r="D18">
        <v>0.14000000000000001</v>
      </c>
      <c r="E18" s="10">
        <f>'ekon kalkulace'!C19</f>
        <v>25.411000000000001</v>
      </c>
      <c r="F18">
        <f>3403.73*1000</f>
        <v>3403730</v>
      </c>
      <c r="G18">
        <f>'ekon kalkulace'!F19</f>
        <v>0.61061220754848666</v>
      </c>
      <c r="H18">
        <f t="shared" si="0"/>
        <v>-0.34099999999999753</v>
      </c>
    </row>
    <row r="19" spans="1:8" x14ac:dyDescent="0.3">
      <c r="A19">
        <v>2021</v>
      </c>
      <c r="B19">
        <f>'ekon kalkulace'!B20</f>
        <v>54888</v>
      </c>
      <c r="C19" s="10">
        <v>3.8</v>
      </c>
      <c r="D19">
        <v>3.07</v>
      </c>
      <c r="E19" s="10">
        <f>'ekon kalkulace'!C20</f>
        <v>26.140999999999998</v>
      </c>
      <c r="F19">
        <f>3617.45*1000</f>
        <v>3617450</v>
      </c>
      <c r="G19">
        <f>'ekon kalkulace'!F20</f>
        <v>0.60127399265714698</v>
      </c>
      <c r="H19">
        <f t="shared" si="0"/>
        <v>0.72999999999999687</v>
      </c>
    </row>
    <row r="20" spans="1:8" x14ac:dyDescent="0.3">
      <c r="A20">
        <v>2022</v>
      </c>
      <c r="B20" s="11">
        <v>53172</v>
      </c>
      <c r="C20" s="10">
        <v>15.1</v>
      </c>
      <c r="D20">
        <v>6.86</v>
      </c>
      <c r="E20" s="28">
        <v>24.818000000000001</v>
      </c>
      <c r="F20">
        <f>3876.8*1000</f>
        <v>3876800</v>
      </c>
      <c r="G20" s="23">
        <v>0.56899999999999995</v>
      </c>
      <c r="H20">
        <f t="shared" si="0"/>
        <v>-1.3229999999999968</v>
      </c>
    </row>
    <row r="21" spans="1:8" x14ac:dyDescent="0.3">
      <c r="C21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3E9D-332B-4255-A8B1-04EDBB74672F}">
  <dimension ref="A1:K22"/>
  <sheetViews>
    <sheetView zoomScale="86" workbookViewId="0">
      <selection activeCell="K2" sqref="K2"/>
    </sheetView>
  </sheetViews>
  <sheetFormatPr defaultRowHeight="14.4" x14ac:dyDescent="0.3"/>
  <cols>
    <col min="1" max="1" width="9.5546875" bestFit="1" customWidth="1"/>
    <col min="2" max="2" width="11.77734375" bestFit="1" customWidth="1"/>
    <col min="3" max="3" width="13.109375" bestFit="1" customWidth="1"/>
    <col min="4" max="4" width="13.6640625" bestFit="1" customWidth="1"/>
    <col min="5" max="5" width="14.88671875" bestFit="1" customWidth="1"/>
    <col min="6" max="6" width="18.6640625" customWidth="1"/>
    <col min="7" max="7" width="10.44140625" customWidth="1"/>
    <col min="8" max="8" width="10.33203125" customWidth="1"/>
    <col min="9" max="9" width="13" customWidth="1"/>
    <col min="10" max="10" width="11.6640625" customWidth="1"/>
    <col min="11" max="11" width="11.88671875" customWidth="1"/>
  </cols>
  <sheetData>
    <row r="1" spans="1:11" x14ac:dyDescent="0.3">
      <c r="A1" s="24" t="s">
        <v>0</v>
      </c>
      <c r="B1" s="24" t="s">
        <v>57</v>
      </c>
      <c r="C1" s="26" t="s">
        <v>67</v>
      </c>
      <c r="D1" s="34" t="s">
        <v>68</v>
      </c>
      <c r="E1" s="24" t="s">
        <v>59</v>
      </c>
      <c r="F1" s="24" t="s">
        <v>58</v>
      </c>
      <c r="G1" s="24" t="s">
        <v>61</v>
      </c>
      <c r="H1" s="26" t="s">
        <v>70</v>
      </c>
      <c r="I1" s="24" t="s">
        <v>53</v>
      </c>
      <c r="J1" s="24" t="s">
        <v>64</v>
      </c>
      <c r="K1" s="24" t="s">
        <v>69</v>
      </c>
    </row>
    <row r="2" spans="1:11" x14ac:dyDescent="0.3">
      <c r="A2" s="31">
        <v>2004</v>
      </c>
      <c r="B2" s="24">
        <f>'ekon kalkulace'!B3</f>
        <v>31619</v>
      </c>
      <c r="C2" s="26">
        <f>'ekon kalkulace'!C3</f>
        <v>32.398000000000003</v>
      </c>
      <c r="D2" s="34">
        <f>'ekon kalkulace'!E3</f>
        <v>94269340.680000007</v>
      </c>
      <c r="E2" s="24">
        <f>'ekon kalkulace'!F3</f>
        <v>1.6040033454283436</v>
      </c>
      <c r="F2" s="24">
        <f>'ekon kalkulace'!G3</f>
        <v>0.3864703571466942</v>
      </c>
      <c r="G2" s="24">
        <v>2.8</v>
      </c>
      <c r="H2" s="26">
        <v>1.67</v>
      </c>
      <c r="I2" s="24">
        <f>2262.52*1000</f>
        <v>2262520</v>
      </c>
      <c r="J2">
        <f>32.398-31.59</f>
        <v>0.80800000000000338</v>
      </c>
      <c r="K2">
        <f>IF(H2&gt;1.6,1,0)</f>
        <v>1</v>
      </c>
    </row>
    <row r="3" spans="1:11" x14ac:dyDescent="0.3">
      <c r="A3" s="31">
        <v>2005</v>
      </c>
      <c r="B3" s="24">
        <f>'ekon kalkulace'!B4</f>
        <v>35279</v>
      </c>
      <c r="C3" s="26">
        <f>'ekon kalkulace'!C4</f>
        <v>30.361000000000001</v>
      </c>
      <c r="D3" s="34">
        <f>'ekon kalkulace'!E4</f>
        <v>93637629.703999996</v>
      </c>
      <c r="E3" s="24">
        <f>'ekon kalkulace'!F4</f>
        <v>0.91965046172038489</v>
      </c>
      <c r="F3" s="24">
        <f>'ekon kalkulace'!G4</f>
        <v>0.3770044128505981</v>
      </c>
      <c r="G3" s="24">
        <v>1.9</v>
      </c>
      <c r="H3" s="26">
        <v>1.55</v>
      </c>
      <c r="I3" s="24">
        <f>2288.31*1000</f>
        <v>2288310</v>
      </c>
      <c r="J3" s="24">
        <f>C3-C2</f>
        <v>-2.0370000000000026</v>
      </c>
      <c r="K3">
        <f t="shared" ref="K3:K20" si="0">IF(H3&gt;1.6,1,0)</f>
        <v>0</v>
      </c>
    </row>
    <row r="4" spans="1:11" x14ac:dyDescent="0.3">
      <c r="A4" s="31">
        <v>2006</v>
      </c>
      <c r="B4" s="24">
        <f>'ekon kalkulace'!B5</f>
        <v>49058</v>
      </c>
      <c r="C4" s="26">
        <f>'ekon kalkulace'!C5</f>
        <v>29.03</v>
      </c>
      <c r="D4" s="34">
        <f>'ekon kalkulace'!E5</f>
        <v>94166267.719999999</v>
      </c>
      <c r="E4" s="24">
        <f>'ekon kalkulace'!F5</f>
        <v>0.82432361254552378</v>
      </c>
      <c r="F4" s="24">
        <f>'ekon kalkulace'!G5</f>
        <v>0.4900909921089836</v>
      </c>
      <c r="G4" s="24">
        <v>2.5</v>
      </c>
      <c r="H4" s="26">
        <v>1.58</v>
      </c>
      <c r="I4" s="24">
        <f>2385.08*1000</f>
        <v>2385080</v>
      </c>
      <c r="J4" s="24">
        <f t="shared" ref="J4:J20" si="1">C4-C3</f>
        <v>-1.3309999999999995</v>
      </c>
      <c r="K4">
        <f t="shared" si="0"/>
        <v>0</v>
      </c>
    </row>
    <row r="5" spans="1:11" x14ac:dyDescent="0.3">
      <c r="A5" s="31">
        <v>2007</v>
      </c>
      <c r="B5" s="24">
        <f>'ekon kalkulace'!B6</f>
        <v>44630</v>
      </c>
      <c r="C5" s="26">
        <f>'ekon kalkulace'!C6</f>
        <v>27.524999999999999</v>
      </c>
      <c r="D5" s="34">
        <f>'ekon kalkulace'!E6</f>
        <v>90763521.939999998</v>
      </c>
      <c r="E5" s="24">
        <f>'ekon kalkulace'!F6</f>
        <v>0.82371410754225949</v>
      </c>
      <c r="F5" s="24">
        <f>'ekon kalkulace'!G6</f>
        <v>0.44585513020962814</v>
      </c>
      <c r="G5" s="24">
        <v>2.8</v>
      </c>
      <c r="H5" s="26">
        <v>2.2999999999999998</v>
      </c>
      <c r="I5" s="24">
        <f>2499.55*1000</f>
        <v>2499550</v>
      </c>
      <c r="J5" s="24">
        <f t="shared" si="1"/>
        <v>-1.5050000000000026</v>
      </c>
      <c r="K5">
        <f t="shared" si="0"/>
        <v>1</v>
      </c>
    </row>
    <row r="6" spans="1:11" x14ac:dyDescent="0.3">
      <c r="A6" s="31">
        <v>2008</v>
      </c>
      <c r="B6" s="24">
        <f>'ekon kalkulace'!B7</f>
        <v>51274</v>
      </c>
      <c r="C6" s="26">
        <f>'ekon kalkulace'!C7</f>
        <v>26.364000000000001</v>
      </c>
      <c r="D6" s="34">
        <f>'ekon kalkulace'!E7</f>
        <v>90232622.501999989</v>
      </c>
      <c r="E6" s="24">
        <f>'ekon kalkulace'!F7</f>
        <v>0.80316759966190476</v>
      </c>
      <c r="F6" s="24">
        <f>'ekon kalkulace'!G7</f>
        <v>0.51222890312275315</v>
      </c>
      <c r="G6" s="24">
        <v>6.3</v>
      </c>
      <c r="H6" s="26">
        <v>2.63</v>
      </c>
      <c r="I6" s="24">
        <f>2546.49*1000</f>
        <v>2546490</v>
      </c>
      <c r="J6" s="24">
        <f t="shared" si="1"/>
        <v>-1.1609999999999978</v>
      </c>
      <c r="K6">
        <f t="shared" si="0"/>
        <v>1</v>
      </c>
    </row>
    <row r="7" spans="1:11" x14ac:dyDescent="0.3">
      <c r="A7" s="31">
        <v>2009</v>
      </c>
      <c r="B7" s="24">
        <f>'ekon kalkulace'!B8</f>
        <v>50230</v>
      </c>
      <c r="C7" s="26">
        <f>'ekon kalkulace'!C8</f>
        <v>26.824999999999999</v>
      </c>
      <c r="D7" s="34">
        <f>'ekon kalkulace'!E8</f>
        <v>89061634.040000007</v>
      </c>
      <c r="E7" s="24">
        <f>'ekon kalkulace'!F8</f>
        <v>0.58179668646112959</v>
      </c>
      <c r="F7" s="24">
        <f>'ekon kalkulace'!G8</f>
        <v>0.36393001055694085</v>
      </c>
      <c r="G7" s="24">
        <v>1</v>
      </c>
      <c r="H7" s="26">
        <v>0.31</v>
      </c>
      <c r="I7" s="24">
        <f>2445.73*1000</f>
        <v>2445730</v>
      </c>
      <c r="J7" s="24">
        <f t="shared" si="1"/>
        <v>0.46099999999999852</v>
      </c>
      <c r="K7">
        <f t="shared" si="0"/>
        <v>0</v>
      </c>
    </row>
    <row r="8" spans="1:11" x14ac:dyDescent="0.3">
      <c r="A8" s="31">
        <v>2010</v>
      </c>
      <c r="B8" s="24">
        <f>'ekon kalkulace'!B9</f>
        <v>40673</v>
      </c>
      <c r="C8" s="26">
        <f>'ekon kalkulace'!C9</f>
        <v>26.285</v>
      </c>
      <c r="D8" s="34">
        <f>'ekon kalkulace'!E9</f>
        <v>89132298.640000001</v>
      </c>
      <c r="E8" s="24">
        <f>'ekon kalkulace'!F9</f>
        <v>0.58782209517575712</v>
      </c>
      <c r="F8" s="24">
        <f>'ekon kalkulace'!G9</f>
        <v>0.35735443429865243</v>
      </c>
      <c r="G8" s="24">
        <v>1.5</v>
      </c>
      <c r="H8" s="26">
        <v>1.1000000000000001</v>
      </c>
      <c r="I8" s="24">
        <f>2564.4*1000</f>
        <v>2564400</v>
      </c>
      <c r="J8" s="24">
        <f t="shared" si="1"/>
        <v>-0.53999999999999915</v>
      </c>
      <c r="K8">
        <f t="shared" si="0"/>
        <v>0</v>
      </c>
    </row>
    <row r="9" spans="1:11" x14ac:dyDescent="0.3">
      <c r="A9" s="31">
        <v>2011</v>
      </c>
      <c r="B9" s="24">
        <f>'ekon kalkulace'!B10</f>
        <v>39078</v>
      </c>
      <c r="C9" s="26">
        <f>'ekon kalkulace'!C10</f>
        <v>25.088000000000001</v>
      </c>
      <c r="D9" s="34">
        <f>'ekon kalkulace'!E10</f>
        <v>88995752.153999999</v>
      </c>
      <c r="E9" s="24">
        <f>'ekon kalkulace'!F10</f>
        <v>0.61049855931089569</v>
      </c>
      <c r="F9" s="24">
        <f>'ekon kalkulace'!G10</f>
        <v>0.38354941465135794</v>
      </c>
      <c r="G9" s="24">
        <v>1.9</v>
      </c>
      <c r="H9" s="26">
        <v>2.08</v>
      </c>
      <c r="I9" s="24">
        <f>2693.56*1000</f>
        <v>2693560</v>
      </c>
      <c r="J9" s="24">
        <f t="shared" si="1"/>
        <v>-1.1969999999999992</v>
      </c>
      <c r="K9">
        <f t="shared" si="0"/>
        <v>1</v>
      </c>
    </row>
    <row r="10" spans="1:11" x14ac:dyDescent="0.3">
      <c r="A10" s="31">
        <v>2012</v>
      </c>
      <c r="B10" s="24">
        <f>'ekon kalkulace'!B11</f>
        <v>43862</v>
      </c>
      <c r="C10" s="26">
        <f>'ekon kalkulace'!C11</f>
        <v>25.504999999999999</v>
      </c>
      <c r="D10" s="34">
        <f>'ekon kalkulace'!E11</f>
        <v>87498391.245000005</v>
      </c>
      <c r="E10" s="24">
        <f>'ekon kalkulace'!F11</f>
        <v>0.64958788517121446</v>
      </c>
      <c r="F10" s="24">
        <f>'ekon kalkulace'!G11</f>
        <v>0.48678377392599348</v>
      </c>
      <c r="G10" s="24">
        <v>3.3</v>
      </c>
      <c r="H10" s="26">
        <v>2.0099999999999998</v>
      </c>
      <c r="I10" s="24">
        <f>2745.31*1000</f>
        <v>2745310</v>
      </c>
      <c r="J10" s="24">
        <f t="shared" si="1"/>
        <v>0.41699999999999804</v>
      </c>
      <c r="K10">
        <f t="shared" si="0"/>
        <v>1</v>
      </c>
    </row>
    <row r="11" spans="1:11" x14ac:dyDescent="0.3">
      <c r="A11" s="31">
        <v>2013</v>
      </c>
      <c r="B11" s="24">
        <f>'ekon kalkulace'!B12</f>
        <v>46508</v>
      </c>
      <c r="C11" s="26">
        <f>'ekon kalkulace'!C12</f>
        <v>25.218</v>
      </c>
      <c r="D11" s="34">
        <f>'ekon kalkulace'!E12</f>
        <v>87071510.005999997</v>
      </c>
      <c r="E11" s="24">
        <f>'ekon kalkulace'!F12</f>
        <v>0.62014514059782033</v>
      </c>
      <c r="F11" s="24">
        <f>'ekon kalkulace'!G12</f>
        <v>0.53251229863190785</v>
      </c>
      <c r="G11" s="24">
        <v>1.4</v>
      </c>
      <c r="H11" s="26">
        <v>1.5</v>
      </c>
      <c r="I11" s="24">
        <f>2811.35*1000</f>
        <v>2811350</v>
      </c>
      <c r="J11" s="24">
        <f t="shared" si="1"/>
        <v>-0.28699999999999903</v>
      </c>
      <c r="K11">
        <f t="shared" si="0"/>
        <v>0</v>
      </c>
    </row>
    <row r="12" spans="1:11" x14ac:dyDescent="0.3">
      <c r="A12" s="31">
        <v>2014</v>
      </c>
      <c r="B12" s="24">
        <f>'ekon kalkulace'!B13</f>
        <v>48418</v>
      </c>
      <c r="C12" s="26">
        <f>'ekon kalkulace'!C13</f>
        <v>27.481000000000002</v>
      </c>
      <c r="D12" s="34">
        <f>'ekon kalkulace'!E13</f>
        <v>87507083.924999997</v>
      </c>
      <c r="E12" s="24">
        <f>'ekon kalkulace'!F13</f>
        <v>0.58388534132410974</v>
      </c>
      <c r="F12" s="24">
        <f>'ekon kalkulace'!G13</f>
        <v>0.54040354722504547</v>
      </c>
      <c r="G12" s="24">
        <v>0.4</v>
      </c>
      <c r="H12" s="26">
        <v>0.91</v>
      </c>
      <c r="I12" s="24">
        <f>2927.43*1000</f>
        <v>2927430</v>
      </c>
      <c r="J12" s="24">
        <f t="shared" si="1"/>
        <v>2.2630000000000017</v>
      </c>
      <c r="K12">
        <f t="shared" si="0"/>
        <v>0</v>
      </c>
    </row>
    <row r="13" spans="1:11" x14ac:dyDescent="0.3">
      <c r="A13" s="31">
        <v>2015</v>
      </c>
      <c r="B13" s="24">
        <f>'ekon kalkulace'!B14</f>
        <v>52953</v>
      </c>
      <c r="C13" s="26">
        <f>'ekon kalkulace'!C14</f>
        <v>27.693000000000001</v>
      </c>
      <c r="D13" s="34">
        <f>'ekon kalkulace'!E14</f>
        <v>84453349.554000005</v>
      </c>
      <c r="E13" s="24">
        <f>'ekon kalkulace'!F14</f>
        <v>0.64690198155124856</v>
      </c>
      <c r="F13" s="24">
        <f>'ekon kalkulace'!G14</f>
        <v>0.56113967103712659</v>
      </c>
      <c r="G13" s="24">
        <v>0.3</v>
      </c>
      <c r="H13" s="26">
        <v>0.51</v>
      </c>
      <c r="I13" s="24">
        <f>3026.18*1000</f>
        <v>3026180</v>
      </c>
      <c r="J13" s="24">
        <f t="shared" si="1"/>
        <v>0.21199999999999974</v>
      </c>
      <c r="K13">
        <f t="shared" si="0"/>
        <v>0</v>
      </c>
    </row>
    <row r="14" spans="1:11" x14ac:dyDescent="0.3">
      <c r="A14" s="31">
        <v>2016</v>
      </c>
      <c r="B14" s="24">
        <f>'ekon kalkulace'!B15</f>
        <v>55923</v>
      </c>
      <c r="C14" s="26">
        <f>'ekon kalkulace'!C15</f>
        <v>27.023</v>
      </c>
      <c r="D14" s="34">
        <f>'ekon kalkulace'!E15</f>
        <v>82907742.96100001</v>
      </c>
      <c r="E14" s="24">
        <f>'ekon kalkulace'!F15</f>
        <v>0.60707355620178338</v>
      </c>
      <c r="F14" s="24">
        <f>'ekon kalkulace'!G15</f>
        <v>0.57511478539558314</v>
      </c>
      <c r="G14" s="24">
        <v>0.7</v>
      </c>
      <c r="H14" s="26">
        <v>0.49</v>
      </c>
      <c r="I14" s="24">
        <f>3134.74*1000</f>
        <v>3134740</v>
      </c>
      <c r="J14" s="24">
        <f t="shared" si="1"/>
        <v>-0.67000000000000171</v>
      </c>
      <c r="K14">
        <f t="shared" si="0"/>
        <v>0</v>
      </c>
    </row>
    <row r="15" spans="1:11" x14ac:dyDescent="0.3">
      <c r="A15" s="31">
        <v>2017</v>
      </c>
      <c r="B15" s="24">
        <f>'ekon kalkulace'!B16</f>
        <v>54100</v>
      </c>
      <c r="C15" s="26">
        <f>'ekon kalkulace'!C16</f>
        <v>27.021000000000001</v>
      </c>
      <c r="D15" s="34">
        <f>'ekon kalkulace'!E16</f>
        <v>80971886.519999996</v>
      </c>
      <c r="E15" s="24">
        <f>'ekon kalkulace'!F16</f>
        <v>0.61870273324852654</v>
      </c>
      <c r="F15" s="24">
        <f>'ekon kalkulace'!G16</f>
        <v>0.5675313827283206</v>
      </c>
      <c r="G15" s="24">
        <v>2.5</v>
      </c>
      <c r="H15" s="26">
        <v>1.51</v>
      </c>
      <c r="I15" s="24">
        <f>3267.16*1000</f>
        <v>3267160</v>
      </c>
      <c r="J15" s="24">
        <f t="shared" si="1"/>
        <v>-1.9999999999988916E-3</v>
      </c>
      <c r="K15">
        <f t="shared" si="0"/>
        <v>0</v>
      </c>
    </row>
    <row r="16" spans="1:11" x14ac:dyDescent="0.3">
      <c r="A16" s="31">
        <v>2018</v>
      </c>
      <c r="B16" s="24">
        <f>'ekon kalkulace'!B17</f>
        <v>58102</v>
      </c>
      <c r="C16" s="26">
        <f>'ekon kalkulace'!C17</f>
        <v>25.494</v>
      </c>
      <c r="D16" s="34">
        <f>'ekon kalkulace'!E17</f>
        <v>82067729.040000007</v>
      </c>
      <c r="E16" s="24">
        <f>'ekon kalkulace'!F17</f>
        <v>0.62275382464684725</v>
      </c>
      <c r="F16" s="24">
        <f>'ekon kalkulace'!G17</f>
        <v>0.55588912538717272</v>
      </c>
      <c r="G16" s="24">
        <v>2.1</v>
      </c>
      <c r="H16" s="26">
        <v>1.73</v>
      </c>
      <c r="I16" s="24">
        <f>3365.45*1000</f>
        <v>3365450</v>
      </c>
      <c r="J16" s="24">
        <f t="shared" si="1"/>
        <v>-1.527000000000001</v>
      </c>
      <c r="K16">
        <f t="shared" si="0"/>
        <v>1</v>
      </c>
    </row>
    <row r="17" spans="1:11" x14ac:dyDescent="0.3">
      <c r="A17" s="31">
        <v>2019</v>
      </c>
      <c r="B17" s="24">
        <f>'ekon kalkulace'!B18</f>
        <v>65072</v>
      </c>
      <c r="C17" s="26">
        <f>'ekon kalkulace'!C18</f>
        <v>25.751999999999999</v>
      </c>
      <c r="D17" s="34">
        <f>'ekon kalkulace'!E18</f>
        <v>80487400.488000005</v>
      </c>
      <c r="E17" s="24">
        <f>'ekon kalkulace'!F18</f>
        <v>0.61525499942069284</v>
      </c>
      <c r="F17" s="24">
        <f>'ekon kalkulace'!G18</f>
        <v>0.61308492941953019</v>
      </c>
      <c r="G17" s="24">
        <v>2.8</v>
      </c>
      <c r="H17" s="26">
        <v>1.45</v>
      </c>
      <c r="I17" s="24">
        <f>3474.11*1000</f>
        <v>3474110</v>
      </c>
      <c r="J17" s="24">
        <f t="shared" si="1"/>
        <v>0.25799999999999912</v>
      </c>
      <c r="K17">
        <f t="shared" si="0"/>
        <v>0</v>
      </c>
    </row>
    <row r="18" spans="1:11" x14ac:dyDescent="0.3">
      <c r="A18" s="31">
        <v>2020</v>
      </c>
      <c r="B18" s="24">
        <f>'ekon kalkulace'!B19</f>
        <v>57071</v>
      </c>
      <c r="C18" s="26">
        <f>'ekon kalkulace'!C19</f>
        <v>25.411000000000001</v>
      </c>
      <c r="D18" s="34">
        <f>'ekon kalkulace'!E19</f>
        <v>76995984.912</v>
      </c>
      <c r="E18" s="24">
        <f>'ekon kalkulace'!F19</f>
        <v>0.61061220754848666</v>
      </c>
      <c r="F18" s="24">
        <f>'ekon kalkulace'!G19</f>
        <v>0.52444312412435068</v>
      </c>
      <c r="G18" s="24">
        <v>3.2</v>
      </c>
      <c r="H18" s="26">
        <v>0.14000000000000001</v>
      </c>
      <c r="I18" s="24">
        <f>3403.73*1000</f>
        <v>3403730</v>
      </c>
      <c r="J18" s="24">
        <f t="shared" si="1"/>
        <v>-0.34099999999999753</v>
      </c>
      <c r="K18">
        <f t="shared" si="0"/>
        <v>0</v>
      </c>
    </row>
    <row r="19" spans="1:11" x14ac:dyDescent="0.3">
      <c r="A19" s="31">
        <v>2021</v>
      </c>
      <c r="B19" s="24">
        <f>'ekon kalkulace'!B20</f>
        <v>54888</v>
      </c>
      <c r="C19" s="26">
        <f>'ekon kalkulace'!C20</f>
        <v>26.140999999999998</v>
      </c>
      <c r="D19" s="34">
        <f>'ekon kalkulace'!E20</f>
        <v>74567247.276000008</v>
      </c>
      <c r="E19" s="24">
        <f>'ekon kalkulace'!F20</f>
        <v>0.60127399265714698</v>
      </c>
      <c r="F19" s="24">
        <f>'ekon kalkulace'!G20</f>
        <v>0.49782745587713029</v>
      </c>
      <c r="G19" s="24">
        <v>3.8</v>
      </c>
      <c r="H19" s="26">
        <v>3.07</v>
      </c>
      <c r="I19" s="24">
        <f>3617.45*1000</f>
        <v>3617450</v>
      </c>
      <c r="J19" s="24">
        <f t="shared" si="1"/>
        <v>0.72999999999999687</v>
      </c>
      <c r="K19">
        <f t="shared" si="0"/>
        <v>1</v>
      </c>
    </row>
    <row r="20" spans="1:11" x14ac:dyDescent="0.3">
      <c r="A20" s="31">
        <v>2022</v>
      </c>
      <c r="B20" s="29">
        <v>53172</v>
      </c>
      <c r="C20" s="36">
        <v>24.818000000000001</v>
      </c>
      <c r="D20" s="35">
        <v>76533515.873999998</v>
      </c>
      <c r="E20" s="25">
        <v>0.56899999999999995</v>
      </c>
      <c r="F20" s="25">
        <v>0.48699999999999999</v>
      </c>
      <c r="G20" s="24">
        <v>15.1</v>
      </c>
      <c r="H20" s="26">
        <v>6.86</v>
      </c>
      <c r="I20" s="24">
        <f>3876.8*1000</f>
        <v>3876800</v>
      </c>
      <c r="J20" s="24">
        <f t="shared" si="1"/>
        <v>-1.3229999999999968</v>
      </c>
      <c r="K20">
        <f t="shared" si="0"/>
        <v>1</v>
      </c>
    </row>
    <row r="22" spans="1:11" x14ac:dyDescent="0.3">
      <c r="H22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E86D-A68D-4B26-8370-73CDC289694B}">
  <dimension ref="A1:U64"/>
  <sheetViews>
    <sheetView zoomScale="72" zoomScaleNormal="85" workbookViewId="0">
      <pane ySplit="1" topLeftCell="A2" activePane="bottomLeft" state="frozen"/>
      <selection pane="bottomLeft" activeCell="D40" sqref="D40"/>
    </sheetView>
  </sheetViews>
  <sheetFormatPr defaultRowHeight="14.4" x14ac:dyDescent="0.3"/>
  <cols>
    <col min="1" max="1" width="6.44140625" customWidth="1"/>
    <col min="2" max="2" width="16.21875" customWidth="1"/>
    <col min="3" max="3" width="18" customWidth="1"/>
    <col min="4" max="4" width="16" customWidth="1"/>
    <col min="5" max="5" width="16.33203125" customWidth="1"/>
    <col min="6" max="6" width="18.109375" customWidth="1"/>
    <col min="7" max="7" width="23" customWidth="1"/>
    <col min="10" max="10" width="16.33203125" customWidth="1"/>
    <col min="11" max="11" width="20.6640625" customWidth="1"/>
    <col min="12" max="12" width="13.6640625" bestFit="1" customWidth="1"/>
    <col min="13" max="13" width="14.88671875" bestFit="1" customWidth="1"/>
    <col min="14" max="14" width="12.33203125" customWidth="1"/>
    <col min="16" max="16" width="9.109375" bestFit="1" customWidth="1"/>
    <col min="17" max="17" width="19.88671875" customWidth="1"/>
    <col min="18" max="18" width="14.88671875" bestFit="1" customWidth="1"/>
    <col min="19" max="19" width="9.109375" bestFit="1" customWidth="1"/>
    <col min="20" max="20" width="17.6640625" customWidth="1"/>
    <col min="21" max="21" width="11.21875" bestFit="1" customWidth="1"/>
    <col min="22" max="22" width="10.77734375" bestFit="1" customWidth="1"/>
  </cols>
  <sheetData>
    <row r="1" spans="1:21" x14ac:dyDescent="0.3">
      <c r="A1" t="s">
        <v>0</v>
      </c>
      <c r="B1" t="s">
        <v>6</v>
      </c>
      <c r="C1" t="s">
        <v>7</v>
      </c>
      <c r="D1" t="s">
        <v>2</v>
      </c>
      <c r="E1" t="s">
        <v>8</v>
      </c>
      <c r="F1" t="s">
        <v>9</v>
      </c>
      <c r="G1" t="s">
        <v>35</v>
      </c>
      <c r="J1" t="s">
        <v>17</v>
      </c>
      <c r="K1" t="s">
        <v>15</v>
      </c>
      <c r="L1" t="s">
        <v>18</v>
      </c>
      <c r="M1" t="s">
        <v>19</v>
      </c>
      <c r="R1" t="s">
        <v>21</v>
      </c>
      <c r="S1" t="s">
        <v>22</v>
      </c>
      <c r="U1" t="s">
        <v>23</v>
      </c>
    </row>
    <row r="2" spans="1:21" x14ac:dyDescent="0.3">
      <c r="A2">
        <v>2003</v>
      </c>
      <c r="B2">
        <v>27978</v>
      </c>
      <c r="C2" s="1">
        <v>31.59</v>
      </c>
      <c r="D2" s="3">
        <v>2823452</v>
      </c>
      <c r="E2" s="1">
        <f>M2</f>
        <v>95826542.180000007</v>
      </c>
      <c r="F2" s="1">
        <f>D30</f>
        <v>1.3087952428222358</v>
      </c>
      <c r="G2" s="1">
        <f>U2/R2</f>
        <v>0.35072890009897578</v>
      </c>
      <c r="J2">
        <v>117.8</v>
      </c>
      <c r="K2">
        <v>81346810</v>
      </c>
      <c r="L2">
        <f>J2*K2</f>
        <v>9582654218</v>
      </c>
      <c r="M2">
        <f>L2/100</f>
        <v>95826542.180000007</v>
      </c>
      <c r="R2">
        <v>79771014</v>
      </c>
      <c r="S2">
        <v>27978</v>
      </c>
      <c r="U2">
        <f>S2*1000</f>
        <v>27978000</v>
      </c>
    </row>
    <row r="3" spans="1:21" x14ac:dyDescent="0.3">
      <c r="A3">
        <v>2004</v>
      </c>
      <c r="B3">
        <v>31619</v>
      </c>
      <c r="C3" s="1">
        <v>32.398000000000003</v>
      </c>
      <c r="D3" s="3">
        <v>3079207</v>
      </c>
      <c r="E3" s="1">
        <f t="shared" ref="E3:E21" si="0">M3</f>
        <v>94269340.680000007</v>
      </c>
      <c r="F3" s="1">
        <f t="shared" ref="F3:F21" si="1">D31</f>
        <v>1.6040033454283436</v>
      </c>
      <c r="G3" s="1">
        <f t="shared" ref="G3:G21" si="2">U3/R3</f>
        <v>0.3864703571466942</v>
      </c>
      <c r="J3">
        <v>116</v>
      </c>
      <c r="K3">
        <v>81266673</v>
      </c>
      <c r="L3">
        <f t="shared" ref="L3:L21" si="3">J3*K3</f>
        <v>9426934068</v>
      </c>
      <c r="M3">
        <f t="shared" ref="M3:M21" si="4">L3/100</f>
        <v>94269340.680000007</v>
      </c>
      <c r="R3">
        <v>81814813</v>
      </c>
      <c r="S3">
        <v>31619</v>
      </c>
      <c r="U3">
        <f t="shared" ref="U3:U21" si="5">S3*1000</f>
        <v>31619000</v>
      </c>
    </row>
    <row r="4" spans="1:21" x14ac:dyDescent="0.3">
      <c r="A4">
        <v>2005</v>
      </c>
      <c r="B4">
        <v>35279</v>
      </c>
      <c r="C4" s="1">
        <v>30.361000000000001</v>
      </c>
      <c r="D4" s="3">
        <v>3285601</v>
      </c>
      <c r="E4" s="1">
        <f t="shared" si="0"/>
        <v>93637629.703999996</v>
      </c>
      <c r="F4" s="1">
        <f t="shared" si="1"/>
        <v>0.91965046172038489</v>
      </c>
      <c r="G4" s="1">
        <f t="shared" si="2"/>
        <v>0.3770044128505981</v>
      </c>
      <c r="J4">
        <v>115.3</v>
      </c>
      <c r="K4">
        <v>81212168</v>
      </c>
      <c r="L4">
        <f t="shared" si="3"/>
        <v>9363762970.3999996</v>
      </c>
      <c r="M4">
        <f t="shared" si="4"/>
        <v>93637629.703999996</v>
      </c>
      <c r="R4">
        <v>93577154</v>
      </c>
      <c r="S4">
        <v>35279</v>
      </c>
      <c r="U4">
        <f t="shared" si="5"/>
        <v>35279000</v>
      </c>
    </row>
    <row r="5" spans="1:21" x14ac:dyDescent="0.3">
      <c r="A5">
        <v>2006</v>
      </c>
      <c r="B5">
        <v>49058</v>
      </c>
      <c r="C5" s="1">
        <v>29.03</v>
      </c>
      <c r="D5" s="3">
        <v>3530881</v>
      </c>
      <c r="E5" s="1">
        <f t="shared" si="0"/>
        <v>94166267.719999999</v>
      </c>
      <c r="F5" s="1">
        <f t="shared" si="1"/>
        <v>0.82432361254552378</v>
      </c>
      <c r="G5" s="8">
        <f>U5/R5</f>
        <v>0.4900909921089836</v>
      </c>
      <c r="J5">
        <v>116</v>
      </c>
      <c r="K5">
        <v>81177817</v>
      </c>
      <c r="L5">
        <f t="shared" si="3"/>
        <v>9416626772</v>
      </c>
      <c r="M5">
        <f t="shared" si="4"/>
        <v>94166267.719999999</v>
      </c>
      <c r="R5">
        <f>T25</f>
        <v>100099779</v>
      </c>
      <c r="S5">
        <v>49058</v>
      </c>
      <c r="U5">
        <f t="shared" si="5"/>
        <v>49058000</v>
      </c>
    </row>
    <row r="6" spans="1:21" x14ac:dyDescent="0.3">
      <c r="A6">
        <v>2007</v>
      </c>
      <c r="B6">
        <v>44630</v>
      </c>
      <c r="C6" s="1">
        <v>27.524999999999999</v>
      </c>
      <c r="D6" s="3">
        <v>3859533</v>
      </c>
      <c r="E6" s="1">
        <f t="shared" si="0"/>
        <v>90763521.939999998</v>
      </c>
      <c r="F6" s="1">
        <f t="shared" si="1"/>
        <v>0.82371410754225949</v>
      </c>
      <c r="G6" s="8">
        <f t="shared" ref="G6:G7" si="6">U6/R6</f>
        <v>0.44585513020962814</v>
      </c>
      <c r="J6">
        <v>111.8</v>
      </c>
      <c r="K6">
        <v>81183830</v>
      </c>
      <c r="L6">
        <f t="shared" si="3"/>
        <v>9076352194</v>
      </c>
      <c r="M6">
        <f t="shared" si="4"/>
        <v>90763521.939999998</v>
      </c>
      <c r="R6">
        <f>T25</f>
        <v>100099779</v>
      </c>
      <c r="S6">
        <v>44630</v>
      </c>
      <c r="U6">
        <f t="shared" si="5"/>
        <v>44630000</v>
      </c>
    </row>
    <row r="7" spans="1:21" x14ac:dyDescent="0.3">
      <c r="A7">
        <v>2008</v>
      </c>
      <c r="B7">
        <v>51274</v>
      </c>
      <c r="C7" s="1">
        <v>26.364000000000001</v>
      </c>
      <c r="D7" s="3">
        <v>4042860</v>
      </c>
      <c r="E7" s="1">
        <f t="shared" si="0"/>
        <v>90232622.501999989</v>
      </c>
      <c r="F7" s="1">
        <f t="shared" si="1"/>
        <v>0.80316759966190476</v>
      </c>
      <c r="G7" s="8">
        <f t="shared" si="6"/>
        <v>0.51222890312275315</v>
      </c>
      <c r="J7">
        <v>111.1</v>
      </c>
      <c r="K7">
        <v>81217482</v>
      </c>
      <c r="L7">
        <f t="shared" si="3"/>
        <v>9023262250.1999989</v>
      </c>
      <c r="M7">
        <f t="shared" si="4"/>
        <v>90232622.501999989</v>
      </c>
      <c r="R7">
        <f>T25</f>
        <v>100099779</v>
      </c>
      <c r="S7">
        <v>51274</v>
      </c>
      <c r="U7">
        <f t="shared" si="5"/>
        <v>51274000</v>
      </c>
    </row>
    <row r="8" spans="1:21" x14ac:dyDescent="0.3">
      <c r="A8">
        <v>2009</v>
      </c>
      <c r="B8">
        <v>50230</v>
      </c>
      <c r="C8" s="2">
        <v>26.824999999999999</v>
      </c>
      <c r="D8" s="3">
        <v>3954320</v>
      </c>
      <c r="E8" s="1">
        <f t="shared" si="0"/>
        <v>89061634.040000007</v>
      </c>
      <c r="F8" s="1">
        <f t="shared" si="1"/>
        <v>0.58179668646112959</v>
      </c>
      <c r="G8" s="1">
        <f t="shared" si="2"/>
        <v>0.36393001055694085</v>
      </c>
      <c r="J8">
        <v>109.6</v>
      </c>
      <c r="K8">
        <v>81260615</v>
      </c>
      <c r="L8">
        <f t="shared" si="3"/>
        <v>8906163404</v>
      </c>
      <c r="M8">
        <f t="shared" si="4"/>
        <v>89061634.040000007</v>
      </c>
      <c r="R8">
        <v>138021044</v>
      </c>
      <c r="S8">
        <v>50230</v>
      </c>
      <c r="U8">
        <f t="shared" si="5"/>
        <v>50230000</v>
      </c>
    </row>
    <row r="9" spans="1:21" x14ac:dyDescent="0.3">
      <c r="A9">
        <v>2010</v>
      </c>
      <c r="B9">
        <v>40673</v>
      </c>
      <c r="C9" s="2">
        <v>26.285</v>
      </c>
      <c r="D9" s="3">
        <v>3992870</v>
      </c>
      <c r="E9" s="1">
        <f t="shared" si="0"/>
        <v>89132298.640000001</v>
      </c>
      <c r="F9" s="1">
        <f t="shared" si="1"/>
        <v>0.58782209517575712</v>
      </c>
      <c r="G9" s="1">
        <f t="shared" si="2"/>
        <v>0.35735443429865243</v>
      </c>
      <c r="J9">
        <v>109.6</v>
      </c>
      <c r="K9">
        <v>81325090</v>
      </c>
      <c r="L9">
        <f t="shared" si="3"/>
        <v>8913229864</v>
      </c>
      <c r="M9">
        <f t="shared" si="4"/>
        <v>89132298.640000001</v>
      </c>
      <c r="R9">
        <v>113816973</v>
      </c>
      <c r="S9">
        <v>40673</v>
      </c>
      <c r="U9">
        <f t="shared" si="5"/>
        <v>40673000</v>
      </c>
    </row>
    <row r="10" spans="1:21" x14ac:dyDescent="0.3">
      <c r="A10">
        <v>2011</v>
      </c>
      <c r="B10">
        <v>39078</v>
      </c>
      <c r="C10" s="2">
        <v>25.088000000000001</v>
      </c>
      <c r="D10" s="4">
        <v>4062323</v>
      </c>
      <c r="E10" s="1">
        <f t="shared" si="0"/>
        <v>88995752.153999999</v>
      </c>
      <c r="F10" s="1">
        <f t="shared" si="1"/>
        <v>0.61049855931089569</v>
      </c>
      <c r="G10" s="1">
        <f t="shared" si="2"/>
        <v>0.38354941465135794</v>
      </c>
      <c r="J10">
        <v>109.3</v>
      </c>
      <c r="K10">
        <v>81423378</v>
      </c>
      <c r="L10">
        <f t="shared" si="3"/>
        <v>8899575215.3999996</v>
      </c>
      <c r="M10">
        <f t="shared" si="4"/>
        <v>88995752.153999999</v>
      </c>
      <c r="R10">
        <v>101885177</v>
      </c>
      <c r="S10">
        <v>39078</v>
      </c>
      <c r="U10">
        <f t="shared" si="5"/>
        <v>39078000</v>
      </c>
    </row>
    <row r="11" spans="1:21" x14ac:dyDescent="0.3">
      <c r="A11">
        <v>2012</v>
      </c>
      <c r="B11">
        <v>43862</v>
      </c>
      <c r="C11" s="2">
        <v>25.504999999999999</v>
      </c>
      <c r="D11" s="5">
        <v>4088912</v>
      </c>
      <c r="E11" s="1">
        <f t="shared" si="0"/>
        <v>87498391.245000005</v>
      </c>
      <c r="F11" s="1">
        <f t="shared" si="1"/>
        <v>0.64958788517121446</v>
      </c>
      <c r="G11" s="1">
        <f t="shared" si="2"/>
        <v>0.48678377392599348</v>
      </c>
      <c r="J11">
        <v>107.3</v>
      </c>
      <c r="K11">
        <v>81545565</v>
      </c>
      <c r="L11">
        <f t="shared" si="3"/>
        <v>8749839124.5</v>
      </c>
      <c r="M11">
        <f t="shared" si="4"/>
        <v>87498391.245000005</v>
      </c>
      <c r="R11">
        <v>90105715</v>
      </c>
      <c r="S11">
        <v>43862</v>
      </c>
      <c r="U11">
        <f t="shared" si="5"/>
        <v>43862000</v>
      </c>
    </row>
    <row r="12" spans="1:21" x14ac:dyDescent="0.3">
      <c r="A12">
        <v>2013</v>
      </c>
      <c r="B12">
        <v>46508</v>
      </c>
      <c r="C12" s="2">
        <v>25.218</v>
      </c>
      <c r="D12" s="5">
        <v>4142811</v>
      </c>
      <c r="E12" s="1">
        <f t="shared" si="0"/>
        <v>87071510.005999997</v>
      </c>
      <c r="F12" s="1">
        <f t="shared" si="1"/>
        <v>0.62014514059782033</v>
      </c>
      <c r="G12" s="1">
        <f t="shared" si="2"/>
        <v>0.53251229863190785</v>
      </c>
      <c r="J12">
        <v>106.6</v>
      </c>
      <c r="K12">
        <v>81680591</v>
      </c>
      <c r="L12">
        <f t="shared" si="3"/>
        <v>8707151000.6000004</v>
      </c>
      <c r="M12">
        <f t="shared" si="4"/>
        <v>87071510.005999997</v>
      </c>
      <c r="R12">
        <v>87336950</v>
      </c>
      <c r="S12">
        <v>46508</v>
      </c>
      <c r="U12">
        <f t="shared" si="5"/>
        <v>46508000</v>
      </c>
    </row>
    <row r="13" spans="1:21" x14ac:dyDescent="0.3">
      <c r="A13">
        <v>2014</v>
      </c>
      <c r="B13">
        <v>48418</v>
      </c>
      <c r="C13" s="2">
        <v>27.481000000000002</v>
      </c>
      <c r="D13" s="4">
        <v>4345766</v>
      </c>
      <c r="E13" s="1">
        <f t="shared" si="0"/>
        <v>87507083.924999997</v>
      </c>
      <c r="F13" s="1">
        <f t="shared" si="1"/>
        <v>0.58388534132410974</v>
      </c>
      <c r="G13" s="1">
        <f t="shared" si="2"/>
        <v>0.54040354722504547</v>
      </c>
      <c r="J13">
        <v>106.9</v>
      </c>
      <c r="K13">
        <v>81858825</v>
      </c>
      <c r="L13">
        <f t="shared" si="3"/>
        <v>8750708392.5</v>
      </c>
      <c r="M13">
        <f t="shared" si="4"/>
        <v>87507083.924999997</v>
      </c>
      <c r="R13">
        <v>89596007</v>
      </c>
      <c r="S13">
        <v>48418</v>
      </c>
      <c r="U13">
        <f t="shared" si="5"/>
        <v>48418000</v>
      </c>
    </row>
    <row r="14" spans="1:21" x14ac:dyDescent="0.3">
      <c r="A14">
        <v>2015</v>
      </c>
      <c r="B14">
        <v>52953</v>
      </c>
      <c r="C14" s="2">
        <v>27.693000000000001</v>
      </c>
      <c r="D14" s="5">
        <v>4625378</v>
      </c>
      <c r="E14" s="1">
        <f t="shared" si="0"/>
        <v>84453349.554000005</v>
      </c>
      <c r="F14" s="1">
        <f t="shared" si="1"/>
        <v>0.64690198155124856</v>
      </c>
      <c r="G14" s="1">
        <f t="shared" si="2"/>
        <v>0.56113967103712659</v>
      </c>
      <c r="J14">
        <v>102.9</v>
      </c>
      <c r="K14">
        <v>82073226</v>
      </c>
      <c r="L14">
        <f t="shared" si="3"/>
        <v>8445334955.4000006</v>
      </c>
      <c r="M14">
        <f t="shared" si="4"/>
        <v>84453349.554000005</v>
      </c>
      <c r="R14">
        <v>94366880</v>
      </c>
      <c r="S14">
        <v>52953</v>
      </c>
      <c r="U14">
        <f t="shared" si="5"/>
        <v>52953000</v>
      </c>
    </row>
    <row r="15" spans="1:21" x14ac:dyDescent="0.3">
      <c r="A15">
        <v>2016</v>
      </c>
      <c r="B15">
        <v>55923</v>
      </c>
      <c r="C15" s="2">
        <v>27.023</v>
      </c>
      <c r="D15" s="5">
        <v>4796873</v>
      </c>
      <c r="E15" s="1">
        <f t="shared" si="0"/>
        <v>82907742.96100001</v>
      </c>
      <c r="F15" s="1">
        <f t="shared" si="1"/>
        <v>0.60707355620178338</v>
      </c>
      <c r="G15" s="1">
        <f t="shared" si="2"/>
        <v>0.57511478539558314</v>
      </c>
      <c r="J15">
        <v>100.7</v>
      </c>
      <c r="K15">
        <v>82331423</v>
      </c>
      <c r="L15">
        <f t="shared" si="3"/>
        <v>8290774296.1000004</v>
      </c>
      <c r="M15">
        <f t="shared" si="4"/>
        <v>82907742.96100001</v>
      </c>
      <c r="R15">
        <v>97237980</v>
      </c>
      <c r="S15">
        <v>55923</v>
      </c>
      <c r="U15">
        <f t="shared" si="5"/>
        <v>55923000</v>
      </c>
    </row>
    <row r="16" spans="1:21" x14ac:dyDescent="0.3">
      <c r="A16">
        <v>2017</v>
      </c>
      <c r="B16">
        <v>54100</v>
      </c>
      <c r="C16" s="2">
        <v>27.021000000000001</v>
      </c>
      <c r="D16" s="5">
        <v>5110743</v>
      </c>
      <c r="E16" s="1">
        <f t="shared" si="0"/>
        <v>80971886.519999996</v>
      </c>
      <c r="F16" s="1">
        <f t="shared" si="1"/>
        <v>0.61870273324852654</v>
      </c>
      <c r="G16" s="1">
        <f t="shared" si="2"/>
        <v>0.5675313827283206</v>
      </c>
      <c r="J16">
        <v>98</v>
      </c>
      <c r="K16">
        <v>82624374</v>
      </c>
      <c r="L16">
        <f t="shared" si="3"/>
        <v>8097188652</v>
      </c>
      <c r="M16">
        <f t="shared" si="4"/>
        <v>80971886.519999996</v>
      </c>
      <c r="R16">
        <v>95325125</v>
      </c>
      <c r="S16">
        <v>54100</v>
      </c>
      <c r="U16">
        <f t="shared" si="5"/>
        <v>54100000</v>
      </c>
    </row>
    <row r="17" spans="1:21" x14ac:dyDescent="0.3">
      <c r="A17">
        <v>2018</v>
      </c>
      <c r="B17">
        <v>58102</v>
      </c>
      <c r="C17" s="2">
        <v>25.494</v>
      </c>
      <c r="D17" s="4">
        <v>5410761</v>
      </c>
      <c r="E17" s="1">
        <f t="shared" si="0"/>
        <v>82067729.040000007</v>
      </c>
      <c r="F17" s="1">
        <f t="shared" si="1"/>
        <v>0.62275382464684725</v>
      </c>
      <c r="G17" s="1">
        <f t="shared" si="2"/>
        <v>0.55588912538717272</v>
      </c>
      <c r="J17">
        <v>99</v>
      </c>
      <c r="K17">
        <v>82896696</v>
      </c>
      <c r="L17">
        <f t="shared" si="3"/>
        <v>8206772904</v>
      </c>
      <c r="M17">
        <f t="shared" si="4"/>
        <v>82067729.040000007</v>
      </c>
      <c r="R17">
        <v>104520843</v>
      </c>
      <c r="S17">
        <v>58102</v>
      </c>
      <c r="U17">
        <f t="shared" si="5"/>
        <v>58102000</v>
      </c>
    </row>
    <row r="18" spans="1:21" x14ac:dyDescent="0.3">
      <c r="A18">
        <v>2019</v>
      </c>
      <c r="B18">
        <v>65072</v>
      </c>
      <c r="C18" s="2">
        <v>25.751999999999999</v>
      </c>
      <c r="D18" s="4">
        <v>5791498</v>
      </c>
      <c r="E18" s="1">
        <f t="shared" si="0"/>
        <v>80487400.488000005</v>
      </c>
      <c r="F18" s="1">
        <f t="shared" si="1"/>
        <v>0.61525499942069284</v>
      </c>
      <c r="G18" s="1">
        <f t="shared" si="2"/>
        <v>0.61308492941953019</v>
      </c>
      <c r="J18">
        <v>96.8</v>
      </c>
      <c r="K18">
        <v>83148141</v>
      </c>
      <c r="L18">
        <f t="shared" si="3"/>
        <v>8048740048.8000002</v>
      </c>
      <c r="M18">
        <f t="shared" si="4"/>
        <v>80487400.488000005</v>
      </c>
      <c r="R18">
        <v>106138639</v>
      </c>
      <c r="S18">
        <v>65072</v>
      </c>
      <c r="U18">
        <f t="shared" si="5"/>
        <v>65072000</v>
      </c>
    </row>
    <row r="19" spans="1:21" x14ac:dyDescent="0.3">
      <c r="A19">
        <v>2020</v>
      </c>
      <c r="B19">
        <v>57071</v>
      </c>
      <c r="C19" s="2">
        <v>25.411000000000001</v>
      </c>
      <c r="D19" s="5">
        <v>5709131</v>
      </c>
      <c r="E19" s="1">
        <f t="shared" si="0"/>
        <v>76995984.912</v>
      </c>
      <c r="F19" s="1">
        <f t="shared" si="1"/>
        <v>0.61061220754848666</v>
      </c>
      <c r="G19" s="1">
        <f t="shared" si="2"/>
        <v>0.52444312412435068</v>
      </c>
      <c r="J19">
        <v>92.4</v>
      </c>
      <c r="K19">
        <v>83328988</v>
      </c>
      <c r="L19">
        <f t="shared" si="3"/>
        <v>7699598491.2000008</v>
      </c>
      <c r="M19">
        <f t="shared" si="4"/>
        <v>76995984.912</v>
      </c>
      <c r="R19">
        <v>108822096</v>
      </c>
      <c r="S19">
        <v>57071</v>
      </c>
      <c r="U19">
        <f t="shared" si="5"/>
        <v>57071000</v>
      </c>
    </row>
    <row r="20" spans="1:21" x14ac:dyDescent="0.3">
      <c r="A20">
        <v>2021</v>
      </c>
      <c r="B20">
        <v>54888</v>
      </c>
      <c r="C20" s="2">
        <v>26.140999999999998</v>
      </c>
      <c r="D20" s="4">
        <v>6108717</v>
      </c>
      <c r="E20" s="1">
        <f t="shared" si="0"/>
        <v>74567247.276000008</v>
      </c>
      <c r="F20" s="1">
        <f t="shared" si="1"/>
        <v>0.60127399265714698</v>
      </c>
      <c r="G20" s="1">
        <f t="shared" si="2"/>
        <v>0.49782745587713029</v>
      </c>
      <c r="J20">
        <v>89.4</v>
      </c>
      <c r="K20">
        <v>83408554</v>
      </c>
      <c r="L20">
        <f t="shared" si="3"/>
        <v>7456724727.6000004</v>
      </c>
      <c r="M20">
        <f t="shared" si="4"/>
        <v>74567247.276000008</v>
      </c>
      <c r="R20">
        <v>110255068</v>
      </c>
      <c r="S20">
        <v>54888</v>
      </c>
      <c r="U20">
        <f t="shared" si="5"/>
        <v>54888000</v>
      </c>
    </row>
    <row r="21" spans="1:21" x14ac:dyDescent="0.3">
      <c r="A21">
        <v>2022</v>
      </c>
      <c r="B21">
        <v>53172</v>
      </c>
      <c r="C21" s="2">
        <v>24.818000000000001</v>
      </c>
      <c r="D21" s="6">
        <v>6785852</v>
      </c>
      <c r="E21" s="1">
        <f t="shared" si="0"/>
        <v>76533515.873999998</v>
      </c>
      <c r="F21" s="1">
        <f t="shared" si="1"/>
        <v>0.56880168732268177</v>
      </c>
      <c r="G21" s="1">
        <f t="shared" si="2"/>
        <v>0.48734813643368458</v>
      </c>
      <c r="J21">
        <v>91.8</v>
      </c>
      <c r="K21">
        <v>83369843</v>
      </c>
      <c r="L21">
        <f t="shared" si="3"/>
        <v>7653351587.3999996</v>
      </c>
      <c r="M21">
        <f t="shared" si="4"/>
        <v>76533515.873999998</v>
      </c>
      <c r="R21">
        <v>109104757</v>
      </c>
      <c r="S21">
        <v>53172</v>
      </c>
      <c r="U21">
        <f t="shared" si="5"/>
        <v>53172000</v>
      </c>
    </row>
    <row r="22" spans="1:21" x14ac:dyDescent="0.3">
      <c r="J22" t="s">
        <v>14</v>
      </c>
      <c r="K22" t="s">
        <v>16</v>
      </c>
    </row>
    <row r="23" spans="1:21" x14ac:dyDescent="0.3">
      <c r="B23" t="s">
        <v>11</v>
      </c>
      <c r="C23" t="s">
        <v>12</v>
      </c>
      <c r="D23" t="s">
        <v>10</v>
      </c>
      <c r="E23" t="s">
        <v>13</v>
      </c>
      <c r="F23" t="s">
        <v>20</v>
      </c>
      <c r="G23" t="s">
        <v>34</v>
      </c>
    </row>
    <row r="24" spans="1:21" x14ac:dyDescent="0.3">
      <c r="R24" t="s">
        <v>24</v>
      </c>
    </row>
    <row r="25" spans="1:21" x14ac:dyDescent="0.3">
      <c r="A25" t="s">
        <v>1</v>
      </c>
      <c r="G25" t="s">
        <v>49</v>
      </c>
      <c r="R25">
        <f>AVERAGE(R2:R21)</f>
        <v>100099778.59999999</v>
      </c>
      <c r="T25" s="7">
        <v>100099779</v>
      </c>
    </row>
    <row r="26" spans="1:21" x14ac:dyDescent="0.3">
      <c r="A26" t="s">
        <v>48</v>
      </c>
      <c r="G26" t="s">
        <v>47</v>
      </c>
    </row>
    <row r="28" spans="1:21" x14ac:dyDescent="0.3">
      <c r="A28" t="s">
        <v>36</v>
      </c>
    </row>
    <row r="29" spans="1:21" ht="15" thickBot="1" x14ac:dyDescent="0.35">
      <c r="B29" t="s">
        <v>38</v>
      </c>
      <c r="C29" t="s">
        <v>40</v>
      </c>
      <c r="D29" t="s">
        <v>41</v>
      </c>
      <c r="H29" t="s">
        <v>25</v>
      </c>
      <c r="K29" t="s">
        <v>26</v>
      </c>
      <c r="L29" t="s">
        <v>27</v>
      </c>
      <c r="N29" t="s">
        <v>44</v>
      </c>
      <c r="P29" t="s">
        <v>42</v>
      </c>
      <c r="Q29" t="s">
        <v>43</v>
      </c>
      <c r="R29" t="s">
        <v>28</v>
      </c>
      <c r="S29" s="9" t="s">
        <v>29</v>
      </c>
      <c r="T29" s="10" t="s">
        <v>46</v>
      </c>
    </row>
    <row r="30" spans="1:21" ht="15" thickBot="1" x14ac:dyDescent="0.35">
      <c r="A30">
        <v>2003</v>
      </c>
      <c r="B30" s="16">
        <v>78576</v>
      </c>
      <c r="C30">
        <f>B30*1000</f>
        <v>78576000</v>
      </c>
      <c r="D30" s="20">
        <f>T30/C30</f>
        <v>1.3087952428222358</v>
      </c>
      <c r="H30">
        <v>41.5</v>
      </c>
      <c r="J30">
        <v>2003</v>
      </c>
      <c r="K30" s="11">
        <v>85.1</v>
      </c>
      <c r="L30" s="11">
        <v>41.5</v>
      </c>
      <c r="N30" s="18">
        <v>0.13500000000000001</v>
      </c>
      <c r="O30">
        <v>2003</v>
      </c>
      <c r="P30">
        <v>761777</v>
      </c>
      <c r="Q30">
        <f>P30*1000</f>
        <v>761777000</v>
      </c>
      <c r="R30">
        <f>S30*1000000</f>
        <v>630370370.37037027</v>
      </c>
      <c r="S30">
        <f>K30/N30</f>
        <v>630.37037037037032</v>
      </c>
      <c r="T30" s="12">
        <f>N30*Q30</f>
        <v>102839895</v>
      </c>
    </row>
    <row r="31" spans="1:21" ht="15" thickBot="1" x14ac:dyDescent="0.35">
      <c r="A31">
        <v>2004</v>
      </c>
      <c r="B31" s="16">
        <v>77718</v>
      </c>
      <c r="C31">
        <f t="shared" ref="C31:C49" si="7">B31*1000</f>
        <v>77718000</v>
      </c>
      <c r="D31" s="21">
        <f t="shared" ref="D31:D49" si="8">T31/C31</f>
        <v>1.6040033454283436</v>
      </c>
      <c r="H31">
        <v>34.9</v>
      </c>
      <c r="J31">
        <v>2004</v>
      </c>
      <c r="K31" s="11">
        <v>92.9</v>
      </c>
      <c r="L31" s="11">
        <v>34.9</v>
      </c>
      <c r="N31" s="18">
        <v>0.13400000000000001</v>
      </c>
      <c r="O31">
        <v>2004</v>
      </c>
      <c r="P31">
        <v>930298</v>
      </c>
      <c r="Q31">
        <f t="shared" ref="Q31:Q49" si="9">P31*1000</f>
        <v>930298000</v>
      </c>
      <c r="R31">
        <f t="shared" ref="R31:R49" si="10">S31*1000000</f>
        <v>693283582.08955228</v>
      </c>
      <c r="S31">
        <f t="shared" ref="S31:S48" si="11">K31/N31</f>
        <v>693.28358208955228</v>
      </c>
      <c r="T31" s="12">
        <f t="shared" ref="T31:T49" si="12">N31*Q31</f>
        <v>124659932</v>
      </c>
    </row>
    <row r="32" spans="1:21" ht="15" thickBot="1" x14ac:dyDescent="0.35">
      <c r="A32">
        <v>2005</v>
      </c>
      <c r="B32" s="16">
        <v>128541</v>
      </c>
      <c r="C32">
        <f t="shared" si="7"/>
        <v>128541000</v>
      </c>
      <c r="D32" s="21">
        <f t="shared" si="8"/>
        <v>0.91965046172038489</v>
      </c>
      <c r="H32">
        <v>42.6</v>
      </c>
      <c r="J32">
        <v>2005</v>
      </c>
      <c r="K32" s="11">
        <v>154</v>
      </c>
      <c r="L32" s="11">
        <v>42.6</v>
      </c>
      <c r="N32" s="18">
        <v>0.13400000000000001</v>
      </c>
      <c r="O32">
        <v>2005</v>
      </c>
      <c r="P32">
        <v>882185</v>
      </c>
      <c r="Q32">
        <f t="shared" si="9"/>
        <v>882185000</v>
      </c>
      <c r="R32">
        <f t="shared" si="10"/>
        <v>1149253731.3432837</v>
      </c>
      <c r="S32">
        <f t="shared" si="11"/>
        <v>1149.2537313432836</v>
      </c>
      <c r="T32" s="12">
        <f t="shared" si="12"/>
        <v>118212790</v>
      </c>
    </row>
    <row r="33" spans="1:20" ht="15" thickBot="1" x14ac:dyDescent="0.35">
      <c r="A33">
        <v>2006</v>
      </c>
      <c r="B33" s="16">
        <v>147176</v>
      </c>
      <c r="C33">
        <f t="shared" si="7"/>
        <v>147176000</v>
      </c>
      <c r="D33" s="21">
        <f t="shared" si="8"/>
        <v>0.82432361254552378</v>
      </c>
      <c r="H33">
        <v>41.4</v>
      </c>
      <c r="J33">
        <v>2006</v>
      </c>
      <c r="K33" s="11">
        <v>177</v>
      </c>
      <c r="L33" s="11">
        <v>41.4</v>
      </c>
      <c r="N33" s="18">
        <v>0.13400000000000001</v>
      </c>
      <c r="O33">
        <v>2006</v>
      </c>
      <c r="P33">
        <v>905378</v>
      </c>
      <c r="Q33">
        <f t="shared" si="9"/>
        <v>905378000</v>
      </c>
      <c r="R33">
        <f t="shared" si="10"/>
        <v>1320895522.3880596</v>
      </c>
      <c r="S33">
        <f t="shared" si="11"/>
        <v>1320.8955223880596</v>
      </c>
      <c r="T33" s="12">
        <f t="shared" si="12"/>
        <v>121320652</v>
      </c>
    </row>
    <row r="34" spans="1:20" ht="15" thickBot="1" x14ac:dyDescent="0.35">
      <c r="A34">
        <v>2007</v>
      </c>
      <c r="B34" s="16">
        <v>120269</v>
      </c>
      <c r="C34">
        <f t="shared" si="7"/>
        <v>120269000</v>
      </c>
      <c r="D34" s="21">
        <f t="shared" si="8"/>
        <v>0.82371410754225949</v>
      </c>
      <c r="H34">
        <v>38.200000000000003</v>
      </c>
      <c r="J34">
        <v>2007</v>
      </c>
      <c r="K34" s="11">
        <v>159</v>
      </c>
      <c r="L34" s="11">
        <v>38.200000000000003</v>
      </c>
      <c r="N34" s="18">
        <v>0.13400000000000001</v>
      </c>
      <c r="O34">
        <v>2007</v>
      </c>
      <c r="P34">
        <v>739308</v>
      </c>
      <c r="Q34">
        <f t="shared" si="9"/>
        <v>739308000</v>
      </c>
      <c r="R34">
        <f t="shared" si="10"/>
        <v>1186567164.1791043</v>
      </c>
      <c r="S34">
        <f t="shared" si="11"/>
        <v>1186.5671641791043</v>
      </c>
      <c r="T34" s="12">
        <f t="shared" si="12"/>
        <v>99067272</v>
      </c>
    </row>
    <row r="35" spans="1:20" ht="15" thickBot="1" x14ac:dyDescent="0.35">
      <c r="A35">
        <v>2008</v>
      </c>
      <c r="B35" s="16">
        <v>144338</v>
      </c>
      <c r="C35">
        <f t="shared" si="7"/>
        <v>144338000</v>
      </c>
      <c r="D35" s="21">
        <f t="shared" si="8"/>
        <v>0.80316759966190476</v>
      </c>
      <c r="H35">
        <v>40.700000000000003</v>
      </c>
      <c r="J35">
        <v>2008</v>
      </c>
      <c r="K35" s="11">
        <v>206</v>
      </c>
      <c r="L35" s="11">
        <v>40.700000000000003</v>
      </c>
      <c r="N35" s="18">
        <v>0.13500000000000001</v>
      </c>
      <c r="O35">
        <v>2008</v>
      </c>
      <c r="P35">
        <v>858723</v>
      </c>
      <c r="Q35">
        <f t="shared" si="9"/>
        <v>858723000</v>
      </c>
      <c r="R35">
        <f t="shared" si="10"/>
        <v>1525925925.925926</v>
      </c>
      <c r="S35">
        <f t="shared" si="11"/>
        <v>1525.9259259259259</v>
      </c>
      <c r="T35" s="12">
        <f t="shared" si="12"/>
        <v>115927605.00000001</v>
      </c>
    </row>
    <row r="36" spans="1:20" ht="15" thickBot="1" x14ac:dyDescent="0.35">
      <c r="A36">
        <v>2009</v>
      </c>
      <c r="B36" s="16">
        <v>184395</v>
      </c>
      <c r="C36">
        <f t="shared" si="7"/>
        <v>184395000</v>
      </c>
      <c r="D36" s="21">
        <f t="shared" si="8"/>
        <v>0.58179668646112959</v>
      </c>
      <c r="H36">
        <v>46.3</v>
      </c>
      <c r="J36">
        <v>2009</v>
      </c>
      <c r="K36" s="11">
        <v>246</v>
      </c>
      <c r="L36" s="11">
        <v>46.3</v>
      </c>
      <c r="N36" s="18">
        <v>0.13400000000000001</v>
      </c>
      <c r="O36">
        <v>2009</v>
      </c>
      <c r="P36">
        <v>800600</v>
      </c>
      <c r="Q36">
        <f t="shared" si="9"/>
        <v>800600000</v>
      </c>
      <c r="R36">
        <f t="shared" si="10"/>
        <v>1835820895.522388</v>
      </c>
      <c r="S36">
        <f t="shared" si="11"/>
        <v>1835.8208955223879</v>
      </c>
      <c r="T36" s="12">
        <f t="shared" si="12"/>
        <v>107280400</v>
      </c>
    </row>
    <row r="37" spans="1:20" ht="15" thickBot="1" x14ac:dyDescent="0.35">
      <c r="A37">
        <v>2010</v>
      </c>
      <c r="B37" s="16">
        <v>195554</v>
      </c>
      <c r="C37">
        <f t="shared" si="7"/>
        <v>195554000</v>
      </c>
      <c r="D37" s="21">
        <f t="shared" si="8"/>
        <v>0.58782209517575712</v>
      </c>
      <c r="E37" s="19"/>
      <c r="H37">
        <v>37.4</v>
      </c>
      <c r="J37">
        <v>2010</v>
      </c>
      <c r="K37" s="11">
        <v>184</v>
      </c>
      <c r="L37" s="11">
        <v>37.4</v>
      </c>
      <c r="N37" s="18">
        <v>0.13400000000000001</v>
      </c>
      <c r="O37">
        <v>2010</v>
      </c>
      <c r="P37">
        <v>857843</v>
      </c>
      <c r="Q37">
        <f t="shared" si="9"/>
        <v>857843000</v>
      </c>
      <c r="R37">
        <f t="shared" si="10"/>
        <v>1373134328.3582089</v>
      </c>
      <c r="S37">
        <f t="shared" si="11"/>
        <v>1373.1343283582089</v>
      </c>
      <c r="T37" s="12">
        <f t="shared" si="12"/>
        <v>114950962</v>
      </c>
    </row>
    <row r="38" spans="1:20" ht="15" thickBot="1" x14ac:dyDescent="0.35">
      <c r="A38">
        <v>2011</v>
      </c>
      <c r="B38" s="16">
        <v>197822</v>
      </c>
      <c r="C38">
        <f t="shared" si="7"/>
        <v>197822000</v>
      </c>
      <c r="D38" s="21">
        <f t="shared" si="8"/>
        <v>0.61049855931089569</v>
      </c>
      <c r="E38" s="19"/>
      <c r="H38">
        <v>38</v>
      </c>
      <c r="J38">
        <v>2011</v>
      </c>
      <c r="K38" s="11">
        <v>199</v>
      </c>
      <c r="L38" s="11">
        <v>38</v>
      </c>
      <c r="N38" s="18">
        <v>0.13400000000000001</v>
      </c>
      <c r="O38">
        <v>2011</v>
      </c>
      <c r="P38">
        <v>901269</v>
      </c>
      <c r="Q38">
        <f t="shared" si="9"/>
        <v>901269000</v>
      </c>
      <c r="R38">
        <f t="shared" si="10"/>
        <v>1485074626.8656714</v>
      </c>
      <c r="S38">
        <f t="shared" si="11"/>
        <v>1485.0746268656715</v>
      </c>
      <c r="T38" s="12">
        <f t="shared" si="12"/>
        <v>120770046</v>
      </c>
    </row>
    <row r="39" spans="1:20" ht="15" thickBot="1" x14ac:dyDescent="0.35">
      <c r="A39">
        <v>2012</v>
      </c>
      <c r="B39" s="16">
        <v>204130</v>
      </c>
      <c r="C39">
        <f t="shared" si="7"/>
        <v>204130000</v>
      </c>
      <c r="D39" s="21">
        <f>T39/C39</f>
        <v>0.64958788517121446</v>
      </c>
      <c r="E39" s="19"/>
      <c r="H39">
        <v>37.4</v>
      </c>
      <c r="J39">
        <v>2012</v>
      </c>
      <c r="K39" s="11">
        <v>197</v>
      </c>
      <c r="L39" s="11">
        <v>37.4</v>
      </c>
      <c r="N39" s="18">
        <v>0.13500000000000001</v>
      </c>
      <c r="O39">
        <v>2012</v>
      </c>
      <c r="P39">
        <v>982225</v>
      </c>
      <c r="Q39">
        <f t="shared" si="9"/>
        <v>982225000</v>
      </c>
      <c r="R39">
        <f t="shared" si="10"/>
        <v>1459259259.2592592</v>
      </c>
      <c r="S39">
        <f t="shared" si="11"/>
        <v>1459.2592592592591</v>
      </c>
      <c r="T39" s="12">
        <f t="shared" si="12"/>
        <v>132600375.00000001</v>
      </c>
    </row>
    <row r="40" spans="1:20" ht="15" thickBot="1" x14ac:dyDescent="0.35">
      <c r="A40">
        <v>2013</v>
      </c>
      <c r="B40" s="16">
        <v>219029</v>
      </c>
      <c r="C40">
        <f t="shared" si="7"/>
        <v>219029000</v>
      </c>
      <c r="D40" s="21">
        <f t="shared" si="8"/>
        <v>0.62014514059782033</v>
      </c>
      <c r="E40" s="19"/>
      <c r="H40">
        <v>39.1</v>
      </c>
      <c r="J40">
        <v>2013</v>
      </c>
      <c r="K40" s="11">
        <v>213</v>
      </c>
      <c r="L40" s="11">
        <v>39.1</v>
      </c>
      <c r="N40" s="18">
        <v>0.13400000000000001</v>
      </c>
      <c r="O40">
        <v>2013</v>
      </c>
      <c r="P40">
        <v>1013655</v>
      </c>
      <c r="Q40">
        <f t="shared" si="9"/>
        <v>1013655000</v>
      </c>
      <c r="R40">
        <f t="shared" si="10"/>
        <v>1589552238.8059702</v>
      </c>
      <c r="S40">
        <f t="shared" si="11"/>
        <v>1589.5522388059701</v>
      </c>
      <c r="T40" s="12">
        <f t="shared" si="12"/>
        <v>135829770</v>
      </c>
    </row>
    <row r="41" spans="1:20" ht="15" thickBot="1" x14ac:dyDescent="0.35">
      <c r="A41">
        <v>2014</v>
      </c>
      <c r="B41" s="16">
        <v>237941</v>
      </c>
      <c r="C41">
        <f t="shared" si="7"/>
        <v>237941000</v>
      </c>
      <c r="D41" s="21">
        <f t="shared" si="8"/>
        <v>0.58388534132410974</v>
      </c>
      <c r="E41" s="19"/>
      <c r="H41">
        <v>40</v>
      </c>
      <c r="J41">
        <v>2014</v>
      </c>
      <c r="K41" s="11">
        <v>223</v>
      </c>
      <c r="L41" s="11">
        <v>40</v>
      </c>
      <c r="N41" s="18">
        <v>0.13400000000000001</v>
      </c>
      <c r="O41">
        <v>2014</v>
      </c>
      <c r="P41">
        <v>1036793</v>
      </c>
      <c r="Q41">
        <f t="shared" si="9"/>
        <v>1036793000</v>
      </c>
      <c r="R41">
        <f t="shared" si="10"/>
        <v>1664179104.4776118</v>
      </c>
      <c r="S41">
        <f t="shared" si="11"/>
        <v>1664.1791044776119</v>
      </c>
      <c r="T41" s="12">
        <f t="shared" si="12"/>
        <v>138930262</v>
      </c>
    </row>
    <row r="42" spans="1:20" ht="15" thickBot="1" x14ac:dyDescent="0.35">
      <c r="A42">
        <v>2015</v>
      </c>
      <c r="B42" s="16">
        <v>198279</v>
      </c>
      <c r="C42">
        <f t="shared" si="7"/>
        <v>198279000</v>
      </c>
      <c r="D42" s="21">
        <f t="shared" si="8"/>
        <v>0.64690198155124856</v>
      </c>
      <c r="E42" s="19"/>
      <c r="H42">
        <v>35.700000000000003</v>
      </c>
      <c r="J42">
        <v>2015</v>
      </c>
      <c r="K42" s="11">
        <v>165</v>
      </c>
      <c r="L42" s="11">
        <v>35.700000000000003</v>
      </c>
      <c r="N42" s="18">
        <v>0.13400000000000001</v>
      </c>
      <c r="O42">
        <v>2015</v>
      </c>
      <c r="P42">
        <v>957217</v>
      </c>
      <c r="Q42">
        <f t="shared" si="9"/>
        <v>957217000</v>
      </c>
      <c r="R42">
        <f t="shared" si="10"/>
        <v>1231343283.5820894</v>
      </c>
      <c r="S42">
        <f t="shared" si="11"/>
        <v>1231.3432835820895</v>
      </c>
      <c r="T42" s="12">
        <f t="shared" si="12"/>
        <v>128267078.00000001</v>
      </c>
    </row>
    <row r="43" spans="1:20" ht="15" thickBot="1" x14ac:dyDescent="0.35">
      <c r="A43">
        <v>2016</v>
      </c>
      <c r="B43" s="16">
        <v>208045</v>
      </c>
      <c r="C43">
        <f t="shared" si="7"/>
        <v>208045000</v>
      </c>
      <c r="D43" s="21">
        <f t="shared" si="8"/>
        <v>0.60707355620178338</v>
      </c>
      <c r="E43" s="19"/>
      <c r="H43">
        <v>35.299999999999997</v>
      </c>
      <c r="J43">
        <v>2016</v>
      </c>
      <c r="K43" s="11">
        <v>166</v>
      </c>
      <c r="L43">
        <v>35.299999999999997</v>
      </c>
      <c r="N43" s="18">
        <v>0.13400000000000001</v>
      </c>
      <c r="O43">
        <v>2016</v>
      </c>
      <c r="P43">
        <v>942527</v>
      </c>
      <c r="Q43">
        <f t="shared" si="9"/>
        <v>942527000</v>
      </c>
      <c r="R43">
        <f t="shared" si="10"/>
        <v>1238805970.1492536</v>
      </c>
      <c r="S43">
        <f>K43/N43</f>
        <v>1238.8059701492537</v>
      </c>
      <c r="T43" s="12">
        <f t="shared" si="12"/>
        <v>126298618.00000001</v>
      </c>
    </row>
    <row r="44" spans="1:20" ht="15" thickBot="1" x14ac:dyDescent="0.35">
      <c r="A44">
        <v>2017</v>
      </c>
      <c r="B44" s="16">
        <v>197311</v>
      </c>
      <c r="C44">
        <f t="shared" si="7"/>
        <v>197311000</v>
      </c>
      <c r="D44" s="21">
        <f t="shared" si="8"/>
        <v>0.61870273324852654</v>
      </c>
      <c r="E44" s="19"/>
      <c r="H44">
        <v>34.799999999999997</v>
      </c>
      <c r="J44">
        <v>2017</v>
      </c>
      <c r="K44" s="11">
        <v>162</v>
      </c>
      <c r="L44">
        <v>34.799999999999997</v>
      </c>
      <c r="N44" s="18">
        <v>0.13500000000000001</v>
      </c>
      <c r="O44">
        <v>2017</v>
      </c>
      <c r="P44">
        <v>904273</v>
      </c>
      <c r="Q44">
        <f t="shared" si="9"/>
        <v>904273000</v>
      </c>
      <c r="R44">
        <f t="shared" si="10"/>
        <v>1200000000</v>
      </c>
      <c r="S44">
        <f>K44/N44</f>
        <v>1200</v>
      </c>
      <c r="T44" s="12">
        <f t="shared" si="12"/>
        <v>122076855.00000001</v>
      </c>
    </row>
    <row r="45" spans="1:20" ht="15" thickBot="1" x14ac:dyDescent="0.35">
      <c r="A45">
        <v>2018</v>
      </c>
      <c r="B45" s="16">
        <v>177402</v>
      </c>
      <c r="C45">
        <f t="shared" si="7"/>
        <v>177402000</v>
      </c>
      <c r="D45" s="21">
        <f t="shared" si="8"/>
        <v>0.62275382464684725</v>
      </c>
      <c r="E45" s="19"/>
      <c r="H45">
        <v>31.2</v>
      </c>
      <c r="J45">
        <v>2018</v>
      </c>
      <c r="K45" s="11">
        <v>154</v>
      </c>
      <c r="L45" s="11">
        <v>31.2</v>
      </c>
      <c r="N45" s="18">
        <v>0.13400000000000001</v>
      </c>
      <c r="O45">
        <v>2018</v>
      </c>
      <c r="P45">
        <v>824461</v>
      </c>
      <c r="Q45">
        <f t="shared" si="9"/>
        <v>824461000</v>
      </c>
      <c r="R45">
        <f t="shared" si="10"/>
        <v>1149253731.3432837</v>
      </c>
      <c r="S45">
        <f t="shared" si="11"/>
        <v>1149.2537313432836</v>
      </c>
      <c r="T45" s="12">
        <f t="shared" si="12"/>
        <v>110477774</v>
      </c>
    </row>
    <row r="46" spans="1:20" ht="15" thickBot="1" x14ac:dyDescent="0.35">
      <c r="A46">
        <v>2019</v>
      </c>
      <c r="B46" s="16">
        <v>172620</v>
      </c>
      <c r="C46">
        <f t="shared" si="7"/>
        <v>172620000</v>
      </c>
      <c r="D46" s="21">
        <f t="shared" si="8"/>
        <v>0.61525499942069284</v>
      </c>
      <c r="E46" s="19"/>
      <c r="H46">
        <v>31.2</v>
      </c>
      <c r="J46">
        <v>2019</v>
      </c>
      <c r="K46" s="11">
        <v>140</v>
      </c>
      <c r="L46">
        <v>27.4</v>
      </c>
      <c r="N46" s="18">
        <v>0.13400000000000001</v>
      </c>
      <c r="O46">
        <v>2019</v>
      </c>
      <c r="P46">
        <v>792577</v>
      </c>
      <c r="Q46">
        <f t="shared" si="9"/>
        <v>792577000</v>
      </c>
      <c r="R46">
        <f t="shared" si="10"/>
        <v>1044776119.402985</v>
      </c>
      <c r="S46">
        <f t="shared" si="11"/>
        <v>1044.7761194029849</v>
      </c>
      <c r="T46" s="12">
        <f t="shared" si="12"/>
        <v>106205318</v>
      </c>
    </row>
    <row r="47" spans="1:20" ht="15" thickBot="1" x14ac:dyDescent="0.35">
      <c r="A47">
        <v>2020</v>
      </c>
      <c r="B47" s="16">
        <v>128953</v>
      </c>
      <c r="C47">
        <f t="shared" si="7"/>
        <v>128953000</v>
      </c>
      <c r="D47" s="21">
        <f t="shared" si="8"/>
        <v>0.61061220754848666</v>
      </c>
      <c r="E47" s="19"/>
      <c r="H47">
        <v>31.2</v>
      </c>
      <c r="J47">
        <v>2020</v>
      </c>
      <c r="K47" s="11">
        <v>106</v>
      </c>
      <c r="L47">
        <v>24.9</v>
      </c>
      <c r="N47" s="18">
        <v>0.13400000000000001</v>
      </c>
      <c r="O47">
        <v>2020</v>
      </c>
      <c r="P47">
        <v>587614</v>
      </c>
      <c r="Q47">
        <f t="shared" si="9"/>
        <v>587614000</v>
      </c>
      <c r="R47">
        <f t="shared" si="10"/>
        <v>791044776.119403</v>
      </c>
      <c r="S47">
        <f t="shared" si="11"/>
        <v>791.04477611940297</v>
      </c>
      <c r="T47" s="12">
        <f t="shared" si="12"/>
        <v>78740276</v>
      </c>
    </row>
    <row r="48" spans="1:20" ht="15" thickBot="1" x14ac:dyDescent="0.35">
      <c r="A48">
        <v>2021</v>
      </c>
      <c r="B48" s="16">
        <v>130467</v>
      </c>
      <c r="C48">
        <f t="shared" si="7"/>
        <v>130467000</v>
      </c>
      <c r="D48" s="21">
        <f t="shared" si="8"/>
        <v>0.60127399265714698</v>
      </c>
      <c r="E48" s="19"/>
      <c r="H48">
        <v>31.2</v>
      </c>
      <c r="J48">
        <v>2021</v>
      </c>
      <c r="K48" s="11">
        <v>110</v>
      </c>
      <c r="L48">
        <v>25.4</v>
      </c>
      <c r="N48" s="18">
        <v>0.13400000000000001</v>
      </c>
      <c r="O48">
        <v>2021</v>
      </c>
      <c r="P48">
        <v>585421</v>
      </c>
      <c r="Q48">
        <f t="shared" si="9"/>
        <v>585421000</v>
      </c>
      <c r="R48">
        <f t="shared" si="10"/>
        <v>820895522.38805974</v>
      </c>
      <c r="S48">
        <f t="shared" si="11"/>
        <v>820.8955223880597</v>
      </c>
      <c r="T48" s="12">
        <f t="shared" si="12"/>
        <v>78446414</v>
      </c>
    </row>
    <row r="49" spans="1:20" ht="15" thickBot="1" x14ac:dyDescent="0.35">
      <c r="A49">
        <v>2022</v>
      </c>
      <c r="B49" s="16">
        <v>133940</v>
      </c>
      <c r="C49">
        <f t="shared" si="7"/>
        <v>133940000</v>
      </c>
      <c r="D49" s="22">
        <f t="shared" si="8"/>
        <v>0.56880168732268177</v>
      </c>
      <c r="E49" s="19"/>
      <c r="H49">
        <v>31.2</v>
      </c>
      <c r="J49">
        <v>2022</v>
      </c>
      <c r="N49" s="18">
        <v>0.13400000000000001</v>
      </c>
      <c r="O49">
        <v>2022</v>
      </c>
      <c r="P49">
        <v>568547</v>
      </c>
      <c r="Q49">
        <f t="shared" si="9"/>
        <v>568547000</v>
      </c>
      <c r="R49">
        <f t="shared" si="10"/>
        <v>123000000</v>
      </c>
      <c r="S49">
        <v>123</v>
      </c>
      <c r="T49" s="12">
        <f t="shared" si="12"/>
        <v>76185298</v>
      </c>
    </row>
    <row r="50" spans="1:20" ht="15" thickBot="1" x14ac:dyDescent="0.35">
      <c r="K50" t="s">
        <v>30</v>
      </c>
      <c r="S50" s="13" t="s">
        <v>31</v>
      </c>
      <c r="T50" s="14" t="s">
        <v>32</v>
      </c>
    </row>
    <row r="51" spans="1:20" x14ac:dyDescent="0.3">
      <c r="A51" s="17" t="s">
        <v>39</v>
      </c>
    </row>
    <row r="52" spans="1:20" x14ac:dyDescent="0.3">
      <c r="A52" t="s">
        <v>37</v>
      </c>
      <c r="R52" t="s">
        <v>33</v>
      </c>
    </row>
    <row r="53" spans="1:20" x14ac:dyDescent="0.3">
      <c r="R53" s="15">
        <f>AVERAGE(T30:T48)</f>
        <v>114889594.42105263</v>
      </c>
    </row>
    <row r="54" spans="1:20" x14ac:dyDescent="0.3">
      <c r="A54" s="17" t="s">
        <v>45</v>
      </c>
    </row>
    <row r="59" spans="1:20" ht="15" thickBot="1" x14ac:dyDescent="0.35"/>
    <row r="60" spans="1:20" ht="15" thickBot="1" x14ac:dyDescent="0.35">
      <c r="B60" s="27">
        <v>29.652999999999999</v>
      </c>
      <c r="C60" s="27">
        <v>29.373999999999999</v>
      </c>
      <c r="D60" s="27">
        <v>29.393000000000001</v>
      </c>
      <c r="E60" s="27">
        <v>29.157</v>
      </c>
      <c r="F60" s="27">
        <v>27.094999999999999</v>
      </c>
      <c r="G60" s="27">
        <v>26.936</v>
      </c>
      <c r="H60" s="27">
        <v>28.035</v>
      </c>
      <c r="I60" s="27">
        <v>28.998999999999999</v>
      </c>
      <c r="J60" s="27">
        <v>28.849</v>
      </c>
      <c r="K60" s="27">
        <v>27.353999999999999</v>
      </c>
      <c r="L60" s="27">
        <v>27.343</v>
      </c>
      <c r="M60" s="27">
        <v>26.32</v>
      </c>
    </row>
    <row r="64" spans="1:20" x14ac:dyDescent="0.3">
      <c r="B64">
        <f>(AVERAGE(B60:M60))</f>
        <v>28.209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6977-6227-4BBF-82AF-E77E4C52BC8D}">
  <dimension ref="A1:C21"/>
  <sheetViews>
    <sheetView workbookViewId="0">
      <selection activeCell="C13" sqref="C13"/>
    </sheetView>
  </sheetViews>
  <sheetFormatPr defaultRowHeight="14.4" x14ac:dyDescent="0.3"/>
  <cols>
    <col min="2" max="2" width="14.5546875" customWidth="1"/>
  </cols>
  <sheetData>
    <row r="1" spans="1:3" x14ac:dyDescent="0.3">
      <c r="A1" t="s">
        <v>5</v>
      </c>
      <c r="B1" t="s">
        <v>3</v>
      </c>
      <c r="C1" t="s">
        <v>4</v>
      </c>
    </row>
    <row r="2" spans="1:3" x14ac:dyDescent="0.3">
      <c r="A2">
        <v>2003</v>
      </c>
      <c r="B2">
        <v>2501.64</v>
      </c>
      <c r="C2">
        <v>100.09</v>
      </c>
    </row>
    <row r="3" spans="1:3" x14ac:dyDescent="0.3">
      <c r="A3">
        <v>2004</v>
      </c>
      <c r="B3">
        <v>2814.35</v>
      </c>
      <c r="C3">
        <v>119.81</v>
      </c>
    </row>
    <row r="4" spans="1:3" x14ac:dyDescent="0.3">
      <c r="A4">
        <v>2005</v>
      </c>
      <c r="B4">
        <v>2846.86</v>
      </c>
      <c r="C4">
        <v>137.13999999999999</v>
      </c>
    </row>
    <row r="5" spans="1:3" x14ac:dyDescent="0.3">
      <c r="A5">
        <v>2006</v>
      </c>
      <c r="B5">
        <v>2994.7</v>
      </c>
      <c r="C5">
        <v>156.26</v>
      </c>
    </row>
    <row r="6" spans="1:3" x14ac:dyDescent="0.3">
      <c r="A6">
        <v>2007</v>
      </c>
      <c r="B6">
        <v>3425.58</v>
      </c>
      <c r="C6">
        <v>190.18</v>
      </c>
    </row>
    <row r="7" spans="1:3" x14ac:dyDescent="0.3">
      <c r="A7">
        <v>2008</v>
      </c>
      <c r="B7">
        <v>3745.26</v>
      </c>
      <c r="C7">
        <v>236.82</v>
      </c>
    </row>
    <row r="8" spans="1:3" x14ac:dyDescent="0.3">
      <c r="A8">
        <v>2009</v>
      </c>
      <c r="B8">
        <v>3411.26</v>
      </c>
      <c r="C8">
        <v>207.43</v>
      </c>
    </row>
    <row r="9" spans="1:3" x14ac:dyDescent="0.3">
      <c r="A9">
        <v>2010</v>
      </c>
      <c r="B9">
        <v>3399.67</v>
      </c>
      <c r="C9">
        <v>209.07</v>
      </c>
    </row>
    <row r="10" spans="1:3" x14ac:dyDescent="0.3">
      <c r="A10">
        <v>2011</v>
      </c>
      <c r="B10">
        <v>3749.31</v>
      </c>
      <c r="C10">
        <v>229.56</v>
      </c>
    </row>
    <row r="11" spans="1:3" x14ac:dyDescent="0.3">
      <c r="A11">
        <v>2012</v>
      </c>
      <c r="B11">
        <v>3527.14</v>
      </c>
      <c r="C11">
        <v>208.86</v>
      </c>
    </row>
    <row r="12" spans="1:3" x14ac:dyDescent="0.3">
      <c r="A12">
        <v>2013</v>
      </c>
      <c r="B12">
        <v>3733.8</v>
      </c>
      <c r="C12">
        <v>211.69</v>
      </c>
    </row>
    <row r="13" spans="1:3" x14ac:dyDescent="0.3">
      <c r="A13">
        <v>2014</v>
      </c>
      <c r="B13">
        <v>3889.09</v>
      </c>
      <c r="C13">
        <v>209.36</v>
      </c>
    </row>
    <row r="14" spans="1:3" x14ac:dyDescent="0.3">
      <c r="A14">
        <v>2015</v>
      </c>
      <c r="B14">
        <v>3357.59</v>
      </c>
      <c r="C14">
        <v>188.03</v>
      </c>
    </row>
    <row r="15" spans="1:3" x14ac:dyDescent="0.3">
      <c r="A15">
        <v>2016</v>
      </c>
      <c r="B15">
        <v>3469.85</v>
      </c>
      <c r="C15">
        <v>196.27</v>
      </c>
    </row>
    <row r="16" spans="1:3" x14ac:dyDescent="0.3">
      <c r="A16">
        <v>2017</v>
      </c>
      <c r="B16">
        <v>3690.85</v>
      </c>
      <c r="C16">
        <v>218.63</v>
      </c>
    </row>
    <row r="17" spans="1:3" x14ac:dyDescent="0.3">
      <c r="A17">
        <v>2018</v>
      </c>
      <c r="B17">
        <v>3974.44</v>
      </c>
      <c r="C17">
        <v>249</v>
      </c>
    </row>
    <row r="18" spans="1:3" x14ac:dyDescent="0.3">
      <c r="A18">
        <v>2019</v>
      </c>
      <c r="B18">
        <v>3888.23</v>
      </c>
      <c r="C18">
        <v>252.55</v>
      </c>
    </row>
    <row r="19" spans="1:3" x14ac:dyDescent="0.3">
      <c r="A19">
        <v>2020</v>
      </c>
      <c r="B19">
        <v>3889.67</v>
      </c>
      <c r="C19">
        <v>245.97</v>
      </c>
    </row>
    <row r="20" spans="1:3" x14ac:dyDescent="0.3">
      <c r="A20">
        <v>2021</v>
      </c>
      <c r="B20">
        <v>4259.93</v>
      </c>
      <c r="C20">
        <v>281.79000000000002</v>
      </c>
    </row>
    <row r="21" spans="1:3" x14ac:dyDescent="0.3">
      <c r="A21">
        <v>2022</v>
      </c>
      <c r="B21">
        <v>4072.19</v>
      </c>
      <c r="C21">
        <v>290.92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1324-6757-4547-A321-109FE44135B1}">
  <dimension ref="A1:H21"/>
  <sheetViews>
    <sheetView workbookViewId="0">
      <selection activeCell="K14" sqref="K14"/>
    </sheetView>
  </sheetViews>
  <sheetFormatPr defaultRowHeight="14.4" x14ac:dyDescent="0.3"/>
  <sheetData>
    <row r="1" spans="1:8" x14ac:dyDescent="0.3">
      <c r="A1" t="s">
        <v>0</v>
      </c>
      <c r="B1" t="s">
        <v>50</v>
      </c>
      <c r="C1" s="10" t="s">
        <v>52</v>
      </c>
      <c r="D1" t="s">
        <v>51</v>
      </c>
      <c r="E1" s="10" t="s">
        <v>54</v>
      </c>
      <c r="F1" t="s">
        <v>53</v>
      </c>
      <c r="G1" t="s">
        <v>55</v>
      </c>
      <c r="H1" s="32" t="s">
        <v>56</v>
      </c>
    </row>
    <row r="2" spans="1:8" x14ac:dyDescent="0.3">
      <c r="A2">
        <v>2003</v>
      </c>
      <c r="B2">
        <f>'ekon kalkulace'!B2</f>
        <v>27978</v>
      </c>
      <c r="C2" s="10">
        <v>0.1</v>
      </c>
      <c r="D2">
        <v>1.03</v>
      </c>
      <c r="E2" s="10">
        <f>'ekon kalkulace'!C2</f>
        <v>31.59</v>
      </c>
      <c r="F2">
        <f>2211.57*1000</f>
        <v>2211570</v>
      </c>
      <c r="G2">
        <f>'ekon kalkulace'!F2</f>
        <v>1.3087952428222358</v>
      </c>
      <c r="H2" s="32"/>
    </row>
    <row r="3" spans="1:8" x14ac:dyDescent="0.3">
      <c r="A3">
        <v>2004</v>
      </c>
      <c r="B3">
        <f>'ekon kalkulace'!B3</f>
        <v>31619</v>
      </c>
      <c r="C3" s="10">
        <v>2.8</v>
      </c>
      <c r="D3">
        <v>1.67</v>
      </c>
      <c r="E3" s="10">
        <f>'ekon kalkulace'!C3</f>
        <v>32.398000000000003</v>
      </c>
      <c r="F3">
        <f>2262.52*1000</f>
        <v>2262520</v>
      </c>
      <c r="G3">
        <f>'ekon kalkulace'!F3</f>
        <v>1.6040033454283436</v>
      </c>
      <c r="H3" s="32">
        <f>E3-E2</f>
        <v>0.80800000000000338</v>
      </c>
    </row>
    <row r="4" spans="1:8" x14ac:dyDescent="0.3">
      <c r="A4">
        <v>2005</v>
      </c>
      <c r="B4">
        <f>'ekon kalkulace'!B4</f>
        <v>35279</v>
      </c>
      <c r="C4" s="10">
        <v>1.9</v>
      </c>
      <c r="D4">
        <v>1.55</v>
      </c>
      <c r="E4" s="10">
        <f>'ekon kalkulace'!C4</f>
        <v>30.361000000000001</v>
      </c>
      <c r="F4">
        <f>2288.31*1000</f>
        <v>2288310</v>
      </c>
      <c r="G4">
        <f>'ekon kalkulace'!F4</f>
        <v>0.91965046172038489</v>
      </c>
      <c r="H4" s="32">
        <f t="shared" ref="H4:H21" si="0">E4-E3</f>
        <v>-2.0370000000000026</v>
      </c>
    </row>
    <row r="5" spans="1:8" x14ac:dyDescent="0.3">
      <c r="A5">
        <v>2006</v>
      </c>
      <c r="B5">
        <f>'ekon kalkulace'!B5</f>
        <v>49058</v>
      </c>
      <c r="C5" s="10">
        <v>2.5</v>
      </c>
      <c r="D5">
        <v>1.58</v>
      </c>
      <c r="E5" s="10">
        <f>'ekon kalkulace'!C5</f>
        <v>29.03</v>
      </c>
      <c r="F5">
        <f>2385.08*1000</f>
        <v>2385080</v>
      </c>
      <c r="G5">
        <f>'ekon kalkulace'!F5</f>
        <v>0.82432361254552378</v>
      </c>
      <c r="H5" s="32">
        <f t="shared" si="0"/>
        <v>-1.3309999999999995</v>
      </c>
    </row>
    <row r="6" spans="1:8" x14ac:dyDescent="0.3">
      <c r="A6">
        <v>2007</v>
      </c>
      <c r="B6">
        <f>'ekon kalkulace'!B6</f>
        <v>44630</v>
      </c>
      <c r="C6" s="10">
        <v>2.8</v>
      </c>
      <c r="D6">
        <v>2.2999999999999998</v>
      </c>
      <c r="E6" s="10">
        <f>'ekon kalkulace'!C6</f>
        <v>27.524999999999999</v>
      </c>
      <c r="F6">
        <f>2499.55*1000</f>
        <v>2499550</v>
      </c>
      <c r="G6">
        <f>'ekon kalkulace'!F6</f>
        <v>0.82371410754225949</v>
      </c>
      <c r="H6" s="32">
        <f t="shared" si="0"/>
        <v>-1.5050000000000026</v>
      </c>
    </row>
    <row r="7" spans="1:8" x14ac:dyDescent="0.3">
      <c r="A7">
        <v>2008</v>
      </c>
      <c r="B7">
        <f>'ekon kalkulace'!B7</f>
        <v>51274</v>
      </c>
      <c r="C7" s="10">
        <v>6.3</v>
      </c>
      <c r="D7">
        <v>2.63</v>
      </c>
      <c r="E7" s="10">
        <f>'ekon kalkulace'!C7</f>
        <v>26.364000000000001</v>
      </c>
      <c r="F7">
        <f>2546.49*1000</f>
        <v>2546490</v>
      </c>
      <c r="G7">
        <f>'ekon kalkulace'!F7</f>
        <v>0.80316759966190476</v>
      </c>
      <c r="H7" s="32">
        <f t="shared" si="0"/>
        <v>-1.1609999999999978</v>
      </c>
    </row>
    <row r="8" spans="1:8" x14ac:dyDescent="0.3">
      <c r="A8">
        <v>2009</v>
      </c>
      <c r="B8">
        <f>'ekon kalkulace'!B8</f>
        <v>50230</v>
      </c>
      <c r="C8" s="10">
        <v>1</v>
      </c>
      <c r="D8">
        <v>0.31</v>
      </c>
      <c r="E8" s="10">
        <f>'ekon kalkulace'!C8</f>
        <v>26.824999999999999</v>
      </c>
      <c r="F8">
        <f>2445.73*1000</f>
        <v>2445730</v>
      </c>
      <c r="G8">
        <f>'ekon kalkulace'!F8</f>
        <v>0.58179668646112959</v>
      </c>
      <c r="H8" s="32">
        <f t="shared" si="0"/>
        <v>0.46099999999999852</v>
      </c>
    </row>
    <row r="9" spans="1:8" x14ac:dyDescent="0.3">
      <c r="A9">
        <v>2010</v>
      </c>
      <c r="B9">
        <f>'ekon kalkulace'!B9</f>
        <v>40673</v>
      </c>
      <c r="C9" s="10">
        <v>1.5</v>
      </c>
      <c r="D9">
        <v>1.1000000000000001</v>
      </c>
      <c r="E9" s="10">
        <f>'ekon kalkulace'!C9</f>
        <v>26.285</v>
      </c>
      <c r="F9">
        <f>2564.4*1000</f>
        <v>2564400</v>
      </c>
      <c r="G9">
        <f>'ekon kalkulace'!F9</f>
        <v>0.58782209517575712</v>
      </c>
      <c r="H9" s="32">
        <f t="shared" si="0"/>
        <v>-0.53999999999999915</v>
      </c>
    </row>
    <row r="10" spans="1:8" x14ac:dyDescent="0.3">
      <c r="A10">
        <v>2011</v>
      </c>
      <c r="B10">
        <f>'ekon kalkulace'!B10</f>
        <v>39078</v>
      </c>
      <c r="C10" s="10">
        <v>1.9</v>
      </c>
      <c r="D10">
        <v>2.08</v>
      </c>
      <c r="E10" s="10">
        <f>'ekon kalkulace'!C10</f>
        <v>25.088000000000001</v>
      </c>
      <c r="F10">
        <f>2693.56*1000</f>
        <v>2693560</v>
      </c>
      <c r="G10">
        <f>'ekon kalkulace'!F10</f>
        <v>0.61049855931089569</v>
      </c>
      <c r="H10" s="32">
        <f t="shared" si="0"/>
        <v>-1.1969999999999992</v>
      </c>
    </row>
    <row r="11" spans="1:8" x14ac:dyDescent="0.3">
      <c r="A11">
        <v>2012</v>
      </c>
      <c r="B11">
        <f>'ekon kalkulace'!B11</f>
        <v>43862</v>
      </c>
      <c r="C11" s="10">
        <v>3.3</v>
      </c>
      <c r="D11">
        <v>2.0099999999999998</v>
      </c>
      <c r="E11" s="10">
        <f>'ekon kalkulace'!C11</f>
        <v>25.504999999999999</v>
      </c>
      <c r="F11">
        <f>2745.31*1000</f>
        <v>2745310</v>
      </c>
      <c r="G11">
        <f>'ekon kalkulace'!F11</f>
        <v>0.64958788517121446</v>
      </c>
      <c r="H11" s="32">
        <f t="shared" si="0"/>
        <v>0.41699999999999804</v>
      </c>
    </row>
    <row r="12" spans="1:8" x14ac:dyDescent="0.3">
      <c r="A12">
        <v>2013</v>
      </c>
      <c r="B12">
        <f>'ekon kalkulace'!B12</f>
        <v>46508</v>
      </c>
      <c r="C12" s="10">
        <v>1.4</v>
      </c>
      <c r="D12">
        <v>1.5</v>
      </c>
      <c r="E12" s="10">
        <f>'ekon kalkulace'!C12</f>
        <v>25.218</v>
      </c>
      <c r="F12">
        <f>2811.35*1000</f>
        <v>2811350</v>
      </c>
      <c r="G12">
        <f>'ekon kalkulace'!F12</f>
        <v>0.62014514059782033</v>
      </c>
      <c r="H12" s="32">
        <f t="shared" si="0"/>
        <v>-0.28699999999999903</v>
      </c>
    </row>
    <row r="13" spans="1:8" x14ac:dyDescent="0.3">
      <c r="A13">
        <v>2014</v>
      </c>
      <c r="B13">
        <f>'ekon kalkulace'!B13</f>
        <v>48418</v>
      </c>
      <c r="C13" s="10">
        <v>0.4</v>
      </c>
      <c r="D13">
        <v>0.91</v>
      </c>
      <c r="E13" s="10">
        <f>'ekon kalkulace'!C13</f>
        <v>27.481000000000002</v>
      </c>
      <c r="F13">
        <f>2927.43*1000</f>
        <v>2927430</v>
      </c>
      <c r="G13">
        <f>'ekon kalkulace'!F13</f>
        <v>0.58388534132410974</v>
      </c>
      <c r="H13" s="32">
        <f t="shared" si="0"/>
        <v>2.2630000000000017</v>
      </c>
    </row>
    <row r="14" spans="1:8" x14ac:dyDescent="0.3">
      <c r="A14">
        <v>2015</v>
      </c>
      <c r="B14">
        <f>'ekon kalkulace'!B14</f>
        <v>52953</v>
      </c>
      <c r="C14" s="10">
        <v>0.3</v>
      </c>
      <c r="D14">
        <v>0.51</v>
      </c>
      <c r="E14" s="10">
        <f>'ekon kalkulace'!C14</f>
        <v>27.693000000000001</v>
      </c>
      <c r="F14">
        <f>3026.18*1000</f>
        <v>3026180</v>
      </c>
      <c r="G14">
        <f>'ekon kalkulace'!F14</f>
        <v>0.64690198155124856</v>
      </c>
      <c r="H14" s="32">
        <f t="shared" si="0"/>
        <v>0.21199999999999974</v>
      </c>
    </row>
    <row r="15" spans="1:8" x14ac:dyDescent="0.3">
      <c r="A15">
        <v>2016</v>
      </c>
      <c r="B15">
        <f>'ekon kalkulace'!B15</f>
        <v>55923</v>
      </c>
      <c r="C15" s="10">
        <v>0.7</v>
      </c>
      <c r="D15">
        <v>0.49</v>
      </c>
      <c r="E15" s="10">
        <f>'ekon kalkulace'!C15</f>
        <v>27.023</v>
      </c>
      <c r="F15">
        <f>3134.74*1000</f>
        <v>3134740</v>
      </c>
      <c r="G15">
        <f>'ekon kalkulace'!F15</f>
        <v>0.60707355620178338</v>
      </c>
      <c r="H15" s="32">
        <f t="shared" si="0"/>
        <v>-0.67000000000000171</v>
      </c>
    </row>
    <row r="16" spans="1:8" x14ac:dyDescent="0.3">
      <c r="A16">
        <v>2017</v>
      </c>
      <c r="B16">
        <f>'ekon kalkulace'!B16</f>
        <v>54100</v>
      </c>
      <c r="C16" s="10">
        <v>2.5</v>
      </c>
      <c r="D16">
        <v>1.51</v>
      </c>
      <c r="E16" s="10">
        <f>'ekon kalkulace'!C16</f>
        <v>27.021000000000001</v>
      </c>
      <c r="F16">
        <f>3267.16*1000</f>
        <v>3267160</v>
      </c>
      <c r="G16">
        <f>'ekon kalkulace'!F16</f>
        <v>0.61870273324852654</v>
      </c>
      <c r="H16" s="32">
        <f t="shared" si="0"/>
        <v>-1.9999999999988916E-3</v>
      </c>
    </row>
    <row r="17" spans="1:8" x14ac:dyDescent="0.3">
      <c r="A17">
        <v>2018</v>
      </c>
      <c r="B17">
        <f>'ekon kalkulace'!B17</f>
        <v>58102</v>
      </c>
      <c r="C17" s="10">
        <v>2.1</v>
      </c>
      <c r="D17">
        <v>1.73</v>
      </c>
      <c r="E17" s="10">
        <f>'ekon kalkulace'!C17</f>
        <v>25.494</v>
      </c>
      <c r="F17">
        <f>3365.45*1000</f>
        <v>3365450</v>
      </c>
      <c r="G17">
        <f>'ekon kalkulace'!F17</f>
        <v>0.62275382464684725</v>
      </c>
      <c r="H17" s="32">
        <f t="shared" si="0"/>
        <v>-1.527000000000001</v>
      </c>
    </row>
    <row r="18" spans="1:8" x14ac:dyDescent="0.3">
      <c r="A18">
        <v>2019</v>
      </c>
      <c r="B18">
        <f>'ekon kalkulace'!B18</f>
        <v>65072</v>
      </c>
      <c r="C18" s="10">
        <v>2.8</v>
      </c>
      <c r="D18">
        <v>1.45</v>
      </c>
      <c r="E18" s="10">
        <f>'ekon kalkulace'!C18</f>
        <v>25.751999999999999</v>
      </c>
      <c r="F18">
        <f>3474.11*1000</f>
        <v>3474110</v>
      </c>
      <c r="G18">
        <f>'ekon kalkulace'!F18</f>
        <v>0.61525499942069284</v>
      </c>
      <c r="H18" s="32">
        <f t="shared" si="0"/>
        <v>0.25799999999999912</v>
      </c>
    </row>
    <row r="19" spans="1:8" x14ac:dyDescent="0.3">
      <c r="A19">
        <v>2020</v>
      </c>
      <c r="B19">
        <f>'ekon kalkulace'!B19</f>
        <v>57071</v>
      </c>
      <c r="C19" s="10">
        <v>3.2</v>
      </c>
      <c r="D19">
        <v>0.14000000000000001</v>
      </c>
      <c r="E19" s="10">
        <f>'ekon kalkulace'!C19</f>
        <v>25.411000000000001</v>
      </c>
      <c r="F19">
        <f>3403.73*1000</f>
        <v>3403730</v>
      </c>
      <c r="G19">
        <f>'ekon kalkulace'!F19</f>
        <v>0.61061220754848666</v>
      </c>
      <c r="H19" s="32">
        <f t="shared" si="0"/>
        <v>-0.34099999999999753</v>
      </c>
    </row>
    <row r="20" spans="1:8" x14ac:dyDescent="0.3">
      <c r="A20">
        <v>2021</v>
      </c>
      <c r="B20">
        <f>'ekon kalkulace'!B20</f>
        <v>54888</v>
      </c>
      <c r="C20" s="10">
        <v>3.8</v>
      </c>
      <c r="D20">
        <v>3.07</v>
      </c>
      <c r="E20" s="10">
        <f>'ekon kalkulace'!C20</f>
        <v>26.140999999999998</v>
      </c>
      <c r="F20">
        <f>3617.45*1000</f>
        <v>3617450</v>
      </c>
      <c r="G20">
        <f>'ekon kalkulace'!F20</f>
        <v>0.60127399265714698</v>
      </c>
      <c r="H20" s="32">
        <f t="shared" si="0"/>
        <v>0.72999999999999687</v>
      </c>
    </row>
    <row r="21" spans="1:8" x14ac:dyDescent="0.3">
      <c r="A21">
        <v>2022</v>
      </c>
      <c r="B21" s="11">
        <v>53172</v>
      </c>
      <c r="C21" s="10">
        <v>15.1</v>
      </c>
      <c r="D21">
        <v>6.86</v>
      </c>
      <c r="E21" s="28">
        <v>24.818000000000001</v>
      </c>
      <c r="F21">
        <f>3876.8*1000</f>
        <v>3876800</v>
      </c>
      <c r="G21" s="23">
        <v>0.56899999999999995</v>
      </c>
      <c r="H21" s="32">
        <f t="shared" si="0"/>
        <v>-1.3229999999999968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1F36-6F6E-4BDF-AFFE-4E1E12B50EAB}">
  <dimension ref="A1:H24"/>
  <sheetViews>
    <sheetView workbookViewId="0">
      <selection activeCell="J7" sqref="J7"/>
    </sheetView>
  </sheetViews>
  <sheetFormatPr defaultRowHeight="14.4" x14ac:dyDescent="0.3"/>
  <cols>
    <col min="2" max="2" width="14.6640625" bestFit="1" customWidth="1"/>
    <col min="3" max="3" width="13.44140625" bestFit="1" customWidth="1"/>
    <col min="4" max="4" width="16.6640625" bestFit="1" customWidth="1"/>
    <col min="5" max="5" width="17.77734375" bestFit="1" customWidth="1"/>
    <col min="6" max="6" width="15.21875" bestFit="1" customWidth="1"/>
    <col min="7" max="7" width="16.88671875" customWidth="1"/>
  </cols>
  <sheetData>
    <row r="1" spans="1:8" x14ac:dyDescent="0.3">
      <c r="A1" t="s">
        <v>0</v>
      </c>
      <c r="B1" t="s">
        <v>57</v>
      </c>
      <c r="C1" t="s">
        <v>62</v>
      </c>
      <c r="D1" s="24" t="s">
        <v>53</v>
      </c>
      <c r="E1" s="33" t="s">
        <v>63</v>
      </c>
      <c r="F1" t="s">
        <v>59</v>
      </c>
      <c r="G1" t="s">
        <v>58</v>
      </c>
      <c r="H1" t="s">
        <v>64</v>
      </c>
    </row>
    <row r="2" spans="1:8" x14ac:dyDescent="0.3">
      <c r="A2">
        <v>2003</v>
      </c>
      <c r="B2" s="24">
        <f>'ekon kalkulace'!B2</f>
        <v>27978</v>
      </c>
      <c r="C2" s="24">
        <f>'ekon kalkulace'!C2</f>
        <v>31.59</v>
      </c>
      <c r="D2" s="24">
        <f>2211.57*1000</f>
        <v>2211570</v>
      </c>
      <c r="E2" s="34">
        <f>'ekon kalkulace'!E2</f>
        <v>95826542.180000007</v>
      </c>
      <c r="F2" s="24">
        <f>'ekon kalkulace'!F2</f>
        <v>1.3087952428222358</v>
      </c>
      <c r="G2" s="24">
        <f>'ekon kalkulace'!G2</f>
        <v>0.35072890009897578</v>
      </c>
    </row>
    <row r="3" spans="1:8" x14ac:dyDescent="0.3">
      <c r="A3">
        <v>2004</v>
      </c>
      <c r="B3" s="24">
        <f>'ekon kalkulace'!B3</f>
        <v>31619</v>
      </c>
      <c r="C3" s="24">
        <f>'ekon kalkulace'!C3</f>
        <v>32.398000000000003</v>
      </c>
      <c r="D3" s="24">
        <f>2262.52*1000</f>
        <v>2262520</v>
      </c>
      <c r="E3" s="34">
        <f>'ekon kalkulace'!E3</f>
        <v>94269340.680000007</v>
      </c>
      <c r="F3" s="24">
        <f>'ekon kalkulace'!F3</f>
        <v>1.6040033454283436</v>
      </c>
      <c r="G3" s="24">
        <f>'ekon kalkulace'!G3</f>
        <v>0.3864703571466942</v>
      </c>
    </row>
    <row r="4" spans="1:8" x14ac:dyDescent="0.3">
      <c r="A4">
        <v>2005</v>
      </c>
      <c r="B4" s="24">
        <f>'ekon kalkulace'!B4</f>
        <v>35279</v>
      </c>
      <c r="C4" s="24">
        <f>'ekon kalkulace'!C4</f>
        <v>30.361000000000001</v>
      </c>
      <c r="D4" s="24">
        <f>2288.31*1000</f>
        <v>2288310</v>
      </c>
      <c r="E4" s="34">
        <f>'ekon kalkulace'!E4</f>
        <v>93637629.703999996</v>
      </c>
      <c r="F4" s="24">
        <f>'ekon kalkulace'!F4</f>
        <v>0.91965046172038489</v>
      </c>
      <c r="G4" s="24">
        <f>'ekon kalkulace'!G4</f>
        <v>0.3770044128505981</v>
      </c>
    </row>
    <row r="5" spans="1:8" x14ac:dyDescent="0.3">
      <c r="A5">
        <v>2006</v>
      </c>
      <c r="B5" s="24">
        <f>'ekon kalkulace'!B5</f>
        <v>49058</v>
      </c>
      <c r="C5" s="24">
        <f>'ekon kalkulace'!C5</f>
        <v>29.03</v>
      </c>
      <c r="D5" s="24">
        <f>2385.08*1000</f>
        <v>2385080</v>
      </c>
      <c r="E5" s="34">
        <f>'ekon kalkulace'!E5</f>
        <v>94166267.719999999</v>
      </c>
      <c r="F5" s="24">
        <f>'ekon kalkulace'!F5</f>
        <v>0.82432361254552378</v>
      </c>
      <c r="G5" s="24">
        <f>'ekon kalkulace'!G5</f>
        <v>0.4900909921089836</v>
      </c>
    </row>
    <row r="6" spans="1:8" x14ac:dyDescent="0.3">
      <c r="A6">
        <v>2007</v>
      </c>
      <c r="B6" s="24">
        <f>'ekon kalkulace'!B6</f>
        <v>44630</v>
      </c>
      <c r="C6" s="24">
        <f>'ekon kalkulace'!C6</f>
        <v>27.524999999999999</v>
      </c>
      <c r="D6" s="24">
        <f>2499.55*1000</f>
        <v>2499550</v>
      </c>
      <c r="E6" s="34">
        <f>'ekon kalkulace'!E6</f>
        <v>90763521.939999998</v>
      </c>
      <c r="F6" s="24">
        <f>'ekon kalkulace'!F6</f>
        <v>0.82371410754225949</v>
      </c>
      <c r="G6" s="24">
        <f>'ekon kalkulace'!G6</f>
        <v>0.44585513020962814</v>
      </c>
    </row>
    <row r="7" spans="1:8" x14ac:dyDescent="0.3">
      <c r="A7">
        <v>2008</v>
      </c>
      <c r="B7" s="24">
        <f>'ekon kalkulace'!B7</f>
        <v>51274</v>
      </c>
      <c r="C7" s="24">
        <f>'ekon kalkulace'!C7</f>
        <v>26.364000000000001</v>
      </c>
      <c r="D7" s="24">
        <f>2546.49*1000</f>
        <v>2546490</v>
      </c>
      <c r="E7" s="34">
        <f>'ekon kalkulace'!E7</f>
        <v>90232622.501999989</v>
      </c>
      <c r="F7" s="24">
        <f>'ekon kalkulace'!F7</f>
        <v>0.80316759966190476</v>
      </c>
      <c r="G7" s="24">
        <f>'ekon kalkulace'!G7</f>
        <v>0.51222890312275315</v>
      </c>
    </row>
    <row r="8" spans="1:8" x14ac:dyDescent="0.3">
      <c r="A8">
        <v>2009</v>
      </c>
      <c r="B8" s="24">
        <f>'ekon kalkulace'!B8</f>
        <v>50230</v>
      </c>
      <c r="C8" s="24">
        <f>'ekon kalkulace'!C8</f>
        <v>26.824999999999999</v>
      </c>
      <c r="D8" s="24">
        <f>2445.73*1000</f>
        <v>2445730</v>
      </c>
      <c r="E8" s="34">
        <f>'ekon kalkulace'!E8</f>
        <v>89061634.040000007</v>
      </c>
      <c r="F8" s="24">
        <f>'ekon kalkulace'!F8</f>
        <v>0.58179668646112959</v>
      </c>
      <c r="G8" s="24">
        <f>'ekon kalkulace'!G8</f>
        <v>0.36393001055694085</v>
      </c>
    </row>
    <row r="9" spans="1:8" x14ac:dyDescent="0.3">
      <c r="A9">
        <v>2010</v>
      </c>
      <c r="B9" s="24">
        <f>'ekon kalkulace'!B9</f>
        <v>40673</v>
      </c>
      <c r="C9" s="24">
        <f>'ekon kalkulace'!C9</f>
        <v>26.285</v>
      </c>
      <c r="D9" s="24">
        <f>2564.4*1000</f>
        <v>2564400</v>
      </c>
      <c r="E9" s="34">
        <f>'ekon kalkulace'!E9</f>
        <v>89132298.640000001</v>
      </c>
      <c r="F9" s="24">
        <f>'ekon kalkulace'!F9</f>
        <v>0.58782209517575712</v>
      </c>
      <c r="G9" s="24">
        <f>'ekon kalkulace'!G9</f>
        <v>0.35735443429865243</v>
      </c>
    </row>
    <row r="10" spans="1:8" x14ac:dyDescent="0.3">
      <c r="A10">
        <v>2011</v>
      </c>
      <c r="B10" s="24">
        <f>'ekon kalkulace'!B10</f>
        <v>39078</v>
      </c>
      <c r="C10" s="24">
        <f>'ekon kalkulace'!C10</f>
        <v>25.088000000000001</v>
      </c>
      <c r="D10" s="24">
        <f>2693.56*1000</f>
        <v>2693560</v>
      </c>
      <c r="E10" s="34">
        <f>'ekon kalkulace'!E10</f>
        <v>88995752.153999999</v>
      </c>
      <c r="F10" s="24">
        <f>'ekon kalkulace'!F10</f>
        <v>0.61049855931089569</v>
      </c>
      <c r="G10" s="24">
        <f>'ekon kalkulace'!G10</f>
        <v>0.38354941465135794</v>
      </c>
    </row>
    <row r="11" spans="1:8" x14ac:dyDescent="0.3">
      <c r="A11">
        <v>2012</v>
      </c>
      <c r="B11" s="24">
        <f>'ekon kalkulace'!B11</f>
        <v>43862</v>
      </c>
      <c r="C11" s="24">
        <f>'ekon kalkulace'!C11</f>
        <v>25.504999999999999</v>
      </c>
      <c r="D11" s="24">
        <f>2745.31*1000</f>
        <v>2745310</v>
      </c>
      <c r="E11" s="34">
        <f>'ekon kalkulace'!E11</f>
        <v>87498391.245000005</v>
      </c>
      <c r="F11" s="24">
        <f>'ekon kalkulace'!F11</f>
        <v>0.64958788517121446</v>
      </c>
      <c r="G11" s="24">
        <f>'ekon kalkulace'!G11</f>
        <v>0.48678377392599348</v>
      </c>
    </row>
    <row r="12" spans="1:8" x14ac:dyDescent="0.3">
      <c r="A12">
        <v>2013</v>
      </c>
      <c r="B12" s="24">
        <f>'ekon kalkulace'!B12</f>
        <v>46508</v>
      </c>
      <c r="C12" s="24">
        <f>'ekon kalkulace'!C12</f>
        <v>25.218</v>
      </c>
      <c r="D12" s="24">
        <f>2811.35*1000</f>
        <v>2811350</v>
      </c>
      <c r="E12" s="34">
        <f>'ekon kalkulace'!E12</f>
        <v>87071510.005999997</v>
      </c>
      <c r="F12" s="24">
        <f>'ekon kalkulace'!F12</f>
        <v>0.62014514059782033</v>
      </c>
      <c r="G12" s="24">
        <f>'ekon kalkulace'!G12</f>
        <v>0.53251229863190785</v>
      </c>
    </row>
    <row r="13" spans="1:8" x14ac:dyDescent="0.3">
      <c r="A13">
        <v>2014</v>
      </c>
      <c r="B13" s="24">
        <f>'ekon kalkulace'!B13</f>
        <v>48418</v>
      </c>
      <c r="C13" s="24">
        <f>'ekon kalkulace'!C13</f>
        <v>27.481000000000002</v>
      </c>
      <c r="D13" s="24">
        <f>2927.43*1000</f>
        <v>2927430</v>
      </c>
      <c r="E13" s="34">
        <f>'ekon kalkulace'!E13</f>
        <v>87507083.924999997</v>
      </c>
      <c r="F13" s="24">
        <f>'ekon kalkulace'!F13</f>
        <v>0.58388534132410974</v>
      </c>
      <c r="G13" s="24">
        <f>'ekon kalkulace'!G13</f>
        <v>0.54040354722504547</v>
      </c>
    </row>
    <row r="14" spans="1:8" x14ac:dyDescent="0.3">
      <c r="A14">
        <v>2015</v>
      </c>
      <c r="B14" s="24">
        <f>'ekon kalkulace'!B14</f>
        <v>52953</v>
      </c>
      <c r="C14" s="24">
        <f>'ekon kalkulace'!C14</f>
        <v>27.693000000000001</v>
      </c>
      <c r="D14" s="24">
        <f>3026.18*1000</f>
        <v>3026180</v>
      </c>
      <c r="E14" s="34">
        <f>'ekon kalkulace'!E14</f>
        <v>84453349.554000005</v>
      </c>
      <c r="F14" s="24">
        <f>'ekon kalkulace'!F14</f>
        <v>0.64690198155124856</v>
      </c>
      <c r="G14" s="24">
        <f>'ekon kalkulace'!G14</f>
        <v>0.56113967103712659</v>
      </c>
    </row>
    <row r="15" spans="1:8" x14ac:dyDescent="0.3">
      <c r="A15">
        <v>2016</v>
      </c>
      <c r="B15" s="24">
        <f>'ekon kalkulace'!B15</f>
        <v>55923</v>
      </c>
      <c r="C15" s="24">
        <f>'ekon kalkulace'!C15</f>
        <v>27.023</v>
      </c>
      <c r="D15" s="24">
        <f>3134.74*1000</f>
        <v>3134740</v>
      </c>
      <c r="E15" s="34">
        <f>'ekon kalkulace'!E15</f>
        <v>82907742.96100001</v>
      </c>
      <c r="F15" s="24">
        <f>'ekon kalkulace'!F15</f>
        <v>0.60707355620178338</v>
      </c>
      <c r="G15" s="24">
        <f>'ekon kalkulace'!G15</f>
        <v>0.57511478539558314</v>
      </c>
    </row>
    <row r="16" spans="1:8" x14ac:dyDescent="0.3">
      <c r="A16">
        <v>2017</v>
      </c>
      <c r="B16" s="24">
        <f>'ekon kalkulace'!B16</f>
        <v>54100</v>
      </c>
      <c r="C16" s="24">
        <f>'ekon kalkulace'!C16</f>
        <v>27.021000000000001</v>
      </c>
      <c r="D16" s="24">
        <f>3267.16*1000</f>
        <v>3267160</v>
      </c>
      <c r="E16" s="34">
        <f>'ekon kalkulace'!E16</f>
        <v>80971886.519999996</v>
      </c>
      <c r="F16" s="24">
        <f>'ekon kalkulace'!F16</f>
        <v>0.61870273324852654</v>
      </c>
      <c r="G16" s="24">
        <f>'ekon kalkulace'!G16</f>
        <v>0.5675313827283206</v>
      </c>
    </row>
    <row r="17" spans="1:7" x14ac:dyDescent="0.3">
      <c r="A17">
        <v>2018</v>
      </c>
      <c r="B17" s="24">
        <f>'ekon kalkulace'!B17</f>
        <v>58102</v>
      </c>
      <c r="C17" s="24">
        <f>'ekon kalkulace'!C17</f>
        <v>25.494</v>
      </c>
      <c r="D17" s="24">
        <f>3365.45*1000</f>
        <v>3365450</v>
      </c>
      <c r="E17" s="34">
        <f>'ekon kalkulace'!E17</f>
        <v>82067729.040000007</v>
      </c>
      <c r="F17" s="24">
        <f>'ekon kalkulace'!F17</f>
        <v>0.62275382464684725</v>
      </c>
      <c r="G17" s="24">
        <f>'ekon kalkulace'!G17</f>
        <v>0.55588912538717272</v>
      </c>
    </row>
    <row r="18" spans="1:7" x14ac:dyDescent="0.3">
      <c r="A18">
        <v>2019</v>
      </c>
      <c r="B18" s="24">
        <f>'ekon kalkulace'!B18</f>
        <v>65072</v>
      </c>
      <c r="C18" s="24">
        <f>'ekon kalkulace'!C18</f>
        <v>25.751999999999999</v>
      </c>
      <c r="D18" s="24">
        <f>3474.11*1000</f>
        <v>3474110</v>
      </c>
      <c r="E18" s="34">
        <f>'ekon kalkulace'!E18</f>
        <v>80487400.488000005</v>
      </c>
      <c r="F18" s="24">
        <f>'ekon kalkulace'!F18</f>
        <v>0.61525499942069284</v>
      </c>
      <c r="G18" s="24">
        <f>'ekon kalkulace'!G18</f>
        <v>0.61308492941953019</v>
      </c>
    </row>
    <row r="19" spans="1:7" x14ac:dyDescent="0.3">
      <c r="A19">
        <v>2020</v>
      </c>
      <c r="B19" s="24">
        <f>'ekon kalkulace'!B19</f>
        <v>57071</v>
      </c>
      <c r="C19" s="24">
        <f>'ekon kalkulace'!C19</f>
        <v>25.411000000000001</v>
      </c>
      <c r="D19" s="24">
        <f>3403.73*1000</f>
        <v>3403730</v>
      </c>
      <c r="E19" s="34">
        <f>'ekon kalkulace'!E19</f>
        <v>76995984.912</v>
      </c>
      <c r="F19" s="24">
        <f>'ekon kalkulace'!F19</f>
        <v>0.61061220754848666</v>
      </c>
      <c r="G19" s="24">
        <f>'ekon kalkulace'!G19</f>
        <v>0.52444312412435068</v>
      </c>
    </row>
    <row r="20" spans="1:7" x14ac:dyDescent="0.3">
      <c r="A20">
        <v>2021</v>
      </c>
      <c r="B20" s="24">
        <f>'ekon kalkulace'!B20</f>
        <v>54888</v>
      </c>
      <c r="C20" s="24">
        <f>'ekon kalkulace'!C20</f>
        <v>26.140999999999998</v>
      </c>
      <c r="D20" s="24">
        <f>3617.45*1000</f>
        <v>3617450</v>
      </c>
      <c r="E20" s="34">
        <f>'ekon kalkulace'!E20</f>
        <v>74567247.276000008</v>
      </c>
      <c r="F20" s="24">
        <f>'ekon kalkulace'!F20</f>
        <v>0.60127399265714698</v>
      </c>
      <c r="G20" s="24">
        <f>'ekon kalkulace'!G20</f>
        <v>0.49782745587713029</v>
      </c>
    </row>
    <row r="21" spans="1:7" x14ac:dyDescent="0.3">
      <c r="A21" s="11">
        <v>2022</v>
      </c>
      <c r="B21" s="29">
        <v>53172</v>
      </c>
      <c r="C21" s="30">
        <v>24.818000000000001</v>
      </c>
      <c r="D21" s="24">
        <f>3876.8*1000</f>
        <v>3876800</v>
      </c>
      <c r="E21" s="35">
        <v>76533515.873999998</v>
      </c>
      <c r="F21" s="25">
        <v>0.56899999999999995</v>
      </c>
      <c r="G21" s="25">
        <v>0.48699999999999999</v>
      </c>
    </row>
    <row r="22" spans="1:7" x14ac:dyDescent="0.3">
      <c r="E22" s="33"/>
    </row>
    <row r="23" spans="1:7" x14ac:dyDescent="0.3">
      <c r="E23" s="33"/>
    </row>
    <row r="24" spans="1:7" x14ac:dyDescent="0.3">
      <c r="E24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A1FA-ACE6-422D-A4AF-73688114B061}">
  <dimension ref="A1:P44"/>
  <sheetViews>
    <sheetView topLeftCell="E8" zoomScale="77" workbookViewId="0">
      <selection activeCell="R38" sqref="R38"/>
    </sheetView>
  </sheetViews>
  <sheetFormatPr defaultRowHeight="14.4" x14ac:dyDescent="0.3"/>
  <cols>
    <col min="1" max="1" width="9.5546875" bestFit="1" customWidth="1"/>
    <col min="2" max="2" width="11.77734375" bestFit="1" customWidth="1"/>
    <col min="3" max="3" width="13.109375" bestFit="1" customWidth="1"/>
    <col min="4" max="4" width="13.6640625" bestFit="1" customWidth="1"/>
    <col min="5" max="5" width="14.88671875" bestFit="1" customWidth="1"/>
    <col min="6" max="6" width="18.6640625" customWidth="1"/>
    <col min="7" max="7" width="10.44140625" customWidth="1"/>
    <col min="8" max="8" width="10.33203125" customWidth="1"/>
    <col min="9" max="9" width="13" customWidth="1"/>
    <col min="10" max="10" width="11.6640625" customWidth="1"/>
    <col min="11" max="11" width="19.33203125" customWidth="1"/>
    <col min="14" max="14" width="12" customWidth="1"/>
    <col min="15" max="15" width="11" customWidth="1"/>
    <col min="16" max="16" width="9.5546875" bestFit="1" customWidth="1"/>
  </cols>
  <sheetData>
    <row r="1" spans="1:16" x14ac:dyDescent="0.3">
      <c r="A1" s="24" t="s">
        <v>0</v>
      </c>
      <c r="B1" s="24" t="s">
        <v>57</v>
      </c>
      <c r="C1" s="24" t="s">
        <v>67</v>
      </c>
      <c r="D1" s="34" t="s">
        <v>68</v>
      </c>
      <c r="E1" s="24" t="s">
        <v>59</v>
      </c>
      <c r="F1" s="24" t="s">
        <v>58</v>
      </c>
      <c r="G1" s="24" t="s">
        <v>61</v>
      </c>
      <c r="H1" s="24" t="s">
        <v>60</v>
      </c>
      <c r="I1" s="24" t="s">
        <v>53</v>
      </c>
      <c r="J1" s="24" t="s">
        <v>64</v>
      </c>
      <c r="L1" s="24" t="s">
        <v>75</v>
      </c>
      <c r="M1" s="42"/>
      <c r="N1" s="42" t="s">
        <v>73</v>
      </c>
      <c r="O1" s="43" t="s">
        <v>74</v>
      </c>
    </row>
    <row r="2" spans="1:16" x14ac:dyDescent="0.3">
      <c r="A2" s="31">
        <v>2003</v>
      </c>
      <c r="B2" s="24">
        <f>'ekon kalkulace'!B2</f>
        <v>27978</v>
      </c>
      <c r="C2" s="24">
        <f>'ekon kalkulace'!C2</f>
        <v>31.59</v>
      </c>
      <c r="D2" s="34">
        <f>'ekon kalkulace'!E2</f>
        <v>95826542.180000007</v>
      </c>
      <c r="E2" s="24">
        <f>'ekon kalkulace'!F2</f>
        <v>1.3087952428222358</v>
      </c>
      <c r="F2" s="24">
        <f>'ekon kalkulace'!G2</f>
        <v>0.35072890009897578</v>
      </c>
      <c r="G2" s="24">
        <v>0.1</v>
      </c>
      <c r="H2" s="24">
        <v>1.03</v>
      </c>
      <c r="I2" s="24">
        <f>2211.57*1000</f>
        <v>2211570</v>
      </c>
      <c r="M2" s="42"/>
      <c r="N2" s="42"/>
      <c r="O2" s="43"/>
    </row>
    <row r="3" spans="1:16" x14ac:dyDescent="0.3">
      <c r="A3" s="31">
        <v>2004</v>
      </c>
      <c r="B3" s="24">
        <f>'ekon kalkulace'!B3</f>
        <v>31619</v>
      </c>
      <c r="C3" s="24">
        <f>'ekon kalkulace'!C3</f>
        <v>32.398000000000003</v>
      </c>
      <c r="D3" s="34">
        <f>'ekon kalkulace'!E3</f>
        <v>94269340.680000007</v>
      </c>
      <c r="E3" s="24">
        <f>'ekon kalkulace'!F3</f>
        <v>1.6040033454283436</v>
      </c>
      <c r="F3" s="24">
        <f>'ekon kalkulace'!G3</f>
        <v>0.3864703571466942</v>
      </c>
      <c r="G3" s="24">
        <v>2.8</v>
      </c>
      <c r="H3" s="24">
        <v>1.67</v>
      </c>
      <c r="I3" s="24">
        <f>2262.52*1000</f>
        <v>2262520</v>
      </c>
      <c r="M3" s="39">
        <v>2003</v>
      </c>
      <c r="N3" s="40">
        <f t="shared" ref="N3:N22" si="0">B2</f>
        <v>27978</v>
      </c>
      <c r="O3" s="40">
        <f>(N22-N3)/N3</f>
        <v>0.90049324469225822</v>
      </c>
      <c r="P3" s="24"/>
    </row>
    <row r="4" spans="1:16" x14ac:dyDescent="0.3">
      <c r="A4" s="31">
        <v>2005</v>
      </c>
      <c r="B4" s="24">
        <f>'ekon kalkulace'!B4</f>
        <v>35279</v>
      </c>
      <c r="C4" s="24">
        <f>'ekon kalkulace'!C4</f>
        <v>30.361000000000001</v>
      </c>
      <c r="D4" s="34">
        <f>'ekon kalkulace'!E4</f>
        <v>93637629.703999996</v>
      </c>
      <c r="E4" s="24">
        <f>'ekon kalkulace'!F4</f>
        <v>0.91965046172038489</v>
      </c>
      <c r="F4" s="24">
        <f>'ekon kalkulace'!G4</f>
        <v>0.3770044128505981</v>
      </c>
      <c r="G4" s="24">
        <v>1.9</v>
      </c>
      <c r="H4" s="24">
        <v>1.55</v>
      </c>
      <c r="I4" s="24">
        <f>2288.31*1000</f>
        <v>2288310</v>
      </c>
      <c r="K4" s="24"/>
      <c r="M4" s="39">
        <v>2004</v>
      </c>
      <c r="N4" s="40">
        <f t="shared" si="0"/>
        <v>31619</v>
      </c>
      <c r="O4" s="40">
        <f>(N$22-N4)/N4</f>
        <v>0.68164711091432362</v>
      </c>
    </row>
    <row r="5" spans="1:16" x14ac:dyDescent="0.3">
      <c r="A5" s="31">
        <v>2006</v>
      </c>
      <c r="B5" s="24">
        <f>'ekon kalkulace'!B5</f>
        <v>49058</v>
      </c>
      <c r="C5" s="24">
        <f>'ekon kalkulace'!C5</f>
        <v>29.03</v>
      </c>
      <c r="D5" s="34">
        <f>'ekon kalkulace'!E5</f>
        <v>94166267.719999999</v>
      </c>
      <c r="E5" s="24">
        <f>'ekon kalkulace'!F5</f>
        <v>0.82432361254552378</v>
      </c>
      <c r="F5" s="24">
        <f>'ekon kalkulace'!G5</f>
        <v>0.4900909921089836</v>
      </c>
      <c r="G5" s="24">
        <v>2.5</v>
      </c>
      <c r="H5" s="24">
        <v>1.58</v>
      </c>
      <c r="I5" s="24">
        <f>2385.08*1000</f>
        <v>2385080</v>
      </c>
      <c r="K5" s="24"/>
      <c r="M5" s="39">
        <v>2005</v>
      </c>
      <c r="N5" s="40">
        <f t="shared" si="0"/>
        <v>35279</v>
      </c>
      <c r="O5" s="40">
        <f>(N$22-N5)/N5</f>
        <v>0.50718557782250062</v>
      </c>
    </row>
    <row r="6" spans="1:16" x14ac:dyDescent="0.3">
      <c r="A6" s="31">
        <v>2007</v>
      </c>
      <c r="B6" s="24">
        <f>'ekon kalkulace'!B6</f>
        <v>44630</v>
      </c>
      <c r="C6" s="24">
        <f>'ekon kalkulace'!C6</f>
        <v>27.524999999999999</v>
      </c>
      <c r="D6" s="34">
        <f>'ekon kalkulace'!E6</f>
        <v>90763521.939999998</v>
      </c>
      <c r="E6" s="24">
        <f>'ekon kalkulace'!F6</f>
        <v>0.82371410754225949</v>
      </c>
      <c r="F6" s="24">
        <f>'ekon kalkulace'!G6</f>
        <v>0.44585513020962814</v>
      </c>
      <c r="G6" s="24">
        <v>2.8</v>
      </c>
      <c r="H6" s="24">
        <v>2.2999999999999998</v>
      </c>
      <c r="I6" s="24">
        <f>2499.55*1000</f>
        <v>2499550</v>
      </c>
      <c r="K6" s="24"/>
      <c r="M6" s="39">
        <v>2006</v>
      </c>
      <c r="N6" s="40">
        <f t="shared" si="0"/>
        <v>49058</v>
      </c>
      <c r="O6" s="40">
        <f>(N$22-N6)/N6</f>
        <v>8.3859920909943333E-2</v>
      </c>
    </row>
    <row r="7" spans="1:16" x14ac:dyDescent="0.3">
      <c r="A7" s="31">
        <v>2008</v>
      </c>
      <c r="B7" s="24">
        <f>'ekon kalkulace'!B7</f>
        <v>51274</v>
      </c>
      <c r="C7" s="24">
        <f>'ekon kalkulace'!C7</f>
        <v>26.364000000000001</v>
      </c>
      <c r="D7" s="34">
        <f>'ekon kalkulace'!E7</f>
        <v>90232622.501999989</v>
      </c>
      <c r="E7" s="24">
        <f>'ekon kalkulace'!F7</f>
        <v>0.80316759966190476</v>
      </c>
      <c r="F7" s="24">
        <f>'ekon kalkulace'!G7</f>
        <v>0.51222890312275315</v>
      </c>
      <c r="G7" s="24">
        <v>6.3</v>
      </c>
      <c r="H7" s="24">
        <v>2.63</v>
      </c>
      <c r="I7" s="24">
        <f>2546.49*1000</f>
        <v>2546490</v>
      </c>
      <c r="K7" s="24"/>
      <c r="M7" s="39">
        <v>2007</v>
      </c>
      <c r="N7" s="40">
        <f t="shared" si="0"/>
        <v>44630</v>
      </c>
      <c r="O7" s="40">
        <f>(N$22-N7)/N7</f>
        <v>0.19139592202554337</v>
      </c>
    </row>
    <row r="8" spans="1:16" x14ac:dyDescent="0.3">
      <c r="A8" s="31">
        <v>2009</v>
      </c>
      <c r="B8" s="24">
        <f>'ekon kalkulace'!B8</f>
        <v>50230</v>
      </c>
      <c r="C8" s="24">
        <f>'ekon kalkulace'!C8</f>
        <v>26.824999999999999</v>
      </c>
      <c r="D8" s="34">
        <f>'ekon kalkulace'!E8</f>
        <v>89061634.040000007</v>
      </c>
      <c r="E8" s="24">
        <f>'ekon kalkulace'!F8</f>
        <v>0.58179668646112959</v>
      </c>
      <c r="F8" s="24">
        <f>'ekon kalkulace'!G8</f>
        <v>0.36393001055694085</v>
      </c>
      <c r="G8" s="24">
        <v>1</v>
      </c>
      <c r="H8" s="24">
        <v>0.31</v>
      </c>
      <c r="I8" s="24">
        <f>2445.73*1000</f>
        <v>2445730</v>
      </c>
      <c r="K8" s="24"/>
      <c r="M8" s="39">
        <v>2008</v>
      </c>
      <c r="N8" s="40">
        <f t="shared" si="0"/>
        <v>51274</v>
      </c>
      <c r="O8" s="40">
        <f>(N$22-N8)/N8</f>
        <v>3.701681163942739E-2</v>
      </c>
    </row>
    <row r="9" spans="1:16" x14ac:dyDescent="0.3">
      <c r="A9" s="31">
        <v>2010</v>
      </c>
      <c r="B9" s="24">
        <f>'ekon kalkulace'!B9</f>
        <v>40673</v>
      </c>
      <c r="C9" s="24">
        <f>'ekon kalkulace'!C9</f>
        <v>26.285</v>
      </c>
      <c r="D9" s="34">
        <f>'ekon kalkulace'!E9</f>
        <v>89132298.640000001</v>
      </c>
      <c r="E9" s="24">
        <f>'ekon kalkulace'!F9</f>
        <v>0.58782209517575712</v>
      </c>
      <c r="F9" s="24">
        <f>'ekon kalkulace'!G9</f>
        <v>0.35735443429865243</v>
      </c>
      <c r="G9" s="24">
        <v>1.5</v>
      </c>
      <c r="H9" s="24">
        <v>1.1000000000000001</v>
      </c>
      <c r="I9" s="24">
        <f>2564.4*1000</f>
        <v>2564400</v>
      </c>
      <c r="K9" s="24"/>
      <c r="M9" s="39">
        <v>2009</v>
      </c>
      <c r="N9" s="40">
        <f t="shared" si="0"/>
        <v>50230</v>
      </c>
      <c r="O9" s="40">
        <f>(N$22-N9)/N9</f>
        <v>5.8570575353374475E-2</v>
      </c>
    </row>
    <row r="10" spans="1:16" x14ac:dyDescent="0.3">
      <c r="A10" s="31">
        <v>2011</v>
      </c>
      <c r="B10" s="24">
        <f>'ekon kalkulace'!B10</f>
        <v>39078</v>
      </c>
      <c r="C10" s="24">
        <f>'ekon kalkulace'!C10</f>
        <v>25.088000000000001</v>
      </c>
      <c r="D10" s="34">
        <f>'ekon kalkulace'!E10</f>
        <v>88995752.153999999</v>
      </c>
      <c r="E10" s="24">
        <f>'ekon kalkulace'!F10</f>
        <v>0.61049855931089569</v>
      </c>
      <c r="F10" s="24">
        <f>'ekon kalkulace'!G10</f>
        <v>0.38354941465135794</v>
      </c>
      <c r="G10" s="24">
        <v>1.9</v>
      </c>
      <c r="H10" s="24">
        <v>2.08</v>
      </c>
      <c r="I10" s="24">
        <f>2693.56*1000</f>
        <v>2693560</v>
      </c>
      <c r="K10" s="24"/>
      <c r="M10" s="39">
        <v>2010</v>
      </c>
      <c r="N10" s="40">
        <f t="shared" si="0"/>
        <v>40673</v>
      </c>
      <c r="O10" s="40">
        <f>(N$22-N10)/N10</f>
        <v>0.3073046001032626</v>
      </c>
    </row>
    <row r="11" spans="1:16" x14ac:dyDescent="0.3">
      <c r="A11" s="31">
        <v>2012</v>
      </c>
      <c r="B11" s="24">
        <f>'ekon kalkulace'!B11</f>
        <v>43862</v>
      </c>
      <c r="C11" s="24">
        <f>'ekon kalkulace'!C11</f>
        <v>25.504999999999999</v>
      </c>
      <c r="D11" s="34">
        <f>'ekon kalkulace'!E11</f>
        <v>87498391.245000005</v>
      </c>
      <c r="E11" s="24">
        <f>'ekon kalkulace'!F11</f>
        <v>0.64958788517121446</v>
      </c>
      <c r="F11" s="24">
        <f>'ekon kalkulace'!G11</f>
        <v>0.48678377392599348</v>
      </c>
      <c r="G11" s="24">
        <v>3.3</v>
      </c>
      <c r="H11" s="24">
        <v>2.0099999999999998</v>
      </c>
      <c r="I11" s="24">
        <f>2745.31*1000</f>
        <v>2745310</v>
      </c>
      <c r="K11" s="24"/>
      <c r="M11" s="39">
        <v>2011</v>
      </c>
      <c r="N11" s="40">
        <f t="shared" si="0"/>
        <v>39078</v>
      </c>
      <c r="O11" s="40">
        <f>(N$22-N11)/N11</f>
        <v>0.36066328880700138</v>
      </c>
    </row>
    <row r="12" spans="1:16" x14ac:dyDescent="0.3">
      <c r="A12" s="31">
        <v>2013</v>
      </c>
      <c r="B12" s="24">
        <f>'ekon kalkulace'!B12</f>
        <v>46508</v>
      </c>
      <c r="C12" s="24">
        <f>'ekon kalkulace'!C12</f>
        <v>25.218</v>
      </c>
      <c r="D12" s="34">
        <f>'ekon kalkulace'!E12</f>
        <v>87071510.005999997</v>
      </c>
      <c r="E12" s="24">
        <f>'ekon kalkulace'!F12</f>
        <v>0.62014514059782033</v>
      </c>
      <c r="F12" s="24">
        <f>'ekon kalkulace'!G12</f>
        <v>0.53251229863190785</v>
      </c>
      <c r="G12" s="24">
        <v>1.4</v>
      </c>
      <c r="H12" s="24">
        <v>1.5</v>
      </c>
      <c r="I12" s="24">
        <f>2811.35*1000</f>
        <v>2811350</v>
      </c>
      <c r="K12" s="24"/>
      <c r="M12" s="39">
        <v>2012</v>
      </c>
      <c r="N12" s="40">
        <f t="shared" si="0"/>
        <v>43862</v>
      </c>
      <c r="O12" s="40">
        <f>(N$22-N12)/N12</f>
        <v>0.21225662304500478</v>
      </c>
    </row>
    <row r="13" spans="1:16" x14ac:dyDescent="0.3">
      <c r="A13" s="31">
        <v>2014</v>
      </c>
      <c r="B13" s="24">
        <f>'ekon kalkulace'!B13</f>
        <v>48418</v>
      </c>
      <c r="C13" s="24">
        <f>'ekon kalkulace'!C13</f>
        <v>27.481000000000002</v>
      </c>
      <c r="D13" s="34">
        <f>'ekon kalkulace'!E13</f>
        <v>87507083.924999997</v>
      </c>
      <c r="E13" s="24">
        <f>'ekon kalkulace'!F13</f>
        <v>0.58388534132410974</v>
      </c>
      <c r="F13" s="24">
        <f>'ekon kalkulace'!G13</f>
        <v>0.54040354722504547</v>
      </c>
      <c r="G13" s="24">
        <v>0.4</v>
      </c>
      <c r="H13" s="24">
        <v>0.91</v>
      </c>
      <c r="I13" s="24">
        <f>2927.43*1000</f>
        <v>2927430</v>
      </c>
      <c r="K13" s="24"/>
      <c r="M13" s="39">
        <v>2013</v>
      </c>
      <c r="N13" s="40">
        <f t="shared" si="0"/>
        <v>46508</v>
      </c>
      <c r="O13" s="40">
        <f>(N$22-N13)/N13</f>
        <v>0.14328717639975919</v>
      </c>
    </row>
    <row r="14" spans="1:16" x14ac:dyDescent="0.3">
      <c r="A14" s="31">
        <v>2015</v>
      </c>
      <c r="B14" s="24">
        <f>'ekon kalkulace'!B14</f>
        <v>52953</v>
      </c>
      <c r="C14" s="24">
        <f>'ekon kalkulace'!C14</f>
        <v>27.693000000000001</v>
      </c>
      <c r="D14" s="34">
        <f>'ekon kalkulace'!E14</f>
        <v>84453349.554000005</v>
      </c>
      <c r="E14" s="24">
        <f>'ekon kalkulace'!F14</f>
        <v>0.64690198155124856</v>
      </c>
      <c r="F14" s="24">
        <f>'ekon kalkulace'!G14</f>
        <v>0.56113967103712659</v>
      </c>
      <c r="G14" s="24">
        <v>0.3</v>
      </c>
      <c r="H14" s="24">
        <v>0.51</v>
      </c>
      <c r="I14" s="24">
        <f>3026.18*1000</f>
        <v>3026180</v>
      </c>
      <c r="K14" s="24"/>
      <c r="M14" s="39">
        <v>2014</v>
      </c>
      <c r="N14" s="40">
        <f t="shared" si="0"/>
        <v>48418</v>
      </c>
      <c r="O14" s="40">
        <f>(N$22-N14)/N14</f>
        <v>9.8186624808955347E-2</v>
      </c>
    </row>
    <row r="15" spans="1:16" x14ac:dyDescent="0.3">
      <c r="A15" s="31">
        <v>2016</v>
      </c>
      <c r="B15" s="24">
        <f>'ekon kalkulace'!B15</f>
        <v>55923</v>
      </c>
      <c r="C15" s="24">
        <f>'ekon kalkulace'!C15</f>
        <v>27.023</v>
      </c>
      <c r="D15" s="34">
        <f>'ekon kalkulace'!E15</f>
        <v>82907742.96100001</v>
      </c>
      <c r="E15" s="24">
        <f>'ekon kalkulace'!F15</f>
        <v>0.60707355620178338</v>
      </c>
      <c r="F15" s="24">
        <f>'ekon kalkulace'!G15</f>
        <v>0.57511478539558314</v>
      </c>
      <c r="G15" s="24">
        <v>0.7</v>
      </c>
      <c r="H15" s="24">
        <v>0.49</v>
      </c>
      <c r="I15" s="24">
        <f>3134.74*1000</f>
        <v>3134740</v>
      </c>
      <c r="K15" s="24"/>
      <c r="M15" s="39">
        <v>2015</v>
      </c>
      <c r="N15" s="40">
        <f t="shared" si="0"/>
        <v>52953</v>
      </c>
      <c r="O15" s="40">
        <f>(N$22-N15)/N15</f>
        <v>4.1357430173927824E-3</v>
      </c>
    </row>
    <row r="16" spans="1:16" x14ac:dyDescent="0.3">
      <c r="A16" s="31">
        <v>2017</v>
      </c>
      <c r="B16" s="24">
        <f>'ekon kalkulace'!B16</f>
        <v>54100</v>
      </c>
      <c r="C16" s="24">
        <f>'ekon kalkulace'!C16</f>
        <v>27.021000000000001</v>
      </c>
      <c r="D16" s="34">
        <f>'ekon kalkulace'!E16</f>
        <v>80971886.519999996</v>
      </c>
      <c r="E16" s="24">
        <f>'ekon kalkulace'!F16</f>
        <v>0.61870273324852654</v>
      </c>
      <c r="F16" s="24">
        <f>'ekon kalkulace'!G16</f>
        <v>0.5675313827283206</v>
      </c>
      <c r="G16" s="24">
        <v>2.5</v>
      </c>
      <c r="H16" s="24">
        <v>1.51</v>
      </c>
      <c r="I16" s="24">
        <f>3267.16*1000</f>
        <v>3267160</v>
      </c>
      <c r="K16" s="24"/>
      <c r="M16" s="39">
        <v>2016</v>
      </c>
      <c r="N16" s="40">
        <f t="shared" si="0"/>
        <v>55923</v>
      </c>
      <c r="O16" s="41">
        <f>(N$22-N16)/N16</f>
        <v>-4.9192639879834771E-2</v>
      </c>
    </row>
    <row r="17" spans="1:15" x14ac:dyDescent="0.3">
      <c r="A17" s="31">
        <v>2018</v>
      </c>
      <c r="B17" s="24">
        <f>'ekon kalkulace'!B17</f>
        <v>58102</v>
      </c>
      <c r="C17" s="24">
        <f>'ekon kalkulace'!C17</f>
        <v>25.494</v>
      </c>
      <c r="D17" s="34">
        <f>'ekon kalkulace'!E17</f>
        <v>82067729.040000007</v>
      </c>
      <c r="E17" s="24">
        <f>'ekon kalkulace'!F17</f>
        <v>0.62275382464684725</v>
      </c>
      <c r="F17" s="24">
        <f>'ekon kalkulace'!G17</f>
        <v>0.55588912538717272</v>
      </c>
      <c r="G17" s="24">
        <v>2.1</v>
      </c>
      <c r="H17" s="24">
        <v>1.73</v>
      </c>
      <c r="I17" s="24">
        <f>3365.45*1000</f>
        <v>3365450</v>
      </c>
      <c r="K17" s="24"/>
      <c r="M17" s="39">
        <v>2017</v>
      </c>
      <c r="N17" s="40">
        <f t="shared" si="0"/>
        <v>54100</v>
      </c>
      <c r="O17" s="41">
        <f>(N$22-N17)/N17</f>
        <v>-1.7153419593345657E-2</v>
      </c>
    </row>
    <row r="18" spans="1:15" x14ac:dyDescent="0.3">
      <c r="A18" s="31">
        <v>2019</v>
      </c>
      <c r="B18" s="24">
        <f>'ekon kalkulace'!B18</f>
        <v>65072</v>
      </c>
      <c r="C18" s="24">
        <f>'ekon kalkulace'!C18</f>
        <v>25.751999999999999</v>
      </c>
      <c r="D18" s="34">
        <f>'ekon kalkulace'!E18</f>
        <v>80487400.488000005</v>
      </c>
      <c r="E18" s="24">
        <f>'ekon kalkulace'!F18</f>
        <v>0.61525499942069284</v>
      </c>
      <c r="F18" s="24">
        <f>'ekon kalkulace'!G18</f>
        <v>0.61308492941953019</v>
      </c>
      <c r="G18" s="24">
        <v>2.8</v>
      </c>
      <c r="H18" s="24">
        <v>1.45</v>
      </c>
      <c r="I18" s="24">
        <f>3474.11*1000</f>
        <v>3474110</v>
      </c>
      <c r="K18" s="24"/>
      <c r="M18" s="39">
        <v>2018</v>
      </c>
      <c r="N18" s="40">
        <f t="shared" si="0"/>
        <v>58102</v>
      </c>
      <c r="O18" s="40">
        <f>(N$22-N18)/N18</f>
        <v>-8.4850779663350653E-2</v>
      </c>
    </row>
    <row r="19" spans="1:15" x14ac:dyDescent="0.3">
      <c r="A19" s="31">
        <v>2020</v>
      </c>
      <c r="B19" s="24">
        <f>'ekon kalkulace'!B19</f>
        <v>57071</v>
      </c>
      <c r="C19" s="24">
        <f>'ekon kalkulace'!C19</f>
        <v>25.411000000000001</v>
      </c>
      <c r="D19" s="34">
        <f>'ekon kalkulace'!E19</f>
        <v>76995984.912</v>
      </c>
      <c r="E19" s="24">
        <f>'ekon kalkulace'!F19</f>
        <v>0.61061220754848666</v>
      </c>
      <c r="F19" s="24">
        <f>'ekon kalkulace'!G19</f>
        <v>0.52444312412435068</v>
      </c>
      <c r="G19" s="24">
        <v>3.2</v>
      </c>
      <c r="H19" s="24">
        <v>0.14000000000000001</v>
      </c>
      <c r="I19" s="24">
        <f>3403.73*1000</f>
        <v>3403730</v>
      </c>
      <c r="K19" s="24"/>
      <c r="M19" s="39">
        <v>2019</v>
      </c>
      <c r="N19" s="40">
        <f t="shared" si="0"/>
        <v>65072</v>
      </c>
      <c r="O19" s="41">
        <f>(N$22-N19)/N19</f>
        <v>-0.18287435456110154</v>
      </c>
    </row>
    <row r="20" spans="1:15" x14ac:dyDescent="0.3">
      <c r="A20" s="31">
        <v>2021</v>
      </c>
      <c r="B20" s="24">
        <f>'ekon kalkulace'!B20</f>
        <v>54888</v>
      </c>
      <c r="C20" s="24">
        <f>'ekon kalkulace'!C20</f>
        <v>26.140999999999998</v>
      </c>
      <c r="D20" s="34">
        <f>'ekon kalkulace'!E20</f>
        <v>74567247.276000008</v>
      </c>
      <c r="E20" s="24">
        <f>'ekon kalkulace'!F20</f>
        <v>0.60127399265714698</v>
      </c>
      <c r="F20" s="24">
        <f>'ekon kalkulace'!G20</f>
        <v>0.49782745587713029</v>
      </c>
      <c r="G20" s="24">
        <v>3.8</v>
      </c>
      <c r="H20" s="24">
        <v>3.07</v>
      </c>
      <c r="I20" s="24">
        <f>3617.45*1000</f>
        <v>3617450</v>
      </c>
      <c r="K20" s="24"/>
      <c r="M20" s="39">
        <v>2020</v>
      </c>
      <c r="N20" s="40">
        <f t="shared" si="0"/>
        <v>57071</v>
      </c>
      <c r="O20" s="41">
        <f>(N$22-N20)/N20</f>
        <v>-6.831841040107936E-2</v>
      </c>
    </row>
    <row r="21" spans="1:15" x14ac:dyDescent="0.3">
      <c r="A21" s="31">
        <v>2022</v>
      </c>
      <c r="B21" s="29">
        <v>53172</v>
      </c>
      <c r="C21" s="30">
        <v>24.818000000000001</v>
      </c>
      <c r="D21" s="35">
        <v>76533515.873999998</v>
      </c>
      <c r="E21" s="25">
        <v>0.56899999999999995</v>
      </c>
      <c r="F21" s="25">
        <v>0.48699999999999999</v>
      </c>
      <c r="G21" s="24">
        <v>15.1</v>
      </c>
      <c r="H21" s="24">
        <v>6.86</v>
      </c>
      <c r="I21" s="24">
        <f>3876.8*1000</f>
        <v>3876800</v>
      </c>
      <c r="K21" s="24"/>
      <c r="M21" s="39">
        <v>2021</v>
      </c>
      <c r="N21" s="40">
        <f t="shared" si="0"/>
        <v>54888</v>
      </c>
      <c r="O21" s="41">
        <f>(N$22-N21)/N21</f>
        <v>-3.1263664188893744E-2</v>
      </c>
    </row>
    <row r="22" spans="1:15" x14ac:dyDescent="0.3">
      <c r="M22" s="39">
        <v>2022</v>
      </c>
      <c r="N22" s="40">
        <f t="shared" si="0"/>
        <v>53172</v>
      </c>
      <c r="O22" s="40">
        <f>(N$22-N22)/N22</f>
        <v>0</v>
      </c>
    </row>
    <row r="23" spans="1:15" x14ac:dyDescent="0.3">
      <c r="O23" s="43" t="s">
        <v>74</v>
      </c>
    </row>
    <row r="24" spans="1:15" x14ac:dyDescent="0.3">
      <c r="O24" s="43"/>
    </row>
    <row r="25" spans="1:15" x14ac:dyDescent="0.3">
      <c r="N25" s="39">
        <v>2003</v>
      </c>
      <c r="O25" s="40">
        <f>O3</f>
        <v>0.90049324469225822</v>
      </c>
    </row>
    <row r="26" spans="1:15" x14ac:dyDescent="0.3">
      <c r="N26" s="39">
        <v>2004</v>
      </c>
      <c r="O26" s="40">
        <f t="shared" ref="O26:O44" si="1">O4</f>
        <v>0.68164711091432362</v>
      </c>
    </row>
    <row r="27" spans="1:15" x14ac:dyDescent="0.3">
      <c r="N27" s="39">
        <v>2005</v>
      </c>
      <c r="O27" s="40">
        <f t="shared" si="1"/>
        <v>0.50718557782250062</v>
      </c>
    </row>
    <row r="28" spans="1:15" x14ac:dyDescent="0.3">
      <c r="N28" s="39">
        <v>2006</v>
      </c>
      <c r="O28" s="40">
        <f t="shared" si="1"/>
        <v>8.3859920909943333E-2</v>
      </c>
    </row>
    <row r="29" spans="1:15" x14ac:dyDescent="0.3">
      <c r="N29" s="39">
        <v>2007</v>
      </c>
      <c r="O29" s="40">
        <f t="shared" si="1"/>
        <v>0.19139592202554337</v>
      </c>
    </row>
    <row r="30" spans="1:15" x14ac:dyDescent="0.3">
      <c r="N30" s="39">
        <v>2008</v>
      </c>
      <c r="O30" s="40">
        <f t="shared" si="1"/>
        <v>3.701681163942739E-2</v>
      </c>
    </row>
    <row r="31" spans="1:15" x14ac:dyDescent="0.3">
      <c r="N31" s="39">
        <v>2009</v>
      </c>
      <c r="O31" s="40">
        <f t="shared" si="1"/>
        <v>5.8570575353374475E-2</v>
      </c>
    </row>
    <row r="32" spans="1:15" x14ac:dyDescent="0.3">
      <c r="N32" s="39">
        <v>2010</v>
      </c>
      <c r="O32" s="40">
        <f t="shared" si="1"/>
        <v>0.3073046001032626</v>
      </c>
    </row>
    <row r="33" spans="14:15" x14ac:dyDescent="0.3">
      <c r="N33" s="39">
        <v>2011</v>
      </c>
      <c r="O33" s="40">
        <f t="shared" si="1"/>
        <v>0.36066328880700138</v>
      </c>
    </row>
    <row r="34" spans="14:15" x14ac:dyDescent="0.3">
      <c r="N34" s="39">
        <v>2012</v>
      </c>
      <c r="O34" s="40">
        <f t="shared" si="1"/>
        <v>0.21225662304500478</v>
      </c>
    </row>
    <row r="35" spans="14:15" x14ac:dyDescent="0.3">
      <c r="N35" s="39">
        <v>2013</v>
      </c>
      <c r="O35" s="40">
        <f t="shared" si="1"/>
        <v>0.14328717639975919</v>
      </c>
    </row>
    <row r="36" spans="14:15" x14ac:dyDescent="0.3">
      <c r="N36" s="39">
        <v>2014</v>
      </c>
      <c r="O36" s="40">
        <f t="shared" si="1"/>
        <v>9.8186624808955347E-2</v>
      </c>
    </row>
    <row r="37" spans="14:15" x14ac:dyDescent="0.3">
      <c r="N37" s="39">
        <v>2015</v>
      </c>
      <c r="O37" s="40">
        <f t="shared" si="1"/>
        <v>4.1357430173927824E-3</v>
      </c>
    </row>
    <row r="38" spans="14:15" x14ac:dyDescent="0.3">
      <c r="N38" s="39">
        <v>2016</v>
      </c>
      <c r="O38" s="40">
        <f t="shared" si="1"/>
        <v>-4.9192639879834771E-2</v>
      </c>
    </row>
    <row r="39" spans="14:15" x14ac:dyDescent="0.3">
      <c r="N39" s="39">
        <v>2017</v>
      </c>
      <c r="O39" s="40">
        <f t="shared" si="1"/>
        <v>-1.7153419593345657E-2</v>
      </c>
    </row>
    <row r="40" spans="14:15" x14ac:dyDescent="0.3">
      <c r="N40" s="39">
        <v>2018</v>
      </c>
      <c r="O40" s="40">
        <f t="shared" si="1"/>
        <v>-8.4850779663350653E-2</v>
      </c>
    </row>
    <row r="41" spans="14:15" x14ac:dyDescent="0.3">
      <c r="N41" s="39">
        <v>2019</v>
      </c>
      <c r="O41" s="40">
        <f t="shared" si="1"/>
        <v>-0.18287435456110154</v>
      </c>
    </row>
    <row r="42" spans="14:15" x14ac:dyDescent="0.3">
      <c r="N42" s="39">
        <v>2020</v>
      </c>
      <c r="O42" s="40">
        <f t="shared" si="1"/>
        <v>-6.831841040107936E-2</v>
      </c>
    </row>
    <row r="43" spans="14:15" x14ac:dyDescent="0.3">
      <c r="N43" s="39">
        <v>2021</v>
      </c>
      <c r="O43" s="40">
        <f t="shared" si="1"/>
        <v>-3.1263664188893744E-2</v>
      </c>
    </row>
    <row r="44" spans="14:15" x14ac:dyDescent="0.3">
      <c r="N44" s="39">
        <v>2022</v>
      </c>
      <c r="O44" s="40">
        <f t="shared" si="1"/>
        <v>0</v>
      </c>
    </row>
  </sheetData>
  <mergeCells count="4">
    <mergeCell ref="M1:M2"/>
    <mergeCell ref="N1:N2"/>
    <mergeCell ref="O1:O2"/>
    <mergeCell ref="O23:O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greta (3)</vt:lpstr>
      <vt:lpstr>greta (2)</vt:lpstr>
      <vt:lpstr>ma only (2)</vt:lpstr>
      <vt:lpstr>greta + ma (1)</vt:lpstr>
      <vt:lpstr>ekon kalkulace</vt:lpstr>
      <vt:lpstr>GER-CZ GDP correlation</vt:lpstr>
      <vt:lpstr>ma only+2003</vt:lpstr>
      <vt:lpstr>greta 2003</vt:lpstr>
      <vt:lpstr>greta + ma + 2003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Čeplová Aneta (S-PEF)</dc:creator>
  <cp:lastModifiedBy>Čeplová Aneta (S-PEF)</cp:lastModifiedBy>
  <dcterms:created xsi:type="dcterms:W3CDTF">2024-02-08T16:50:56Z</dcterms:created>
  <dcterms:modified xsi:type="dcterms:W3CDTF">2024-03-18T18:03:49Z</dcterms:modified>
</cp:coreProperties>
</file>