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obg\Desktop\"/>
    </mc:Choice>
  </mc:AlternateContent>
  <xr:revisionPtr revIDLastSave="0" documentId="13_ncr:1_{875F117B-3CFB-4DA0-A119-974E1F1804FC}" xr6:coauthVersionLast="47" xr6:coauthVersionMax="47" xr10:uidLastSave="{00000000-0000-0000-0000-000000000000}"/>
  <bookViews>
    <workbookView xWindow="11520" yWindow="0" windowWidth="11520" windowHeight="12360" activeTab="5" xr2:uid="{894A402D-54B9-4953-B1CA-049EC7DC95C3}"/>
  </bookViews>
  <sheets>
    <sheet name="FENG" sheetId="11" r:id="rId1"/>
    <sheet name="FINALNI" sheetId="9" r:id="rId2"/>
    <sheet name="greta" sheetId="6" r:id="rId3"/>
    <sheet name="greta + ma" sheetId="7" r:id="rId4"/>
    <sheet name="ma only" sheetId="8" r:id="rId5"/>
    <sheet name="ekon kalkulace" sheetId="2" r:id="rId6"/>
    <sheet name="CZ GDP " sheetId="12" r:id="rId7"/>
    <sheet name="GER-CZ GDP correlation" sheetId="3" r:id="rId8"/>
    <sheet name="Time series data analysis" sheetId="4" r:id="rId9"/>
    <sheet name="beer consumption" sheetId="1" r:id="rId10"/>
    <sheet name="Sheet1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3" i="10"/>
  <c r="B26" i="10" l="1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25" i="10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C22" i="3"/>
  <c r="E22" i="3"/>
  <c r="D22" i="3"/>
  <c r="B21" i="3"/>
  <c r="Q10" i="4" s="1"/>
  <c r="Q21" i="4" s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C22" i="12"/>
  <c r="B22" i="12"/>
  <c r="R22" i="4"/>
  <c r="K12" i="4" s="1"/>
  <c r="R12" i="4"/>
  <c r="R11" i="4"/>
  <c r="K11" i="4"/>
  <c r="K10" i="4"/>
  <c r="R17" i="4"/>
  <c r="R16" i="4"/>
  <c r="R10" i="4"/>
  <c r="R21" i="4" s="1"/>
  <c r="Q16" i="4" l="1"/>
  <c r="B22" i="3"/>
  <c r="M2" i="11"/>
  <c r="M3" i="7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K20" i="11"/>
  <c r="J20" i="11"/>
  <c r="K19" i="11"/>
  <c r="J19" i="11"/>
  <c r="G19" i="11"/>
  <c r="F19" i="11"/>
  <c r="E19" i="11"/>
  <c r="L19" i="11" s="1"/>
  <c r="D19" i="11"/>
  <c r="C19" i="11"/>
  <c r="B19" i="11"/>
  <c r="K18" i="11"/>
  <c r="J18" i="11"/>
  <c r="G18" i="11"/>
  <c r="F18" i="11"/>
  <c r="E18" i="11"/>
  <c r="D18" i="11"/>
  <c r="C18" i="11"/>
  <c r="B18" i="11"/>
  <c r="K17" i="11"/>
  <c r="J17" i="11"/>
  <c r="G17" i="11"/>
  <c r="F17" i="11"/>
  <c r="E17" i="11"/>
  <c r="D17" i="11"/>
  <c r="C17" i="11"/>
  <c r="B17" i="11"/>
  <c r="K16" i="11"/>
  <c r="J16" i="11"/>
  <c r="G16" i="11"/>
  <c r="F16" i="11"/>
  <c r="E16" i="11"/>
  <c r="L17" i="11" s="1"/>
  <c r="D16" i="11"/>
  <c r="C16" i="11"/>
  <c r="B16" i="11"/>
  <c r="K15" i="11"/>
  <c r="J15" i="11"/>
  <c r="G15" i="11"/>
  <c r="F15" i="11"/>
  <c r="E15" i="11"/>
  <c r="D15" i="11"/>
  <c r="C15" i="11"/>
  <c r="B15" i="11"/>
  <c r="K14" i="11"/>
  <c r="J14" i="11"/>
  <c r="G14" i="11"/>
  <c r="F14" i="11"/>
  <c r="E14" i="11"/>
  <c r="D14" i="11"/>
  <c r="C14" i="11"/>
  <c r="B14" i="11"/>
  <c r="K13" i="11"/>
  <c r="J13" i="11"/>
  <c r="G13" i="11"/>
  <c r="F13" i="11"/>
  <c r="E13" i="11"/>
  <c r="L13" i="11" s="1"/>
  <c r="D13" i="11"/>
  <c r="C13" i="11"/>
  <c r="B13" i="11"/>
  <c r="K12" i="11"/>
  <c r="J12" i="11"/>
  <c r="G12" i="11"/>
  <c r="F12" i="11"/>
  <c r="E12" i="11"/>
  <c r="D12" i="11"/>
  <c r="C12" i="11"/>
  <c r="B12" i="11"/>
  <c r="K11" i="11"/>
  <c r="J11" i="11"/>
  <c r="G11" i="11"/>
  <c r="F11" i="11"/>
  <c r="E11" i="11"/>
  <c r="L12" i="11" s="1"/>
  <c r="D11" i="11"/>
  <c r="C11" i="11"/>
  <c r="B11" i="11"/>
  <c r="K10" i="11"/>
  <c r="J10" i="11"/>
  <c r="G10" i="11"/>
  <c r="F10" i="11"/>
  <c r="E10" i="11"/>
  <c r="D10" i="11"/>
  <c r="C10" i="11"/>
  <c r="B10" i="11"/>
  <c r="K9" i="11"/>
  <c r="J9" i="11"/>
  <c r="G9" i="11"/>
  <c r="F9" i="11"/>
  <c r="E9" i="11"/>
  <c r="D9" i="11"/>
  <c r="C9" i="11"/>
  <c r="B9" i="11"/>
  <c r="K8" i="11"/>
  <c r="J8" i="11"/>
  <c r="G8" i="11"/>
  <c r="F8" i="11"/>
  <c r="E8" i="11"/>
  <c r="D8" i="11"/>
  <c r="C8" i="11"/>
  <c r="B8" i="11"/>
  <c r="K7" i="11"/>
  <c r="J7" i="11"/>
  <c r="G7" i="11"/>
  <c r="F7" i="11"/>
  <c r="E7" i="11"/>
  <c r="L8" i="11" s="1"/>
  <c r="D7" i="11"/>
  <c r="C7" i="11"/>
  <c r="B7" i="11"/>
  <c r="K6" i="11"/>
  <c r="J6" i="11"/>
  <c r="G6" i="11"/>
  <c r="F6" i="11"/>
  <c r="E6" i="11"/>
  <c r="D6" i="11"/>
  <c r="C6" i="11"/>
  <c r="B6" i="11"/>
  <c r="K5" i="11"/>
  <c r="J5" i="11"/>
  <c r="G5" i="11"/>
  <c r="F5" i="11"/>
  <c r="E5" i="11"/>
  <c r="L5" i="11" s="1"/>
  <c r="D5" i="11"/>
  <c r="C5" i="11"/>
  <c r="B5" i="11"/>
  <c r="K4" i="11"/>
  <c r="J4" i="11"/>
  <c r="G4" i="11"/>
  <c r="F4" i="11"/>
  <c r="E4" i="11"/>
  <c r="D4" i="11"/>
  <c r="C4" i="11"/>
  <c r="B4" i="11"/>
  <c r="K3" i="11"/>
  <c r="J3" i="11"/>
  <c r="G3" i="11"/>
  <c r="F3" i="11"/>
  <c r="E3" i="11"/>
  <c r="D3" i="11"/>
  <c r="C3" i="11"/>
  <c r="B3" i="11"/>
  <c r="K2" i="11"/>
  <c r="J2" i="11"/>
  <c r="G2" i="11"/>
  <c r="F2" i="11"/>
  <c r="E2" i="11"/>
  <c r="D2" i="11"/>
  <c r="C2" i="11"/>
  <c r="B2" i="11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" i="7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3" i="10"/>
  <c r="D21" i="9"/>
  <c r="D20" i="9"/>
  <c r="G20" i="9"/>
  <c r="F20" i="9"/>
  <c r="E20" i="9"/>
  <c r="C20" i="9"/>
  <c r="B20" i="9"/>
  <c r="D19" i="9"/>
  <c r="G19" i="9"/>
  <c r="F19" i="9"/>
  <c r="E19" i="9"/>
  <c r="C19" i="9"/>
  <c r="B19" i="9"/>
  <c r="D18" i="9"/>
  <c r="G18" i="9"/>
  <c r="F18" i="9"/>
  <c r="E18" i="9"/>
  <c r="C18" i="9"/>
  <c r="B18" i="9"/>
  <c r="D17" i="9"/>
  <c r="G17" i="9"/>
  <c r="F17" i="9"/>
  <c r="E17" i="9"/>
  <c r="C17" i="9"/>
  <c r="B17" i="9"/>
  <c r="D16" i="9"/>
  <c r="G16" i="9"/>
  <c r="F16" i="9"/>
  <c r="E16" i="9"/>
  <c r="C16" i="9"/>
  <c r="B16" i="9"/>
  <c r="D15" i="9"/>
  <c r="G15" i="9"/>
  <c r="F15" i="9"/>
  <c r="E15" i="9"/>
  <c r="C15" i="9"/>
  <c r="B15" i="9"/>
  <c r="D14" i="9"/>
  <c r="G14" i="9"/>
  <c r="F14" i="9"/>
  <c r="E14" i="9"/>
  <c r="C14" i="9"/>
  <c r="B14" i="9"/>
  <c r="D13" i="9"/>
  <c r="G13" i="9"/>
  <c r="F13" i="9"/>
  <c r="E13" i="9"/>
  <c r="C13" i="9"/>
  <c r="B13" i="9"/>
  <c r="D12" i="9"/>
  <c r="G12" i="9"/>
  <c r="F12" i="9"/>
  <c r="E12" i="9"/>
  <c r="C12" i="9"/>
  <c r="B12" i="9"/>
  <c r="D11" i="9"/>
  <c r="G11" i="9"/>
  <c r="F11" i="9"/>
  <c r="E11" i="9"/>
  <c r="C11" i="9"/>
  <c r="B11" i="9"/>
  <c r="D10" i="9"/>
  <c r="G10" i="9"/>
  <c r="F10" i="9"/>
  <c r="E10" i="9"/>
  <c r="C10" i="9"/>
  <c r="B10" i="9"/>
  <c r="D9" i="9"/>
  <c r="G9" i="9"/>
  <c r="F9" i="9"/>
  <c r="E9" i="9"/>
  <c r="C9" i="9"/>
  <c r="B9" i="9"/>
  <c r="D8" i="9"/>
  <c r="G8" i="9"/>
  <c r="F8" i="9"/>
  <c r="E8" i="9"/>
  <c r="C8" i="9"/>
  <c r="B8" i="9"/>
  <c r="D7" i="9"/>
  <c r="G7" i="9"/>
  <c r="F7" i="9"/>
  <c r="E7" i="9"/>
  <c r="C7" i="9"/>
  <c r="B7" i="9"/>
  <c r="D6" i="9"/>
  <c r="G6" i="9"/>
  <c r="F6" i="9"/>
  <c r="E6" i="9"/>
  <c r="C6" i="9"/>
  <c r="B6" i="9"/>
  <c r="D5" i="9"/>
  <c r="G5" i="9"/>
  <c r="F5" i="9"/>
  <c r="E5" i="9"/>
  <c r="C5" i="9"/>
  <c r="B5" i="9"/>
  <c r="D4" i="9"/>
  <c r="G4" i="9"/>
  <c r="F4" i="9"/>
  <c r="E4" i="9"/>
  <c r="C4" i="9"/>
  <c r="B4" i="9"/>
  <c r="D3" i="9"/>
  <c r="G3" i="9"/>
  <c r="F3" i="9"/>
  <c r="E3" i="9"/>
  <c r="C3" i="9"/>
  <c r="B3" i="9"/>
  <c r="D2" i="9"/>
  <c r="G2" i="9"/>
  <c r="F2" i="9"/>
  <c r="E2" i="9"/>
  <c r="C2" i="9"/>
  <c r="B2" i="9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E20" i="8"/>
  <c r="C20" i="8"/>
  <c r="B20" i="8"/>
  <c r="E19" i="8"/>
  <c r="C19" i="8"/>
  <c r="B19" i="8"/>
  <c r="E18" i="8"/>
  <c r="C18" i="8"/>
  <c r="B18" i="8"/>
  <c r="E17" i="8"/>
  <c r="C17" i="8"/>
  <c r="B17" i="8"/>
  <c r="E16" i="8"/>
  <c r="C16" i="8"/>
  <c r="B16" i="8"/>
  <c r="E15" i="8"/>
  <c r="C15" i="8"/>
  <c r="B15" i="8"/>
  <c r="E14" i="8"/>
  <c r="C14" i="8"/>
  <c r="B14" i="8"/>
  <c r="E13" i="8"/>
  <c r="C13" i="8"/>
  <c r="B13" i="8"/>
  <c r="E12" i="8"/>
  <c r="C12" i="8"/>
  <c r="B12" i="8"/>
  <c r="E11" i="8"/>
  <c r="C11" i="8"/>
  <c r="B11" i="8"/>
  <c r="E10" i="8"/>
  <c r="C10" i="8"/>
  <c r="B10" i="8"/>
  <c r="E9" i="8"/>
  <c r="C9" i="8"/>
  <c r="B9" i="8"/>
  <c r="E8" i="8"/>
  <c r="C8" i="8"/>
  <c r="B8" i="8"/>
  <c r="E7" i="8"/>
  <c r="C7" i="8"/>
  <c r="B7" i="8"/>
  <c r="E6" i="8"/>
  <c r="C6" i="8"/>
  <c r="B6" i="8"/>
  <c r="E5" i="8"/>
  <c r="C5" i="8"/>
  <c r="B5" i="8"/>
  <c r="E4" i="8"/>
  <c r="C4" i="8"/>
  <c r="B4" i="8"/>
  <c r="E3" i="8"/>
  <c r="C3" i="8"/>
  <c r="B3" i="8"/>
  <c r="E2" i="8"/>
  <c r="C2" i="8"/>
  <c r="B2" i="8"/>
  <c r="G20" i="7"/>
  <c r="F20" i="7"/>
  <c r="E20" i="7"/>
  <c r="D20" i="7"/>
  <c r="C20" i="7"/>
  <c r="B20" i="7"/>
  <c r="G19" i="7"/>
  <c r="F19" i="7"/>
  <c r="E19" i="7"/>
  <c r="D19" i="7"/>
  <c r="C19" i="7"/>
  <c r="B19" i="7"/>
  <c r="G18" i="7"/>
  <c r="F18" i="7"/>
  <c r="E18" i="7"/>
  <c r="D18" i="7"/>
  <c r="C18" i="7"/>
  <c r="B18" i="7"/>
  <c r="G17" i="7"/>
  <c r="F17" i="7"/>
  <c r="E17" i="7"/>
  <c r="D17" i="7"/>
  <c r="C17" i="7"/>
  <c r="B17" i="7"/>
  <c r="G16" i="7"/>
  <c r="F16" i="7"/>
  <c r="E16" i="7"/>
  <c r="D16" i="7"/>
  <c r="C16" i="7"/>
  <c r="B16" i="7"/>
  <c r="G15" i="7"/>
  <c r="F15" i="7"/>
  <c r="E15" i="7"/>
  <c r="D15" i="7"/>
  <c r="C15" i="7"/>
  <c r="B15" i="7"/>
  <c r="G14" i="7"/>
  <c r="F14" i="7"/>
  <c r="E14" i="7"/>
  <c r="D14" i="7"/>
  <c r="C14" i="7"/>
  <c r="B14" i="7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  <c r="G4" i="7"/>
  <c r="F4" i="7"/>
  <c r="E4" i="7"/>
  <c r="D4" i="7"/>
  <c r="C4" i="7"/>
  <c r="B4" i="7"/>
  <c r="G3" i="7"/>
  <c r="F3" i="7"/>
  <c r="E3" i="7"/>
  <c r="D3" i="7"/>
  <c r="C3" i="7"/>
  <c r="B3" i="7"/>
  <c r="G2" i="7"/>
  <c r="F2" i="7"/>
  <c r="E2" i="7"/>
  <c r="D2" i="7"/>
  <c r="C2" i="7"/>
  <c r="B2" i="7"/>
  <c r="B3" i="6"/>
  <c r="C3" i="6"/>
  <c r="D3" i="6"/>
  <c r="E3" i="6"/>
  <c r="F3" i="6"/>
  <c r="G3" i="6"/>
  <c r="B4" i="6"/>
  <c r="C4" i="6"/>
  <c r="D4" i="6"/>
  <c r="E4" i="6"/>
  <c r="F4" i="6"/>
  <c r="G4" i="6"/>
  <c r="B5" i="6"/>
  <c r="C5" i="6"/>
  <c r="D5" i="6"/>
  <c r="E5" i="6"/>
  <c r="F5" i="6"/>
  <c r="G5" i="6"/>
  <c r="B6" i="6"/>
  <c r="C6" i="6"/>
  <c r="D6" i="6"/>
  <c r="E6" i="6"/>
  <c r="F6" i="6"/>
  <c r="G6" i="6"/>
  <c r="B7" i="6"/>
  <c r="C7" i="6"/>
  <c r="D7" i="6"/>
  <c r="E7" i="6"/>
  <c r="F7" i="6"/>
  <c r="G7" i="6"/>
  <c r="B8" i="6"/>
  <c r="C8" i="6"/>
  <c r="D8" i="6"/>
  <c r="E8" i="6"/>
  <c r="F8" i="6"/>
  <c r="G8" i="6"/>
  <c r="B9" i="6"/>
  <c r="C9" i="6"/>
  <c r="D9" i="6"/>
  <c r="E9" i="6"/>
  <c r="F9" i="6"/>
  <c r="G9" i="6"/>
  <c r="B10" i="6"/>
  <c r="C10" i="6"/>
  <c r="D10" i="6"/>
  <c r="E10" i="6"/>
  <c r="F10" i="6"/>
  <c r="G10" i="6"/>
  <c r="B11" i="6"/>
  <c r="C11" i="6"/>
  <c r="D11" i="6"/>
  <c r="E11" i="6"/>
  <c r="F11" i="6"/>
  <c r="G11" i="6"/>
  <c r="B12" i="6"/>
  <c r="C12" i="6"/>
  <c r="D12" i="6"/>
  <c r="E12" i="6"/>
  <c r="F12" i="6"/>
  <c r="G12" i="6"/>
  <c r="B13" i="6"/>
  <c r="C13" i="6"/>
  <c r="D13" i="6"/>
  <c r="E13" i="6"/>
  <c r="F13" i="6"/>
  <c r="G13" i="6"/>
  <c r="B14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C2" i="6"/>
  <c r="D2" i="6"/>
  <c r="E2" i="6"/>
  <c r="F2" i="6"/>
  <c r="G2" i="6"/>
  <c r="B2" i="6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30" i="2"/>
  <c r="S30" i="2"/>
  <c r="R30" i="2" s="1"/>
  <c r="R49" i="2"/>
  <c r="S48" i="2"/>
  <c r="R48" i="2" s="1"/>
  <c r="S47" i="2"/>
  <c r="R47" i="2" s="1"/>
  <c r="S46" i="2"/>
  <c r="R46" i="2" s="1"/>
  <c r="S45" i="2"/>
  <c r="R45" i="2" s="1"/>
  <c r="S44" i="2"/>
  <c r="R44" i="2" s="1"/>
  <c r="S43" i="2"/>
  <c r="R43" i="2" s="1"/>
  <c r="S42" i="2"/>
  <c r="R42" i="2" s="1"/>
  <c r="S41" i="2"/>
  <c r="R41" i="2" s="1"/>
  <c r="S40" i="2"/>
  <c r="R40" i="2" s="1"/>
  <c r="S39" i="2"/>
  <c r="R39" i="2" s="1"/>
  <c r="S38" i="2"/>
  <c r="R38" i="2" s="1"/>
  <c r="S37" i="2"/>
  <c r="R37" i="2" s="1"/>
  <c r="S36" i="2"/>
  <c r="R36" i="2" s="1"/>
  <c r="S35" i="2"/>
  <c r="R35" i="2" s="1"/>
  <c r="S34" i="2"/>
  <c r="R34" i="2" s="1"/>
  <c r="S33" i="2"/>
  <c r="R33" i="2" s="1"/>
  <c r="S32" i="2"/>
  <c r="R32" i="2" s="1"/>
  <c r="S31" i="2"/>
  <c r="R31" i="2" s="1"/>
  <c r="R7" i="2"/>
  <c r="R25" i="2" s="1"/>
  <c r="R6" i="2"/>
  <c r="R5" i="2"/>
  <c r="G9" i="2"/>
  <c r="G11" i="2"/>
  <c r="G14" i="2"/>
  <c r="G17" i="2"/>
  <c r="G21" i="2"/>
  <c r="U3" i="2"/>
  <c r="G3" i="2" s="1"/>
  <c r="U4" i="2"/>
  <c r="G4" i="2" s="1"/>
  <c r="U5" i="2"/>
  <c r="U6" i="2"/>
  <c r="U7" i="2"/>
  <c r="G7" i="2" s="1"/>
  <c r="U8" i="2"/>
  <c r="G8" i="2" s="1"/>
  <c r="U9" i="2"/>
  <c r="U10" i="2"/>
  <c r="G10" i="2" s="1"/>
  <c r="U11" i="2"/>
  <c r="U12" i="2"/>
  <c r="G12" i="2" s="1"/>
  <c r="U13" i="2"/>
  <c r="G13" i="2" s="1"/>
  <c r="U14" i="2"/>
  <c r="U15" i="2"/>
  <c r="G15" i="2" s="1"/>
  <c r="U16" i="2"/>
  <c r="G16" i="2" s="1"/>
  <c r="U17" i="2"/>
  <c r="U18" i="2"/>
  <c r="G18" i="2" s="1"/>
  <c r="U19" i="2"/>
  <c r="G19" i="2" s="1"/>
  <c r="U20" i="2"/>
  <c r="G20" i="2" s="1"/>
  <c r="U21" i="2"/>
  <c r="U2" i="2"/>
  <c r="G2" i="2" s="1"/>
  <c r="E17" i="2"/>
  <c r="M9" i="2"/>
  <c r="E9" i="2" s="1"/>
  <c r="M11" i="2"/>
  <c r="E11" i="2" s="1"/>
  <c r="M14" i="2"/>
  <c r="E14" i="2" s="1"/>
  <c r="M17" i="2"/>
  <c r="M21" i="2"/>
  <c r="E21" i="2" s="1"/>
  <c r="L3" i="2"/>
  <c r="M3" i="2" s="1"/>
  <c r="E3" i="2" s="1"/>
  <c r="L4" i="2"/>
  <c r="M4" i="2" s="1"/>
  <c r="E4" i="2" s="1"/>
  <c r="L5" i="2"/>
  <c r="M5" i="2" s="1"/>
  <c r="E5" i="2" s="1"/>
  <c r="L6" i="2"/>
  <c r="M6" i="2" s="1"/>
  <c r="E6" i="2" s="1"/>
  <c r="L7" i="2"/>
  <c r="M7" i="2" s="1"/>
  <c r="E7" i="2" s="1"/>
  <c r="L8" i="2"/>
  <c r="M8" i="2" s="1"/>
  <c r="E8" i="2" s="1"/>
  <c r="L9" i="2"/>
  <c r="L10" i="2"/>
  <c r="M10" i="2" s="1"/>
  <c r="E10" i="2" s="1"/>
  <c r="L11" i="2"/>
  <c r="L12" i="2"/>
  <c r="M12" i="2" s="1"/>
  <c r="E12" i="2" s="1"/>
  <c r="L13" i="2"/>
  <c r="M13" i="2" s="1"/>
  <c r="E13" i="2" s="1"/>
  <c r="L14" i="2"/>
  <c r="L15" i="2"/>
  <c r="M15" i="2" s="1"/>
  <c r="E15" i="2" s="1"/>
  <c r="L16" i="2"/>
  <c r="M16" i="2" s="1"/>
  <c r="E16" i="2" s="1"/>
  <c r="L17" i="2"/>
  <c r="L18" i="2"/>
  <c r="M18" i="2" s="1"/>
  <c r="E18" i="2" s="1"/>
  <c r="L19" i="2"/>
  <c r="M19" i="2" s="1"/>
  <c r="E19" i="2" s="1"/>
  <c r="L20" i="2"/>
  <c r="M20" i="2" s="1"/>
  <c r="E20" i="2" s="1"/>
  <c r="L21" i="2"/>
  <c r="L2" i="2"/>
  <c r="M2" i="2" s="1"/>
  <c r="E2" i="2" s="1"/>
  <c r="L11" i="11" l="1"/>
  <c r="L3" i="11"/>
  <c r="L6" i="11"/>
  <c r="L9" i="11"/>
  <c r="L15" i="11"/>
  <c r="L18" i="11"/>
  <c r="L16" i="11"/>
  <c r="L4" i="11"/>
  <c r="L14" i="11"/>
  <c r="L20" i="11"/>
  <c r="L7" i="11"/>
  <c r="L10" i="11"/>
  <c r="G5" i="2"/>
  <c r="G6" i="2"/>
  <c r="R53" i="2"/>
</calcChain>
</file>

<file path=xl/sharedStrings.xml><?xml version="1.0" encoding="utf-8"?>
<sst xmlns="http://schemas.openxmlformats.org/spreadsheetml/2006/main" count="198" uniqueCount="117">
  <si>
    <t>Czechia</t>
  </si>
  <si>
    <t>Austria</t>
  </si>
  <si>
    <t>Poland</t>
  </si>
  <si>
    <t>Germany</t>
  </si>
  <si>
    <t>Romania</t>
  </si>
  <si>
    <t>Bulgaria</t>
  </si>
  <si>
    <t>Croatia</t>
  </si>
  <si>
    <t>Slovenia</t>
  </si>
  <si>
    <t>Ireland</t>
  </si>
  <si>
    <t>Netherlands</t>
  </si>
  <si>
    <t>United Kingdom</t>
  </si>
  <si>
    <t>Hungary</t>
  </si>
  <si>
    <t>Slovakia</t>
  </si>
  <si>
    <t>Spain</t>
  </si>
  <si>
    <t>Sweden</t>
  </si>
  <si>
    <t>Switzerland</t>
  </si>
  <si>
    <t>Portugal</t>
  </si>
  <si>
    <t>Cyprus</t>
  </si>
  <si>
    <t>Luxembourg</t>
  </si>
  <si>
    <t>Malta</t>
  </si>
  <si>
    <t>Italy</t>
  </si>
  <si>
    <t>Greece</t>
  </si>
  <si>
    <t>France</t>
  </si>
  <si>
    <t>country</t>
  </si>
  <si>
    <t>in liters</t>
  </si>
  <si>
    <t>YEAR</t>
  </si>
  <si>
    <t>GDPCZ : https://www.czso.cz/csu/czso/vyvoj-hrubeho-domaciho-produktu-v-cr-ve-stalych-cenach</t>
  </si>
  <si>
    <t>GDPCZ mil CZK</t>
  </si>
  <si>
    <t>fixed chain index</t>
  </si>
  <si>
    <t>average growth rate index</t>
  </si>
  <si>
    <t>year</t>
  </si>
  <si>
    <t>watch out uk is here revise this table</t>
  </si>
  <si>
    <t>CZexportoGR</t>
  </si>
  <si>
    <t>CZforExchRate</t>
  </si>
  <si>
    <t>GRtotBeerCons</t>
  </si>
  <si>
    <t>CompetitorPRice</t>
  </si>
  <si>
    <t>EUR</t>
  </si>
  <si>
    <t>EUR (thous)</t>
  </si>
  <si>
    <t xml:space="preserve">EUR/CZK </t>
  </si>
  <si>
    <t>total, hl</t>
  </si>
  <si>
    <t>https://www.statista.com/statistics/508273/beverages-per-capita-consumption-by-type-germany/</t>
  </si>
  <si>
    <t>population</t>
  </si>
  <si>
    <t>https://www.macrotrends.net/countries/DEU/germany/population</t>
  </si>
  <si>
    <t>consum beer per capita liters</t>
  </si>
  <si>
    <t>consum of beer in L</t>
  </si>
  <si>
    <t>conum of beer in HL</t>
  </si>
  <si>
    <t>avg exp price</t>
  </si>
  <si>
    <t>Netto kg= L</t>
  </si>
  <si>
    <t>stat hodnota EUR tis</t>
  </si>
  <si>
    <t>hodnot EUR</t>
  </si>
  <si>
    <t>avg dummy</t>
  </si>
  <si>
    <t>CompetitorPRice%</t>
  </si>
  <si>
    <t>CompetitorPRiceUSD</t>
  </si>
  <si>
    <t>%</t>
  </si>
  <si>
    <t>COMP PRICE FINAL</t>
  </si>
  <si>
    <t>COMP PRICE IN EUR</t>
  </si>
  <si>
    <t>total MIL</t>
  </si>
  <si>
    <t>TOTAL MIL</t>
  </si>
  <si>
    <t>AVG</t>
  </si>
  <si>
    <t>2022 dummy (dont need)</t>
  </si>
  <si>
    <t>per liter / Kg</t>
  </si>
  <si>
    <t>AVGpriceCZbeertoGR</t>
  </si>
  <si>
    <t>DKK</t>
  </si>
  <si>
    <t>https://www.statbank.dk/KN8Y</t>
  </si>
  <si>
    <t>beer vol exp to GR</t>
  </si>
  <si>
    <t>https://www.trademap.org/Bilateral_TS.aspx?nvpm=1%7c276%7c%7c208%7c%7c2203%7c%7c%7c4%7c1%7c1%7c1%7c2%7c1%7c1%7c1%7c1%7c1</t>
  </si>
  <si>
    <t>correction</t>
  </si>
  <si>
    <t>avg price</t>
  </si>
  <si>
    <t>DKK volume sold</t>
  </si>
  <si>
    <t>DKK * 1000</t>
  </si>
  <si>
    <t>Exch DKK/EUR</t>
  </si>
  <si>
    <t>https://freecurrencyrates.com/en/exchange-rate-history/DKK-EUR/2004/cbr</t>
  </si>
  <si>
    <t>DKK CURRENCY VOLUME</t>
  </si>
  <si>
    <t>GDPCZmilCZK</t>
  </si>
  <si>
    <t>inflationCZ</t>
  </si>
  <si>
    <t>inflationGR</t>
  </si>
  <si>
    <t>GDPGRmilEUR</t>
  </si>
  <si>
    <t>GDPGERmilEUR</t>
  </si>
  <si>
    <t>inflace GR: https://www.macrotrends.net/countries/DEU/germany/inflation-rate-cpi</t>
  </si>
  <si>
    <t>inflaceCZ: https://www.czso.cz/csu/czso/prumerna-rocni-mira-inflace-v-letech-1998-2022</t>
  </si>
  <si>
    <t>GDP GER: https://de.statista.com/statistik/daten/studie/1251/umfrage/entwicklung-des-bruttoinlandsprodukts-seit-dem-jahr-1991/</t>
  </si>
  <si>
    <t>AVGPRiceDKtoGR</t>
  </si>
  <si>
    <t>trade balance</t>
  </si>
  <si>
    <t>exports</t>
  </si>
  <si>
    <t>imports</t>
  </si>
  <si>
    <t>in mil EUR</t>
  </si>
  <si>
    <t>Trade balance</t>
  </si>
  <si>
    <t>current prices</t>
  </si>
  <si>
    <t>infDummyGR</t>
  </si>
  <si>
    <t>GRtotBeerCons1stDif</t>
  </si>
  <si>
    <t>CZexRDiff</t>
  </si>
  <si>
    <t>czforExRDiff</t>
  </si>
  <si>
    <t>CZforExchRateX</t>
  </si>
  <si>
    <t>GDPCZmilCZKX</t>
  </si>
  <si>
    <t>GRtotBeerConsX</t>
  </si>
  <si>
    <t>inflationGRX</t>
  </si>
  <si>
    <t>higher than 0.75 is issue</t>
  </si>
  <si>
    <t>Czech Republic</t>
  </si>
  <si>
    <t xml:space="preserve">GDP </t>
  </si>
  <si>
    <t>exchange rate</t>
  </si>
  <si>
    <t>chain base index</t>
  </si>
  <si>
    <t>Index</t>
  </si>
  <si>
    <t>Fixed chain index</t>
  </si>
  <si>
    <t>Chain base Index 2022</t>
  </si>
  <si>
    <t>Average growth rate index</t>
  </si>
  <si>
    <t>Mean</t>
  </si>
  <si>
    <t>CZ in mil. CZK</t>
  </si>
  <si>
    <t>cz gdp usd</t>
  </si>
  <si>
    <t>GDP growth rate (%)</t>
  </si>
  <si>
    <t>cz gdp EUR</t>
  </si>
  <si>
    <t>GDP GER in mil EUR</t>
  </si>
  <si>
    <t>GDP CZ in mil EUR</t>
  </si>
  <si>
    <t>GER growth rate (%)</t>
  </si>
  <si>
    <t>CZ growth rate (%)</t>
  </si>
  <si>
    <t>export growth rate (%)</t>
  </si>
  <si>
    <t>CZ total export (mil. EUR)</t>
  </si>
  <si>
    <t>Trade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</si>
</sst>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_ ;\-0.000\ "/>
    <numFmt numFmtId="165" formatCode="0.000"/>
    <numFmt numFmtId="166" formatCode="##,###,##0"/>
    <numFmt numFmtId="167" formatCode="#,##0_ ;[Red]\-#,##0\ "/>
    <numFmt numFmtId="168" formatCode="#,##0.0"/>
    <numFmt numFmtId="169" formatCode="#,##0.0_ ;\-#,##0.0\ 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rgb="FF002B54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8"/>
      <color rgb="FF000000"/>
      <name val="Arial CE"/>
      <family val="2"/>
      <charset val="238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1"/>
      <color theme="5" tint="0.39997558519241921"/>
      <name val="Calibri"/>
      <family val="2"/>
      <scheme val="minor"/>
    </font>
    <font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4"/>
      </left>
      <right/>
      <top/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3" borderId="0" applyNumberFormat="0" applyBorder="0" applyAlignment="0" applyProtection="0"/>
    <xf numFmtId="9" fontId="13" fillId="0" borderId="0" applyFont="0" applyFill="0" applyBorder="0" applyAlignment="0" applyProtection="0"/>
  </cellStyleXfs>
  <cellXfs count="89">
    <xf numFmtId="0" fontId="0" fillId="0" borderId="0" xfId="0"/>
    <xf numFmtId="164" fontId="2" fillId="0" borderId="1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164" fontId="2" fillId="2" borderId="1" xfId="1" applyNumberFormat="1" applyFont="1" applyFill="1" applyBorder="1" applyAlignment="1">
      <alignment horizontal="right"/>
    </xf>
    <xf numFmtId="0" fontId="7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2" fontId="6" fillId="3" borderId="0" xfId="3" applyNumberFormat="1"/>
    <xf numFmtId="0" fontId="9" fillId="5" borderId="10" xfId="0" applyFont="1" applyFill="1" applyBorder="1" applyAlignment="1">
      <alignment horizontal="right" wrapText="1"/>
    </xf>
    <xf numFmtId="0" fontId="0" fillId="4" borderId="0" xfId="0" applyFill="1"/>
    <xf numFmtId="0" fontId="0" fillId="6" borderId="0" xfId="0" applyFill="1"/>
    <xf numFmtId="0" fontId="8" fillId="0" borderId="0" xfId="0" applyFont="1"/>
    <xf numFmtId="0" fontId="0" fillId="2" borderId="7" xfId="0" applyFill="1" applyBorder="1"/>
    <xf numFmtId="0" fontId="0" fillId="2" borderId="11" xfId="0" applyFill="1" applyBorder="1"/>
    <xf numFmtId="0" fontId="0" fillId="2" borderId="12" xfId="0" applyFill="1" applyBorder="1"/>
    <xf numFmtId="164" fontId="10" fillId="0" borderId="1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165" fontId="0" fillId="0" borderId="0" xfId="0" applyNumberFormat="1"/>
    <xf numFmtId="165" fontId="10" fillId="0" borderId="1" xfId="1" applyNumberFormat="1" applyFont="1" applyBorder="1" applyAlignment="1">
      <alignment horizontal="right"/>
    </xf>
    <xf numFmtId="166" fontId="0" fillId="0" borderId="0" xfId="0" applyNumberFormat="1"/>
    <xf numFmtId="167" fontId="11" fillId="0" borderId="16" xfId="0" applyNumberFormat="1" applyFont="1" applyBorder="1"/>
    <xf numFmtId="167" fontId="11" fillId="0" borderId="17" xfId="0" applyNumberFormat="1" applyFont="1" applyBorder="1"/>
    <xf numFmtId="167" fontId="11" fillId="0" borderId="15" xfId="0" applyNumberFormat="1" applyFont="1" applyBorder="1"/>
    <xf numFmtId="167" fontId="11" fillId="0" borderId="18" xfId="0" applyNumberFormat="1" applyFont="1" applyBorder="1"/>
    <xf numFmtId="0" fontId="10" fillId="0" borderId="0" xfId="0" applyFont="1"/>
    <xf numFmtId="166" fontId="12" fillId="7" borderId="13" xfId="0" applyNumberFormat="1" applyFont="1" applyFill="1" applyBorder="1" applyAlignment="1">
      <alignment horizontal="right" vertical="center" wrapText="1"/>
    </xf>
    <xf numFmtId="166" fontId="12" fillId="0" borderId="14" xfId="0" applyNumberFormat="1" applyFont="1" applyBorder="1" applyAlignment="1">
      <alignment horizontal="righ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166" fontId="10" fillId="0" borderId="0" xfId="0" applyNumberFormat="1" applyFont="1"/>
    <xf numFmtId="0" fontId="3" fillId="0" borderId="6" xfId="0" applyFont="1" applyBorder="1" applyAlignment="1">
      <alignment horizontal="right"/>
    </xf>
    <xf numFmtId="165" fontId="0" fillId="2" borderId="0" xfId="0" applyNumberFormat="1" applyFill="1"/>
    <xf numFmtId="165" fontId="10" fillId="2" borderId="1" xfId="1" applyNumberFormat="1" applyFont="1" applyFill="1" applyBorder="1" applyAlignment="1">
      <alignment horizontal="right"/>
    </xf>
    <xf numFmtId="0" fontId="0" fillId="0" borderId="16" xfId="0" applyBorder="1"/>
    <xf numFmtId="0" fontId="0" fillId="0" borderId="19" xfId="0" applyBorder="1"/>
    <xf numFmtId="0" fontId="3" fillId="0" borderId="19" xfId="0" applyFont="1" applyBorder="1"/>
    <xf numFmtId="0" fontId="0" fillId="0" borderId="5" xfId="0" applyBorder="1"/>
    <xf numFmtId="165" fontId="3" fillId="0" borderId="0" xfId="0" applyNumberFormat="1" applyFont="1"/>
    <xf numFmtId="0" fontId="0" fillId="0" borderId="20" xfId="0" applyBorder="1"/>
    <xf numFmtId="0" fontId="0" fillId="0" borderId="21" xfId="0" applyBorder="1" applyAlignment="1">
      <alignment horizontal="right"/>
    </xf>
    <xf numFmtId="164" fontId="3" fillId="0" borderId="22" xfId="1" applyNumberFormat="1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165" fontId="3" fillId="0" borderId="24" xfId="1" applyNumberFormat="1" applyFont="1" applyBorder="1" applyAlignment="1">
      <alignment horizontal="right"/>
    </xf>
    <xf numFmtId="164" fontId="10" fillId="0" borderId="24" xfId="1" applyNumberFormat="1" applyFont="1" applyBorder="1" applyAlignment="1">
      <alignment horizontal="right"/>
    </xf>
    <xf numFmtId="0" fontId="0" fillId="0" borderId="21" xfId="0" applyBorder="1"/>
    <xf numFmtId="0" fontId="3" fillId="0" borderId="21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65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2" fontId="0" fillId="0" borderId="33" xfId="0" applyNumberFormat="1" applyBorder="1"/>
    <xf numFmtId="0" fontId="14" fillId="0" borderId="0" xfId="0" applyFont="1"/>
    <xf numFmtId="168" fontId="5" fillId="0" borderId="4" xfId="0" applyNumberFormat="1" applyFont="1" applyBorder="1" applyAlignment="1">
      <alignment horizontal="right"/>
    </xf>
    <xf numFmtId="168" fontId="5" fillId="0" borderId="5" xfId="0" applyNumberFormat="1" applyFont="1" applyBorder="1" applyAlignment="1">
      <alignment horizontal="right"/>
    </xf>
    <xf numFmtId="168" fontId="5" fillId="0" borderId="6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8" fontId="5" fillId="0" borderId="34" xfId="0" applyNumberFormat="1" applyFont="1" applyBorder="1" applyAlignment="1">
      <alignment horizontal="right"/>
    </xf>
    <xf numFmtId="0" fontId="0" fillId="0" borderId="34" xfId="0" applyBorder="1"/>
    <xf numFmtId="167" fontId="5" fillId="8" borderId="5" xfId="0" applyNumberFormat="1" applyFont="1" applyFill="1" applyBorder="1" applyAlignment="1">
      <alignment vertical="center"/>
    </xf>
    <xf numFmtId="167" fontId="5" fillId="8" borderId="35" xfId="0" applyNumberFormat="1" applyFont="1" applyFill="1" applyBorder="1" applyAlignment="1">
      <alignment vertical="center"/>
    </xf>
    <xf numFmtId="167" fontId="5" fillId="8" borderId="36" xfId="0" applyNumberFormat="1" applyFont="1" applyFill="1" applyBorder="1" applyAlignment="1">
      <alignment vertical="center"/>
    </xf>
    <xf numFmtId="167" fontId="5" fillId="8" borderId="0" xfId="0" applyNumberFormat="1" applyFont="1" applyFill="1" applyAlignment="1">
      <alignment vertical="center"/>
    </xf>
    <xf numFmtId="167" fontId="5" fillId="8" borderId="37" xfId="0" applyNumberFormat="1" applyFont="1" applyFill="1" applyBorder="1" applyAlignment="1">
      <alignment vertical="center"/>
    </xf>
    <xf numFmtId="167" fontId="5" fillId="8" borderId="38" xfId="0" applyNumberFormat="1" applyFont="1" applyFill="1" applyBorder="1" applyAlignment="1">
      <alignment vertical="center"/>
    </xf>
    <xf numFmtId="0" fontId="0" fillId="0" borderId="4" xfId="0" applyBorder="1"/>
    <xf numFmtId="166" fontId="12" fillId="7" borderId="4" xfId="0" applyNumberFormat="1" applyFont="1" applyFill="1" applyBorder="1" applyAlignment="1">
      <alignment horizontal="right" vertical="center" wrapText="1"/>
    </xf>
    <xf numFmtId="166" fontId="12" fillId="0" borderId="4" xfId="0" applyNumberFormat="1" applyFont="1" applyBorder="1" applyAlignment="1">
      <alignment horizontal="right" vertical="center" wrapText="1"/>
    </xf>
    <xf numFmtId="167" fontId="11" fillId="0" borderId="4" xfId="0" applyNumberFormat="1" applyFont="1" applyBorder="1"/>
    <xf numFmtId="0" fontId="10" fillId="0" borderId="4" xfId="0" applyFont="1" applyBorder="1"/>
    <xf numFmtId="0" fontId="15" fillId="0" borderId="0" xfId="0" applyFont="1"/>
    <xf numFmtId="169" fontId="16" fillId="0" borderId="4" xfId="0" applyNumberFormat="1" applyFont="1" applyBorder="1" applyAlignment="1">
      <alignment horizontal="right"/>
    </xf>
    <xf numFmtId="170" fontId="15" fillId="0" borderId="4" xfId="4" applyNumberFormat="1" applyFont="1" applyBorder="1"/>
    <xf numFmtId="164" fontId="0" fillId="0" borderId="0" xfId="0" applyNumberFormat="1"/>
  </cellXfs>
  <cellStyles count="5">
    <cellStyle name="Bad" xfId="3" builtinId="27"/>
    <cellStyle name="Normal" xfId="0" builtinId="0"/>
    <cellStyle name="Normal 2" xfId="1" xr:uid="{75FA6662-5E80-4129-983F-50AC64B83CBB}"/>
    <cellStyle name="normální 3 3 2 2" xfId="2" xr:uid="{A8CBEE7D-ECE3-4E4B-ACD6-CE286F843ED8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59125895779886E-2"/>
          <c:y val="1.7453192516807658E-2"/>
          <c:w val="0.87235173552744105"/>
          <c:h val="0.73029832186134025"/>
        </c:manualLayout>
      </c:layout>
      <c:lineChart>
        <c:grouping val="standard"/>
        <c:varyColors val="0"/>
        <c:ser>
          <c:idx val="0"/>
          <c:order val="0"/>
          <c:tx>
            <c:strRef>
              <c:f>'GER-CZ GDP correlation'!$B$24</c:f>
              <c:strCache>
                <c:ptCount val="1"/>
                <c:pt idx="0">
                  <c:v>GER growth rate (%)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'GER-CZ GDP correlation'!$A$25:$A$44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'GER-CZ GDP correlation'!$B$25:$B$44</c:f>
              <c:numCache>
                <c:formatCode>General</c:formatCode>
                <c:ptCount val="20"/>
                <c:pt idx="0">
                  <c:v>-0.7</c:v>
                </c:pt>
                <c:pt idx="1">
                  <c:v>1.2</c:v>
                </c:pt>
                <c:pt idx="2">
                  <c:v>0.7</c:v>
                </c:pt>
                <c:pt idx="3">
                  <c:v>3.8</c:v>
                </c:pt>
                <c:pt idx="4">
                  <c:v>3</c:v>
                </c:pt>
                <c:pt idx="5">
                  <c:v>1</c:v>
                </c:pt>
                <c:pt idx="6">
                  <c:v>-5.7</c:v>
                </c:pt>
                <c:pt idx="7">
                  <c:v>4.2</c:v>
                </c:pt>
                <c:pt idx="8">
                  <c:v>3.9</c:v>
                </c:pt>
                <c:pt idx="9">
                  <c:v>0.4</c:v>
                </c:pt>
                <c:pt idx="10">
                  <c:v>0.4</c:v>
                </c:pt>
                <c:pt idx="11">
                  <c:v>2.2000000000000002</c:v>
                </c:pt>
                <c:pt idx="12">
                  <c:v>1.5</c:v>
                </c:pt>
                <c:pt idx="13">
                  <c:v>2.2000000000000002</c:v>
                </c:pt>
                <c:pt idx="14">
                  <c:v>2.7</c:v>
                </c:pt>
                <c:pt idx="15">
                  <c:v>1</c:v>
                </c:pt>
                <c:pt idx="16">
                  <c:v>1.1000000000000001</c:v>
                </c:pt>
                <c:pt idx="17">
                  <c:v>-3.8</c:v>
                </c:pt>
                <c:pt idx="18">
                  <c:v>3.2</c:v>
                </c:pt>
                <c:pt idx="19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3-4129-BB37-8C65988BD379}"/>
            </c:ext>
          </c:extLst>
        </c:ser>
        <c:ser>
          <c:idx val="1"/>
          <c:order val="1"/>
          <c:tx>
            <c:strRef>
              <c:f>'GER-CZ GDP correlation'!$C$24</c:f>
              <c:strCache>
                <c:ptCount val="1"/>
                <c:pt idx="0">
                  <c:v>CZ growth rate (%)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'GER-CZ GDP correlation'!$A$25:$A$44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'GER-CZ GDP correlation'!$C$25:$C$44</c:f>
              <c:numCache>
                <c:formatCode>#,##0.0</c:formatCode>
                <c:ptCount val="20"/>
                <c:pt idx="0">
                  <c:v>3.6</c:v>
                </c:pt>
                <c:pt idx="1">
                  <c:v>4.7999999999999972</c:v>
                </c:pt>
                <c:pt idx="2">
                  <c:v>6.6</c:v>
                </c:pt>
                <c:pt idx="3">
                  <c:v>6.7999999999999972</c:v>
                </c:pt>
                <c:pt idx="4">
                  <c:v>5.6</c:v>
                </c:pt>
                <c:pt idx="5">
                  <c:v>2.7000000000000028</c:v>
                </c:pt>
                <c:pt idx="6">
                  <c:v>-4.7000000000000028</c:v>
                </c:pt>
                <c:pt idx="7">
                  <c:v>2.4</c:v>
                </c:pt>
                <c:pt idx="8">
                  <c:v>1.7999999999999972</c:v>
                </c:pt>
                <c:pt idx="9">
                  <c:v>-0.8</c:v>
                </c:pt>
                <c:pt idx="10">
                  <c:v>0</c:v>
                </c:pt>
                <c:pt idx="11">
                  <c:v>2.2999999999999972</c:v>
                </c:pt>
                <c:pt idx="12">
                  <c:v>5.4</c:v>
                </c:pt>
                <c:pt idx="13">
                  <c:v>2.5</c:v>
                </c:pt>
                <c:pt idx="14">
                  <c:v>5.2000000000000028</c:v>
                </c:pt>
                <c:pt idx="15">
                  <c:v>3.2000000000000028</c:v>
                </c:pt>
                <c:pt idx="16">
                  <c:v>3</c:v>
                </c:pt>
                <c:pt idx="17">
                  <c:v>-5.5</c:v>
                </c:pt>
                <c:pt idx="18">
                  <c:v>3.5</c:v>
                </c:pt>
                <c:pt idx="1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3-4129-BB37-8C65988BD3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6912095"/>
        <c:axId val="1359637183"/>
      </c:lineChart>
      <c:catAx>
        <c:axId val="1296912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637183"/>
        <c:crosses val="autoZero"/>
        <c:auto val="1"/>
        <c:lblAlgn val="ctr"/>
        <c:lblOffset val="100"/>
        <c:noMultiLvlLbl val="0"/>
      </c:catAx>
      <c:valAx>
        <c:axId val="13596371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Growth rate (%)</a:t>
                </a:r>
              </a:p>
            </c:rich>
          </c:tx>
          <c:layout>
            <c:manualLayout>
              <c:xMode val="edge"/>
              <c:yMode val="edge"/>
              <c:x val="3.7231436884585668E-2"/>
              <c:y val="0.31592768015532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9691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'beer consumption'!$J$2</c:f>
              <c:strCache>
                <c:ptCount val="1"/>
                <c:pt idx="0">
                  <c:v>in liters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'beer consumption'!$K$1:$AG$1</c:f>
              <c:strCache>
                <c:ptCount val="23"/>
                <c:pt idx="0">
                  <c:v>Czechia</c:v>
                </c:pt>
                <c:pt idx="1">
                  <c:v>Austria</c:v>
                </c:pt>
                <c:pt idx="2">
                  <c:v>Poland</c:v>
                </c:pt>
                <c:pt idx="3">
                  <c:v>Germany</c:v>
                </c:pt>
                <c:pt idx="4">
                  <c:v>Romania</c:v>
                </c:pt>
                <c:pt idx="5">
                  <c:v>Bulgaria</c:v>
                </c:pt>
                <c:pt idx="6">
                  <c:v>Croatia</c:v>
                </c:pt>
                <c:pt idx="7">
                  <c:v>Slovenia</c:v>
                </c:pt>
                <c:pt idx="8">
                  <c:v>Ireland</c:v>
                </c:pt>
                <c:pt idx="9">
                  <c:v>Netherlands</c:v>
                </c:pt>
                <c:pt idx="10">
                  <c:v>United Kingdom</c:v>
                </c:pt>
                <c:pt idx="11">
                  <c:v>Hungary</c:v>
                </c:pt>
                <c:pt idx="12">
                  <c:v>Slovakia</c:v>
                </c:pt>
                <c:pt idx="13">
                  <c:v>Spain</c:v>
                </c:pt>
                <c:pt idx="14">
                  <c:v>Sweden</c:v>
                </c:pt>
                <c:pt idx="15">
                  <c:v>Switzerland</c:v>
                </c:pt>
                <c:pt idx="16">
                  <c:v>Portugal</c:v>
                </c:pt>
                <c:pt idx="17">
                  <c:v>Cyprus</c:v>
                </c:pt>
                <c:pt idx="18">
                  <c:v>Luxembourg</c:v>
                </c:pt>
                <c:pt idx="19">
                  <c:v>Malta</c:v>
                </c:pt>
                <c:pt idx="20">
                  <c:v>Italy</c:v>
                </c:pt>
                <c:pt idx="21">
                  <c:v>Greece</c:v>
                </c:pt>
                <c:pt idx="22">
                  <c:v>France</c:v>
                </c:pt>
              </c:strCache>
            </c:strRef>
          </c:cat>
          <c:val>
            <c:numRef>
              <c:f>'beer consumption'!$K$2:$AG$2</c:f>
              <c:numCache>
                <c:formatCode>General</c:formatCode>
                <c:ptCount val="23"/>
                <c:pt idx="0">
                  <c:v>136</c:v>
                </c:pt>
                <c:pt idx="1">
                  <c:v>102</c:v>
                </c:pt>
                <c:pt idx="2">
                  <c:v>93</c:v>
                </c:pt>
                <c:pt idx="3">
                  <c:v>92</c:v>
                </c:pt>
                <c:pt idx="4">
                  <c:v>83</c:v>
                </c:pt>
                <c:pt idx="5">
                  <c:v>80</c:v>
                </c:pt>
                <c:pt idx="6">
                  <c:v>79</c:v>
                </c:pt>
                <c:pt idx="7">
                  <c:v>76</c:v>
                </c:pt>
                <c:pt idx="8">
                  <c:v>71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59</c:v>
                </c:pt>
                <c:pt idx="13">
                  <c:v>58</c:v>
                </c:pt>
                <c:pt idx="14">
                  <c:v>57</c:v>
                </c:pt>
                <c:pt idx="15">
                  <c:v>54</c:v>
                </c:pt>
                <c:pt idx="16">
                  <c:v>53</c:v>
                </c:pt>
                <c:pt idx="17">
                  <c:v>51</c:v>
                </c:pt>
                <c:pt idx="18">
                  <c:v>50</c:v>
                </c:pt>
                <c:pt idx="19">
                  <c:v>50</c:v>
                </c:pt>
                <c:pt idx="20">
                  <c:v>38</c:v>
                </c:pt>
                <c:pt idx="21">
                  <c:v>35</c:v>
                </c:pt>
                <c:pt idx="2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82C-96E6-10DED6A7CF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50929440"/>
        <c:axId val="1680813072"/>
      </c:barChart>
      <c:catAx>
        <c:axId val="165092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813072"/>
        <c:crosses val="autoZero"/>
        <c:auto val="1"/>
        <c:lblAlgn val="ctr"/>
        <c:lblOffset val="100"/>
        <c:noMultiLvlLbl val="0"/>
      </c:catAx>
      <c:valAx>
        <c:axId val="168081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9294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Sheet1!$L$2:$L$22</c:f>
              <c:numCache>
                <c:formatCode>##,###,##0</c:formatCode>
                <c:ptCount val="21"/>
                <c:pt idx="0" formatCode="General">
                  <c:v>0</c:v>
                </c:pt>
                <c:pt idx="1">
                  <c:v>43053</c:v>
                </c:pt>
                <c:pt idx="2">
                  <c:v>53252</c:v>
                </c:pt>
                <c:pt idx="3">
                  <c:v>62784</c:v>
                </c:pt>
                <c:pt idx="4">
                  <c:v>75699</c:v>
                </c:pt>
                <c:pt idx="5" formatCode="#,##0_ ;[Red]\-#,##0\ ">
                  <c:v>89396</c:v>
                </c:pt>
                <c:pt idx="6" formatCode="#,##0_ ;[Red]\-#,##0\ ">
                  <c:v>98915</c:v>
                </c:pt>
                <c:pt idx="7" formatCode="General">
                  <c:v>80992</c:v>
                </c:pt>
                <c:pt idx="8" formatCode="General">
                  <c:v>100319</c:v>
                </c:pt>
                <c:pt idx="9" formatCode="General">
                  <c:v>117057</c:v>
                </c:pt>
                <c:pt idx="10" formatCode="General">
                  <c:v>122244</c:v>
                </c:pt>
                <c:pt idx="11" formatCode="General">
                  <c:v>122186</c:v>
                </c:pt>
                <c:pt idx="12" formatCode="General">
                  <c:v>131806</c:v>
                </c:pt>
                <c:pt idx="13" formatCode="General">
                  <c:v>142369</c:v>
                </c:pt>
                <c:pt idx="14" formatCode="General">
                  <c:v>147004</c:v>
                </c:pt>
                <c:pt idx="15" formatCode="General">
                  <c:v>161284</c:v>
                </c:pt>
                <c:pt idx="16" formatCode="General">
                  <c:v>171716</c:v>
                </c:pt>
                <c:pt idx="17" formatCode="General">
                  <c:v>287957.51</c:v>
                </c:pt>
                <c:pt idx="18" formatCode="General">
                  <c:v>263599.23</c:v>
                </c:pt>
                <c:pt idx="19" formatCode="General">
                  <c:v>312063.34999999998</c:v>
                </c:pt>
                <c:pt idx="20" formatCode="General">
                  <c:v>354348.49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E-4934-B468-79B8AFF8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886239"/>
        <c:axId val="1662879039"/>
      </c:lineChart>
      <c:catAx>
        <c:axId val="1662886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879039"/>
        <c:crosses val="autoZero"/>
        <c:auto val="1"/>
        <c:lblAlgn val="ctr"/>
        <c:lblOffset val="100"/>
        <c:noMultiLvlLbl val="0"/>
      </c:catAx>
      <c:valAx>
        <c:axId val="166287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88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Trade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Sheet1!$A$25:$A$44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Sheet1!$B$25:$B$44</c:f>
              <c:numCache>
                <c:formatCode>##,###,##0</c:formatCode>
                <c:ptCount val="20"/>
                <c:pt idx="0">
                  <c:v>-2183</c:v>
                </c:pt>
                <c:pt idx="1">
                  <c:v>-649</c:v>
                </c:pt>
                <c:pt idx="2">
                  <c:v>1285</c:v>
                </c:pt>
                <c:pt idx="3">
                  <c:v>1394</c:v>
                </c:pt>
                <c:pt idx="4">
                  <c:v>3158</c:v>
                </c:pt>
                <c:pt idx="5">
                  <c:v>2779</c:v>
                </c:pt>
                <c:pt idx="6">
                  <c:v>5670</c:v>
                </c:pt>
                <c:pt idx="7">
                  <c:v>4775</c:v>
                </c:pt>
                <c:pt idx="8">
                  <c:v>7769</c:v>
                </c:pt>
                <c:pt idx="9">
                  <c:v>12166</c:v>
                </c:pt>
                <c:pt idx="10">
                  <c:v>13564</c:v>
                </c:pt>
                <c:pt idx="11">
                  <c:v>15597</c:v>
                </c:pt>
                <c:pt idx="12">
                  <c:v>14883</c:v>
                </c:pt>
                <c:pt idx="13">
                  <c:v>17732</c:v>
                </c:pt>
                <c:pt idx="14">
                  <c:v>16793</c:v>
                </c:pt>
                <c:pt idx="15">
                  <c:v>14864</c:v>
                </c:pt>
                <c:pt idx="16">
                  <c:v>11364.210000000021</c:v>
                </c:pt>
                <c:pt idx="17">
                  <c:v>13617.219999999972</c:v>
                </c:pt>
                <c:pt idx="18">
                  <c:v>-10077.5</c:v>
                </c:pt>
                <c:pt idx="19">
                  <c:v>-27536.160000000033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B22-9E57-1B3F7841E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3133648"/>
        <c:axId val="1543134128"/>
      </c:barChart>
      <c:catAx>
        <c:axId val="15431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3134128"/>
        <c:crosses val="autoZero"/>
        <c:auto val="1"/>
        <c:lblAlgn val="ctr"/>
        <c:lblOffset val="100"/>
        <c:noMultiLvlLbl val="0"/>
      </c:catAx>
      <c:valAx>
        <c:axId val="15431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,#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313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Sheet1!$A$3:$A$22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Sheet1!$B$3:$B$22</c:f>
              <c:numCache>
                <c:formatCode>##,###,##0</c:formatCode>
                <c:ptCount val="20"/>
                <c:pt idx="0">
                  <c:v>43053</c:v>
                </c:pt>
                <c:pt idx="1">
                  <c:v>53252</c:v>
                </c:pt>
                <c:pt idx="2">
                  <c:v>62784</c:v>
                </c:pt>
                <c:pt idx="3">
                  <c:v>75699</c:v>
                </c:pt>
                <c:pt idx="4" formatCode="#,##0_ ;[Red]\-#,##0\ ">
                  <c:v>89396</c:v>
                </c:pt>
                <c:pt idx="5" formatCode="#,##0_ ;[Red]\-#,##0\ ">
                  <c:v>98915</c:v>
                </c:pt>
                <c:pt idx="6" formatCode="General">
                  <c:v>80992</c:v>
                </c:pt>
                <c:pt idx="7" formatCode="General">
                  <c:v>100319</c:v>
                </c:pt>
                <c:pt idx="8" formatCode="General">
                  <c:v>117057</c:v>
                </c:pt>
                <c:pt idx="9" formatCode="General">
                  <c:v>122244</c:v>
                </c:pt>
                <c:pt idx="10" formatCode="General">
                  <c:v>122186</c:v>
                </c:pt>
                <c:pt idx="11" formatCode="General">
                  <c:v>131806</c:v>
                </c:pt>
                <c:pt idx="12" formatCode="General">
                  <c:v>142369</c:v>
                </c:pt>
                <c:pt idx="13" formatCode="General">
                  <c:v>147004</c:v>
                </c:pt>
                <c:pt idx="14" formatCode="General">
                  <c:v>161284</c:v>
                </c:pt>
                <c:pt idx="15" formatCode="General">
                  <c:v>171716</c:v>
                </c:pt>
                <c:pt idx="16" formatCode="General">
                  <c:v>287957.51</c:v>
                </c:pt>
                <c:pt idx="17" formatCode="General">
                  <c:v>263599.23</c:v>
                </c:pt>
                <c:pt idx="18" formatCode="General">
                  <c:v>312063.34999999998</c:v>
                </c:pt>
                <c:pt idx="19" formatCode="General">
                  <c:v>354348.49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0-4106-AA59-76238C36FBC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Sheet1!$A$3:$A$22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Sheet1!$C$3:$C$22</c:f>
              <c:numCache>
                <c:formatCode>##,###,##0</c:formatCode>
                <c:ptCount val="20"/>
                <c:pt idx="0">
                  <c:v>45236</c:v>
                </c:pt>
                <c:pt idx="1">
                  <c:v>53901</c:v>
                </c:pt>
                <c:pt idx="2">
                  <c:v>61499</c:v>
                </c:pt>
                <c:pt idx="3">
                  <c:v>74305</c:v>
                </c:pt>
                <c:pt idx="4" formatCode="#,##0_ ;[Red]\-#,##0\ ">
                  <c:v>86238</c:v>
                </c:pt>
                <c:pt idx="5" formatCode="#,##0_ ;[Red]\-#,##0\ ">
                  <c:v>96136</c:v>
                </c:pt>
                <c:pt idx="6" formatCode="General">
                  <c:v>75322</c:v>
                </c:pt>
                <c:pt idx="7" formatCode="General">
                  <c:v>95544</c:v>
                </c:pt>
                <c:pt idx="8" formatCode="General">
                  <c:v>109288</c:v>
                </c:pt>
                <c:pt idx="9" formatCode="General">
                  <c:v>110078</c:v>
                </c:pt>
                <c:pt idx="10" formatCode="General">
                  <c:v>108622</c:v>
                </c:pt>
                <c:pt idx="11" formatCode="General">
                  <c:v>116209</c:v>
                </c:pt>
                <c:pt idx="12" formatCode="General">
                  <c:v>127486</c:v>
                </c:pt>
                <c:pt idx="13" formatCode="General">
                  <c:v>129272</c:v>
                </c:pt>
                <c:pt idx="14" formatCode="General">
                  <c:v>144491</c:v>
                </c:pt>
                <c:pt idx="15" formatCode="General">
                  <c:v>156852</c:v>
                </c:pt>
                <c:pt idx="16" formatCode="General">
                  <c:v>276593.3</c:v>
                </c:pt>
                <c:pt idx="17" formatCode="General">
                  <c:v>249982.01</c:v>
                </c:pt>
                <c:pt idx="18" formatCode="General">
                  <c:v>322140.84999999998</c:v>
                </c:pt>
                <c:pt idx="19" formatCode="General">
                  <c:v>381884.65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0-4106-AA59-76238C36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727808"/>
        <c:axId val="444736448"/>
      </c:lineChart>
      <c:catAx>
        <c:axId val="44472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36448"/>
        <c:crosses val="autoZero"/>
        <c:auto val="1"/>
        <c:lblAlgn val="ctr"/>
        <c:lblOffset val="100"/>
        <c:noMultiLvlLbl val="0"/>
      </c:catAx>
      <c:valAx>
        <c:axId val="4447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 mil. EUR current prices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,#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2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754380</xdr:colOff>
      <xdr:row>31</xdr:row>
      <xdr:rowOff>19050</xdr:rowOff>
    </xdr:from>
    <xdr:to>
      <xdr:col>14</xdr:col>
      <xdr:colOff>373380</xdr:colOff>
      <xdr:row>51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D691D6-2EB5-7791-DACA-AF0893F71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358140</xdr:colOff>
      <xdr:row>4</xdr:row>
      <xdr:rowOff>3810</xdr:rowOff>
    </xdr:from>
    <xdr:to>
      <xdr:col>28</xdr:col>
      <xdr:colOff>175260</xdr:colOff>
      <xdr:row>26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D3905F-09C1-86BC-93C2-2A4F527AE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25</xdr:row>
      <xdr:rowOff>95250</xdr:rowOff>
    </xdr:from>
    <xdr:to>
      <xdr:col>13</xdr:col>
      <xdr:colOff>350520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10B56D-7580-F349-028B-851929D3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144780</xdr:colOff>
      <xdr:row>30</xdr:row>
      <xdr:rowOff>7620</xdr:rowOff>
    </xdr:from>
    <xdr:to>
      <xdr:col>11</xdr:col>
      <xdr:colOff>449580</xdr:colOff>
      <xdr:row>45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161DB9-8519-FC3D-BCAD-097340EB5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129540</xdr:colOff>
      <xdr:row>3</xdr:row>
      <xdr:rowOff>110490</xdr:rowOff>
    </xdr:from>
    <xdr:to>
      <xdr:col>14</xdr:col>
      <xdr:colOff>38100</xdr:colOff>
      <xdr:row>18</xdr:row>
      <xdr:rowOff>110490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F864DD-8DDE-DCFC-9833-022303271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D246-CE0D-4062-82FC-03C6E01690AA}">
  <dimension ref="A1:M22"/>
  <sheetViews>
    <sheetView workbookViewId="0">
      <selection activeCell="J25" sqref="J25"/>
    </sheetView>
  </sheetViews>
  <sheetFormatPr defaultRowHeight="14.4" x14ac:dyDescent="0.3"/>
  <cols>
    <col min="2" max="2" width="11.77734375" bestFit="1" customWidth="1"/>
    <col min="3" max="3" width="13.109375" bestFit="1" customWidth="1"/>
    <col min="4" max="4" width="12.77734375" style="11" bestFit="1" customWidth="1"/>
    <col min="5" max="5" width="13.6640625" bestFit="1" customWidth="1"/>
    <col min="6" max="6" width="14.88671875" bestFit="1" customWidth="1"/>
    <col min="7" max="7" width="18.6640625" customWidth="1"/>
    <col min="8" max="8" width="10.44140625" customWidth="1"/>
    <col min="9" max="9" width="10.33203125" customWidth="1"/>
    <col min="10" max="10" width="13" customWidth="1"/>
    <col min="11" max="11" width="11.6640625" customWidth="1"/>
    <col min="12" max="12" width="19.33203125" customWidth="1"/>
    <col min="14" max="14" width="11.88671875" customWidth="1"/>
  </cols>
  <sheetData>
    <row r="1" spans="1:13" ht="15" thickBot="1" x14ac:dyDescent="0.35">
      <c r="A1" s="42" t="s">
        <v>25</v>
      </c>
      <c r="B1" s="43" t="s">
        <v>32</v>
      </c>
      <c r="C1" s="44" t="s">
        <v>92</v>
      </c>
      <c r="D1" s="44" t="s">
        <v>93</v>
      </c>
      <c r="E1" s="44" t="s">
        <v>94</v>
      </c>
      <c r="F1" s="43" t="s">
        <v>35</v>
      </c>
      <c r="G1" s="43" t="s">
        <v>61</v>
      </c>
      <c r="H1" s="43" t="s">
        <v>74</v>
      </c>
      <c r="I1" s="44" t="s">
        <v>95</v>
      </c>
      <c r="J1" s="43" t="s">
        <v>76</v>
      </c>
      <c r="K1" s="60" t="s">
        <v>88</v>
      </c>
      <c r="L1" s="61" t="s">
        <v>89</v>
      </c>
      <c r="M1" s="62" t="s">
        <v>90</v>
      </c>
    </row>
    <row r="2" spans="1:13" x14ac:dyDescent="0.3">
      <c r="A2" s="45">
        <v>2004</v>
      </c>
      <c r="B2">
        <f>'ekon kalkulace'!B3</f>
        <v>31619</v>
      </c>
      <c r="C2" s="11">
        <f>'ekon kalkulace'!C3</f>
        <v>32.398000000000003</v>
      </c>
      <c r="D2" s="11">
        <f>'ekon kalkulace'!D3</f>
        <v>3079207</v>
      </c>
      <c r="E2" s="46">
        <f>'ekon kalkulace'!E3</f>
        <v>94269340.680000007</v>
      </c>
      <c r="F2">
        <f>'ekon kalkulace'!F3</f>
        <v>1.6040033454283436</v>
      </c>
      <c r="G2">
        <f>'ekon kalkulace'!G3</f>
        <v>0.3864703571466942</v>
      </c>
      <c r="H2">
        <v>2.8</v>
      </c>
      <c r="I2" s="11">
        <v>1.67</v>
      </c>
      <c r="J2">
        <f>2262.52*1000</f>
        <v>2262520</v>
      </c>
      <c r="K2" s="55">
        <f t="shared" ref="K2:K20" si="0">IF(I2&gt;1.6,1,0)</f>
        <v>1</v>
      </c>
      <c r="L2">
        <v>-1557201.5</v>
      </c>
      <c r="M2" s="56">
        <f>31.51-C2</f>
        <v>-0.88800000000000168</v>
      </c>
    </row>
    <row r="3" spans="1:13" x14ac:dyDescent="0.3">
      <c r="A3" s="45">
        <v>2005</v>
      </c>
      <c r="B3">
        <f>'ekon kalkulace'!B4</f>
        <v>35279</v>
      </c>
      <c r="C3" s="11">
        <f>'ekon kalkulace'!C4</f>
        <v>30.361000000000001</v>
      </c>
      <c r="D3" s="11">
        <f>'ekon kalkulace'!D4</f>
        <v>3285601</v>
      </c>
      <c r="E3" s="46">
        <f>'ekon kalkulace'!E4</f>
        <v>93637629.703999996</v>
      </c>
      <c r="F3">
        <f>'ekon kalkulace'!F4</f>
        <v>0.91965046172038489</v>
      </c>
      <c r="G3">
        <f>'ekon kalkulace'!G4</f>
        <v>0.3770044128505981</v>
      </c>
      <c r="H3">
        <v>1.9</v>
      </c>
      <c r="I3" s="11">
        <v>1.55</v>
      </c>
      <c r="J3">
        <f>2288.31*1000</f>
        <v>2288310</v>
      </c>
      <c r="K3" s="55">
        <f t="shared" si="0"/>
        <v>0</v>
      </c>
      <c r="L3" s="27">
        <f t="shared" ref="L3:L19" si="1">E3-E2</f>
        <v>-631710.97600001097</v>
      </c>
      <c r="M3" s="56">
        <f t="shared" ref="M3:M20" si="2">C3-C2</f>
        <v>-2.0370000000000026</v>
      </c>
    </row>
    <row r="4" spans="1:13" x14ac:dyDescent="0.3">
      <c r="A4" s="45">
        <v>2006</v>
      </c>
      <c r="B4">
        <f>'ekon kalkulace'!B5</f>
        <v>49058</v>
      </c>
      <c r="C4" s="11">
        <f>'ekon kalkulace'!C5</f>
        <v>29.03</v>
      </c>
      <c r="D4" s="11">
        <f>'ekon kalkulace'!D5</f>
        <v>3530881</v>
      </c>
      <c r="E4" s="46">
        <f>'ekon kalkulace'!E5</f>
        <v>94166267.719999999</v>
      </c>
      <c r="F4">
        <f>'ekon kalkulace'!F5</f>
        <v>0.82432361254552378</v>
      </c>
      <c r="G4">
        <f>'ekon kalkulace'!G5</f>
        <v>0.4900909921089836</v>
      </c>
      <c r="H4">
        <v>2.5</v>
      </c>
      <c r="I4" s="11">
        <v>1.58</v>
      </c>
      <c r="J4">
        <f>2385.08*1000</f>
        <v>2385080</v>
      </c>
      <c r="K4" s="55">
        <f t="shared" si="0"/>
        <v>0</v>
      </c>
      <c r="L4" s="27">
        <f t="shared" si="1"/>
        <v>528638.01600000262</v>
      </c>
      <c r="M4" s="56">
        <f t="shared" si="2"/>
        <v>-1.3309999999999995</v>
      </c>
    </row>
    <row r="5" spans="1:13" x14ac:dyDescent="0.3">
      <c r="A5" s="45">
        <v>2007</v>
      </c>
      <c r="B5">
        <f>'ekon kalkulace'!B6</f>
        <v>44630</v>
      </c>
      <c r="C5" s="11">
        <f>'ekon kalkulace'!C6</f>
        <v>27.524999999999999</v>
      </c>
      <c r="D5" s="11">
        <f>'ekon kalkulace'!D6</f>
        <v>3859533</v>
      </c>
      <c r="E5" s="46">
        <f>'ekon kalkulace'!E6</f>
        <v>90763521.939999998</v>
      </c>
      <c r="F5">
        <f>'ekon kalkulace'!F6</f>
        <v>0.82371410754225949</v>
      </c>
      <c r="G5">
        <f>'ekon kalkulace'!G6</f>
        <v>0.44585513020962814</v>
      </c>
      <c r="H5">
        <v>2.8</v>
      </c>
      <c r="I5" s="11">
        <v>2.2999999999999998</v>
      </c>
      <c r="J5">
        <f>2499.55*1000</f>
        <v>2499550</v>
      </c>
      <c r="K5" s="55">
        <f t="shared" si="0"/>
        <v>1</v>
      </c>
      <c r="L5" s="27">
        <f t="shared" si="1"/>
        <v>-3402745.7800000012</v>
      </c>
      <c r="M5" s="56">
        <f t="shared" si="2"/>
        <v>-1.5050000000000026</v>
      </c>
    </row>
    <row r="6" spans="1:13" x14ac:dyDescent="0.3">
      <c r="A6" s="45">
        <v>2008</v>
      </c>
      <c r="B6">
        <f>'ekon kalkulace'!B7</f>
        <v>51274</v>
      </c>
      <c r="C6" s="11">
        <f>'ekon kalkulace'!C7</f>
        <v>26.364000000000001</v>
      </c>
      <c r="D6" s="11">
        <f>'ekon kalkulace'!D7</f>
        <v>4042860</v>
      </c>
      <c r="E6" s="46">
        <f>'ekon kalkulace'!E7</f>
        <v>90232622.501999989</v>
      </c>
      <c r="F6">
        <f>'ekon kalkulace'!F7</f>
        <v>0.80316759966190476</v>
      </c>
      <c r="G6">
        <f>'ekon kalkulace'!G7</f>
        <v>0.51222890312275315</v>
      </c>
      <c r="H6">
        <v>6.3</v>
      </c>
      <c r="I6" s="11">
        <v>2.63</v>
      </c>
      <c r="J6">
        <f>2546.49*1000</f>
        <v>2546490</v>
      </c>
      <c r="K6" s="55">
        <f t="shared" si="0"/>
        <v>1</v>
      </c>
      <c r="L6" s="27">
        <f t="shared" si="1"/>
        <v>-530899.43800000846</v>
      </c>
      <c r="M6" s="56">
        <f t="shared" si="2"/>
        <v>-1.1609999999999978</v>
      </c>
    </row>
    <row r="7" spans="1:13" x14ac:dyDescent="0.3">
      <c r="A7" s="45">
        <v>2009</v>
      </c>
      <c r="B7">
        <f>'ekon kalkulace'!B8</f>
        <v>50230</v>
      </c>
      <c r="C7" s="11">
        <f>'ekon kalkulace'!C8</f>
        <v>26.824999999999999</v>
      </c>
      <c r="D7" s="11">
        <f>'ekon kalkulace'!D8</f>
        <v>3954320</v>
      </c>
      <c r="E7" s="46">
        <f>'ekon kalkulace'!E8</f>
        <v>89061634.040000007</v>
      </c>
      <c r="F7">
        <f>'ekon kalkulace'!F8</f>
        <v>0.58179668646112959</v>
      </c>
      <c r="G7">
        <f>'ekon kalkulace'!G8</f>
        <v>0.36393001055694085</v>
      </c>
      <c r="H7">
        <v>1</v>
      </c>
      <c r="I7" s="11">
        <v>0.31</v>
      </c>
      <c r="J7">
        <f>2445.73*1000</f>
        <v>2445730</v>
      </c>
      <c r="K7" s="55">
        <f t="shared" si="0"/>
        <v>0</v>
      </c>
      <c r="L7" s="27">
        <f t="shared" si="1"/>
        <v>-1170988.4619999826</v>
      </c>
      <c r="M7" s="56">
        <f t="shared" si="2"/>
        <v>0.46099999999999852</v>
      </c>
    </row>
    <row r="8" spans="1:13" x14ac:dyDescent="0.3">
      <c r="A8" s="45">
        <v>2010</v>
      </c>
      <c r="B8">
        <f>'ekon kalkulace'!B9</f>
        <v>40673</v>
      </c>
      <c r="C8" s="11">
        <f>'ekon kalkulace'!C9</f>
        <v>26.285</v>
      </c>
      <c r="D8" s="11">
        <f>'ekon kalkulace'!D9</f>
        <v>3992870</v>
      </c>
      <c r="E8" s="46">
        <f>'ekon kalkulace'!E9</f>
        <v>89132298.640000001</v>
      </c>
      <c r="F8">
        <f>'ekon kalkulace'!F9</f>
        <v>0.58782209517575712</v>
      </c>
      <c r="G8">
        <f>'ekon kalkulace'!G9</f>
        <v>0.35735443429865243</v>
      </c>
      <c r="H8">
        <v>1.5</v>
      </c>
      <c r="I8" s="11">
        <v>1.1000000000000001</v>
      </c>
      <c r="J8">
        <f>2564.4*1000</f>
        <v>2564400</v>
      </c>
      <c r="K8" s="55">
        <f t="shared" si="0"/>
        <v>0</v>
      </c>
      <c r="L8" s="27">
        <f t="shared" si="1"/>
        <v>70664.59999999404</v>
      </c>
      <c r="M8" s="56">
        <f t="shared" si="2"/>
        <v>-0.53999999999999915</v>
      </c>
    </row>
    <row r="9" spans="1:13" x14ac:dyDescent="0.3">
      <c r="A9" s="45">
        <v>2011</v>
      </c>
      <c r="B9">
        <f>'ekon kalkulace'!B10</f>
        <v>39078</v>
      </c>
      <c r="C9" s="11">
        <f>'ekon kalkulace'!C10</f>
        <v>25.088000000000001</v>
      </c>
      <c r="D9" s="11">
        <f>'ekon kalkulace'!D10</f>
        <v>4062323</v>
      </c>
      <c r="E9" s="46">
        <f>'ekon kalkulace'!E10</f>
        <v>88995752.153999999</v>
      </c>
      <c r="F9">
        <f>'ekon kalkulace'!F10</f>
        <v>0.61049855931089569</v>
      </c>
      <c r="G9">
        <f>'ekon kalkulace'!G10</f>
        <v>0.38354941465135794</v>
      </c>
      <c r="H9">
        <v>1.9</v>
      </c>
      <c r="I9" s="11">
        <v>2.08</v>
      </c>
      <c r="J9">
        <f>2693.56*1000</f>
        <v>2693560</v>
      </c>
      <c r="K9" s="55">
        <f t="shared" si="0"/>
        <v>1</v>
      </c>
      <c r="L9" s="27">
        <f t="shared" si="1"/>
        <v>-136546.48600000143</v>
      </c>
      <c r="M9" s="56">
        <f t="shared" si="2"/>
        <v>-1.1969999999999992</v>
      </c>
    </row>
    <row r="10" spans="1:13" x14ac:dyDescent="0.3">
      <c r="A10" s="45">
        <v>2012</v>
      </c>
      <c r="B10">
        <f>'ekon kalkulace'!B11</f>
        <v>43862</v>
      </c>
      <c r="C10" s="11">
        <f>'ekon kalkulace'!C11</f>
        <v>25.504999999999999</v>
      </c>
      <c r="D10" s="11">
        <f>'ekon kalkulace'!D11</f>
        <v>4088912</v>
      </c>
      <c r="E10" s="46">
        <f>'ekon kalkulace'!E11</f>
        <v>87498391.245000005</v>
      </c>
      <c r="F10">
        <f>'ekon kalkulace'!F11</f>
        <v>0.64958788517121446</v>
      </c>
      <c r="G10">
        <f>'ekon kalkulace'!G11</f>
        <v>0.48678377392599348</v>
      </c>
      <c r="H10">
        <v>3.3</v>
      </c>
      <c r="I10" s="11">
        <v>2.0099999999999998</v>
      </c>
      <c r="J10">
        <f>2745.31*1000</f>
        <v>2745310</v>
      </c>
      <c r="K10" s="55">
        <f t="shared" si="0"/>
        <v>1</v>
      </c>
      <c r="L10" s="27">
        <f t="shared" si="1"/>
        <v>-1497360.9089999944</v>
      </c>
      <c r="M10" s="56">
        <f t="shared" si="2"/>
        <v>0.41699999999999804</v>
      </c>
    </row>
    <row r="11" spans="1:13" x14ac:dyDescent="0.3">
      <c r="A11" s="45">
        <v>2013</v>
      </c>
      <c r="B11">
        <f>'ekon kalkulace'!B12</f>
        <v>46508</v>
      </c>
      <c r="C11" s="11">
        <f>'ekon kalkulace'!C12</f>
        <v>25.218</v>
      </c>
      <c r="D11" s="11">
        <f>'ekon kalkulace'!D12</f>
        <v>4142811</v>
      </c>
      <c r="E11" s="46">
        <f>'ekon kalkulace'!E12</f>
        <v>87071510.005999997</v>
      </c>
      <c r="F11">
        <f>'ekon kalkulace'!F12</f>
        <v>0.62014514059782033</v>
      </c>
      <c r="G11">
        <f>'ekon kalkulace'!G12</f>
        <v>0.53251229863190785</v>
      </c>
      <c r="H11">
        <v>1.4</v>
      </c>
      <c r="I11" s="11">
        <v>1.5</v>
      </c>
      <c r="J11">
        <f>2811.35*1000</f>
        <v>2811350</v>
      </c>
      <c r="K11" s="55">
        <f t="shared" si="0"/>
        <v>0</v>
      </c>
      <c r="L11" s="27">
        <f t="shared" si="1"/>
        <v>-426881.23900000751</v>
      </c>
      <c r="M11" s="56">
        <f t="shared" si="2"/>
        <v>-0.28699999999999903</v>
      </c>
    </row>
    <row r="12" spans="1:13" x14ac:dyDescent="0.3">
      <c r="A12" s="45">
        <v>2014</v>
      </c>
      <c r="B12">
        <f>'ekon kalkulace'!B13</f>
        <v>48418</v>
      </c>
      <c r="C12" s="11">
        <f>'ekon kalkulace'!C13</f>
        <v>27.481000000000002</v>
      </c>
      <c r="D12" s="11">
        <f>'ekon kalkulace'!D13</f>
        <v>4345766</v>
      </c>
      <c r="E12" s="46">
        <f>'ekon kalkulace'!E13</f>
        <v>87507083.924999997</v>
      </c>
      <c r="F12">
        <f>'ekon kalkulace'!F13</f>
        <v>0.58388534132410974</v>
      </c>
      <c r="G12">
        <f>'ekon kalkulace'!G13</f>
        <v>0.54040354722504547</v>
      </c>
      <c r="H12">
        <v>0.4</v>
      </c>
      <c r="I12" s="11">
        <v>0.91</v>
      </c>
      <c r="J12">
        <f>2927.43*1000</f>
        <v>2927430</v>
      </c>
      <c r="K12" s="55">
        <f t="shared" si="0"/>
        <v>0</v>
      </c>
      <c r="L12" s="27">
        <f t="shared" si="1"/>
        <v>435573.91899999976</v>
      </c>
      <c r="M12" s="56">
        <f t="shared" si="2"/>
        <v>2.2630000000000017</v>
      </c>
    </row>
    <row r="13" spans="1:13" x14ac:dyDescent="0.3">
      <c r="A13" s="45">
        <v>2015</v>
      </c>
      <c r="B13">
        <f>'ekon kalkulace'!B14</f>
        <v>52953</v>
      </c>
      <c r="C13" s="11">
        <f>'ekon kalkulace'!C14</f>
        <v>27.693000000000001</v>
      </c>
      <c r="D13" s="11">
        <f>'ekon kalkulace'!D14</f>
        <v>4625378</v>
      </c>
      <c r="E13" s="46">
        <f>'ekon kalkulace'!E14</f>
        <v>84453349.554000005</v>
      </c>
      <c r="F13">
        <f>'ekon kalkulace'!F14</f>
        <v>0.64690198155124856</v>
      </c>
      <c r="G13">
        <f>'ekon kalkulace'!G14</f>
        <v>0.56113967103712659</v>
      </c>
      <c r="H13">
        <v>0.3</v>
      </c>
      <c r="I13" s="11">
        <v>0.51</v>
      </c>
      <c r="J13">
        <f>3026.18*1000</f>
        <v>3026180</v>
      </c>
      <c r="K13" s="55">
        <f t="shared" si="0"/>
        <v>0</v>
      </c>
      <c r="L13" s="27">
        <f t="shared" si="1"/>
        <v>-3053734.3709999919</v>
      </c>
      <c r="M13" s="56">
        <f t="shared" si="2"/>
        <v>0.21199999999999974</v>
      </c>
    </row>
    <row r="14" spans="1:13" x14ac:dyDescent="0.3">
      <c r="A14" s="45">
        <v>2016</v>
      </c>
      <c r="B14">
        <f>'ekon kalkulace'!B15</f>
        <v>55923</v>
      </c>
      <c r="C14" s="11">
        <f>'ekon kalkulace'!C15</f>
        <v>27.023</v>
      </c>
      <c r="D14" s="11">
        <f>'ekon kalkulace'!D15</f>
        <v>4796873</v>
      </c>
      <c r="E14" s="46">
        <f>'ekon kalkulace'!E15</f>
        <v>82907742.96100001</v>
      </c>
      <c r="F14">
        <f>'ekon kalkulace'!F15</f>
        <v>0.60707355620178338</v>
      </c>
      <c r="G14">
        <f>'ekon kalkulace'!G15</f>
        <v>0.57511478539558314</v>
      </c>
      <c r="H14">
        <v>0.7</v>
      </c>
      <c r="I14" s="11">
        <v>0.49</v>
      </c>
      <c r="J14">
        <f>3134.74*1000</f>
        <v>3134740</v>
      </c>
      <c r="K14" s="55">
        <f t="shared" si="0"/>
        <v>0</v>
      </c>
      <c r="L14" s="27">
        <f t="shared" si="1"/>
        <v>-1545606.5929999948</v>
      </c>
      <c r="M14" s="56">
        <f t="shared" si="2"/>
        <v>-0.67000000000000171</v>
      </c>
    </row>
    <row r="15" spans="1:13" x14ac:dyDescent="0.3">
      <c r="A15" s="45">
        <v>2017</v>
      </c>
      <c r="B15">
        <f>'ekon kalkulace'!B16</f>
        <v>54100</v>
      </c>
      <c r="C15" s="11">
        <f>'ekon kalkulace'!C16</f>
        <v>27.021000000000001</v>
      </c>
      <c r="D15" s="11">
        <f>'ekon kalkulace'!D16</f>
        <v>5110743</v>
      </c>
      <c r="E15" s="46">
        <f>'ekon kalkulace'!E16</f>
        <v>80971886.519999996</v>
      </c>
      <c r="F15">
        <f>'ekon kalkulace'!F16</f>
        <v>0.61870273324852654</v>
      </c>
      <c r="G15">
        <f>'ekon kalkulace'!G16</f>
        <v>0.5675313827283206</v>
      </c>
      <c r="H15">
        <v>2.5</v>
      </c>
      <c r="I15" s="11">
        <v>1.51</v>
      </c>
      <c r="J15">
        <f>3267.16*1000</f>
        <v>3267160</v>
      </c>
      <c r="K15" s="55">
        <f t="shared" si="0"/>
        <v>0</v>
      </c>
      <c r="L15" s="27">
        <f t="shared" si="1"/>
        <v>-1935856.4410000145</v>
      </c>
      <c r="M15" s="56">
        <f t="shared" si="2"/>
        <v>-1.9999999999988916E-3</v>
      </c>
    </row>
    <row r="16" spans="1:13" x14ac:dyDescent="0.3">
      <c r="A16" s="45">
        <v>2018</v>
      </c>
      <c r="B16">
        <f>'ekon kalkulace'!B17</f>
        <v>58102</v>
      </c>
      <c r="C16" s="11">
        <f>'ekon kalkulace'!C17</f>
        <v>25.494</v>
      </c>
      <c r="D16" s="11">
        <f>'ekon kalkulace'!D17</f>
        <v>5410761</v>
      </c>
      <c r="E16" s="46">
        <f>'ekon kalkulace'!E17</f>
        <v>82067729.040000007</v>
      </c>
      <c r="F16">
        <f>'ekon kalkulace'!F17</f>
        <v>0.62275382464684725</v>
      </c>
      <c r="G16">
        <f>'ekon kalkulace'!G17</f>
        <v>0.55588912538717272</v>
      </c>
      <c r="H16">
        <v>2.1</v>
      </c>
      <c r="I16" s="11">
        <v>1.73</v>
      </c>
      <c r="J16">
        <f>3365.45*1000</f>
        <v>3365450</v>
      </c>
      <c r="K16" s="55">
        <f t="shared" si="0"/>
        <v>1</v>
      </c>
      <c r="L16" s="27">
        <f t="shared" si="1"/>
        <v>1095842.5200000107</v>
      </c>
      <c r="M16" s="56">
        <f t="shared" si="2"/>
        <v>-1.527000000000001</v>
      </c>
    </row>
    <row r="17" spans="1:13" x14ac:dyDescent="0.3">
      <c r="A17" s="45">
        <v>2019</v>
      </c>
      <c r="B17">
        <f>'ekon kalkulace'!B18</f>
        <v>65072</v>
      </c>
      <c r="C17" s="11">
        <f>'ekon kalkulace'!C18</f>
        <v>25.751999999999999</v>
      </c>
      <c r="D17" s="11">
        <f>'ekon kalkulace'!D18</f>
        <v>5791498</v>
      </c>
      <c r="E17" s="46">
        <f>'ekon kalkulace'!E18</f>
        <v>80487400.488000005</v>
      </c>
      <c r="F17">
        <f>'ekon kalkulace'!F18</f>
        <v>0.61525499942069284</v>
      </c>
      <c r="G17">
        <f>'ekon kalkulace'!G18</f>
        <v>0.61308492941953019</v>
      </c>
      <c r="H17">
        <v>2.8</v>
      </c>
      <c r="I17" s="11">
        <v>1.45</v>
      </c>
      <c r="J17">
        <f>3474.11*1000</f>
        <v>3474110</v>
      </c>
      <c r="K17" s="55">
        <f t="shared" si="0"/>
        <v>0</v>
      </c>
      <c r="L17" s="27">
        <f t="shared" si="1"/>
        <v>-1580328.5520000011</v>
      </c>
      <c r="M17" s="56">
        <f t="shared" si="2"/>
        <v>0.25799999999999912</v>
      </c>
    </row>
    <row r="18" spans="1:13" x14ac:dyDescent="0.3">
      <c r="A18" s="45">
        <v>2020</v>
      </c>
      <c r="B18">
        <f>'ekon kalkulace'!B19</f>
        <v>57071</v>
      </c>
      <c r="C18" s="11">
        <f>'ekon kalkulace'!C19</f>
        <v>25.411000000000001</v>
      </c>
      <c r="D18" s="11">
        <f>'ekon kalkulace'!D19</f>
        <v>5709131</v>
      </c>
      <c r="E18" s="46">
        <f>'ekon kalkulace'!E19</f>
        <v>76995984.912</v>
      </c>
      <c r="F18">
        <f>'ekon kalkulace'!F19</f>
        <v>0.61061220754848666</v>
      </c>
      <c r="G18">
        <f>'ekon kalkulace'!G19</f>
        <v>0.52444312412435068</v>
      </c>
      <c r="H18">
        <v>3.2</v>
      </c>
      <c r="I18" s="11">
        <v>0.14000000000000001</v>
      </c>
      <c r="J18">
        <f>3403.73*1000</f>
        <v>3403730</v>
      </c>
      <c r="K18" s="55">
        <f t="shared" si="0"/>
        <v>0</v>
      </c>
      <c r="L18" s="27">
        <f t="shared" si="1"/>
        <v>-3491415.576000005</v>
      </c>
      <c r="M18" s="56">
        <f t="shared" si="2"/>
        <v>-0.34099999999999753</v>
      </c>
    </row>
    <row r="19" spans="1:13" x14ac:dyDescent="0.3">
      <c r="A19" s="45">
        <v>2021</v>
      </c>
      <c r="B19">
        <f>'ekon kalkulace'!B20</f>
        <v>54888</v>
      </c>
      <c r="C19" s="11">
        <f>'ekon kalkulace'!C20</f>
        <v>26.140999999999998</v>
      </c>
      <c r="D19" s="11">
        <f>'ekon kalkulace'!D20</f>
        <v>6108717</v>
      </c>
      <c r="E19" s="46">
        <f>'ekon kalkulace'!E20</f>
        <v>74567247.276000008</v>
      </c>
      <c r="F19">
        <f>'ekon kalkulace'!F20</f>
        <v>0.60127399265714698</v>
      </c>
      <c r="G19">
        <f>'ekon kalkulace'!G20</f>
        <v>0.49782745587713029</v>
      </c>
      <c r="H19">
        <v>3.8</v>
      </c>
      <c r="I19" s="11">
        <v>3.07</v>
      </c>
      <c r="J19">
        <f>3617.45*1000</f>
        <v>3617450</v>
      </c>
      <c r="K19" s="55">
        <f t="shared" si="0"/>
        <v>1</v>
      </c>
      <c r="L19" s="27">
        <f t="shared" si="1"/>
        <v>-2428737.6359999925</v>
      </c>
      <c r="M19" s="56">
        <f t="shared" si="2"/>
        <v>0.72999999999999687</v>
      </c>
    </row>
    <row r="20" spans="1:13" ht="15" thickBot="1" x14ac:dyDescent="0.35">
      <c r="A20" s="47">
        <v>2022</v>
      </c>
      <c r="B20" s="48">
        <v>53172</v>
      </c>
      <c r="C20" s="49">
        <v>24.818000000000001</v>
      </c>
      <c r="D20" s="50">
        <v>6785852</v>
      </c>
      <c r="E20" s="51">
        <v>76533515.873999998</v>
      </c>
      <c r="F20" s="52">
        <v>0.56899999999999995</v>
      </c>
      <c r="G20" s="52">
        <v>0.48699999999999999</v>
      </c>
      <c r="H20" s="53">
        <v>15.1</v>
      </c>
      <c r="I20" s="54">
        <v>6.86</v>
      </c>
      <c r="J20" s="53">
        <f>3876.8*1000</f>
        <v>3876800</v>
      </c>
      <c r="K20" s="57">
        <f t="shared" si="0"/>
        <v>1</v>
      </c>
      <c r="L20" s="58">
        <f>E20-E19</f>
        <v>1966268.59799999</v>
      </c>
      <c r="M20" s="59">
        <f t="shared" si="2"/>
        <v>-1.3229999999999968</v>
      </c>
    </row>
    <row r="21" spans="1:13" x14ac:dyDescent="0.3">
      <c r="C21" s="11"/>
      <c r="E21" s="11"/>
      <c r="I21" s="11"/>
    </row>
    <row r="22" spans="1:13" x14ac:dyDescent="0.3">
      <c r="E22" s="1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7A64-ECAB-440F-AAAF-89EB68B03E5C}">
  <dimension ref="A1:AI24"/>
  <sheetViews>
    <sheetView topLeftCell="P1" workbookViewId="0">
      <selection activeCell="AE13" sqref="AE13"/>
    </sheetView>
  </sheetViews>
  <sheetFormatPr defaultRowHeight="14.4" x14ac:dyDescent="0.3"/>
  <cols>
    <col min="1" max="1" width="15.109375" customWidth="1"/>
  </cols>
  <sheetData>
    <row r="1" spans="1:35" x14ac:dyDescent="0.3">
      <c r="A1" t="s">
        <v>23</v>
      </c>
      <c r="B1" t="s">
        <v>24</v>
      </c>
      <c r="J1" t="s">
        <v>23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7</v>
      </c>
      <c r="S1" t="s">
        <v>8</v>
      </c>
      <c r="T1" t="s">
        <v>9</v>
      </c>
      <c r="U1" t="s">
        <v>10</v>
      </c>
      <c r="V1" t="s">
        <v>11</v>
      </c>
      <c r="W1" t="s">
        <v>12</v>
      </c>
      <c r="X1" t="s">
        <v>13</v>
      </c>
      <c r="Y1" t="s">
        <v>14</v>
      </c>
      <c r="Z1" t="s">
        <v>15</v>
      </c>
      <c r="AA1" t="s">
        <v>16</v>
      </c>
      <c r="AB1" t="s">
        <v>17</v>
      </c>
      <c r="AC1" t="s">
        <v>18</v>
      </c>
      <c r="AD1" t="s">
        <v>19</v>
      </c>
      <c r="AE1" t="s">
        <v>20</v>
      </c>
      <c r="AF1" t="s">
        <v>21</v>
      </c>
      <c r="AG1" t="s">
        <v>22</v>
      </c>
    </row>
    <row r="2" spans="1:35" x14ac:dyDescent="0.3">
      <c r="A2" t="s">
        <v>0</v>
      </c>
      <c r="B2">
        <v>136</v>
      </c>
      <c r="J2" t="s">
        <v>24</v>
      </c>
      <c r="K2">
        <v>136</v>
      </c>
      <c r="L2">
        <v>102</v>
      </c>
      <c r="M2">
        <v>93</v>
      </c>
      <c r="N2">
        <v>92</v>
      </c>
      <c r="O2">
        <v>83</v>
      </c>
      <c r="P2">
        <v>80</v>
      </c>
      <c r="Q2">
        <v>79</v>
      </c>
      <c r="R2">
        <v>76</v>
      </c>
      <c r="S2">
        <v>71</v>
      </c>
      <c r="T2">
        <v>70</v>
      </c>
      <c r="U2">
        <v>68</v>
      </c>
      <c r="V2">
        <v>68</v>
      </c>
      <c r="W2">
        <v>59</v>
      </c>
      <c r="X2">
        <v>58</v>
      </c>
      <c r="Y2">
        <v>57</v>
      </c>
      <c r="Z2">
        <v>54</v>
      </c>
      <c r="AA2">
        <v>53</v>
      </c>
      <c r="AB2">
        <v>51</v>
      </c>
      <c r="AC2">
        <v>50</v>
      </c>
      <c r="AD2">
        <v>50</v>
      </c>
      <c r="AE2">
        <v>38</v>
      </c>
      <c r="AF2">
        <v>35</v>
      </c>
      <c r="AG2">
        <v>33</v>
      </c>
    </row>
    <row r="3" spans="1:35" x14ac:dyDescent="0.3">
      <c r="A3" t="s">
        <v>1</v>
      </c>
      <c r="B3">
        <v>102</v>
      </c>
    </row>
    <row r="4" spans="1:35" x14ac:dyDescent="0.3">
      <c r="A4" t="s">
        <v>2</v>
      </c>
      <c r="B4">
        <v>93</v>
      </c>
    </row>
    <row r="5" spans="1:35" x14ac:dyDescent="0.3">
      <c r="A5" t="s">
        <v>3</v>
      </c>
      <c r="B5">
        <v>92</v>
      </c>
    </row>
    <row r="6" spans="1:35" x14ac:dyDescent="0.3">
      <c r="A6" t="s">
        <v>4</v>
      </c>
      <c r="B6">
        <v>83</v>
      </c>
    </row>
    <row r="7" spans="1:35" x14ac:dyDescent="0.3">
      <c r="A7" t="s">
        <v>5</v>
      </c>
      <c r="B7">
        <v>80</v>
      </c>
    </row>
    <row r="8" spans="1:35" x14ac:dyDescent="0.3">
      <c r="A8" t="s">
        <v>6</v>
      </c>
      <c r="B8">
        <v>79</v>
      </c>
    </row>
    <row r="9" spans="1:35" x14ac:dyDescent="0.3">
      <c r="A9" t="s">
        <v>7</v>
      </c>
      <c r="B9">
        <v>76</v>
      </c>
    </row>
    <row r="10" spans="1:35" x14ac:dyDescent="0.3">
      <c r="A10" t="s">
        <v>8</v>
      </c>
      <c r="B10">
        <v>71</v>
      </c>
    </row>
    <row r="11" spans="1:35" x14ac:dyDescent="0.3">
      <c r="A11" t="s">
        <v>9</v>
      </c>
      <c r="B11">
        <v>70</v>
      </c>
      <c r="AF11" s="8" t="s">
        <v>31</v>
      </c>
      <c r="AG11" s="7"/>
      <c r="AH11" s="7"/>
      <c r="AI11" s="7"/>
    </row>
    <row r="12" spans="1:35" x14ac:dyDescent="0.3">
      <c r="A12" t="s">
        <v>10</v>
      </c>
      <c r="B12">
        <v>68</v>
      </c>
    </row>
    <row r="13" spans="1:35" x14ac:dyDescent="0.3">
      <c r="A13" t="s">
        <v>11</v>
      </c>
      <c r="B13">
        <v>68</v>
      </c>
    </row>
    <row r="14" spans="1:35" x14ac:dyDescent="0.3">
      <c r="A14" t="s">
        <v>12</v>
      </c>
      <c r="B14">
        <v>59</v>
      </c>
    </row>
    <row r="15" spans="1:35" x14ac:dyDescent="0.3">
      <c r="A15" t="s">
        <v>13</v>
      </c>
      <c r="B15">
        <v>58</v>
      </c>
    </row>
    <row r="16" spans="1:35" x14ac:dyDescent="0.3">
      <c r="A16" t="s">
        <v>14</v>
      </c>
      <c r="B16">
        <v>57</v>
      </c>
    </row>
    <row r="17" spans="1:2" x14ac:dyDescent="0.3">
      <c r="A17" t="s">
        <v>15</v>
      </c>
      <c r="B17">
        <v>54</v>
      </c>
    </row>
    <row r="18" spans="1:2" x14ac:dyDescent="0.3">
      <c r="A18" t="s">
        <v>16</v>
      </c>
      <c r="B18">
        <v>53</v>
      </c>
    </row>
    <row r="19" spans="1:2" x14ac:dyDescent="0.3">
      <c r="A19" t="s">
        <v>17</v>
      </c>
      <c r="B19">
        <v>51</v>
      </c>
    </row>
    <row r="20" spans="1:2" x14ac:dyDescent="0.3">
      <c r="A20" t="s">
        <v>18</v>
      </c>
      <c r="B20">
        <v>50</v>
      </c>
    </row>
    <row r="21" spans="1:2" x14ac:dyDescent="0.3">
      <c r="A21" t="s">
        <v>19</v>
      </c>
      <c r="B21">
        <v>50</v>
      </c>
    </row>
    <row r="22" spans="1:2" x14ac:dyDescent="0.3">
      <c r="A22" t="s">
        <v>20</v>
      </c>
      <c r="B22">
        <v>38</v>
      </c>
    </row>
    <row r="23" spans="1:2" x14ac:dyDescent="0.3">
      <c r="A23" t="s">
        <v>21</v>
      </c>
      <c r="B23">
        <v>35</v>
      </c>
    </row>
    <row r="24" spans="1:2" x14ac:dyDescent="0.3">
      <c r="A24" t="s">
        <v>22</v>
      </c>
      <c r="B24">
        <v>33</v>
      </c>
    </row>
  </sheetData>
  <sortState xmlns:xlrd2="http://schemas.microsoft.com/office/spreadsheetml/2017/richdata2" ref="K2:AG2">
    <sortCondition ref="K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F828-2615-4AA6-8E8E-EAC624494514}">
  <dimension ref="A1:M184"/>
  <sheetViews>
    <sheetView workbookViewId="0">
      <selection activeCell="F16" sqref="F16"/>
    </sheetView>
  </sheetViews>
  <sheetFormatPr defaultRowHeight="14.4" x14ac:dyDescent="0.3"/>
  <cols>
    <col min="2" max="2" width="13.33203125" customWidth="1"/>
    <col min="3" max="3" width="10" customWidth="1"/>
    <col min="12" max="12" width="19.88671875" customWidth="1"/>
    <col min="13" max="13" width="12.5546875" customWidth="1"/>
  </cols>
  <sheetData>
    <row r="1" spans="1:13" x14ac:dyDescent="0.3">
      <c r="A1" t="s">
        <v>82</v>
      </c>
      <c r="F1" t="s">
        <v>85</v>
      </c>
      <c r="I1" s="74">
        <v>431054</v>
      </c>
    </row>
    <row r="2" spans="1:13" x14ac:dyDescent="0.3">
      <c r="B2" t="s">
        <v>83</v>
      </c>
      <c r="C2" t="s">
        <v>84</v>
      </c>
      <c r="D2" t="s">
        <v>86</v>
      </c>
      <c r="E2" t="s">
        <v>109</v>
      </c>
      <c r="F2" t="s">
        <v>87</v>
      </c>
      <c r="H2">
        <v>2005</v>
      </c>
      <c r="I2" s="74">
        <v>476364</v>
      </c>
      <c r="K2" t="s">
        <v>30</v>
      </c>
      <c r="L2" t="s">
        <v>115</v>
      </c>
      <c r="M2" s="34" t="s">
        <v>114</v>
      </c>
    </row>
    <row r="3" spans="1:13" x14ac:dyDescent="0.3">
      <c r="A3">
        <v>2003</v>
      </c>
      <c r="B3" s="35">
        <v>43053</v>
      </c>
      <c r="C3" s="35">
        <v>45236</v>
      </c>
      <c r="D3" s="29">
        <f>B3-C3</f>
        <v>-2183</v>
      </c>
      <c r="E3" s="69">
        <v>88665.11744755684</v>
      </c>
      <c r="F3">
        <f>(D3/E3)/10</f>
        <v>-2.4620730935039801E-3</v>
      </c>
      <c r="I3" s="74">
        <v>458446</v>
      </c>
      <c r="K3" s="73">
        <v>2003</v>
      </c>
      <c r="L3" s="81">
        <v>43053</v>
      </c>
      <c r="M3" s="86">
        <v>9.2496374097509033</v>
      </c>
    </row>
    <row r="4" spans="1:13" x14ac:dyDescent="0.3">
      <c r="A4">
        <v>2004</v>
      </c>
      <c r="B4" s="35">
        <v>53252</v>
      </c>
      <c r="C4" s="35">
        <v>53901</v>
      </c>
      <c r="D4" s="29">
        <f t="shared" ref="D4:D21" si="0">B4-C4</f>
        <v>-649</v>
      </c>
      <c r="E4" s="69">
        <v>96514.763039117359</v>
      </c>
      <c r="F4">
        <f t="shared" ref="F4:F22" si="1">(D4/E4)/10</f>
        <v>-6.7243598757732101E-4</v>
      </c>
      <c r="I4" s="75">
        <v>502722</v>
      </c>
      <c r="K4" s="73">
        <v>2004</v>
      </c>
      <c r="L4" s="81">
        <v>53252</v>
      </c>
      <c r="M4" s="86">
        <v>25.656087473466897</v>
      </c>
    </row>
    <row r="5" spans="1:13" x14ac:dyDescent="0.3">
      <c r="A5">
        <v>2005</v>
      </c>
      <c r="B5" s="36">
        <v>62784</v>
      </c>
      <c r="C5" s="36">
        <v>61499</v>
      </c>
      <c r="D5" s="29">
        <f t="shared" si="0"/>
        <v>1285</v>
      </c>
      <c r="E5" s="69">
        <v>110314.29626645178</v>
      </c>
      <c r="F5">
        <f t="shared" si="1"/>
        <v>1.1648535534290378E-3</v>
      </c>
      <c r="I5" s="76">
        <v>511303</v>
      </c>
      <c r="K5" s="73">
        <v>2005</v>
      </c>
      <c r="L5" s="82">
        <v>62784</v>
      </c>
      <c r="M5" s="86">
        <v>8.4711582166385995</v>
      </c>
    </row>
    <row r="6" spans="1:13" x14ac:dyDescent="0.3">
      <c r="A6">
        <v>2006</v>
      </c>
      <c r="B6" s="37">
        <v>75699</v>
      </c>
      <c r="C6" s="37">
        <v>74305</v>
      </c>
      <c r="D6" s="29">
        <f t="shared" si="0"/>
        <v>1394</v>
      </c>
      <c r="E6" s="69">
        <v>124576.82672970399</v>
      </c>
      <c r="F6">
        <f t="shared" si="1"/>
        <v>1.1189882071924826E-3</v>
      </c>
      <c r="H6">
        <v>2006</v>
      </c>
      <c r="I6" s="74">
        <v>526855</v>
      </c>
      <c r="K6" s="73">
        <v>2006</v>
      </c>
      <c r="L6" s="82">
        <v>75699</v>
      </c>
      <c r="M6" s="86">
        <v>14.769831305596838</v>
      </c>
    </row>
    <row r="7" spans="1:13" x14ac:dyDescent="0.3">
      <c r="A7">
        <v>2007</v>
      </c>
      <c r="B7" s="30">
        <v>89396</v>
      </c>
      <c r="C7" s="31">
        <v>86238</v>
      </c>
      <c r="D7" s="29">
        <f t="shared" si="0"/>
        <v>3158</v>
      </c>
      <c r="E7" s="69">
        <v>139022.15258266695</v>
      </c>
      <c r="F7">
        <f t="shared" si="1"/>
        <v>2.2715804217764172E-3</v>
      </c>
      <c r="I7" s="74">
        <v>516423</v>
      </c>
      <c r="K7" s="73">
        <v>2007</v>
      </c>
      <c r="L7" s="83">
        <v>89396</v>
      </c>
      <c r="M7" s="86">
        <v>15.605017875353283</v>
      </c>
    </row>
    <row r="8" spans="1:13" x14ac:dyDescent="0.3">
      <c r="A8">
        <v>2008</v>
      </c>
      <c r="B8" s="32">
        <v>98915</v>
      </c>
      <c r="C8" s="33">
        <v>96136</v>
      </c>
      <c r="D8" s="29">
        <f t="shared" si="0"/>
        <v>2779</v>
      </c>
      <c r="E8" s="69">
        <v>162090.44984363724</v>
      </c>
      <c r="F8">
        <f t="shared" si="1"/>
        <v>1.7144748519612354E-3</v>
      </c>
      <c r="I8" s="75">
        <v>589992</v>
      </c>
      <c r="K8" s="73">
        <v>2008</v>
      </c>
      <c r="L8" s="83">
        <v>98915</v>
      </c>
      <c r="M8" s="86">
        <v>-0.22176204424431489</v>
      </c>
    </row>
    <row r="9" spans="1:13" x14ac:dyDescent="0.3">
      <c r="A9">
        <v>2009</v>
      </c>
      <c r="B9" s="34">
        <v>80992</v>
      </c>
      <c r="C9" s="34">
        <v>75322</v>
      </c>
      <c r="D9" s="29">
        <f t="shared" si="0"/>
        <v>5670</v>
      </c>
      <c r="E9" s="69">
        <v>149529.96785781812</v>
      </c>
      <c r="F9">
        <f t="shared" si="1"/>
        <v>3.7918820429302634E-3</v>
      </c>
      <c r="I9" s="76">
        <v>601244</v>
      </c>
      <c r="K9" s="73">
        <v>2009</v>
      </c>
      <c r="L9" s="84">
        <v>80992</v>
      </c>
      <c r="M9" s="86">
        <v>-13.546837657696699</v>
      </c>
    </row>
    <row r="10" spans="1:13" x14ac:dyDescent="0.3">
      <c r="A10">
        <v>2010</v>
      </c>
      <c r="B10">
        <v>100319</v>
      </c>
      <c r="C10">
        <v>95544</v>
      </c>
      <c r="D10" s="29">
        <f t="shared" si="0"/>
        <v>4775</v>
      </c>
      <c r="E10" s="69">
        <v>157883.35310399366</v>
      </c>
      <c r="F10">
        <f t="shared" si="1"/>
        <v>3.024384715755835E-3</v>
      </c>
      <c r="I10" s="74">
        <v>615191</v>
      </c>
      <c r="K10" s="73">
        <v>2010</v>
      </c>
      <c r="L10" s="80">
        <v>100319</v>
      </c>
      <c r="M10" s="86">
        <v>18.431205499987598</v>
      </c>
    </row>
    <row r="11" spans="1:13" x14ac:dyDescent="0.3">
      <c r="A11">
        <v>2011</v>
      </c>
      <c r="B11">
        <v>117057</v>
      </c>
      <c r="C11">
        <v>109288</v>
      </c>
      <c r="D11" s="29">
        <f t="shared" si="0"/>
        <v>7769</v>
      </c>
      <c r="E11" s="69">
        <v>165229.1141299927</v>
      </c>
      <c r="F11">
        <f t="shared" si="1"/>
        <v>4.7019558513687852E-3</v>
      </c>
      <c r="I11" s="74">
        <v>604820</v>
      </c>
      <c r="K11" s="73">
        <v>2011</v>
      </c>
      <c r="L11" s="80">
        <v>117057</v>
      </c>
      <c r="M11" s="86">
        <v>13.656601772664771</v>
      </c>
    </row>
    <row r="12" spans="1:13" x14ac:dyDescent="0.3">
      <c r="A12">
        <v>2012</v>
      </c>
      <c r="B12">
        <v>122244</v>
      </c>
      <c r="C12">
        <v>110078</v>
      </c>
      <c r="D12" s="29">
        <f t="shared" si="0"/>
        <v>12166</v>
      </c>
      <c r="E12" s="69">
        <v>162626.25780535338</v>
      </c>
      <c r="F12">
        <f t="shared" si="1"/>
        <v>7.4809567435053627E-3</v>
      </c>
      <c r="I12" s="75">
        <v>657979</v>
      </c>
      <c r="K12" s="73">
        <v>2012</v>
      </c>
      <c r="L12" s="80">
        <v>122244</v>
      </c>
      <c r="M12" s="86">
        <v>6.7359435243310202</v>
      </c>
    </row>
    <row r="13" spans="1:13" x14ac:dyDescent="0.3">
      <c r="A13">
        <v>2013</v>
      </c>
      <c r="B13">
        <v>122186</v>
      </c>
      <c r="C13">
        <v>108622</v>
      </c>
      <c r="D13" s="29">
        <f t="shared" si="0"/>
        <v>13564</v>
      </c>
      <c r="E13" s="69">
        <v>159498.38299838299</v>
      </c>
      <c r="F13">
        <f t="shared" si="1"/>
        <v>8.5041614497982174E-3</v>
      </c>
      <c r="I13" s="76">
        <v>645418</v>
      </c>
      <c r="K13" s="73">
        <v>2013</v>
      </c>
      <c r="L13" s="80">
        <v>122186</v>
      </c>
      <c r="M13" s="86">
        <v>3.3231161381996657</v>
      </c>
    </row>
    <row r="14" spans="1:13" x14ac:dyDescent="0.3">
      <c r="A14">
        <v>2014</v>
      </c>
      <c r="B14">
        <v>131806</v>
      </c>
      <c r="C14">
        <v>116209</v>
      </c>
      <c r="D14" s="29">
        <f t="shared" si="0"/>
        <v>15597</v>
      </c>
      <c r="E14" s="69">
        <v>157838.44840736571</v>
      </c>
      <c r="F14">
        <f t="shared" si="1"/>
        <v>9.8816227334835791E-3</v>
      </c>
      <c r="I14" s="74">
        <v>654191</v>
      </c>
      <c r="K14" s="73">
        <v>2014</v>
      </c>
      <c r="L14" s="80">
        <v>131806</v>
      </c>
      <c r="M14" s="86">
        <v>14.30438869261512</v>
      </c>
    </row>
    <row r="15" spans="1:13" x14ac:dyDescent="0.3">
      <c r="A15">
        <v>2015</v>
      </c>
      <c r="B15">
        <v>142369</v>
      </c>
      <c r="C15">
        <v>127486</v>
      </c>
      <c r="D15" s="29">
        <f t="shared" si="0"/>
        <v>14883</v>
      </c>
      <c r="E15" s="69">
        <v>169533.33577685736</v>
      </c>
      <c r="F15">
        <f t="shared" si="1"/>
        <v>8.7788044350105027E-3</v>
      </c>
      <c r="I15" s="74">
        <v>603389</v>
      </c>
      <c r="K15" s="73">
        <v>2015</v>
      </c>
      <c r="L15" s="80">
        <v>142369</v>
      </c>
      <c r="M15" s="86">
        <v>7.0111655946027724</v>
      </c>
    </row>
    <row r="16" spans="1:13" x14ac:dyDescent="0.3">
      <c r="A16">
        <v>2016</v>
      </c>
      <c r="B16">
        <v>147004</v>
      </c>
      <c r="C16">
        <v>129272</v>
      </c>
      <c r="D16" s="29">
        <f t="shared" si="0"/>
        <v>17732</v>
      </c>
      <c r="E16" s="69">
        <v>177445.08563607442</v>
      </c>
      <c r="F16">
        <f t="shared" si="1"/>
        <v>9.9929507410348364E-3</v>
      </c>
      <c r="I16" s="75">
        <v>570738</v>
      </c>
      <c r="K16" s="73">
        <v>2016</v>
      </c>
      <c r="L16" s="80">
        <v>147004</v>
      </c>
      <c r="M16" s="86">
        <v>2.3380936942235735</v>
      </c>
    </row>
    <row r="17" spans="1:13" x14ac:dyDescent="0.3">
      <c r="A17">
        <v>2017</v>
      </c>
      <c r="B17">
        <v>161284</v>
      </c>
      <c r="C17">
        <v>144491</v>
      </c>
      <c r="D17" s="29">
        <f t="shared" si="0"/>
        <v>16793</v>
      </c>
      <c r="E17" s="69">
        <v>194103.41815419676</v>
      </c>
      <c r="F17">
        <f t="shared" si="1"/>
        <v>8.6515735578955918E-3</v>
      </c>
      <c r="I17" s="76">
        <v>159837</v>
      </c>
      <c r="K17" s="73">
        <v>2017</v>
      </c>
      <c r="L17" s="80">
        <v>161284</v>
      </c>
      <c r="M17" s="86">
        <v>6.8078025325845744</v>
      </c>
    </row>
    <row r="18" spans="1:13" x14ac:dyDescent="0.3">
      <c r="A18">
        <v>2018</v>
      </c>
      <c r="B18">
        <v>171716</v>
      </c>
      <c r="C18">
        <v>156852</v>
      </c>
      <c r="D18" s="29">
        <f t="shared" si="0"/>
        <v>14864</v>
      </c>
      <c r="E18" s="69">
        <v>211003.43173575634</v>
      </c>
      <c r="F18">
        <f t="shared" si="1"/>
        <v>7.0444351912790082E-3</v>
      </c>
      <c r="I18" s="74">
        <v>167777</v>
      </c>
      <c r="K18" s="73">
        <v>2018</v>
      </c>
      <c r="L18" s="80">
        <v>171716</v>
      </c>
      <c r="M18" s="86">
        <v>3.7999999999999972</v>
      </c>
    </row>
    <row r="19" spans="1:13" x14ac:dyDescent="0.3">
      <c r="A19">
        <v>2019</v>
      </c>
      <c r="B19" s="34">
        <v>287957.51</v>
      </c>
      <c r="C19" s="34">
        <v>276593.3</v>
      </c>
      <c r="D19" s="38">
        <f>B19-C19</f>
        <v>11364.210000000021</v>
      </c>
      <c r="E19" s="69">
        <v>225595.90215020254</v>
      </c>
      <c r="F19">
        <f t="shared" si="1"/>
        <v>5.0374186284792045E-3</v>
      </c>
      <c r="I19" s="74">
        <v>195240</v>
      </c>
      <c r="K19" s="73">
        <v>2019</v>
      </c>
      <c r="L19" s="84">
        <v>287957.51</v>
      </c>
      <c r="M19" s="87"/>
    </row>
    <row r="20" spans="1:13" x14ac:dyDescent="0.3">
      <c r="A20">
        <v>2020</v>
      </c>
      <c r="B20" s="34">
        <v>263599.23</v>
      </c>
      <c r="C20" s="34">
        <v>249982.01</v>
      </c>
      <c r="D20" s="38">
        <f t="shared" si="0"/>
        <v>13617.219999999972</v>
      </c>
      <c r="E20" s="69">
        <v>215895.13689305703</v>
      </c>
      <c r="F20">
        <f t="shared" si="1"/>
        <v>6.3073305846371233E-3</v>
      </c>
      <c r="I20" s="74">
        <v>175642</v>
      </c>
      <c r="K20" s="73">
        <v>2020</v>
      </c>
      <c r="L20" s="84">
        <v>263599.23</v>
      </c>
      <c r="M20" s="87"/>
    </row>
    <row r="21" spans="1:13" x14ac:dyDescent="0.3">
      <c r="A21">
        <v>2021</v>
      </c>
      <c r="B21" s="34">
        <v>312063.34999999998</v>
      </c>
      <c r="C21" s="34">
        <v>322140.84999999998</v>
      </c>
      <c r="D21" s="38">
        <f t="shared" si="0"/>
        <v>-10077.5</v>
      </c>
      <c r="E21" s="69">
        <v>238203.04152856307</v>
      </c>
      <c r="F21">
        <f t="shared" si="1"/>
        <v>-4.2306344769286247E-3</v>
      </c>
      <c r="I21" s="74">
        <v>165877</v>
      </c>
      <c r="K21" s="73">
        <v>2021</v>
      </c>
      <c r="L21" s="84">
        <v>312063.34999999998</v>
      </c>
      <c r="M21" s="87"/>
    </row>
    <row r="22" spans="1:13" x14ac:dyDescent="0.3">
      <c r="A22">
        <v>2022</v>
      </c>
      <c r="B22" s="34">
        <v>354348.49</v>
      </c>
      <c r="C22" s="34">
        <v>381884.65</v>
      </c>
      <c r="D22" s="38">
        <f>B22-C22</f>
        <v>-27536.160000000033</v>
      </c>
      <c r="E22" s="69">
        <v>276240.66761652759</v>
      </c>
      <c r="F22">
        <f t="shared" si="1"/>
        <v>-9.9681774727771958E-3</v>
      </c>
      <c r="I22" s="74">
        <v>186489</v>
      </c>
      <c r="K22" s="73">
        <v>2022</v>
      </c>
      <c r="L22" s="84">
        <v>354348.49</v>
      </c>
      <c r="M22" s="87"/>
    </row>
    <row r="23" spans="1:13" x14ac:dyDescent="0.3">
      <c r="F23" t="s">
        <v>53</v>
      </c>
      <c r="I23" s="74">
        <v>172105</v>
      </c>
      <c r="M23" s="85"/>
    </row>
    <row r="24" spans="1:13" x14ac:dyDescent="0.3">
      <c r="B24" s="34" t="s">
        <v>116</v>
      </c>
      <c r="I24" s="74">
        <v>159459</v>
      </c>
    </row>
    <row r="25" spans="1:13" x14ac:dyDescent="0.3">
      <c r="A25">
        <v>2003</v>
      </c>
      <c r="B25" s="29">
        <f>D3</f>
        <v>-2183</v>
      </c>
      <c r="I25" s="74">
        <v>196834</v>
      </c>
    </row>
    <row r="26" spans="1:13" x14ac:dyDescent="0.3">
      <c r="A26">
        <v>2004</v>
      </c>
      <c r="B26" s="29">
        <f t="shared" ref="B26:B44" si="2">D4</f>
        <v>-649</v>
      </c>
      <c r="I26" s="74">
        <v>197634</v>
      </c>
    </row>
    <row r="27" spans="1:13" x14ac:dyDescent="0.3">
      <c r="A27">
        <v>2005</v>
      </c>
      <c r="B27" s="29">
        <f t="shared" si="2"/>
        <v>1285</v>
      </c>
      <c r="I27" s="74">
        <v>196945</v>
      </c>
    </row>
    <row r="28" spans="1:13" x14ac:dyDescent="0.3">
      <c r="A28">
        <v>2006</v>
      </c>
      <c r="B28" s="29">
        <f t="shared" si="2"/>
        <v>1394</v>
      </c>
      <c r="I28" s="75">
        <v>164786</v>
      </c>
    </row>
    <row r="29" spans="1:13" x14ac:dyDescent="0.3">
      <c r="A29">
        <v>2007</v>
      </c>
      <c r="B29" s="29">
        <f t="shared" si="2"/>
        <v>3158</v>
      </c>
      <c r="I29" s="76">
        <v>176672</v>
      </c>
    </row>
    <row r="30" spans="1:13" x14ac:dyDescent="0.3">
      <c r="A30">
        <v>2008</v>
      </c>
      <c r="B30" s="29">
        <f t="shared" si="2"/>
        <v>2779</v>
      </c>
      <c r="I30" s="74">
        <v>186299</v>
      </c>
    </row>
    <row r="31" spans="1:13" x14ac:dyDescent="0.3">
      <c r="A31">
        <v>2009</v>
      </c>
      <c r="B31" s="29">
        <f t="shared" si="2"/>
        <v>5670</v>
      </c>
      <c r="I31" s="74">
        <v>220197</v>
      </c>
    </row>
    <row r="32" spans="1:13" x14ac:dyDescent="0.3">
      <c r="A32">
        <v>2010</v>
      </c>
      <c r="B32" s="29">
        <f t="shared" si="2"/>
        <v>4775</v>
      </c>
      <c r="I32" s="74">
        <v>200955</v>
      </c>
    </row>
    <row r="33" spans="1:9" x14ac:dyDescent="0.3">
      <c r="A33">
        <v>2011</v>
      </c>
      <c r="B33" s="29">
        <f t="shared" si="2"/>
        <v>7769</v>
      </c>
      <c r="I33" s="74">
        <v>208172</v>
      </c>
    </row>
    <row r="34" spans="1:9" x14ac:dyDescent="0.3">
      <c r="A34">
        <v>2012</v>
      </c>
      <c r="B34" s="29">
        <f t="shared" si="2"/>
        <v>12166</v>
      </c>
      <c r="I34" s="74">
        <v>224436</v>
      </c>
    </row>
    <row r="35" spans="1:9" x14ac:dyDescent="0.3">
      <c r="A35">
        <v>2013</v>
      </c>
      <c r="B35" s="29">
        <f t="shared" si="2"/>
        <v>13564</v>
      </c>
      <c r="I35" s="74">
        <v>200105</v>
      </c>
    </row>
    <row r="36" spans="1:9" x14ac:dyDescent="0.3">
      <c r="A36">
        <v>2014</v>
      </c>
      <c r="B36" s="29">
        <f t="shared" si="2"/>
        <v>15597</v>
      </c>
      <c r="I36" s="74">
        <v>197547</v>
      </c>
    </row>
    <row r="37" spans="1:9" x14ac:dyDescent="0.3">
      <c r="A37">
        <v>2015</v>
      </c>
      <c r="B37" s="29">
        <f t="shared" si="2"/>
        <v>14883</v>
      </c>
      <c r="I37" s="74">
        <v>234511</v>
      </c>
    </row>
    <row r="38" spans="1:9" x14ac:dyDescent="0.3">
      <c r="A38">
        <v>2016</v>
      </c>
      <c r="B38" s="29">
        <f t="shared" si="2"/>
        <v>17732</v>
      </c>
      <c r="I38" s="74">
        <v>234435</v>
      </c>
    </row>
    <row r="39" spans="1:9" x14ac:dyDescent="0.3">
      <c r="A39">
        <v>2017</v>
      </c>
      <c r="B39" s="29">
        <f t="shared" si="2"/>
        <v>16793</v>
      </c>
      <c r="I39" s="74">
        <v>241852</v>
      </c>
    </row>
    <row r="40" spans="1:9" x14ac:dyDescent="0.3">
      <c r="A40">
        <v>2018</v>
      </c>
      <c r="B40" s="29">
        <f t="shared" si="2"/>
        <v>14864</v>
      </c>
      <c r="I40" s="75">
        <v>207614</v>
      </c>
    </row>
    <row r="41" spans="1:9" x14ac:dyDescent="0.3">
      <c r="A41">
        <v>2019</v>
      </c>
      <c r="B41" s="29">
        <f t="shared" si="2"/>
        <v>11364.210000000021</v>
      </c>
      <c r="I41" s="76">
        <v>224425</v>
      </c>
    </row>
    <row r="42" spans="1:9" x14ac:dyDescent="0.3">
      <c r="A42">
        <v>2020</v>
      </c>
      <c r="B42" s="29">
        <f t="shared" si="2"/>
        <v>13617.219999999972</v>
      </c>
      <c r="I42" s="74">
        <v>218608</v>
      </c>
    </row>
    <row r="43" spans="1:9" x14ac:dyDescent="0.3">
      <c r="A43">
        <v>2021</v>
      </c>
      <c r="B43" s="29">
        <f t="shared" si="2"/>
        <v>-10077.5</v>
      </c>
      <c r="I43" s="74">
        <v>260517</v>
      </c>
    </row>
    <row r="44" spans="1:9" x14ac:dyDescent="0.3">
      <c r="A44">
        <v>2022</v>
      </c>
      <c r="B44" s="29">
        <f t="shared" si="2"/>
        <v>-27536.160000000033</v>
      </c>
      <c r="I44" s="74">
        <v>230610</v>
      </c>
    </row>
    <row r="45" spans="1:9" x14ac:dyDescent="0.3">
      <c r="I45" s="74">
        <v>245687</v>
      </c>
    </row>
    <row r="46" spans="1:9" x14ac:dyDescent="0.3">
      <c r="I46" s="74">
        <v>246487</v>
      </c>
    </row>
    <row r="47" spans="1:9" x14ac:dyDescent="0.3">
      <c r="I47" s="74">
        <v>220305</v>
      </c>
    </row>
    <row r="48" spans="1:9" x14ac:dyDescent="0.3">
      <c r="I48" s="74">
        <v>220133</v>
      </c>
    </row>
    <row r="49" spans="9:9" x14ac:dyDescent="0.3">
      <c r="I49" s="74">
        <v>256013</v>
      </c>
    </row>
    <row r="50" spans="9:9" x14ac:dyDescent="0.3">
      <c r="I50" s="74">
        <v>262382</v>
      </c>
    </row>
    <row r="51" spans="9:9" x14ac:dyDescent="0.3">
      <c r="I51" s="74">
        <v>266467</v>
      </c>
    </row>
    <row r="52" spans="9:9" x14ac:dyDescent="0.3">
      <c r="I52" s="75">
        <v>227056</v>
      </c>
    </row>
    <row r="53" spans="9:9" x14ac:dyDescent="0.3">
      <c r="I53" s="76">
        <v>253869</v>
      </c>
    </row>
    <row r="54" spans="9:9" x14ac:dyDescent="0.3">
      <c r="I54" s="74">
        <v>253617</v>
      </c>
    </row>
    <row r="55" spans="9:9" x14ac:dyDescent="0.3">
      <c r="I55" s="74">
        <v>279839</v>
      </c>
    </row>
    <row r="56" spans="9:9" x14ac:dyDescent="0.3">
      <c r="I56" s="74">
        <v>249584</v>
      </c>
    </row>
    <row r="57" spans="9:9" x14ac:dyDescent="0.3">
      <c r="I57" s="74">
        <v>256637</v>
      </c>
    </row>
    <row r="58" spans="9:9" x14ac:dyDescent="0.3">
      <c r="I58" s="74">
        <v>263302</v>
      </c>
    </row>
    <row r="59" spans="9:9" x14ac:dyDescent="0.3">
      <c r="I59" s="74">
        <v>244508</v>
      </c>
    </row>
    <row r="60" spans="9:9" x14ac:dyDescent="0.3">
      <c r="I60" s="74">
        <v>238387</v>
      </c>
    </row>
    <row r="61" spans="9:9" x14ac:dyDescent="0.3">
      <c r="I61" s="74">
        <v>257989</v>
      </c>
    </row>
    <row r="62" spans="9:9" x14ac:dyDescent="0.3">
      <c r="I62" s="74">
        <v>286439</v>
      </c>
    </row>
    <row r="63" spans="9:9" x14ac:dyDescent="0.3">
      <c r="I63" s="74">
        <v>277243</v>
      </c>
    </row>
    <row r="64" spans="9:9" x14ac:dyDescent="0.3">
      <c r="I64" s="75">
        <v>211183</v>
      </c>
    </row>
    <row r="65" spans="9:9" x14ac:dyDescent="0.3">
      <c r="I65" s="74">
        <v>247567</v>
      </c>
    </row>
    <row r="66" spans="9:9" x14ac:dyDescent="0.3">
      <c r="I66" s="74">
        <v>243782</v>
      </c>
    </row>
    <row r="67" spans="9:9" x14ac:dyDescent="0.3">
      <c r="I67" s="74">
        <v>261601</v>
      </c>
    </row>
    <row r="68" spans="9:9" x14ac:dyDescent="0.3">
      <c r="I68" s="74">
        <v>268704</v>
      </c>
    </row>
    <row r="69" spans="9:9" x14ac:dyDescent="0.3">
      <c r="I69" s="74">
        <v>257557</v>
      </c>
    </row>
    <row r="70" spans="9:9" x14ac:dyDescent="0.3">
      <c r="I70" s="74">
        <v>258082</v>
      </c>
    </row>
    <row r="71" spans="9:9" x14ac:dyDescent="0.3">
      <c r="I71" s="74">
        <v>255877</v>
      </c>
    </row>
    <row r="72" spans="9:9" x14ac:dyDescent="0.3">
      <c r="I72" s="74">
        <v>244237</v>
      </c>
    </row>
    <row r="73" spans="9:9" x14ac:dyDescent="0.3">
      <c r="I73" s="74">
        <v>282899</v>
      </c>
    </row>
    <row r="74" spans="9:9" x14ac:dyDescent="0.3">
      <c r="I74" s="74">
        <v>300188</v>
      </c>
    </row>
    <row r="75" spans="9:9" x14ac:dyDescent="0.3">
      <c r="I75" s="74">
        <v>301307</v>
      </c>
    </row>
    <row r="76" spans="9:9" x14ac:dyDescent="0.3">
      <c r="I76" s="75">
        <v>252903</v>
      </c>
    </row>
    <row r="77" spans="9:9" x14ac:dyDescent="0.3">
      <c r="I77" s="76">
        <v>293554</v>
      </c>
    </row>
    <row r="78" spans="9:9" x14ac:dyDescent="0.3">
      <c r="I78" s="74">
        <v>286035</v>
      </c>
    </row>
    <row r="79" spans="9:9" x14ac:dyDescent="0.3">
      <c r="I79" s="74">
        <v>311390</v>
      </c>
    </row>
    <row r="80" spans="9:9" x14ac:dyDescent="0.3">
      <c r="I80" s="74">
        <v>302618</v>
      </c>
    </row>
    <row r="81" spans="9:9" x14ac:dyDescent="0.3">
      <c r="I81" s="74">
        <v>292645</v>
      </c>
    </row>
    <row r="82" spans="9:9" x14ac:dyDescent="0.3">
      <c r="I82" s="74">
        <v>302148</v>
      </c>
    </row>
    <row r="83" spans="9:9" x14ac:dyDescent="0.3">
      <c r="I83" s="74">
        <v>309152</v>
      </c>
    </row>
    <row r="84" spans="9:9" x14ac:dyDescent="0.3">
      <c r="I84" s="74">
        <v>254879</v>
      </c>
    </row>
    <row r="85" spans="9:9" x14ac:dyDescent="0.3">
      <c r="I85" s="74">
        <v>336545</v>
      </c>
    </row>
    <row r="86" spans="9:9" x14ac:dyDescent="0.3">
      <c r="I86" s="74">
        <v>338202</v>
      </c>
    </row>
    <row r="87" spans="9:9" x14ac:dyDescent="0.3">
      <c r="I87" s="74">
        <v>320585</v>
      </c>
    </row>
    <row r="88" spans="9:9" x14ac:dyDescent="0.3">
      <c r="I88" s="75">
        <v>281073</v>
      </c>
    </row>
    <row r="89" spans="9:9" x14ac:dyDescent="0.3">
      <c r="I89" s="76">
        <v>299082</v>
      </c>
    </row>
    <row r="90" spans="9:9" x14ac:dyDescent="0.3">
      <c r="I90" s="74">
        <v>306664</v>
      </c>
    </row>
    <row r="91" spans="9:9" x14ac:dyDescent="0.3">
      <c r="I91" s="74">
        <v>347038</v>
      </c>
    </row>
    <row r="92" spans="9:9" x14ac:dyDescent="0.3">
      <c r="I92" s="74">
        <v>323558</v>
      </c>
    </row>
    <row r="93" spans="9:9" x14ac:dyDescent="0.3">
      <c r="I93" s="74">
        <v>299359</v>
      </c>
    </row>
    <row r="94" spans="9:9" x14ac:dyDescent="0.3">
      <c r="I94" s="74">
        <v>340730</v>
      </c>
    </row>
    <row r="95" spans="9:9" x14ac:dyDescent="0.3">
      <c r="I95" s="74">
        <v>323741</v>
      </c>
    </row>
    <row r="96" spans="9:9" x14ac:dyDescent="0.3">
      <c r="I96" s="77">
        <v>268647</v>
      </c>
    </row>
    <row r="97" spans="9:9" x14ac:dyDescent="0.3">
      <c r="I97" s="77">
        <v>355043</v>
      </c>
    </row>
    <row r="98" spans="9:9" x14ac:dyDescent="0.3">
      <c r="I98" s="77">
        <v>364893</v>
      </c>
    </row>
    <row r="99" spans="9:9" x14ac:dyDescent="0.3">
      <c r="I99" s="77">
        <v>350770</v>
      </c>
    </row>
    <row r="100" spans="9:9" x14ac:dyDescent="0.3">
      <c r="I100" s="78">
        <v>303723</v>
      </c>
    </row>
    <row r="101" spans="9:9" x14ac:dyDescent="0.3">
      <c r="I101" s="79">
        <v>317881</v>
      </c>
    </row>
    <row r="102" spans="9:9" x14ac:dyDescent="0.3">
      <c r="I102" s="77">
        <v>332951</v>
      </c>
    </row>
    <row r="103" spans="9:9" x14ac:dyDescent="0.3">
      <c r="I103" s="77">
        <v>350763</v>
      </c>
    </row>
    <row r="104" spans="9:9" x14ac:dyDescent="0.3">
      <c r="I104" s="77">
        <v>340679</v>
      </c>
    </row>
    <row r="105" spans="9:9" x14ac:dyDescent="0.3">
      <c r="I105" s="77">
        <v>328492</v>
      </c>
    </row>
    <row r="106" spans="9:9" x14ac:dyDescent="0.3">
      <c r="I106" s="77">
        <v>349335</v>
      </c>
    </row>
    <row r="107" spans="9:9" x14ac:dyDescent="0.3">
      <c r="I107" s="77">
        <v>278507</v>
      </c>
    </row>
    <row r="108" spans="9:9" x14ac:dyDescent="0.3">
      <c r="I108" s="77">
        <v>311144</v>
      </c>
    </row>
    <row r="109" spans="9:9" x14ac:dyDescent="0.3">
      <c r="I109" s="77">
        <v>350236</v>
      </c>
    </row>
    <row r="110" spans="9:9" x14ac:dyDescent="0.3">
      <c r="I110" s="77">
        <v>344202</v>
      </c>
    </row>
    <row r="111" spans="9:9" x14ac:dyDescent="0.3">
      <c r="I111" s="77">
        <v>363713</v>
      </c>
    </row>
    <row r="112" spans="9:9" x14ac:dyDescent="0.3">
      <c r="I112" s="78">
        <v>306138</v>
      </c>
    </row>
    <row r="113" spans="9:9" x14ac:dyDescent="0.3">
      <c r="I113" s="79">
        <v>350660</v>
      </c>
    </row>
    <row r="114" spans="9:9" x14ac:dyDescent="0.3">
      <c r="I114" s="77">
        <v>338095</v>
      </c>
    </row>
    <row r="115" spans="9:9" x14ac:dyDescent="0.3">
      <c r="I115" s="77">
        <v>399551</v>
      </c>
    </row>
    <row r="116" spans="9:9" x14ac:dyDescent="0.3">
      <c r="I116" s="77">
        <v>332898</v>
      </c>
    </row>
    <row r="117" spans="9:9" x14ac:dyDescent="0.3">
      <c r="I117" s="77">
        <v>370260</v>
      </c>
    </row>
    <row r="118" spans="9:9" x14ac:dyDescent="0.3">
      <c r="I118" s="77">
        <v>370976</v>
      </c>
    </row>
    <row r="119" spans="9:9" x14ac:dyDescent="0.3">
      <c r="I119" s="77">
        <v>299811</v>
      </c>
    </row>
    <row r="120" spans="9:9" x14ac:dyDescent="0.3">
      <c r="I120" s="77">
        <v>332841</v>
      </c>
    </row>
    <row r="121" spans="9:9" x14ac:dyDescent="0.3">
      <c r="I121" s="77">
        <v>362921</v>
      </c>
    </row>
    <row r="122" spans="9:9" x14ac:dyDescent="0.3">
      <c r="I122" s="77">
        <v>389438</v>
      </c>
    </row>
    <row r="123" spans="9:9" x14ac:dyDescent="0.3">
      <c r="I123" s="77">
        <v>387161</v>
      </c>
    </row>
    <row r="124" spans="9:9" x14ac:dyDescent="0.3">
      <c r="I124" s="78">
        <v>309974</v>
      </c>
    </row>
    <row r="125" spans="9:9" x14ac:dyDescent="0.3">
      <c r="I125" s="79">
        <v>369366</v>
      </c>
    </row>
    <row r="126" spans="9:9" x14ac:dyDescent="0.3">
      <c r="I126" s="77">
        <v>337833</v>
      </c>
    </row>
    <row r="127" spans="9:9" x14ac:dyDescent="0.3">
      <c r="I127" s="77">
        <v>371832</v>
      </c>
    </row>
    <row r="128" spans="9:9" x14ac:dyDescent="0.3">
      <c r="I128" s="77">
        <v>354254</v>
      </c>
    </row>
    <row r="129" spans="9:9" x14ac:dyDescent="0.3">
      <c r="I129" s="77">
        <v>364412</v>
      </c>
    </row>
    <row r="130" spans="9:9" x14ac:dyDescent="0.3">
      <c r="I130" s="77">
        <v>377379</v>
      </c>
    </row>
    <row r="131" spans="9:9" x14ac:dyDescent="0.3">
      <c r="I131" s="77">
        <v>331484</v>
      </c>
    </row>
    <row r="132" spans="9:9" x14ac:dyDescent="0.3">
      <c r="I132" s="77">
        <v>342936</v>
      </c>
    </row>
    <row r="133" spans="9:9" x14ac:dyDescent="0.3">
      <c r="I133" s="77">
        <v>370977</v>
      </c>
    </row>
    <row r="134" spans="9:9" x14ac:dyDescent="0.3">
      <c r="I134" s="77">
        <v>434614</v>
      </c>
    </row>
    <row r="135" spans="9:9" x14ac:dyDescent="0.3">
      <c r="I135" s="77">
        <v>432230</v>
      </c>
    </row>
    <row r="136" spans="9:9" x14ac:dyDescent="0.3">
      <c r="I136" s="78">
        <v>316530</v>
      </c>
    </row>
    <row r="137" spans="9:9" x14ac:dyDescent="0.3">
      <c r="I137" s="79">
        <v>382461</v>
      </c>
    </row>
    <row r="138" spans="9:9" x14ac:dyDescent="0.3">
      <c r="I138" s="77">
        <v>360596</v>
      </c>
    </row>
    <row r="139" spans="9:9" x14ac:dyDescent="0.3">
      <c r="I139" s="77">
        <v>394647</v>
      </c>
    </row>
    <row r="140" spans="9:9" x14ac:dyDescent="0.3">
      <c r="I140" s="77">
        <v>389537</v>
      </c>
    </row>
    <row r="141" spans="9:9" x14ac:dyDescent="0.3">
      <c r="I141" s="77">
        <v>396604</v>
      </c>
    </row>
    <row r="142" spans="9:9" x14ac:dyDescent="0.3">
      <c r="I142" s="77">
        <v>363947</v>
      </c>
    </row>
    <row r="143" spans="9:9" x14ac:dyDescent="0.3">
      <c r="I143" s="77">
        <v>369702</v>
      </c>
    </row>
    <row r="144" spans="9:9" x14ac:dyDescent="0.3">
      <c r="I144" s="77">
        <v>344429</v>
      </c>
    </row>
    <row r="145" spans="9:9" x14ac:dyDescent="0.3">
      <c r="I145" s="77">
        <v>410387</v>
      </c>
    </row>
    <row r="146" spans="9:9" x14ac:dyDescent="0.3">
      <c r="I146" s="77">
        <v>431245</v>
      </c>
    </row>
    <row r="147" spans="9:9" x14ac:dyDescent="0.3">
      <c r="I147" s="77">
        <v>412607</v>
      </c>
    </row>
    <row r="148" spans="9:9" x14ac:dyDescent="0.3">
      <c r="I148" s="78">
        <v>323787</v>
      </c>
    </row>
    <row r="149" spans="9:9" x14ac:dyDescent="0.3">
      <c r="I149" s="79">
        <v>382511</v>
      </c>
    </row>
    <row r="150" spans="9:9" x14ac:dyDescent="0.3">
      <c r="I150" s="77">
        <v>360093</v>
      </c>
    </row>
    <row r="151" spans="9:9" x14ac:dyDescent="0.3">
      <c r="I151" s="77">
        <v>359720</v>
      </c>
    </row>
    <row r="152" spans="9:9" x14ac:dyDescent="0.3">
      <c r="I152" s="77">
        <v>261270</v>
      </c>
    </row>
    <row r="153" spans="9:9" x14ac:dyDescent="0.3">
      <c r="I153" s="77">
        <v>298154</v>
      </c>
    </row>
    <row r="154" spans="9:9" x14ac:dyDescent="0.3">
      <c r="I154" s="77">
        <v>373132</v>
      </c>
    </row>
    <row r="155" spans="9:9" x14ac:dyDescent="0.3">
      <c r="I155" s="77">
        <v>368309</v>
      </c>
    </row>
    <row r="156" spans="9:9" x14ac:dyDescent="0.3">
      <c r="I156" s="77">
        <v>325522</v>
      </c>
    </row>
    <row r="157" spans="9:9" x14ac:dyDescent="0.3">
      <c r="I157" s="77">
        <v>415205</v>
      </c>
    </row>
    <row r="158" spans="9:9" x14ac:dyDescent="0.3">
      <c r="I158" s="77">
        <v>457072</v>
      </c>
    </row>
    <row r="159" spans="9:9" x14ac:dyDescent="0.3">
      <c r="I159" s="77">
        <v>456989</v>
      </c>
    </row>
    <row r="160" spans="9:9" x14ac:dyDescent="0.3">
      <c r="I160" s="78">
        <v>383820</v>
      </c>
    </row>
    <row r="161" spans="9:9" x14ac:dyDescent="0.3">
      <c r="I161" s="79">
        <v>380601</v>
      </c>
    </row>
    <row r="162" spans="9:9" x14ac:dyDescent="0.3">
      <c r="I162" s="77">
        <v>382309</v>
      </c>
    </row>
    <row r="163" spans="9:9" x14ac:dyDescent="0.3">
      <c r="I163" s="77">
        <v>465804</v>
      </c>
    </row>
    <row r="164" spans="9:9" x14ac:dyDescent="0.3">
      <c r="I164" s="77">
        <v>430883</v>
      </c>
    </row>
    <row r="165" spans="9:9" x14ac:dyDescent="0.3">
      <c r="I165" s="77">
        <v>407960</v>
      </c>
    </row>
    <row r="166" spans="9:9" x14ac:dyDescent="0.3">
      <c r="I166" s="77">
        <v>424472</v>
      </c>
    </row>
    <row r="167" spans="9:9" x14ac:dyDescent="0.3">
      <c r="I167" s="77">
        <v>373090</v>
      </c>
    </row>
    <row r="168" spans="9:9" x14ac:dyDescent="0.3">
      <c r="I168" s="77">
        <v>350558</v>
      </c>
    </row>
    <row r="169" spans="9:9" x14ac:dyDescent="0.3">
      <c r="I169" s="77">
        <v>411354</v>
      </c>
    </row>
    <row r="170" spans="9:9" x14ac:dyDescent="0.3">
      <c r="I170" s="77">
        <v>419764</v>
      </c>
    </row>
    <row r="171" spans="9:9" x14ac:dyDescent="0.3">
      <c r="I171" s="77">
        <v>476404</v>
      </c>
    </row>
    <row r="172" spans="9:9" x14ac:dyDescent="0.3">
      <c r="I172" s="78">
        <v>406773</v>
      </c>
    </row>
    <row r="173" spans="9:9" x14ac:dyDescent="0.3">
      <c r="I173" s="79">
        <v>427591</v>
      </c>
    </row>
    <row r="174" spans="9:9" x14ac:dyDescent="0.3">
      <c r="I174" s="77">
        <v>410531</v>
      </c>
    </row>
    <row r="175" spans="9:9" x14ac:dyDescent="0.3">
      <c r="I175" s="77">
        <v>492969</v>
      </c>
    </row>
    <row r="176" spans="9:9" x14ac:dyDescent="0.3">
      <c r="I176" s="77">
        <v>426461</v>
      </c>
    </row>
    <row r="177" spans="9:9" x14ac:dyDescent="0.3">
      <c r="I177" s="77">
        <v>483110</v>
      </c>
    </row>
    <row r="178" spans="9:9" x14ac:dyDescent="0.3">
      <c r="I178" s="77">
        <v>504902</v>
      </c>
    </row>
    <row r="179" spans="9:9" x14ac:dyDescent="0.3">
      <c r="I179" s="77">
        <v>423629</v>
      </c>
    </row>
    <row r="180" spans="9:9" x14ac:dyDescent="0.3">
      <c r="I180" s="77">
        <v>459069</v>
      </c>
    </row>
    <row r="181" spans="9:9" x14ac:dyDescent="0.3">
      <c r="I181" s="77">
        <v>531387</v>
      </c>
    </row>
    <row r="182" spans="9:9" x14ac:dyDescent="0.3">
      <c r="I182" s="77">
        <v>508964</v>
      </c>
    </row>
    <row r="183" spans="9:9" x14ac:dyDescent="0.3">
      <c r="I183" s="77">
        <v>547177</v>
      </c>
    </row>
    <row r="184" spans="9:9" x14ac:dyDescent="0.3">
      <c r="I184" s="78">
        <v>439773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FFE0-CB54-4E14-BF90-236E21C3FF9D}">
  <dimension ref="A1:I21"/>
  <sheetViews>
    <sheetView workbookViewId="0">
      <selection activeCell="B2" sqref="B2"/>
    </sheetView>
  </sheetViews>
  <sheetFormatPr defaultRowHeight="14.4" x14ac:dyDescent="0.3"/>
  <cols>
    <col min="2" max="2" width="11.77734375" bestFit="1" customWidth="1"/>
    <col min="3" max="3" width="13.109375" bestFit="1" customWidth="1"/>
    <col min="4" max="4" width="13.109375" customWidth="1"/>
    <col min="5" max="5" width="13.6640625" bestFit="1" customWidth="1"/>
    <col min="6" max="6" width="14.88671875" bestFit="1" customWidth="1"/>
    <col min="7" max="7" width="18.6640625" customWidth="1"/>
    <col min="8" max="8" width="10.44140625" customWidth="1"/>
    <col min="9" max="9" width="10.33203125" customWidth="1"/>
    <col min="10" max="10" width="13" customWidth="1"/>
  </cols>
  <sheetData>
    <row r="1" spans="1:9" x14ac:dyDescent="0.3">
      <c r="A1" t="s">
        <v>25</v>
      </c>
      <c r="B1" t="s">
        <v>32</v>
      </c>
      <c r="C1" t="s">
        <v>33</v>
      </c>
      <c r="D1" t="s">
        <v>76</v>
      </c>
      <c r="E1" t="s">
        <v>34</v>
      </c>
      <c r="F1" t="s">
        <v>81</v>
      </c>
      <c r="G1" t="s">
        <v>61</v>
      </c>
      <c r="H1" t="s">
        <v>74</v>
      </c>
      <c r="I1" t="s">
        <v>75</v>
      </c>
    </row>
    <row r="2" spans="1:9" x14ac:dyDescent="0.3">
      <c r="A2">
        <v>2003</v>
      </c>
      <c r="B2">
        <f>'ekon kalkulace'!B2</f>
        <v>27978</v>
      </c>
      <c r="C2">
        <f>'ekon kalkulace'!C2</f>
        <v>31.59</v>
      </c>
      <c r="D2">
        <f>2211.57*1000</f>
        <v>2211570</v>
      </c>
      <c r="E2" s="27">
        <f>'ekon kalkulace'!E2</f>
        <v>95826542.180000007</v>
      </c>
      <c r="F2">
        <f>'ekon kalkulace'!F2</f>
        <v>1.3087952428222358</v>
      </c>
      <c r="G2">
        <f>'ekon kalkulace'!G2</f>
        <v>0.35072890009897578</v>
      </c>
      <c r="H2">
        <v>0.1</v>
      </c>
      <c r="I2">
        <v>1.03</v>
      </c>
    </row>
    <row r="3" spans="1:9" x14ac:dyDescent="0.3">
      <c r="A3">
        <v>2004</v>
      </c>
      <c r="B3">
        <f>'ekon kalkulace'!B3</f>
        <v>31619</v>
      </c>
      <c r="C3">
        <f>'ekon kalkulace'!C3</f>
        <v>32.398000000000003</v>
      </c>
      <c r="D3">
        <f>2262.52*1000</f>
        <v>2262520</v>
      </c>
      <c r="E3" s="27">
        <f>'ekon kalkulace'!E3</f>
        <v>94269340.680000007</v>
      </c>
      <c r="F3">
        <f>'ekon kalkulace'!F3</f>
        <v>1.6040033454283436</v>
      </c>
      <c r="G3">
        <f>'ekon kalkulace'!G3</f>
        <v>0.3864703571466942</v>
      </c>
      <c r="H3">
        <v>2.8</v>
      </c>
      <c r="I3">
        <v>1.67</v>
      </c>
    </row>
    <row r="4" spans="1:9" x14ac:dyDescent="0.3">
      <c r="A4">
        <v>2005</v>
      </c>
      <c r="B4">
        <f>'ekon kalkulace'!B4</f>
        <v>35279</v>
      </c>
      <c r="C4">
        <f>'ekon kalkulace'!C4</f>
        <v>30.361000000000001</v>
      </c>
      <c r="D4">
        <f>2288.31*1000</f>
        <v>2288310</v>
      </c>
      <c r="E4" s="27">
        <f>'ekon kalkulace'!E4</f>
        <v>93637629.703999996</v>
      </c>
      <c r="F4">
        <f>'ekon kalkulace'!F4</f>
        <v>0.91965046172038489</v>
      </c>
      <c r="G4">
        <f>'ekon kalkulace'!G4</f>
        <v>0.3770044128505981</v>
      </c>
      <c r="H4">
        <v>1.9</v>
      </c>
      <c r="I4">
        <v>1.55</v>
      </c>
    </row>
    <row r="5" spans="1:9" x14ac:dyDescent="0.3">
      <c r="A5">
        <v>2006</v>
      </c>
      <c r="B5">
        <f>'ekon kalkulace'!B5</f>
        <v>49058</v>
      </c>
      <c r="C5">
        <f>'ekon kalkulace'!C5</f>
        <v>29.03</v>
      </c>
      <c r="D5">
        <f>2385.08*1000</f>
        <v>2385080</v>
      </c>
      <c r="E5" s="27">
        <f>'ekon kalkulace'!E5</f>
        <v>94166267.719999999</v>
      </c>
      <c r="F5">
        <f>'ekon kalkulace'!F5</f>
        <v>0.82432361254552378</v>
      </c>
      <c r="G5">
        <f>'ekon kalkulace'!G5</f>
        <v>0.4900909921089836</v>
      </c>
      <c r="H5">
        <v>2.5</v>
      </c>
      <c r="I5">
        <v>1.58</v>
      </c>
    </row>
    <row r="6" spans="1:9" x14ac:dyDescent="0.3">
      <c r="A6">
        <v>2007</v>
      </c>
      <c r="B6">
        <f>'ekon kalkulace'!B6</f>
        <v>44630</v>
      </c>
      <c r="C6">
        <f>'ekon kalkulace'!C6</f>
        <v>27.524999999999999</v>
      </c>
      <c r="D6">
        <f>2499.55*1000</f>
        <v>2499550</v>
      </c>
      <c r="E6" s="27">
        <f>'ekon kalkulace'!E6</f>
        <v>90763521.939999998</v>
      </c>
      <c r="F6">
        <f>'ekon kalkulace'!F6</f>
        <v>0.82371410754225949</v>
      </c>
      <c r="G6">
        <f>'ekon kalkulace'!G6</f>
        <v>0.44585513020962814</v>
      </c>
      <c r="H6">
        <v>2.8</v>
      </c>
      <c r="I6">
        <v>2.2999999999999998</v>
      </c>
    </row>
    <row r="7" spans="1:9" x14ac:dyDescent="0.3">
      <c r="A7">
        <v>2008</v>
      </c>
      <c r="B7">
        <f>'ekon kalkulace'!B7</f>
        <v>51274</v>
      </c>
      <c r="C7">
        <f>'ekon kalkulace'!C7</f>
        <v>26.364000000000001</v>
      </c>
      <c r="D7">
        <f>2546.49*1000</f>
        <v>2546490</v>
      </c>
      <c r="E7" s="27">
        <f>'ekon kalkulace'!E7</f>
        <v>90232622.501999989</v>
      </c>
      <c r="F7">
        <f>'ekon kalkulace'!F7</f>
        <v>0.80316759966190476</v>
      </c>
      <c r="G7">
        <f>'ekon kalkulace'!G7</f>
        <v>0.51222890312275315</v>
      </c>
      <c r="H7">
        <v>6.3</v>
      </c>
      <c r="I7">
        <v>2.63</v>
      </c>
    </row>
    <row r="8" spans="1:9" x14ac:dyDescent="0.3">
      <c r="A8">
        <v>2009</v>
      </c>
      <c r="B8">
        <f>'ekon kalkulace'!B8</f>
        <v>50230</v>
      </c>
      <c r="C8">
        <f>'ekon kalkulace'!C8</f>
        <v>26.824999999999999</v>
      </c>
      <c r="D8">
        <f>2445.73*1000</f>
        <v>2445730</v>
      </c>
      <c r="E8" s="27">
        <f>'ekon kalkulace'!E8</f>
        <v>89061634.040000007</v>
      </c>
      <c r="F8">
        <f>'ekon kalkulace'!F8</f>
        <v>0.58179668646112959</v>
      </c>
      <c r="G8">
        <f>'ekon kalkulace'!G8</f>
        <v>0.36393001055694085</v>
      </c>
      <c r="H8">
        <v>1</v>
      </c>
      <c r="I8">
        <v>0.31</v>
      </c>
    </row>
    <row r="9" spans="1:9" x14ac:dyDescent="0.3">
      <c r="A9">
        <v>2010</v>
      </c>
      <c r="B9">
        <f>'ekon kalkulace'!B9</f>
        <v>40673</v>
      </c>
      <c r="C9">
        <f>'ekon kalkulace'!C9</f>
        <v>26.285</v>
      </c>
      <c r="D9">
        <f>2564.4*1000</f>
        <v>2564400</v>
      </c>
      <c r="E9" s="27">
        <f>'ekon kalkulace'!E9</f>
        <v>89132298.640000001</v>
      </c>
      <c r="F9">
        <f>'ekon kalkulace'!F9</f>
        <v>0.58782209517575712</v>
      </c>
      <c r="G9">
        <f>'ekon kalkulace'!G9</f>
        <v>0.35735443429865243</v>
      </c>
      <c r="H9">
        <v>1.5</v>
      </c>
      <c r="I9">
        <v>1.1000000000000001</v>
      </c>
    </row>
    <row r="10" spans="1:9" x14ac:dyDescent="0.3">
      <c r="A10">
        <v>2011</v>
      </c>
      <c r="B10">
        <f>'ekon kalkulace'!B10</f>
        <v>39078</v>
      </c>
      <c r="C10">
        <f>'ekon kalkulace'!C10</f>
        <v>25.088000000000001</v>
      </c>
      <c r="D10">
        <f>2693.56*1000</f>
        <v>2693560</v>
      </c>
      <c r="E10" s="27">
        <f>'ekon kalkulace'!E10</f>
        <v>88995752.153999999</v>
      </c>
      <c r="F10">
        <f>'ekon kalkulace'!F10</f>
        <v>0.61049855931089569</v>
      </c>
      <c r="G10">
        <f>'ekon kalkulace'!G10</f>
        <v>0.38354941465135794</v>
      </c>
      <c r="H10">
        <v>1.9</v>
      </c>
      <c r="I10">
        <v>2.08</v>
      </c>
    </row>
    <row r="11" spans="1:9" x14ac:dyDescent="0.3">
      <c r="A11">
        <v>2012</v>
      </c>
      <c r="B11">
        <f>'ekon kalkulace'!B11</f>
        <v>43862</v>
      </c>
      <c r="C11">
        <f>'ekon kalkulace'!C11</f>
        <v>25.504999999999999</v>
      </c>
      <c r="D11">
        <f>2745.31*1000</f>
        <v>2745310</v>
      </c>
      <c r="E11" s="27">
        <f>'ekon kalkulace'!E11</f>
        <v>87498391.245000005</v>
      </c>
      <c r="F11">
        <f>'ekon kalkulace'!F11</f>
        <v>0.64958788517121446</v>
      </c>
      <c r="G11">
        <f>'ekon kalkulace'!G11</f>
        <v>0.48678377392599348</v>
      </c>
      <c r="H11">
        <v>3.3</v>
      </c>
      <c r="I11">
        <v>2.0099999999999998</v>
      </c>
    </row>
    <row r="12" spans="1:9" x14ac:dyDescent="0.3">
      <c r="A12">
        <v>2013</v>
      </c>
      <c r="B12">
        <f>'ekon kalkulace'!B12</f>
        <v>46508</v>
      </c>
      <c r="C12">
        <f>'ekon kalkulace'!C12</f>
        <v>25.218</v>
      </c>
      <c r="D12">
        <f>2811.35*1000</f>
        <v>2811350</v>
      </c>
      <c r="E12" s="27">
        <f>'ekon kalkulace'!E12</f>
        <v>87071510.005999997</v>
      </c>
      <c r="F12">
        <f>'ekon kalkulace'!F12</f>
        <v>0.62014514059782033</v>
      </c>
      <c r="G12">
        <f>'ekon kalkulace'!G12</f>
        <v>0.53251229863190785</v>
      </c>
      <c r="H12">
        <v>1.4</v>
      </c>
      <c r="I12">
        <v>1.5</v>
      </c>
    </row>
    <row r="13" spans="1:9" x14ac:dyDescent="0.3">
      <c r="A13">
        <v>2014</v>
      </c>
      <c r="B13">
        <f>'ekon kalkulace'!B13</f>
        <v>48418</v>
      </c>
      <c r="C13">
        <f>'ekon kalkulace'!C13</f>
        <v>27.481000000000002</v>
      </c>
      <c r="D13">
        <f>2927.43*1000</f>
        <v>2927430</v>
      </c>
      <c r="E13" s="27">
        <f>'ekon kalkulace'!E13</f>
        <v>87507083.924999997</v>
      </c>
      <c r="F13">
        <f>'ekon kalkulace'!F13</f>
        <v>0.58388534132410974</v>
      </c>
      <c r="G13">
        <f>'ekon kalkulace'!G13</f>
        <v>0.54040354722504547</v>
      </c>
      <c r="H13">
        <v>0.4</v>
      </c>
      <c r="I13">
        <v>0.91</v>
      </c>
    </row>
    <row r="14" spans="1:9" x14ac:dyDescent="0.3">
      <c r="A14">
        <v>2015</v>
      </c>
      <c r="B14">
        <f>'ekon kalkulace'!B14</f>
        <v>52953</v>
      </c>
      <c r="C14">
        <f>'ekon kalkulace'!C14</f>
        <v>27.693000000000001</v>
      </c>
      <c r="D14">
        <f>3026.18*1000</f>
        <v>3026180</v>
      </c>
      <c r="E14" s="27">
        <f>'ekon kalkulace'!E14</f>
        <v>84453349.554000005</v>
      </c>
      <c r="F14">
        <f>'ekon kalkulace'!F14</f>
        <v>0.64690198155124856</v>
      </c>
      <c r="G14">
        <f>'ekon kalkulace'!G14</f>
        <v>0.56113967103712659</v>
      </c>
      <c r="H14">
        <v>0.3</v>
      </c>
      <c r="I14">
        <v>0.51</v>
      </c>
    </row>
    <row r="15" spans="1:9" x14ac:dyDescent="0.3">
      <c r="A15">
        <v>2016</v>
      </c>
      <c r="B15">
        <f>'ekon kalkulace'!B15</f>
        <v>55923</v>
      </c>
      <c r="C15">
        <f>'ekon kalkulace'!C15</f>
        <v>27.023</v>
      </c>
      <c r="D15">
        <f>3134.74*1000</f>
        <v>3134740</v>
      </c>
      <c r="E15" s="27">
        <f>'ekon kalkulace'!E15</f>
        <v>82907742.96100001</v>
      </c>
      <c r="F15">
        <f>'ekon kalkulace'!F15</f>
        <v>0.60707355620178338</v>
      </c>
      <c r="G15">
        <f>'ekon kalkulace'!G15</f>
        <v>0.57511478539558314</v>
      </c>
      <c r="H15">
        <v>0.7</v>
      </c>
      <c r="I15">
        <v>0.49</v>
      </c>
    </row>
    <row r="16" spans="1:9" x14ac:dyDescent="0.3">
      <c r="A16">
        <v>2017</v>
      </c>
      <c r="B16">
        <f>'ekon kalkulace'!B16</f>
        <v>54100</v>
      </c>
      <c r="C16">
        <f>'ekon kalkulace'!C16</f>
        <v>27.021000000000001</v>
      </c>
      <c r="D16">
        <f>3267.16*1000</f>
        <v>3267160</v>
      </c>
      <c r="E16" s="27">
        <f>'ekon kalkulace'!E16</f>
        <v>80971886.519999996</v>
      </c>
      <c r="F16">
        <f>'ekon kalkulace'!F16</f>
        <v>0.61870273324852654</v>
      </c>
      <c r="G16">
        <f>'ekon kalkulace'!G16</f>
        <v>0.5675313827283206</v>
      </c>
      <c r="H16">
        <v>2.5</v>
      </c>
      <c r="I16">
        <v>1.51</v>
      </c>
    </row>
    <row r="17" spans="1:9" x14ac:dyDescent="0.3">
      <c r="A17">
        <v>2018</v>
      </c>
      <c r="B17">
        <f>'ekon kalkulace'!B17</f>
        <v>58102</v>
      </c>
      <c r="C17">
        <f>'ekon kalkulace'!C17</f>
        <v>25.494</v>
      </c>
      <c r="D17">
        <f>3365.45*1000</f>
        <v>3365450</v>
      </c>
      <c r="E17" s="27">
        <f>'ekon kalkulace'!E17</f>
        <v>82067729.040000007</v>
      </c>
      <c r="F17">
        <f>'ekon kalkulace'!F17</f>
        <v>0.62275382464684725</v>
      </c>
      <c r="G17">
        <f>'ekon kalkulace'!G17</f>
        <v>0.55588912538717272</v>
      </c>
      <c r="H17">
        <v>2.1</v>
      </c>
      <c r="I17">
        <v>1.73</v>
      </c>
    </row>
    <row r="18" spans="1:9" x14ac:dyDescent="0.3">
      <c r="A18">
        <v>2019</v>
      </c>
      <c r="B18">
        <f>'ekon kalkulace'!B18</f>
        <v>65072</v>
      </c>
      <c r="C18">
        <f>'ekon kalkulace'!C18</f>
        <v>25.751999999999999</v>
      </c>
      <c r="D18">
        <f>3474.11*1000</f>
        <v>3474110</v>
      </c>
      <c r="E18" s="27">
        <f>'ekon kalkulace'!E18</f>
        <v>80487400.488000005</v>
      </c>
      <c r="F18">
        <f>'ekon kalkulace'!F18</f>
        <v>0.61525499942069284</v>
      </c>
      <c r="G18">
        <f>'ekon kalkulace'!G18</f>
        <v>0.61308492941953019</v>
      </c>
      <c r="H18">
        <v>2.8</v>
      </c>
      <c r="I18">
        <v>1.45</v>
      </c>
    </row>
    <row r="19" spans="1:9" x14ac:dyDescent="0.3">
      <c r="A19">
        <v>2020</v>
      </c>
      <c r="B19">
        <f>'ekon kalkulace'!B19</f>
        <v>57071</v>
      </c>
      <c r="C19">
        <f>'ekon kalkulace'!C19</f>
        <v>25.411000000000001</v>
      </c>
      <c r="D19">
        <f>3403.73*1000</f>
        <v>3403730</v>
      </c>
      <c r="E19" s="27">
        <f>'ekon kalkulace'!E19</f>
        <v>76995984.912</v>
      </c>
      <c r="F19">
        <f>'ekon kalkulace'!F19</f>
        <v>0.61061220754848666</v>
      </c>
      <c r="G19">
        <f>'ekon kalkulace'!G19</f>
        <v>0.52444312412435068</v>
      </c>
      <c r="H19">
        <v>3.2</v>
      </c>
      <c r="I19">
        <v>0.14000000000000001</v>
      </c>
    </row>
    <row r="20" spans="1:9" x14ac:dyDescent="0.3">
      <c r="A20">
        <v>2021</v>
      </c>
      <c r="B20">
        <f>'ekon kalkulace'!B20</f>
        <v>54888</v>
      </c>
      <c r="C20">
        <f>'ekon kalkulace'!C20</f>
        <v>26.140999999999998</v>
      </c>
      <c r="D20">
        <f>3617.45*1000</f>
        <v>3617450</v>
      </c>
      <c r="E20" s="27">
        <f>'ekon kalkulace'!E20</f>
        <v>74567247.276000008</v>
      </c>
      <c r="F20">
        <f>'ekon kalkulace'!F20</f>
        <v>0.60127399265714698</v>
      </c>
      <c r="G20">
        <f>'ekon kalkulace'!G20</f>
        <v>0.49782745587713029</v>
      </c>
      <c r="H20">
        <v>3.8</v>
      </c>
      <c r="I20">
        <v>3.07</v>
      </c>
    </row>
    <row r="21" spans="1:9" x14ac:dyDescent="0.3">
      <c r="A21">
        <v>2022</v>
      </c>
      <c r="B21" s="12">
        <v>53172</v>
      </c>
      <c r="C21" s="25">
        <v>24.818000000000001</v>
      </c>
      <c r="D21">
        <f>3876.8*1000</f>
        <v>3876800</v>
      </c>
      <c r="E21" s="28">
        <v>76533515.873999998</v>
      </c>
      <c r="F21" s="24">
        <v>0.56899999999999995</v>
      </c>
      <c r="G21" s="24">
        <v>0.48699999999999999</v>
      </c>
      <c r="H21">
        <v>15.1</v>
      </c>
      <c r="I21">
        <v>6.86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71B5-C78D-492F-8427-0B432B1D8526}">
  <dimension ref="A1:G21"/>
  <sheetViews>
    <sheetView workbookViewId="0">
      <selection activeCell="C21" sqref="B21:C21"/>
    </sheetView>
  </sheetViews>
  <sheetFormatPr defaultRowHeight="14.4" x14ac:dyDescent="0.3"/>
  <cols>
    <col min="2" max="2" width="11.77734375" bestFit="1" customWidth="1"/>
    <col min="3" max="3" width="13.109375" bestFit="1" customWidth="1"/>
    <col min="4" max="4" width="12.77734375" bestFit="1" customWidth="1"/>
    <col min="5" max="5" width="14.109375" bestFit="1" customWidth="1"/>
    <col min="6" max="6" width="14.88671875" bestFit="1" customWidth="1"/>
    <col min="7" max="7" width="16.88671875" customWidth="1"/>
  </cols>
  <sheetData>
    <row r="1" spans="1:7" x14ac:dyDescent="0.3">
      <c r="A1" t="s">
        <v>25</v>
      </c>
      <c r="B1" t="s">
        <v>32</v>
      </c>
      <c r="C1" t="s">
        <v>33</v>
      </c>
      <c r="D1" t="s">
        <v>73</v>
      </c>
      <c r="E1" t="s">
        <v>34</v>
      </c>
      <c r="F1" t="s">
        <v>35</v>
      </c>
      <c r="G1" t="s">
        <v>61</v>
      </c>
    </row>
    <row r="2" spans="1:7" x14ac:dyDescent="0.3">
      <c r="A2">
        <v>2003</v>
      </c>
      <c r="B2">
        <f>'ekon kalkulace'!B2</f>
        <v>27978</v>
      </c>
      <c r="C2">
        <f>'ekon kalkulace'!C2</f>
        <v>31.59</v>
      </c>
      <c r="D2">
        <f>'ekon kalkulace'!D2</f>
        <v>2823452</v>
      </c>
      <c r="E2" s="27">
        <f>'ekon kalkulace'!E2</f>
        <v>95826542.180000007</v>
      </c>
      <c r="F2">
        <f>'ekon kalkulace'!F2</f>
        <v>1.3087952428222358</v>
      </c>
      <c r="G2">
        <f>'ekon kalkulace'!G2</f>
        <v>0.35072890009897578</v>
      </c>
    </row>
    <row r="3" spans="1:7" x14ac:dyDescent="0.3">
      <c r="A3">
        <v>2004</v>
      </c>
      <c r="B3">
        <f>'ekon kalkulace'!B3</f>
        <v>31619</v>
      </c>
      <c r="C3">
        <f>'ekon kalkulace'!C3</f>
        <v>32.398000000000003</v>
      </c>
      <c r="D3">
        <f>'ekon kalkulace'!D3</f>
        <v>3079207</v>
      </c>
      <c r="E3" s="27">
        <f>'ekon kalkulace'!E3</f>
        <v>94269340.680000007</v>
      </c>
      <c r="F3">
        <f>'ekon kalkulace'!F3</f>
        <v>1.6040033454283436</v>
      </c>
      <c r="G3">
        <f>'ekon kalkulace'!G3</f>
        <v>0.3864703571466942</v>
      </c>
    </row>
    <row r="4" spans="1:7" x14ac:dyDescent="0.3">
      <c r="A4">
        <v>2005</v>
      </c>
      <c r="B4">
        <f>'ekon kalkulace'!B4</f>
        <v>35279</v>
      </c>
      <c r="C4">
        <f>'ekon kalkulace'!C4</f>
        <v>30.361000000000001</v>
      </c>
      <c r="D4">
        <f>'ekon kalkulace'!D4</f>
        <v>3285601</v>
      </c>
      <c r="E4" s="27">
        <f>'ekon kalkulace'!E4</f>
        <v>93637629.703999996</v>
      </c>
      <c r="F4">
        <f>'ekon kalkulace'!F4</f>
        <v>0.91965046172038489</v>
      </c>
      <c r="G4">
        <f>'ekon kalkulace'!G4</f>
        <v>0.3770044128505981</v>
      </c>
    </row>
    <row r="5" spans="1:7" x14ac:dyDescent="0.3">
      <c r="A5">
        <v>2006</v>
      </c>
      <c r="B5">
        <f>'ekon kalkulace'!B5</f>
        <v>49058</v>
      </c>
      <c r="C5">
        <f>'ekon kalkulace'!C5</f>
        <v>29.03</v>
      </c>
      <c r="D5">
        <f>'ekon kalkulace'!D5</f>
        <v>3530881</v>
      </c>
      <c r="E5" s="27">
        <f>'ekon kalkulace'!E5</f>
        <v>94166267.719999999</v>
      </c>
      <c r="F5">
        <f>'ekon kalkulace'!F5</f>
        <v>0.82432361254552378</v>
      </c>
      <c r="G5">
        <f>'ekon kalkulace'!G5</f>
        <v>0.4900909921089836</v>
      </c>
    </row>
    <row r="6" spans="1:7" x14ac:dyDescent="0.3">
      <c r="A6">
        <v>2007</v>
      </c>
      <c r="B6">
        <f>'ekon kalkulace'!B6</f>
        <v>44630</v>
      </c>
      <c r="C6">
        <f>'ekon kalkulace'!C6</f>
        <v>27.524999999999999</v>
      </c>
      <c r="D6">
        <f>'ekon kalkulace'!D6</f>
        <v>3859533</v>
      </c>
      <c r="E6" s="27">
        <f>'ekon kalkulace'!E6</f>
        <v>90763521.939999998</v>
      </c>
      <c r="F6">
        <f>'ekon kalkulace'!F6</f>
        <v>0.82371410754225949</v>
      </c>
      <c r="G6">
        <f>'ekon kalkulace'!G6</f>
        <v>0.44585513020962814</v>
      </c>
    </row>
    <row r="7" spans="1:7" x14ac:dyDescent="0.3">
      <c r="A7">
        <v>2008</v>
      </c>
      <c r="B7">
        <f>'ekon kalkulace'!B7</f>
        <v>51274</v>
      </c>
      <c r="C7">
        <f>'ekon kalkulace'!C7</f>
        <v>26.364000000000001</v>
      </c>
      <c r="D7">
        <f>'ekon kalkulace'!D7</f>
        <v>4042860</v>
      </c>
      <c r="E7" s="27">
        <f>'ekon kalkulace'!E7</f>
        <v>90232622.501999989</v>
      </c>
      <c r="F7">
        <f>'ekon kalkulace'!F7</f>
        <v>0.80316759966190476</v>
      </c>
      <c r="G7">
        <f>'ekon kalkulace'!G7</f>
        <v>0.51222890312275315</v>
      </c>
    </row>
    <row r="8" spans="1:7" x14ac:dyDescent="0.3">
      <c r="A8">
        <v>2009</v>
      </c>
      <c r="B8">
        <f>'ekon kalkulace'!B8</f>
        <v>50230</v>
      </c>
      <c r="C8">
        <f>'ekon kalkulace'!C8</f>
        <v>26.824999999999999</v>
      </c>
      <c r="D8">
        <f>'ekon kalkulace'!D8</f>
        <v>3954320</v>
      </c>
      <c r="E8" s="27">
        <f>'ekon kalkulace'!E8</f>
        <v>89061634.040000007</v>
      </c>
      <c r="F8">
        <f>'ekon kalkulace'!F8</f>
        <v>0.58179668646112959</v>
      </c>
      <c r="G8">
        <f>'ekon kalkulace'!G8</f>
        <v>0.36393001055694085</v>
      </c>
    </row>
    <row r="9" spans="1:7" x14ac:dyDescent="0.3">
      <c r="A9">
        <v>2010</v>
      </c>
      <c r="B9">
        <f>'ekon kalkulace'!B9</f>
        <v>40673</v>
      </c>
      <c r="C9">
        <f>'ekon kalkulace'!C9</f>
        <v>26.285</v>
      </c>
      <c r="D9">
        <f>'ekon kalkulace'!D9</f>
        <v>3992870</v>
      </c>
      <c r="E9" s="27">
        <f>'ekon kalkulace'!E9</f>
        <v>89132298.640000001</v>
      </c>
      <c r="F9">
        <f>'ekon kalkulace'!F9</f>
        <v>0.58782209517575712</v>
      </c>
      <c r="G9">
        <f>'ekon kalkulace'!G9</f>
        <v>0.35735443429865243</v>
      </c>
    </row>
    <row r="10" spans="1:7" x14ac:dyDescent="0.3">
      <c r="A10">
        <v>2011</v>
      </c>
      <c r="B10">
        <f>'ekon kalkulace'!B10</f>
        <v>39078</v>
      </c>
      <c r="C10">
        <f>'ekon kalkulace'!C10</f>
        <v>25.088000000000001</v>
      </c>
      <c r="D10">
        <f>'ekon kalkulace'!D10</f>
        <v>4062323</v>
      </c>
      <c r="E10" s="27">
        <f>'ekon kalkulace'!E10</f>
        <v>88995752.153999999</v>
      </c>
      <c r="F10">
        <f>'ekon kalkulace'!F10</f>
        <v>0.61049855931089569</v>
      </c>
      <c r="G10">
        <f>'ekon kalkulace'!G10</f>
        <v>0.38354941465135794</v>
      </c>
    </row>
    <row r="11" spans="1:7" x14ac:dyDescent="0.3">
      <c r="A11">
        <v>2012</v>
      </c>
      <c r="B11">
        <f>'ekon kalkulace'!B11</f>
        <v>43862</v>
      </c>
      <c r="C11">
        <f>'ekon kalkulace'!C11</f>
        <v>25.504999999999999</v>
      </c>
      <c r="D11">
        <f>'ekon kalkulace'!D11</f>
        <v>4088912</v>
      </c>
      <c r="E11" s="27">
        <f>'ekon kalkulace'!E11</f>
        <v>87498391.245000005</v>
      </c>
      <c r="F11">
        <f>'ekon kalkulace'!F11</f>
        <v>0.64958788517121446</v>
      </c>
      <c r="G11">
        <f>'ekon kalkulace'!G11</f>
        <v>0.48678377392599348</v>
      </c>
    </row>
    <row r="12" spans="1:7" x14ac:dyDescent="0.3">
      <c r="A12">
        <v>2013</v>
      </c>
      <c r="B12">
        <f>'ekon kalkulace'!B12</f>
        <v>46508</v>
      </c>
      <c r="C12">
        <f>'ekon kalkulace'!C12</f>
        <v>25.218</v>
      </c>
      <c r="D12">
        <f>'ekon kalkulace'!D12</f>
        <v>4142811</v>
      </c>
      <c r="E12" s="27">
        <f>'ekon kalkulace'!E12</f>
        <v>87071510.005999997</v>
      </c>
      <c r="F12">
        <f>'ekon kalkulace'!F12</f>
        <v>0.62014514059782033</v>
      </c>
      <c r="G12">
        <f>'ekon kalkulace'!G12</f>
        <v>0.53251229863190785</v>
      </c>
    </row>
    <row r="13" spans="1:7" x14ac:dyDescent="0.3">
      <c r="A13">
        <v>2014</v>
      </c>
      <c r="B13">
        <f>'ekon kalkulace'!B13</f>
        <v>48418</v>
      </c>
      <c r="C13">
        <f>'ekon kalkulace'!C13</f>
        <v>27.481000000000002</v>
      </c>
      <c r="D13">
        <f>'ekon kalkulace'!D13</f>
        <v>4345766</v>
      </c>
      <c r="E13" s="27">
        <f>'ekon kalkulace'!E13</f>
        <v>87507083.924999997</v>
      </c>
      <c r="F13">
        <f>'ekon kalkulace'!F13</f>
        <v>0.58388534132410974</v>
      </c>
      <c r="G13">
        <f>'ekon kalkulace'!G13</f>
        <v>0.54040354722504547</v>
      </c>
    </row>
    <row r="14" spans="1:7" x14ac:dyDescent="0.3">
      <c r="A14">
        <v>2015</v>
      </c>
      <c r="B14">
        <f>'ekon kalkulace'!B14</f>
        <v>52953</v>
      </c>
      <c r="C14">
        <f>'ekon kalkulace'!C14</f>
        <v>27.693000000000001</v>
      </c>
      <c r="D14">
        <f>'ekon kalkulace'!D14</f>
        <v>4625378</v>
      </c>
      <c r="E14" s="27">
        <f>'ekon kalkulace'!E14</f>
        <v>84453349.554000005</v>
      </c>
      <c r="F14">
        <f>'ekon kalkulace'!F14</f>
        <v>0.64690198155124856</v>
      </c>
      <c r="G14">
        <f>'ekon kalkulace'!G14</f>
        <v>0.56113967103712659</v>
      </c>
    </row>
    <row r="15" spans="1:7" x14ac:dyDescent="0.3">
      <c r="A15">
        <v>2016</v>
      </c>
      <c r="B15">
        <f>'ekon kalkulace'!B15</f>
        <v>55923</v>
      </c>
      <c r="C15">
        <f>'ekon kalkulace'!C15</f>
        <v>27.023</v>
      </c>
      <c r="D15">
        <f>'ekon kalkulace'!D15</f>
        <v>4796873</v>
      </c>
      <c r="E15" s="27">
        <f>'ekon kalkulace'!E15</f>
        <v>82907742.96100001</v>
      </c>
      <c r="F15">
        <f>'ekon kalkulace'!F15</f>
        <v>0.60707355620178338</v>
      </c>
      <c r="G15">
        <f>'ekon kalkulace'!G15</f>
        <v>0.57511478539558314</v>
      </c>
    </row>
    <row r="16" spans="1:7" x14ac:dyDescent="0.3">
      <c r="A16">
        <v>2017</v>
      </c>
      <c r="B16">
        <f>'ekon kalkulace'!B16</f>
        <v>54100</v>
      </c>
      <c r="C16">
        <f>'ekon kalkulace'!C16</f>
        <v>27.021000000000001</v>
      </c>
      <c r="D16">
        <f>'ekon kalkulace'!D16</f>
        <v>5110743</v>
      </c>
      <c r="E16" s="27">
        <f>'ekon kalkulace'!E16</f>
        <v>80971886.519999996</v>
      </c>
      <c r="F16">
        <f>'ekon kalkulace'!F16</f>
        <v>0.61870273324852654</v>
      </c>
      <c r="G16">
        <f>'ekon kalkulace'!G16</f>
        <v>0.5675313827283206</v>
      </c>
    </row>
    <row r="17" spans="1:7" x14ac:dyDescent="0.3">
      <c r="A17">
        <v>2018</v>
      </c>
      <c r="B17">
        <f>'ekon kalkulace'!B17</f>
        <v>58102</v>
      </c>
      <c r="C17">
        <f>'ekon kalkulace'!C17</f>
        <v>25.494</v>
      </c>
      <c r="D17">
        <f>'ekon kalkulace'!D17</f>
        <v>5410761</v>
      </c>
      <c r="E17" s="27">
        <f>'ekon kalkulace'!E17</f>
        <v>82067729.040000007</v>
      </c>
      <c r="F17">
        <f>'ekon kalkulace'!F17</f>
        <v>0.62275382464684725</v>
      </c>
      <c r="G17">
        <f>'ekon kalkulace'!G17</f>
        <v>0.55588912538717272</v>
      </c>
    </row>
    <row r="18" spans="1:7" x14ac:dyDescent="0.3">
      <c r="A18">
        <v>2019</v>
      </c>
      <c r="B18">
        <f>'ekon kalkulace'!B18</f>
        <v>65072</v>
      </c>
      <c r="C18">
        <f>'ekon kalkulace'!C18</f>
        <v>25.751999999999999</v>
      </c>
      <c r="D18">
        <f>'ekon kalkulace'!D18</f>
        <v>5791498</v>
      </c>
      <c r="E18" s="27">
        <f>'ekon kalkulace'!E18</f>
        <v>80487400.488000005</v>
      </c>
      <c r="F18">
        <f>'ekon kalkulace'!F18</f>
        <v>0.61525499942069284</v>
      </c>
      <c r="G18">
        <f>'ekon kalkulace'!G18</f>
        <v>0.61308492941953019</v>
      </c>
    </row>
    <row r="19" spans="1:7" x14ac:dyDescent="0.3">
      <c r="A19">
        <v>2020</v>
      </c>
      <c r="B19">
        <f>'ekon kalkulace'!B19</f>
        <v>57071</v>
      </c>
      <c r="C19">
        <f>'ekon kalkulace'!C19</f>
        <v>25.411000000000001</v>
      </c>
      <c r="D19">
        <f>'ekon kalkulace'!D19</f>
        <v>5709131</v>
      </c>
      <c r="E19" s="27">
        <f>'ekon kalkulace'!E19</f>
        <v>76995984.912</v>
      </c>
      <c r="F19">
        <f>'ekon kalkulace'!F19</f>
        <v>0.61061220754848666</v>
      </c>
      <c r="G19">
        <f>'ekon kalkulace'!G19</f>
        <v>0.52444312412435068</v>
      </c>
    </row>
    <row r="20" spans="1:7" x14ac:dyDescent="0.3">
      <c r="A20">
        <v>2021</v>
      </c>
      <c r="B20">
        <f>'ekon kalkulace'!B20</f>
        <v>54888</v>
      </c>
      <c r="C20">
        <f>'ekon kalkulace'!C20</f>
        <v>26.140999999999998</v>
      </c>
      <c r="D20">
        <f>'ekon kalkulace'!D20</f>
        <v>6108717</v>
      </c>
      <c r="E20" s="27">
        <f>'ekon kalkulace'!E20</f>
        <v>74567247.276000008</v>
      </c>
      <c r="F20">
        <f>'ekon kalkulace'!F20</f>
        <v>0.60127399265714698</v>
      </c>
      <c r="G20">
        <f>'ekon kalkulace'!G20</f>
        <v>0.49782745587713029</v>
      </c>
    </row>
    <row r="21" spans="1:7" x14ac:dyDescent="0.3">
      <c r="A21" s="12">
        <v>2022</v>
      </c>
      <c r="B21" s="12">
        <v>53172</v>
      </c>
      <c r="C21" s="25">
        <v>24.818000000000001</v>
      </c>
      <c r="D21" s="26">
        <v>6785852</v>
      </c>
      <c r="E21" s="28">
        <v>76533515.873999998</v>
      </c>
      <c r="F21" s="24">
        <v>0.56899999999999995</v>
      </c>
      <c r="G21" s="24">
        <v>0.48699999999999999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3E9D-332B-4255-A8B1-04EDBB74672F}">
  <dimension ref="A1:M26"/>
  <sheetViews>
    <sheetView workbookViewId="0">
      <selection activeCell="K26" sqref="K26"/>
    </sheetView>
  </sheetViews>
  <sheetFormatPr defaultRowHeight="14.4" x14ac:dyDescent="0.3"/>
  <cols>
    <col min="2" max="2" width="11.77734375" bestFit="1" customWidth="1"/>
    <col min="3" max="3" width="13.109375" bestFit="1" customWidth="1"/>
    <col min="4" max="4" width="12.77734375" style="11" bestFit="1" customWidth="1"/>
    <col min="5" max="5" width="13.6640625" bestFit="1" customWidth="1"/>
    <col min="6" max="6" width="14.88671875" bestFit="1" customWidth="1"/>
    <col min="7" max="7" width="18.6640625" customWidth="1"/>
    <col min="8" max="8" width="10.44140625" customWidth="1"/>
    <col min="9" max="9" width="10.33203125" customWidth="1"/>
    <col min="10" max="10" width="13" customWidth="1"/>
    <col min="11" max="11" width="11.6640625" customWidth="1"/>
    <col min="12" max="12" width="19.33203125" customWidth="1"/>
  </cols>
  <sheetData>
    <row r="1" spans="1:13" x14ac:dyDescent="0.3">
      <c r="A1" t="s">
        <v>25</v>
      </c>
      <c r="B1" t="s">
        <v>32</v>
      </c>
      <c r="C1" t="s">
        <v>33</v>
      </c>
      <c r="D1" s="11" t="s">
        <v>73</v>
      </c>
      <c r="E1" s="7" t="s">
        <v>34</v>
      </c>
      <c r="F1" t="s">
        <v>35</v>
      </c>
      <c r="G1" t="s">
        <v>61</v>
      </c>
      <c r="H1" s="7" t="s">
        <v>74</v>
      </c>
      <c r="I1" s="7" t="s">
        <v>75</v>
      </c>
      <c r="J1" t="s">
        <v>76</v>
      </c>
      <c r="K1" t="s">
        <v>88</v>
      </c>
      <c r="L1" t="s">
        <v>89</v>
      </c>
      <c r="M1" t="s">
        <v>91</v>
      </c>
    </row>
    <row r="2" spans="1:13" x14ac:dyDescent="0.3">
      <c r="A2">
        <v>2003</v>
      </c>
      <c r="B2">
        <f>'ekon kalkulace'!B2</f>
        <v>27978</v>
      </c>
      <c r="C2">
        <f>'ekon kalkulace'!C2</f>
        <v>31.59</v>
      </c>
      <c r="D2" s="11">
        <f>'ekon kalkulace'!D2</f>
        <v>2823452</v>
      </c>
      <c r="E2" s="40">
        <f>'ekon kalkulace'!E2</f>
        <v>95826542.180000007</v>
      </c>
      <c r="F2">
        <f>'ekon kalkulace'!F2</f>
        <v>1.3087952428222358</v>
      </c>
      <c r="G2">
        <f>'ekon kalkulace'!G2</f>
        <v>0.35072890009897578</v>
      </c>
      <c r="H2" s="7">
        <v>0.1</v>
      </c>
      <c r="I2" s="7">
        <v>1.03</v>
      </c>
      <c r="J2">
        <f>2211.57*1000</f>
        <v>2211570</v>
      </c>
      <c r="K2">
        <f>IF(I2&gt;1.6,1,0)</f>
        <v>0</v>
      </c>
    </row>
    <row r="3" spans="1:13" x14ac:dyDescent="0.3">
      <c r="A3">
        <v>2004</v>
      </c>
      <c r="B3">
        <f>'ekon kalkulace'!B3</f>
        <v>31619</v>
      </c>
      <c r="C3">
        <f>'ekon kalkulace'!C3</f>
        <v>32.398000000000003</v>
      </c>
      <c r="D3" s="11">
        <f>'ekon kalkulace'!D3</f>
        <v>3079207</v>
      </c>
      <c r="E3" s="40">
        <f>'ekon kalkulace'!E3</f>
        <v>94269340.680000007</v>
      </c>
      <c r="F3">
        <f>'ekon kalkulace'!F3</f>
        <v>1.6040033454283436</v>
      </c>
      <c r="G3">
        <f>'ekon kalkulace'!G3</f>
        <v>0.3864703571466942</v>
      </c>
      <c r="H3" s="7">
        <v>2.8</v>
      </c>
      <c r="I3" s="7">
        <v>1.67</v>
      </c>
      <c r="J3">
        <f>2262.52*1000</f>
        <v>2262520</v>
      </c>
      <c r="K3">
        <f t="shared" ref="K3:K21" si="0">IF(I3&gt;1.6,1,0)</f>
        <v>1</v>
      </c>
      <c r="L3">
        <v>-1557201.5</v>
      </c>
      <c r="M3">
        <f>C3-C2</f>
        <v>0.80800000000000338</v>
      </c>
    </row>
    <row r="4" spans="1:13" x14ac:dyDescent="0.3">
      <c r="A4">
        <v>2005</v>
      </c>
      <c r="B4">
        <f>'ekon kalkulace'!B4</f>
        <v>35279</v>
      </c>
      <c r="C4">
        <f>'ekon kalkulace'!C4</f>
        <v>30.361000000000001</v>
      </c>
      <c r="D4" s="11">
        <f>'ekon kalkulace'!D4</f>
        <v>3285601</v>
      </c>
      <c r="E4" s="40">
        <f>'ekon kalkulace'!E4</f>
        <v>93637629.703999996</v>
      </c>
      <c r="F4">
        <f>'ekon kalkulace'!F4</f>
        <v>0.91965046172038489</v>
      </c>
      <c r="G4">
        <f>'ekon kalkulace'!G4</f>
        <v>0.3770044128505981</v>
      </c>
      <c r="H4" s="7">
        <v>1.9</v>
      </c>
      <c r="I4" s="7">
        <v>1.55</v>
      </c>
      <c r="J4">
        <f>2288.31*1000</f>
        <v>2288310</v>
      </c>
      <c r="K4">
        <f t="shared" si="0"/>
        <v>0</v>
      </c>
      <c r="L4" s="27">
        <f t="shared" ref="L4:L20" si="1">E4-E3</f>
        <v>-631710.97600001097</v>
      </c>
      <c r="M4">
        <f t="shared" ref="M4:M21" si="2">C4-C3</f>
        <v>-2.0370000000000026</v>
      </c>
    </row>
    <row r="5" spans="1:13" x14ac:dyDescent="0.3">
      <c r="A5">
        <v>2006</v>
      </c>
      <c r="B5">
        <f>'ekon kalkulace'!B5</f>
        <v>49058</v>
      </c>
      <c r="C5">
        <f>'ekon kalkulace'!C5</f>
        <v>29.03</v>
      </c>
      <c r="D5" s="11">
        <f>'ekon kalkulace'!D5</f>
        <v>3530881</v>
      </c>
      <c r="E5" s="40">
        <f>'ekon kalkulace'!E5</f>
        <v>94166267.719999999</v>
      </c>
      <c r="F5">
        <f>'ekon kalkulace'!F5</f>
        <v>0.82432361254552378</v>
      </c>
      <c r="G5">
        <f>'ekon kalkulace'!G5</f>
        <v>0.4900909921089836</v>
      </c>
      <c r="H5" s="7">
        <v>2.5</v>
      </c>
      <c r="I5" s="7">
        <v>1.58</v>
      </c>
      <c r="J5">
        <f>2385.08*1000</f>
        <v>2385080</v>
      </c>
      <c r="K5">
        <f t="shared" si="0"/>
        <v>0</v>
      </c>
      <c r="L5" s="27">
        <f t="shared" si="1"/>
        <v>528638.01600000262</v>
      </c>
      <c r="M5">
        <f t="shared" si="2"/>
        <v>-1.3309999999999995</v>
      </c>
    </row>
    <row r="6" spans="1:13" x14ac:dyDescent="0.3">
      <c r="A6">
        <v>2007</v>
      </c>
      <c r="B6">
        <f>'ekon kalkulace'!B6</f>
        <v>44630</v>
      </c>
      <c r="C6">
        <f>'ekon kalkulace'!C6</f>
        <v>27.524999999999999</v>
      </c>
      <c r="D6" s="11">
        <f>'ekon kalkulace'!D6</f>
        <v>3859533</v>
      </c>
      <c r="E6" s="40">
        <f>'ekon kalkulace'!E6</f>
        <v>90763521.939999998</v>
      </c>
      <c r="F6">
        <f>'ekon kalkulace'!F6</f>
        <v>0.82371410754225949</v>
      </c>
      <c r="G6">
        <f>'ekon kalkulace'!G6</f>
        <v>0.44585513020962814</v>
      </c>
      <c r="H6" s="7">
        <v>2.8</v>
      </c>
      <c r="I6" s="7">
        <v>2.2999999999999998</v>
      </c>
      <c r="J6">
        <f>2499.55*1000</f>
        <v>2499550</v>
      </c>
      <c r="K6">
        <f t="shared" si="0"/>
        <v>1</v>
      </c>
      <c r="L6" s="27">
        <f t="shared" si="1"/>
        <v>-3402745.7800000012</v>
      </c>
      <c r="M6">
        <f t="shared" si="2"/>
        <v>-1.5050000000000026</v>
      </c>
    </row>
    <row r="7" spans="1:13" x14ac:dyDescent="0.3">
      <c r="A7">
        <v>2008</v>
      </c>
      <c r="B7">
        <f>'ekon kalkulace'!B7</f>
        <v>51274</v>
      </c>
      <c r="C7">
        <f>'ekon kalkulace'!C7</f>
        <v>26.364000000000001</v>
      </c>
      <c r="D7" s="11">
        <f>'ekon kalkulace'!D7</f>
        <v>4042860</v>
      </c>
      <c r="E7" s="40">
        <f>'ekon kalkulace'!E7</f>
        <v>90232622.501999989</v>
      </c>
      <c r="F7">
        <f>'ekon kalkulace'!F7</f>
        <v>0.80316759966190476</v>
      </c>
      <c r="G7">
        <f>'ekon kalkulace'!G7</f>
        <v>0.51222890312275315</v>
      </c>
      <c r="H7" s="7">
        <v>6.3</v>
      </c>
      <c r="I7" s="7">
        <v>2.63</v>
      </c>
      <c r="J7">
        <f>2546.49*1000</f>
        <v>2546490</v>
      </c>
      <c r="K7">
        <f t="shared" si="0"/>
        <v>1</v>
      </c>
      <c r="L7" s="27">
        <f t="shared" si="1"/>
        <v>-530899.43800000846</v>
      </c>
      <c r="M7">
        <f t="shared" si="2"/>
        <v>-1.1609999999999978</v>
      </c>
    </row>
    <row r="8" spans="1:13" x14ac:dyDescent="0.3">
      <c r="A8">
        <v>2009</v>
      </c>
      <c r="B8">
        <f>'ekon kalkulace'!B8</f>
        <v>50230</v>
      </c>
      <c r="C8">
        <f>'ekon kalkulace'!C8</f>
        <v>26.824999999999999</v>
      </c>
      <c r="D8" s="11">
        <f>'ekon kalkulace'!D8</f>
        <v>3954320</v>
      </c>
      <c r="E8" s="40">
        <f>'ekon kalkulace'!E8</f>
        <v>89061634.040000007</v>
      </c>
      <c r="F8">
        <f>'ekon kalkulace'!F8</f>
        <v>0.58179668646112959</v>
      </c>
      <c r="G8">
        <f>'ekon kalkulace'!G8</f>
        <v>0.36393001055694085</v>
      </c>
      <c r="H8" s="7">
        <v>1</v>
      </c>
      <c r="I8" s="7">
        <v>0.31</v>
      </c>
      <c r="J8">
        <f>2445.73*1000</f>
        <v>2445730</v>
      </c>
      <c r="K8">
        <f t="shared" si="0"/>
        <v>0</v>
      </c>
      <c r="L8" s="27">
        <f t="shared" si="1"/>
        <v>-1170988.4619999826</v>
      </c>
      <c r="M8">
        <f t="shared" si="2"/>
        <v>0.46099999999999852</v>
      </c>
    </row>
    <row r="9" spans="1:13" x14ac:dyDescent="0.3">
      <c r="A9">
        <v>2010</v>
      </c>
      <c r="B9">
        <f>'ekon kalkulace'!B9</f>
        <v>40673</v>
      </c>
      <c r="C9">
        <f>'ekon kalkulace'!C9</f>
        <v>26.285</v>
      </c>
      <c r="D9" s="11">
        <f>'ekon kalkulace'!D9</f>
        <v>3992870</v>
      </c>
      <c r="E9" s="40">
        <f>'ekon kalkulace'!E9</f>
        <v>89132298.640000001</v>
      </c>
      <c r="F9">
        <f>'ekon kalkulace'!F9</f>
        <v>0.58782209517575712</v>
      </c>
      <c r="G9">
        <f>'ekon kalkulace'!G9</f>
        <v>0.35735443429865243</v>
      </c>
      <c r="H9" s="7">
        <v>1.5</v>
      </c>
      <c r="I9" s="7">
        <v>1.1000000000000001</v>
      </c>
      <c r="J9">
        <f>2564.4*1000</f>
        <v>2564400</v>
      </c>
      <c r="K9">
        <f t="shared" si="0"/>
        <v>0</v>
      </c>
      <c r="L9" s="27">
        <f t="shared" si="1"/>
        <v>70664.59999999404</v>
      </c>
      <c r="M9">
        <f t="shared" si="2"/>
        <v>-0.53999999999999915</v>
      </c>
    </row>
    <row r="10" spans="1:13" x14ac:dyDescent="0.3">
      <c r="A10">
        <v>2011</v>
      </c>
      <c r="B10">
        <f>'ekon kalkulace'!B10</f>
        <v>39078</v>
      </c>
      <c r="C10">
        <f>'ekon kalkulace'!C10</f>
        <v>25.088000000000001</v>
      </c>
      <c r="D10" s="11">
        <f>'ekon kalkulace'!D10</f>
        <v>4062323</v>
      </c>
      <c r="E10" s="40">
        <f>'ekon kalkulace'!E10</f>
        <v>88995752.153999999</v>
      </c>
      <c r="F10">
        <f>'ekon kalkulace'!F10</f>
        <v>0.61049855931089569</v>
      </c>
      <c r="G10">
        <f>'ekon kalkulace'!G10</f>
        <v>0.38354941465135794</v>
      </c>
      <c r="H10" s="7">
        <v>1.9</v>
      </c>
      <c r="I10" s="7">
        <v>2.08</v>
      </c>
      <c r="J10">
        <f>2693.56*1000</f>
        <v>2693560</v>
      </c>
      <c r="K10">
        <f t="shared" si="0"/>
        <v>1</v>
      </c>
      <c r="L10" s="27">
        <f t="shared" si="1"/>
        <v>-136546.48600000143</v>
      </c>
      <c r="M10">
        <f t="shared" si="2"/>
        <v>-1.1969999999999992</v>
      </c>
    </row>
    <row r="11" spans="1:13" x14ac:dyDescent="0.3">
      <c r="A11">
        <v>2012</v>
      </c>
      <c r="B11">
        <f>'ekon kalkulace'!B11</f>
        <v>43862</v>
      </c>
      <c r="C11">
        <f>'ekon kalkulace'!C11</f>
        <v>25.504999999999999</v>
      </c>
      <c r="D11" s="11">
        <f>'ekon kalkulace'!D11</f>
        <v>4088912</v>
      </c>
      <c r="E11" s="40">
        <f>'ekon kalkulace'!E11</f>
        <v>87498391.245000005</v>
      </c>
      <c r="F11">
        <f>'ekon kalkulace'!F11</f>
        <v>0.64958788517121446</v>
      </c>
      <c r="G11">
        <f>'ekon kalkulace'!G11</f>
        <v>0.48678377392599348</v>
      </c>
      <c r="H11" s="7">
        <v>3.3</v>
      </c>
      <c r="I11" s="7">
        <v>2.0099999999999998</v>
      </c>
      <c r="J11">
        <f>2745.31*1000</f>
        <v>2745310</v>
      </c>
      <c r="K11">
        <f t="shared" si="0"/>
        <v>1</v>
      </c>
      <c r="L11" s="27">
        <f t="shared" si="1"/>
        <v>-1497360.9089999944</v>
      </c>
      <c r="M11">
        <f t="shared" si="2"/>
        <v>0.41699999999999804</v>
      </c>
    </row>
    <row r="12" spans="1:13" x14ac:dyDescent="0.3">
      <c r="A12">
        <v>2013</v>
      </c>
      <c r="B12">
        <f>'ekon kalkulace'!B12</f>
        <v>46508</v>
      </c>
      <c r="C12">
        <f>'ekon kalkulace'!C12</f>
        <v>25.218</v>
      </c>
      <c r="D12" s="11">
        <f>'ekon kalkulace'!D12</f>
        <v>4142811</v>
      </c>
      <c r="E12" s="40">
        <f>'ekon kalkulace'!E12</f>
        <v>87071510.005999997</v>
      </c>
      <c r="F12">
        <f>'ekon kalkulace'!F12</f>
        <v>0.62014514059782033</v>
      </c>
      <c r="G12">
        <f>'ekon kalkulace'!G12</f>
        <v>0.53251229863190785</v>
      </c>
      <c r="H12" s="7">
        <v>1.4</v>
      </c>
      <c r="I12" s="7">
        <v>1.5</v>
      </c>
      <c r="J12">
        <f>2811.35*1000</f>
        <v>2811350</v>
      </c>
      <c r="K12">
        <f t="shared" si="0"/>
        <v>0</v>
      </c>
      <c r="L12" s="27">
        <f t="shared" si="1"/>
        <v>-426881.23900000751</v>
      </c>
      <c r="M12">
        <f t="shared" si="2"/>
        <v>-0.28699999999999903</v>
      </c>
    </row>
    <row r="13" spans="1:13" x14ac:dyDescent="0.3">
      <c r="A13">
        <v>2014</v>
      </c>
      <c r="B13">
        <f>'ekon kalkulace'!B13</f>
        <v>48418</v>
      </c>
      <c r="C13">
        <f>'ekon kalkulace'!C13</f>
        <v>27.481000000000002</v>
      </c>
      <c r="D13" s="11">
        <f>'ekon kalkulace'!D13</f>
        <v>4345766</v>
      </c>
      <c r="E13" s="40">
        <f>'ekon kalkulace'!E13</f>
        <v>87507083.924999997</v>
      </c>
      <c r="F13">
        <f>'ekon kalkulace'!F13</f>
        <v>0.58388534132410974</v>
      </c>
      <c r="G13">
        <f>'ekon kalkulace'!G13</f>
        <v>0.54040354722504547</v>
      </c>
      <c r="H13" s="7">
        <v>0.4</v>
      </c>
      <c r="I13" s="7">
        <v>0.91</v>
      </c>
      <c r="J13">
        <f>2927.43*1000</f>
        <v>2927430</v>
      </c>
      <c r="K13">
        <f t="shared" si="0"/>
        <v>0</v>
      </c>
      <c r="L13" s="27">
        <f t="shared" si="1"/>
        <v>435573.91899999976</v>
      </c>
      <c r="M13">
        <f t="shared" si="2"/>
        <v>2.2630000000000017</v>
      </c>
    </row>
    <row r="14" spans="1:13" x14ac:dyDescent="0.3">
      <c r="A14">
        <v>2015</v>
      </c>
      <c r="B14">
        <f>'ekon kalkulace'!B14</f>
        <v>52953</v>
      </c>
      <c r="C14">
        <f>'ekon kalkulace'!C14</f>
        <v>27.693000000000001</v>
      </c>
      <c r="D14" s="11">
        <f>'ekon kalkulace'!D14</f>
        <v>4625378</v>
      </c>
      <c r="E14" s="40">
        <f>'ekon kalkulace'!E14</f>
        <v>84453349.554000005</v>
      </c>
      <c r="F14">
        <f>'ekon kalkulace'!F14</f>
        <v>0.64690198155124856</v>
      </c>
      <c r="G14">
        <f>'ekon kalkulace'!G14</f>
        <v>0.56113967103712659</v>
      </c>
      <c r="H14" s="7">
        <v>0.3</v>
      </c>
      <c r="I14" s="7">
        <v>0.51</v>
      </c>
      <c r="J14">
        <f>3026.18*1000</f>
        <v>3026180</v>
      </c>
      <c r="K14">
        <f t="shared" si="0"/>
        <v>0</v>
      </c>
      <c r="L14" s="27">
        <f t="shared" si="1"/>
        <v>-3053734.3709999919</v>
      </c>
      <c r="M14">
        <f t="shared" si="2"/>
        <v>0.21199999999999974</v>
      </c>
    </row>
    <row r="15" spans="1:13" x14ac:dyDescent="0.3">
      <c r="A15">
        <v>2016</v>
      </c>
      <c r="B15">
        <f>'ekon kalkulace'!B15</f>
        <v>55923</v>
      </c>
      <c r="C15">
        <f>'ekon kalkulace'!C15</f>
        <v>27.023</v>
      </c>
      <c r="D15" s="11">
        <f>'ekon kalkulace'!D15</f>
        <v>4796873</v>
      </c>
      <c r="E15" s="40">
        <f>'ekon kalkulace'!E15</f>
        <v>82907742.96100001</v>
      </c>
      <c r="F15">
        <f>'ekon kalkulace'!F15</f>
        <v>0.60707355620178338</v>
      </c>
      <c r="G15">
        <f>'ekon kalkulace'!G15</f>
        <v>0.57511478539558314</v>
      </c>
      <c r="H15" s="7">
        <v>0.7</v>
      </c>
      <c r="I15" s="7">
        <v>0.49</v>
      </c>
      <c r="J15">
        <f>3134.74*1000</f>
        <v>3134740</v>
      </c>
      <c r="K15">
        <f t="shared" si="0"/>
        <v>0</v>
      </c>
      <c r="L15" s="27">
        <f t="shared" si="1"/>
        <v>-1545606.5929999948</v>
      </c>
      <c r="M15">
        <f t="shared" si="2"/>
        <v>-0.67000000000000171</v>
      </c>
    </row>
    <row r="16" spans="1:13" x14ac:dyDescent="0.3">
      <c r="A16">
        <v>2017</v>
      </c>
      <c r="B16">
        <f>'ekon kalkulace'!B16</f>
        <v>54100</v>
      </c>
      <c r="C16">
        <f>'ekon kalkulace'!C16</f>
        <v>27.021000000000001</v>
      </c>
      <c r="D16" s="11">
        <f>'ekon kalkulace'!D16</f>
        <v>5110743</v>
      </c>
      <c r="E16" s="40">
        <f>'ekon kalkulace'!E16</f>
        <v>80971886.519999996</v>
      </c>
      <c r="F16">
        <f>'ekon kalkulace'!F16</f>
        <v>0.61870273324852654</v>
      </c>
      <c r="G16">
        <f>'ekon kalkulace'!G16</f>
        <v>0.5675313827283206</v>
      </c>
      <c r="H16" s="7">
        <v>2.5</v>
      </c>
      <c r="I16" s="7">
        <v>1.51</v>
      </c>
      <c r="J16">
        <f>3267.16*1000</f>
        <v>3267160</v>
      </c>
      <c r="K16">
        <f t="shared" si="0"/>
        <v>0</v>
      </c>
      <c r="L16" s="27">
        <f t="shared" si="1"/>
        <v>-1935856.4410000145</v>
      </c>
      <c r="M16">
        <f t="shared" si="2"/>
        <v>-1.9999999999988916E-3</v>
      </c>
    </row>
    <row r="17" spans="1:13" x14ac:dyDescent="0.3">
      <c r="A17">
        <v>2018</v>
      </c>
      <c r="B17">
        <f>'ekon kalkulace'!B17</f>
        <v>58102</v>
      </c>
      <c r="C17">
        <f>'ekon kalkulace'!C17</f>
        <v>25.494</v>
      </c>
      <c r="D17" s="11">
        <f>'ekon kalkulace'!D17</f>
        <v>5410761</v>
      </c>
      <c r="E17" s="40">
        <f>'ekon kalkulace'!E17</f>
        <v>82067729.040000007</v>
      </c>
      <c r="F17">
        <f>'ekon kalkulace'!F17</f>
        <v>0.62275382464684725</v>
      </c>
      <c r="G17">
        <f>'ekon kalkulace'!G17</f>
        <v>0.55588912538717272</v>
      </c>
      <c r="H17" s="7">
        <v>2.1</v>
      </c>
      <c r="I17" s="7">
        <v>1.73</v>
      </c>
      <c r="J17">
        <f>3365.45*1000</f>
        <v>3365450</v>
      </c>
      <c r="K17">
        <f t="shared" si="0"/>
        <v>1</v>
      </c>
      <c r="L17" s="27">
        <f t="shared" si="1"/>
        <v>1095842.5200000107</v>
      </c>
      <c r="M17">
        <f t="shared" si="2"/>
        <v>-1.527000000000001</v>
      </c>
    </row>
    <row r="18" spans="1:13" x14ac:dyDescent="0.3">
      <c r="A18">
        <v>2019</v>
      </c>
      <c r="B18">
        <f>'ekon kalkulace'!B18</f>
        <v>65072</v>
      </c>
      <c r="C18">
        <f>'ekon kalkulace'!C18</f>
        <v>25.751999999999999</v>
      </c>
      <c r="D18" s="11">
        <f>'ekon kalkulace'!D18</f>
        <v>5791498</v>
      </c>
      <c r="E18" s="40">
        <f>'ekon kalkulace'!E18</f>
        <v>80487400.488000005</v>
      </c>
      <c r="F18">
        <f>'ekon kalkulace'!F18</f>
        <v>0.61525499942069284</v>
      </c>
      <c r="G18">
        <f>'ekon kalkulace'!G18</f>
        <v>0.61308492941953019</v>
      </c>
      <c r="H18" s="7">
        <v>2.8</v>
      </c>
      <c r="I18" s="7">
        <v>1.45</v>
      </c>
      <c r="J18">
        <f>3474.11*1000</f>
        <v>3474110</v>
      </c>
      <c r="K18">
        <f t="shared" si="0"/>
        <v>0</v>
      </c>
      <c r="L18" s="27">
        <f t="shared" si="1"/>
        <v>-1580328.5520000011</v>
      </c>
      <c r="M18">
        <f t="shared" si="2"/>
        <v>0.25799999999999912</v>
      </c>
    </row>
    <row r="19" spans="1:13" x14ac:dyDescent="0.3">
      <c r="A19">
        <v>2020</v>
      </c>
      <c r="B19">
        <f>'ekon kalkulace'!B19</f>
        <v>57071</v>
      </c>
      <c r="C19">
        <f>'ekon kalkulace'!C19</f>
        <v>25.411000000000001</v>
      </c>
      <c r="D19" s="11">
        <f>'ekon kalkulace'!D19</f>
        <v>5709131</v>
      </c>
      <c r="E19" s="40">
        <f>'ekon kalkulace'!E19</f>
        <v>76995984.912</v>
      </c>
      <c r="F19">
        <f>'ekon kalkulace'!F19</f>
        <v>0.61061220754848666</v>
      </c>
      <c r="G19">
        <f>'ekon kalkulace'!G19</f>
        <v>0.52444312412435068</v>
      </c>
      <c r="H19" s="7">
        <v>3.2</v>
      </c>
      <c r="I19" s="7">
        <v>0.14000000000000001</v>
      </c>
      <c r="J19">
        <f>3403.73*1000</f>
        <v>3403730</v>
      </c>
      <c r="K19">
        <f t="shared" si="0"/>
        <v>0</v>
      </c>
      <c r="L19" s="27">
        <f t="shared" si="1"/>
        <v>-3491415.576000005</v>
      </c>
      <c r="M19">
        <f t="shared" si="2"/>
        <v>-0.34099999999999753</v>
      </c>
    </row>
    <row r="20" spans="1:13" x14ac:dyDescent="0.3">
      <c r="A20">
        <v>2021</v>
      </c>
      <c r="B20">
        <f>'ekon kalkulace'!B20</f>
        <v>54888</v>
      </c>
      <c r="C20">
        <f>'ekon kalkulace'!C20</f>
        <v>26.140999999999998</v>
      </c>
      <c r="D20" s="11">
        <f>'ekon kalkulace'!D20</f>
        <v>6108717</v>
      </c>
      <c r="E20" s="40">
        <f>'ekon kalkulace'!E20</f>
        <v>74567247.276000008</v>
      </c>
      <c r="F20">
        <f>'ekon kalkulace'!F20</f>
        <v>0.60127399265714698</v>
      </c>
      <c r="G20">
        <f>'ekon kalkulace'!G20</f>
        <v>0.49782745587713029</v>
      </c>
      <c r="H20" s="7">
        <v>3.8</v>
      </c>
      <c r="I20" s="7">
        <v>3.07</v>
      </c>
      <c r="J20">
        <f>3617.45*1000</f>
        <v>3617450</v>
      </c>
      <c r="K20">
        <f t="shared" si="0"/>
        <v>1</v>
      </c>
      <c r="L20" s="27">
        <f t="shared" si="1"/>
        <v>-2428737.6359999925</v>
      </c>
      <c r="M20">
        <f t="shared" si="2"/>
        <v>0.72999999999999687</v>
      </c>
    </row>
    <row r="21" spans="1:13" x14ac:dyDescent="0.3">
      <c r="A21">
        <v>2022</v>
      </c>
      <c r="B21" s="12">
        <v>53172</v>
      </c>
      <c r="C21" s="25">
        <v>24.818000000000001</v>
      </c>
      <c r="D21" s="39">
        <v>6785852</v>
      </c>
      <c r="E21" s="41">
        <v>76533515.873999998</v>
      </c>
      <c r="F21" s="24">
        <v>0.56899999999999995</v>
      </c>
      <c r="G21" s="24">
        <v>0.48699999999999999</v>
      </c>
      <c r="H21" s="7">
        <v>15.1</v>
      </c>
      <c r="I21" s="7">
        <v>6.86</v>
      </c>
      <c r="J21">
        <f>3876.8*1000</f>
        <v>3876800</v>
      </c>
      <c r="K21">
        <f t="shared" si="0"/>
        <v>1</v>
      </c>
      <c r="L21" s="27">
        <f>E21-E20</f>
        <v>1966268.59799999</v>
      </c>
      <c r="M21">
        <f t="shared" si="2"/>
        <v>-1.3229999999999968</v>
      </c>
    </row>
    <row r="26" spans="1:13" x14ac:dyDescent="0.3">
      <c r="K26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4948-8637-478B-A8B9-7F5312B23859}">
  <dimension ref="A1:G21"/>
  <sheetViews>
    <sheetView workbookViewId="0">
      <selection activeCell="D1" sqref="D1:D21"/>
    </sheetView>
  </sheetViews>
  <sheetFormatPr defaultRowHeight="14.4" x14ac:dyDescent="0.3"/>
  <cols>
    <col min="2" max="2" width="11.77734375" bestFit="1" customWidth="1"/>
    <col min="3" max="3" width="13.109375" bestFit="1" customWidth="1"/>
    <col min="4" max="4" width="14.21875" customWidth="1"/>
    <col min="5" max="5" width="15.77734375" customWidth="1"/>
    <col min="6" max="6" width="10.6640625" customWidth="1"/>
    <col min="7" max="7" width="11" customWidth="1"/>
    <col min="8" max="8" width="10" customWidth="1"/>
    <col min="9" max="9" width="10.44140625" customWidth="1"/>
    <col min="10" max="10" width="12.77734375" customWidth="1"/>
  </cols>
  <sheetData>
    <row r="1" spans="1:7" x14ac:dyDescent="0.3">
      <c r="A1" t="s">
        <v>25</v>
      </c>
      <c r="B1" t="s">
        <v>32</v>
      </c>
      <c r="C1" t="s">
        <v>33</v>
      </c>
      <c r="D1" t="s">
        <v>77</v>
      </c>
      <c r="E1" t="s">
        <v>35</v>
      </c>
      <c r="F1" t="s">
        <v>74</v>
      </c>
      <c r="G1" t="s">
        <v>75</v>
      </c>
    </row>
    <row r="2" spans="1:7" x14ac:dyDescent="0.3">
      <c r="A2">
        <v>2003</v>
      </c>
      <c r="B2">
        <f>'ekon kalkulace'!B2</f>
        <v>27978</v>
      </c>
      <c r="C2">
        <f>'ekon kalkulace'!C2</f>
        <v>31.59</v>
      </c>
      <c r="D2">
        <f>2211.57*1000</f>
        <v>2211570</v>
      </c>
      <c r="E2">
        <f>'ekon kalkulace'!F2</f>
        <v>1.3087952428222358</v>
      </c>
      <c r="F2">
        <v>0.1</v>
      </c>
      <c r="G2">
        <v>1.03</v>
      </c>
    </row>
    <row r="3" spans="1:7" x14ac:dyDescent="0.3">
      <c r="A3">
        <v>2004</v>
      </c>
      <c r="B3">
        <f>'ekon kalkulace'!B3</f>
        <v>31619</v>
      </c>
      <c r="C3">
        <f>'ekon kalkulace'!C3</f>
        <v>32.398000000000003</v>
      </c>
      <c r="D3">
        <f>2262.52*1000</f>
        <v>2262520</v>
      </c>
      <c r="E3">
        <f>'ekon kalkulace'!F3</f>
        <v>1.6040033454283436</v>
      </c>
      <c r="F3">
        <v>2.8</v>
      </c>
      <c r="G3">
        <v>1.67</v>
      </c>
    </row>
    <row r="4" spans="1:7" x14ac:dyDescent="0.3">
      <c r="A4">
        <v>2005</v>
      </c>
      <c r="B4">
        <f>'ekon kalkulace'!B4</f>
        <v>35279</v>
      </c>
      <c r="C4">
        <f>'ekon kalkulace'!C4</f>
        <v>30.361000000000001</v>
      </c>
      <c r="D4">
        <f>2288.31*1000</f>
        <v>2288310</v>
      </c>
      <c r="E4">
        <f>'ekon kalkulace'!F4</f>
        <v>0.91965046172038489</v>
      </c>
      <c r="F4">
        <v>1.9</v>
      </c>
      <c r="G4">
        <v>1.55</v>
      </c>
    </row>
    <row r="5" spans="1:7" x14ac:dyDescent="0.3">
      <c r="A5">
        <v>2006</v>
      </c>
      <c r="B5">
        <f>'ekon kalkulace'!B5</f>
        <v>49058</v>
      </c>
      <c r="C5">
        <f>'ekon kalkulace'!C5</f>
        <v>29.03</v>
      </c>
      <c r="D5">
        <f>2385.08*1000</f>
        <v>2385080</v>
      </c>
      <c r="E5">
        <f>'ekon kalkulace'!F5</f>
        <v>0.82432361254552378</v>
      </c>
      <c r="F5">
        <v>2.5</v>
      </c>
      <c r="G5">
        <v>1.58</v>
      </c>
    </row>
    <row r="6" spans="1:7" x14ac:dyDescent="0.3">
      <c r="A6">
        <v>2007</v>
      </c>
      <c r="B6">
        <f>'ekon kalkulace'!B6</f>
        <v>44630</v>
      </c>
      <c r="C6">
        <f>'ekon kalkulace'!C6</f>
        <v>27.524999999999999</v>
      </c>
      <c r="D6">
        <f>2499.55*1000</f>
        <v>2499550</v>
      </c>
      <c r="E6">
        <f>'ekon kalkulace'!F6</f>
        <v>0.82371410754225949</v>
      </c>
      <c r="F6">
        <v>2.8</v>
      </c>
      <c r="G6">
        <v>2.2999999999999998</v>
      </c>
    </row>
    <row r="7" spans="1:7" x14ac:dyDescent="0.3">
      <c r="A7">
        <v>2008</v>
      </c>
      <c r="B7">
        <f>'ekon kalkulace'!B7</f>
        <v>51274</v>
      </c>
      <c r="C7">
        <f>'ekon kalkulace'!C7</f>
        <v>26.364000000000001</v>
      </c>
      <c r="D7">
        <f>2546.49*1000</f>
        <v>2546490</v>
      </c>
      <c r="E7">
        <f>'ekon kalkulace'!F7</f>
        <v>0.80316759966190476</v>
      </c>
      <c r="F7">
        <v>6.3</v>
      </c>
      <c r="G7">
        <v>2.63</v>
      </c>
    </row>
    <row r="8" spans="1:7" x14ac:dyDescent="0.3">
      <c r="A8">
        <v>2009</v>
      </c>
      <c r="B8">
        <f>'ekon kalkulace'!B8</f>
        <v>50230</v>
      </c>
      <c r="C8">
        <f>'ekon kalkulace'!C8</f>
        <v>26.824999999999999</v>
      </c>
      <c r="D8">
        <f>2445.73*1000</f>
        <v>2445730</v>
      </c>
      <c r="E8">
        <f>'ekon kalkulace'!F8</f>
        <v>0.58179668646112959</v>
      </c>
      <c r="F8">
        <v>1</v>
      </c>
      <c r="G8">
        <v>0.31</v>
      </c>
    </row>
    <row r="9" spans="1:7" x14ac:dyDescent="0.3">
      <c r="A9">
        <v>2010</v>
      </c>
      <c r="B9">
        <f>'ekon kalkulace'!B9</f>
        <v>40673</v>
      </c>
      <c r="C9">
        <f>'ekon kalkulace'!C9</f>
        <v>26.285</v>
      </c>
      <c r="D9">
        <f>2564.4*1000</f>
        <v>2564400</v>
      </c>
      <c r="E9">
        <f>'ekon kalkulace'!F9</f>
        <v>0.58782209517575712</v>
      </c>
      <c r="F9">
        <v>1.5</v>
      </c>
      <c r="G9">
        <v>1.1000000000000001</v>
      </c>
    </row>
    <row r="10" spans="1:7" x14ac:dyDescent="0.3">
      <c r="A10">
        <v>2011</v>
      </c>
      <c r="B10">
        <f>'ekon kalkulace'!B10</f>
        <v>39078</v>
      </c>
      <c r="C10">
        <f>'ekon kalkulace'!C10</f>
        <v>25.088000000000001</v>
      </c>
      <c r="D10">
        <f>2693.56*1000</f>
        <v>2693560</v>
      </c>
      <c r="E10">
        <f>'ekon kalkulace'!F10</f>
        <v>0.61049855931089569</v>
      </c>
      <c r="F10">
        <v>1.9</v>
      </c>
      <c r="G10">
        <v>2.08</v>
      </c>
    </row>
    <row r="11" spans="1:7" x14ac:dyDescent="0.3">
      <c r="A11">
        <v>2012</v>
      </c>
      <c r="B11">
        <f>'ekon kalkulace'!B11</f>
        <v>43862</v>
      </c>
      <c r="C11">
        <f>'ekon kalkulace'!C11</f>
        <v>25.504999999999999</v>
      </c>
      <c r="D11">
        <f>2745.31*1000</f>
        <v>2745310</v>
      </c>
      <c r="E11">
        <f>'ekon kalkulace'!F11</f>
        <v>0.64958788517121446</v>
      </c>
      <c r="F11">
        <v>3.3</v>
      </c>
      <c r="G11">
        <v>2.0099999999999998</v>
      </c>
    </row>
    <row r="12" spans="1:7" x14ac:dyDescent="0.3">
      <c r="A12">
        <v>2013</v>
      </c>
      <c r="B12">
        <f>'ekon kalkulace'!B12</f>
        <v>46508</v>
      </c>
      <c r="C12">
        <f>'ekon kalkulace'!C12</f>
        <v>25.218</v>
      </c>
      <c r="D12">
        <f>2811.35*1000</f>
        <v>2811350</v>
      </c>
      <c r="E12">
        <f>'ekon kalkulace'!F12</f>
        <v>0.62014514059782033</v>
      </c>
      <c r="F12">
        <v>1.4</v>
      </c>
      <c r="G12">
        <v>1.5</v>
      </c>
    </row>
    <row r="13" spans="1:7" x14ac:dyDescent="0.3">
      <c r="A13">
        <v>2014</v>
      </c>
      <c r="B13">
        <f>'ekon kalkulace'!B13</f>
        <v>48418</v>
      </c>
      <c r="C13">
        <f>'ekon kalkulace'!C13</f>
        <v>27.481000000000002</v>
      </c>
      <c r="D13">
        <f>2927.43*1000</f>
        <v>2927430</v>
      </c>
      <c r="E13">
        <f>'ekon kalkulace'!F13</f>
        <v>0.58388534132410974</v>
      </c>
      <c r="F13">
        <v>0.4</v>
      </c>
      <c r="G13">
        <v>0.91</v>
      </c>
    </row>
    <row r="14" spans="1:7" x14ac:dyDescent="0.3">
      <c r="A14">
        <v>2015</v>
      </c>
      <c r="B14">
        <f>'ekon kalkulace'!B14</f>
        <v>52953</v>
      </c>
      <c r="C14">
        <f>'ekon kalkulace'!C14</f>
        <v>27.693000000000001</v>
      </c>
      <c r="D14">
        <f>3026.18*1000</f>
        <v>3026180</v>
      </c>
      <c r="E14">
        <f>'ekon kalkulace'!F14</f>
        <v>0.64690198155124856</v>
      </c>
      <c r="F14">
        <v>0.3</v>
      </c>
      <c r="G14">
        <v>0.51</v>
      </c>
    </row>
    <row r="15" spans="1:7" x14ac:dyDescent="0.3">
      <c r="A15">
        <v>2016</v>
      </c>
      <c r="B15">
        <f>'ekon kalkulace'!B15</f>
        <v>55923</v>
      </c>
      <c r="C15">
        <f>'ekon kalkulace'!C15</f>
        <v>27.023</v>
      </c>
      <c r="D15">
        <f>3134.74*1000</f>
        <v>3134740</v>
      </c>
      <c r="E15">
        <f>'ekon kalkulace'!F15</f>
        <v>0.60707355620178338</v>
      </c>
      <c r="F15">
        <v>0.7</v>
      </c>
      <c r="G15">
        <v>0.49</v>
      </c>
    </row>
    <row r="16" spans="1:7" x14ac:dyDescent="0.3">
      <c r="A16">
        <v>2017</v>
      </c>
      <c r="B16">
        <f>'ekon kalkulace'!B16</f>
        <v>54100</v>
      </c>
      <c r="C16">
        <f>'ekon kalkulace'!C16</f>
        <v>27.021000000000001</v>
      </c>
      <c r="D16">
        <f>3267.16*1000</f>
        <v>3267160</v>
      </c>
      <c r="E16">
        <f>'ekon kalkulace'!F16</f>
        <v>0.61870273324852654</v>
      </c>
      <c r="F16">
        <v>2.5</v>
      </c>
      <c r="G16">
        <v>1.51</v>
      </c>
    </row>
    <row r="17" spans="1:7" x14ac:dyDescent="0.3">
      <c r="A17">
        <v>2018</v>
      </c>
      <c r="B17">
        <f>'ekon kalkulace'!B17</f>
        <v>58102</v>
      </c>
      <c r="C17">
        <f>'ekon kalkulace'!C17</f>
        <v>25.494</v>
      </c>
      <c r="D17">
        <f>3365.45*1000</f>
        <v>3365450</v>
      </c>
      <c r="E17">
        <f>'ekon kalkulace'!F17</f>
        <v>0.62275382464684725</v>
      </c>
      <c r="F17">
        <v>2.1</v>
      </c>
      <c r="G17">
        <v>1.73</v>
      </c>
    </row>
    <row r="18" spans="1:7" x14ac:dyDescent="0.3">
      <c r="A18">
        <v>2019</v>
      </c>
      <c r="B18">
        <f>'ekon kalkulace'!B18</f>
        <v>65072</v>
      </c>
      <c r="C18">
        <f>'ekon kalkulace'!C18</f>
        <v>25.751999999999999</v>
      </c>
      <c r="D18">
        <f>3474.11*1000</f>
        <v>3474110</v>
      </c>
      <c r="E18">
        <f>'ekon kalkulace'!F18</f>
        <v>0.61525499942069284</v>
      </c>
      <c r="F18">
        <v>2.8</v>
      </c>
      <c r="G18">
        <v>1.45</v>
      </c>
    </row>
    <row r="19" spans="1:7" x14ac:dyDescent="0.3">
      <c r="A19">
        <v>2020</v>
      </c>
      <c r="B19">
        <f>'ekon kalkulace'!B19</f>
        <v>57071</v>
      </c>
      <c r="C19">
        <f>'ekon kalkulace'!C19</f>
        <v>25.411000000000001</v>
      </c>
      <c r="D19">
        <f>3403.73*1000</f>
        <v>3403730</v>
      </c>
      <c r="E19">
        <f>'ekon kalkulace'!F19</f>
        <v>0.61061220754848666</v>
      </c>
      <c r="F19">
        <v>3.2</v>
      </c>
      <c r="G19">
        <v>0.14000000000000001</v>
      </c>
    </row>
    <row r="20" spans="1:7" x14ac:dyDescent="0.3">
      <c r="A20">
        <v>2021</v>
      </c>
      <c r="B20">
        <f>'ekon kalkulace'!B20</f>
        <v>54888</v>
      </c>
      <c r="C20">
        <f>'ekon kalkulace'!C20</f>
        <v>26.140999999999998</v>
      </c>
      <c r="D20">
        <f>3617.45*1000</f>
        <v>3617450</v>
      </c>
      <c r="E20">
        <f>'ekon kalkulace'!F20</f>
        <v>0.60127399265714698</v>
      </c>
      <c r="F20">
        <v>3.8</v>
      </c>
      <c r="G20">
        <v>3.07</v>
      </c>
    </row>
    <row r="21" spans="1:7" x14ac:dyDescent="0.3">
      <c r="A21">
        <v>2022</v>
      </c>
      <c r="B21" s="12">
        <v>53172</v>
      </c>
      <c r="C21" s="25">
        <v>24.818000000000001</v>
      </c>
      <c r="D21">
        <f>3876.8*1000</f>
        <v>3876800</v>
      </c>
      <c r="E21" s="24">
        <v>0.56899999999999995</v>
      </c>
      <c r="F21">
        <v>15.1</v>
      </c>
      <c r="G21">
        <v>6.86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E86D-A68D-4B26-8370-73CDC289694B}">
  <dimension ref="A1:U54"/>
  <sheetViews>
    <sheetView tabSelected="1" zoomScale="72" zoomScaleNormal="85" workbookViewId="0">
      <pane ySplit="1" topLeftCell="A2" activePane="bottomLeft" state="frozen"/>
      <selection pane="bottomLeft" activeCell="G18" sqref="G18"/>
    </sheetView>
  </sheetViews>
  <sheetFormatPr defaultRowHeight="14.4" x14ac:dyDescent="0.3"/>
  <cols>
    <col min="1" max="1" width="6.44140625" customWidth="1"/>
    <col min="2" max="2" width="16.21875" customWidth="1"/>
    <col min="3" max="3" width="18" customWidth="1"/>
    <col min="4" max="4" width="16" customWidth="1"/>
    <col min="5" max="5" width="16.33203125" customWidth="1"/>
    <col min="6" max="6" width="18.109375" customWidth="1"/>
    <col min="7" max="7" width="23" customWidth="1"/>
    <col min="10" max="10" width="16.33203125" customWidth="1"/>
    <col min="11" max="11" width="20.6640625" customWidth="1"/>
    <col min="12" max="12" width="13.6640625" bestFit="1" customWidth="1"/>
    <col min="13" max="13" width="14.88671875" bestFit="1" customWidth="1"/>
    <col min="14" max="14" width="12.33203125" customWidth="1"/>
    <col min="16" max="16" width="9.109375" bestFit="1" customWidth="1"/>
    <col min="17" max="17" width="19.88671875" customWidth="1"/>
    <col min="18" max="18" width="14.88671875" bestFit="1" customWidth="1"/>
    <col min="19" max="19" width="9.109375" bestFit="1" customWidth="1"/>
    <col min="20" max="20" width="17.6640625" customWidth="1"/>
    <col min="21" max="21" width="11.21875" bestFit="1" customWidth="1"/>
    <col min="22" max="22" width="10.77734375" bestFit="1" customWidth="1"/>
  </cols>
  <sheetData>
    <row r="1" spans="1:21" x14ac:dyDescent="0.3">
      <c r="A1" t="s">
        <v>25</v>
      </c>
      <c r="B1" t="s">
        <v>32</v>
      </c>
      <c r="C1" t="s">
        <v>33</v>
      </c>
      <c r="D1" t="s">
        <v>27</v>
      </c>
      <c r="E1" t="s">
        <v>34</v>
      </c>
      <c r="F1" t="s">
        <v>35</v>
      </c>
      <c r="G1" t="s">
        <v>61</v>
      </c>
      <c r="J1" t="s">
        <v>43</v>
      </c>
      <c r="K1" t="s">
        <v>41</v>
      </c>
      <c r="L1" t="s">
        <v>44</v>
      </c>
      <c r="M1" t="s">
        <v>45</v>
      </c>
      <c r="R1" t="s">
        <v>47</v>
      </c>
      <c r="S1" t="s">
        <v>48</v>
      </c>
      <c r="U1" t="s">
        <v>49</v>
      </c>
    </row>
    <row r="2" spans="1:21" x14ac:dyDescent="0.3">
      <c r="A2">
        <v>2003</v>
      </c>
      <c r="B2">
        <v>27978</v>
      </c>
      <c r="C2" s="1">
        <v>31.59</v>
      </c>
      <c r="D2" s="3">
        <v>2823452</v>
      </c>
      <c r="E2" s="1">
        <f>M2</f>
        <v>95826542.180000007</v>
      </c>
      <c r="F2" s="1">
        <f>D30</f>
        <v>1.3087952428222358</v>
      </c>
      <c r="G2" s="1">
        <f>U2/R2</f>
        <v>0.35072890009897578</v>
      </c>
      <c r="J2">
        <v>117.8</v>
      </c>
      <c r="K2">
        <v>81346810</v>
      </c>
      <c r="L2">
        <f>J2*K2</f>
        <v>9582654218</v>
      </c>
      <c r="M2">
        <f>L2/100</f>
        <v>95826542.180000007</v>
      </c>
      <c r="R2">
        <v>79771014</v>
      </c>
      <c r="S2">
        <v>27978</v>
      </c>
      <c r="U2">
        <f>S2*1000</f>
        <v>27978000</v>
      </c>
    </row>
    <row r="3" spans="1:21" x14ac:dyDescent="0.3">
      <c r="A3">
        <v>2004</v>
      </c>
      <c r="B3">
        <v>31619</v>
      </c>
      <c r="C3" s="1">
        <v>32.398000000000003</v>
      </c>
      <c r="D3" s="3">
        <v>3079207</v>
      </c>
      <c r="E3" s="1">
        <f t="shared" ref="E3:E21" si="0">M3</f>
        <v>94269340.680000007</v>
      </c>
      <c r="F3" s="1">
        <f t="shared" ref="F3:F21" si="1">D31</f>
        <v>1.6040033454283436</v>
      </c>
      <c r="G3" s="1">
        <f t="shared" ref="G3:G21" si="2">U3/R3</f>
        <v>0.3864703571466942</v>
      </c>
      <c r="J3">
        <v>116</v>
      </c>
      <c r="K3">
        <v>81266673</v>
      </c>
      <c r="L3">
        <f t="shared" ref="L3:L21" si="3">J3*K3</f>
        <v>9426934068</v>
      </c>
      <c r="M3">
        <f t="shared" ref="M3:M21" si="4">L3/100</f>
        <v>94269340.680000007</v>
      </c>
      <c r="R3">
        <v>81814813</v>
      </c>
      <c r="S3">
        <v>31619</v>
      </c>
      <c r="U3">
        <f t="shared" ref="U3:U21" si="5">S3*1000</f>
        <v>31619000</v>
      </c>
    </row>
    <row r="4" spans="1:21" x14ac:dyDescent="0.3">
      <c r="A4">
        <v>2005</v>
      </c>
      <c r="B4">
        <v>35279</v>
      </c>
      <c r="C4" s="1">
        <v>30.361000000000001</v>
      </c>
      <c r="D4" s="3">
        <v>3285601</v>
      </c>
      <c r="E4" s="1">
        <f t="shared" si="0"/>
        <v>93637629.703999996</v>
      </c>
      <c r="F4" s="1">
        <f t="shared" si="1"/>
        <v>0.91965046172038489</v>
      </c>
      <c r="G4" s="1">
        <f t="shared" si="2"/>
        <v>0.3770044128505981</v>
      </c>
      <c r="J4">
        <v>115.3</v>
      </c>
      <c r="K4">
        <v>81212168</v>
      </c>
      <c r="L4">
        <f t="shared" si="3"/>
        <v>9363762970.3999996</v>
      </c>
      <c r="M4">
        <f t="shared" si="4"/>
        <v>93637629.703999996</v>
      </c>
      <c r="R4">
        <v>93577154</v>
      </c>
      <c r="S4">
        <v>35279</v>
      </c>
      <c r="U4">
        <f t="shared" si="5"/>
        <v>35279000</v>
      </c>
    </row>
    <row r="5" spans="1:21" x14ac:dyDescent="0.3">
      <c r="A5">
        <v>2006</v>
      </c>
      <c r="B5">
        <v>49058</v>
      </c>
      <c r="C5" s="1">
        <v>29.03</v>
      </c>
      <c r="D5" s="3">
        <v>3530881</v>
      </c>
      <c r="E5" s="1">
        <f t="shared" si="0"/>
        <v>94166267.719999999</v>
      </c>
      <c r="F5" s="1">
        <f t="shared" si="1"/>
        <v>0.82432361254552378</v>
      </c>
      <c r="G5" s="9">
        <f>U5/R5</f>
        <v>0.4900909921089836</v>
      </c>
      <c r="J5">
        <v>116</v>
      </c>
      <c r="K5">
        <v>81177817</v>
      </c>
      <c r="L5">
        <f t="shared" si="3"/>
        <v>9416626772</v>
      </c>
      <c r="M5">
        <f t="shared" si="4"/>
        <v>94166267.719999999</v>
      </c>
      <c r="R5">
        <f>T25</f>
        <v>100099779</v>
      </c>
      <c r="S5">
        <v>49058</v>
      </c>
      <c r="U5">
        <f t="shared" si="5"/>
        <v>49058000</v>
      </c>
    </row>
    <row r="6" spans="1:21" x14ac:dyDescent="0.3">
      <c r="A6">
        <v>2007</v>
      </c>
      <c r="B6">
        <v>44630</v>
      </c>
      <c r="C6" s="1">
        <v>27.524999999999999</v>
      </c>
      <c r="D6" s="3">
        <v>3859533</v>
      </c>
      <c r="E6" s="1">
        <f t="shared" si="0"/>
        <v>90763521.939999998</v>
      </c>
      <c r="F6" s="1">
        <f t="shared" si="1"/>
        <v>0.82371410754225949</v>
      </c>
      <c r="G6" s="9">
        <f t="shared" ref="G6:G7" si="6">U6/R6</f>
        <v>0.44585513020962814</v>
      </c>
      <c r="J6">
        <v>111.8</v>
      </c>
      <c r="K6">
        <v>81183830</v>
      </c>
      <c r="L6">
        <f t="shared" si="3"/>
        <v>9076352194</v>
      </c>
      <c r="M6">
        <f t="shared" si="4"/>
        <v>90763521.939999998</v>
      </c>
      <c r="R6">
        <f>T25</f>
        <v>100099779</v>
      </c>
      <c r="S6">
        <v>44630</v>
      </c>
      <c r="U6">
        <f t="shared" si="5"/>
        <v>44630000</v>
      </c>
    </row>
    <row r="7" spans="1:21" x14ac:dyDescent="0.3">
      <c r="A7">
        <v>2008</v>
      </c>
      <c r="B7">
        <v>51274</v>
      </c>
      <c r="C7" s="1">
        <v>26.364000000000001</v>
      </c>
      <c r="D7" s="3">
        <v>4042860</v>
      </c>
      <c r="E7" s="1">
        <f t="shared" si="0"/>
        <v>90232622.501999989</v>
      </c>
      <c r="F7" s="1">
        <f t="shared" si="1"/>
        <v>0.80316759966190476</v>
      </c>
      <c r="G7" s="9">
        <f t="shared" si="6"/>
        <v>0.51222890312275315</v>
      </c>
      <c r="J7">
        <v>111.1</v>
      </c>
      <c r="K7">
        <v>81217482</v>
      </c>
      <c r="L7">
        <f t="shared" si="3"/>
        <v>9023262250.1999989</v>
      </c>
      <c r="M7">
        <f t="shared" si="4"/>
        <v>90232622.501999989</v>
      </c>
      <c r="R7">
        <f>T25</f>
        <v>100099779</v>
      </c>
      <c r="S7">
        <v>51274</v>
      </c>
      <c r="U7">
        <f t="shared" si="5"/>
        <v>51274000</v>
      </c>
    </row>
    <row r="8" spans="1:21" x14ac:dyDescent="0.3">
      <c r="A8">
        <v>2009</v>
      </c>
      <c r="B8">
        <v>50230</v>
      </c>
      <c r="C8" s="2">
        <v>26.824999999999999</v>
      </c>
      <c r="D8" s="3">
        <v>3954320</v>
      </c>
      <c r="E8" s="1">
        <f t="shared" si="0"/>
        <v>89061634.040000007</v>
      </c>
      <c r="F8" s="1">
        <f t="shared" si="1"/>
        <v>0.58179668646112959</v>
      </c>
      <c r="G8" s="1">
        <f t="shared" si="2"/>
        <v>0.36393001055694085</v>
      </c>
      <c r="J8">
        <v>109.6</v>
      </c>
      <c r="K8">
        <v>81260615</v>
      </c>
      <c r="L8">
        <f t="shared" si="3"/>
        <v>8906163404</v>
      </c>
      <c r="M8">
        <f t="shared" si="4"/>
        <v>89061634.040000007</v>
      </c>
      <c r="R8">
        <v>138021044</v>
      </c>
      <c r="S8">
        <v>50230</v>
      </c>
      <c r="U8">
        <f t="shared" si="5"/>
        <v>50230000</v>
      </c>
    </row>
    <row r="9" spans="1:21" x14ac:dyDescent="0.3">
      <c r="A9">
        <v>2010</v>
      </c>
      <c r="B9">
        <v>40673</v>
      </c>
      <c r="C9" s="2">
        <v>26.285</v>
      </c>
      <c r="D9" s="3">
        <v>3992870</v>
      </c>
      <c r="E9" s="1">
        <f t="shared" si="0"/>
        <v>89132298.640000001</v>
      </c>
      <c r="F9" s="1">
        <f t="shared" si="1"/>
        <v>0.58782209517575712</v>
      </c>
      <c r="G9" s="1">
        <f t="shared" si="2"/>
        <v>0.35735443429865243</v>
      </c>
      <c r="J9">
        <v>109.6</v>
      </c>
      <c r="K9">
        <v>81325090</v>
      </c>
      <c r="L9">
        <f t="shared" si="3"/>
        <v>8913229864</v>
      </c>
      <c r="M9">
        <f t="shared" si="4"/>
        <v>89132298.640000001</v>
      </c>
      <c r="R9">
        <v>113816973</v>
      </c>
      <c r="S9">
        <v>40673</v>
      </c>
      <c r="U9">
        <f t="shared" si="5"/>
        <v>40673000</v>
      </c>
    </row>
    <row r="10" spans="1:21" x14ac:dyDescent="0.3">
      <c r="A10">
        <v>2011</v>
      </c>
      <c r="B10">
        <v>39078</v>
      </c>
      <c r="C10" s="2">
        <v>25.088000000000001</v>
      </c>
      <c r="D10" s="4">
        <v>4062323</v>
      </c>
      <c r="E10" s="1">
        <f t="shared" si="0"/>
        <v>88995752.153999999</v>
      </c>
      <c r="F10" s="1">
        <f t="shared" si="1"/>
        <v>0.61049855931089569</v>
      </c>
      <c r="G10" s="1">
        <f t="shared" si="2"/>
        <v>0.38354941465135794</v>
      </c>
      <c r="J10">
        <v>109.3</v>
      </c>
      <c r="K10">
        <v>81423378</v>
      </c>
      <c r="L10">
        <f t="shared" si="3"/>
        <v>8899575215.3999996</v>
      </c>
      <c r="M10">
        <f t="shared" si="4"/>
        <v>88995752.153999999</v>
      </c>
      <c r="R10">
        <v>101885177</v>
      </c>
      <c r="S10">
        <v>39078</v>
      </c>
      <c r="U10">
        <f t="shared" si="5"/>
        <v>39078000</v>
      </c>
    </row>
    <row r="11" spans="1:21" x14ac:dyDescent="0.3">
      <c r="A11">
        <v>2012</v>
      </c>
      <c r="B11">
        <v>43862</v>
      </c>
      <c r="C11" s="2">
        <v>25.504999999999999</v>
      </c>
      <c r="D11" s="5">
        <v>4088912</v>
      </c>
      <c r="E11" s="1">
        <f t="shared" si="0"/>
        <v>87498391.245000005</v>
      </c>
      <c r="F11" s="1">
        <f t="shared" si="1"/>
        <v>0.64958788517121446</v>
      </c>
      <c r="G11" s="1">
        <f t="shared" si="2"/>
        <v>0.48678377392599348</v>
      </c>
      <c r="J11">
        <v>107.3</v>
      </c>
      <c r="K11">
        <v>81545565</v>
      </c>
      <c r="L11">
        <f t="shared" si="3"/>
        <v>8749839124.5</v>
      </c>
      <c r="M11">
        <f t="shared" si="4"/>
        <v>87498391.245000005</v>
      </c>
      <c r="R11">
        <v>90105715</v>
      </c>
      <c r="S11">
        <v>43862</v>
      </c>
      <c r="U11">
        <f t="shared" si="5"/>
        <v>43862000</v>
      </c>
    </row>
    <row r="12" spans="1:21" x14ac:dyDescent="0.3">
      <c r="A12">
        <v>2013</v>
      </c>
      <c r="B12">
        <v>46508</v>
      </c>
      <c r="C12" s="2">
        <v>25.218</v>
      </c>
      <c r="D12" s="5">
        <v>4142811</v>
      </c>
      <c r="E12" s="1">
        <f t="shared" si="0"/>
        <v>87071510.005999997</v>
      </c>
      <c r="F12" s="1">
        <f t="shared" si="1"/>
        <v>0.62014514059782033</v>
      </c>
      <c r="G12" s="1">
        <f t="shared" si="2"/>
        <v>0.53251229863190785</v>
      </c>
      <c r="J12">
        <v>106.6</v>
      </c>
      <c r="K12">
        <v>81680591</v>
      </c>
      <c r="L12">
        <f t="shared" si="3"/>
        <v>8707151000.6000004</v>
      </c>
      <c r="M12">
        <f t="shared" si="4"/>
        <v>87071510.005999997</v>
      </c>
      <c r="R12">
        <v>87336950</v>
      </c>
      <c r="S12">
        <v>46508</v>
      </c>
      <c r="U12">
        <f t="shared" si="5"/>
        <v>46508000</v>
      </c>
    </row>
    <row r="13" spans="1:21" x14ac:dyDescent="0.3">
      <c r="A13">
        <v>2014</v>
      </c>
      <c r="B13">
        <v>48418</v>
      </c>
      <c r="C13" s="2">
        <v>27.481000000000002</v>
      </c>
      <c r="D13" s="4">
        <v>4345766</v>
      </c>
      <c r="E13" s="1">
        <f t="shared" si="0"/>
        <v>87507083.924999997</v>
      </c>
      <c r="F13" s="1">
        <f t="shared" si="1"/>
        <v>0.58388534132410974</v>
      </c>
      <c r="G13" s="1">
        <f t="shared" si="2"/>
        <v>0.54040354722504547</v>
      </c>
      <c r="J13">
        <v>106.9</v>
      </c>
      <c r="K13">
        <v>81858825</v>
      </c>
      <c r="L13">
        <f t="shared" si="3"/>
        <v>8750708392.5</v>
      </c>
      <c r="M13">
        <f t="shared" si="4"/>
        <v>87507083.924999997</v>
      </c>
      <c r="R13">
        <v>89596007</v>
      </c>
      <c r="S13">
        <v>48418</v>
      </c>
      <c r="U13">
        <f t="shared" si="5"/>
        <v>48418000</v>
      </c>
    </row>
    <row r="14" spans="1:21" x14ac:dyDescent="0.3">
      <c r="A14">
        <v>2015</v>
      </c>
      <c r="B14">
        <v>52953</v>
      </c>
      <c r="C14" s="2">
        <v>27.693000000000001</v>
      </c>
      <c r="D14" s="5">
        <v>4625378</v>
      </c>
      <c r="E14" s="1">
        <f t="shared" si="0"/>
        <v>84453349.554000005</v>
      </c>
      <c r="F14" s="1">
        <f t="shared" si="1"/>
        <v>0.64690198155124856</v>
      </c>
      <c r="G14" s="1">
        <f t="shared" si="2"/>
        <v>0.56113967103712659</v>
      </c>
      <c r="J14">
        <v>102.9</v>
      </c>
      <c r="K14">
        <v>82073226</v>
      </c>
      <c r="L14">
        <f t="shared" si="3"/>
        <v>8445334955.4000006</v>
      </c>
      <c r="M14">
        <f t="shared" si="4"/>
        <v>84453349.554000005</v>
      </c>
      <c r="R14">
        <v>94366880</v>
      </c>
      <c r="S14">
        <v>52953</v>
      </c>
      <c r="U14">
        <f t="shared" si="5"/>
        <v>52953000</v>
      </c>
    </row>
    <row r="15" spans="1:21" x14ac:dyDescent="0.3">
      <c r="A15">
        <v>2016</v>
      </c>
      <c r="B15">
        <v>55923</v>
      </c>
      <c r="C15" s="2">
        <v>27.023</v>
      </c>
      <c r="D15" s="5">
        <v>4796873</v>
      </c>
      <c r="E15" s="1">
        <f t="shared" si="0"/>
        <v>82907742.96100001</v>
      </c>
      <c r="F15" s="1">
        <f t="shared" si="1"/>
        <v>0.60707355620178338</v>
      </c>
      <c r="G15" s="1">
        <f t="shared" si="2"/>
        <v>0.57511478539558314</v>
      </c>
      <c r="J15">
        <v>100.7</v>
      </c>
      <c r="K15">
        <v>82331423</v>
      </c>
      <c r="L15">
        <f t="shared" si="3"/>
        <v>8290774296.1000004</v>
      </c>
      <c r="M15">
        <f t="shared" si="4"/>
        <v>82907742.96100001</v>
      </c>
      <c r="R15">
        <v>97237980</v>
      </c>
      <c r="S15">
        <v>55923</v>
      </c>
      <c r="U15">
        <f t="shared" si="5"/>
        <v>55923000</v>
      </c>
    </row>
    <row r="16" spans="1:21" x14ac:dyDescent="0.3">
      <c r="A16">
        <v>2017</v>
      </c>
      <c r="B16">
        <v>54100</v>
      </c>
      <c r="C16" s="2">
        <v>27.021000000000001</v>
      </c>
      <c r="D16" s="5">
        <v>5110743</v>
      </c>
      <c r="E16" s="1">
        <f t="shared" si="0"/>
        <v>80971886.519999996</v>
      </c>
      <c r="F16" s="1">
        <f t="shared" si="1"/>
        <v>0.61870273324852654</v>
      </c>
      <c r="G16" s="1">
        <f t="shared" si="2"/>
        <v>0.5675313827283206</v>
      </c>
      <c r="J16">
        <v>98</v>
      </c>
      <c r="K16">
        <v>82624374</v>
      </c>
      <c r="L16">
        <f t="shared" si="3"/>
        <v>8097188652</v>
      </c>
      <c r="M16">
        <f t="shared" si="4"/>
        <v>80971886.519999996</v>
      </c>
      <c r="R16">
        <v>95325125</v>
      </c>
      <c r="S16">
        <v>54100</v>
      </c>
      <c r="U16">
        <f t="shared" si="5"/>
        <v>54100000</v>
      </c>
    </row>
    <row r="17" spans="1:21" x14ac:dyDescent="0.3">
      <c r="A17">
        <v>2018</v>
      </c>
      <c r="B17">
        <v>58102</v>
      </c>
      <c r="C17" s="2">
        <v>25.494</v>
      </c>
      <c r="D17" s="4">
        <v>5410761</v>
      </c>
      <c r="E17" s="1">
        <f t="shared" si="0"/>
        <v>82067729.040000007</v>
      </c>
      <c r="F17" s="1">
        <f t="shared" si="1"/>
        <v>0.62275382464684725</v>
      </c>
      <c r="G17" s="1">
        <f t="shared" si="2"/>
        <v>0.55588912538717272</v>
      </c>
      <c r="J17">
        <v>99</v>
      </c>
      <c r="K17">
        <v>82896696</v>
      </c>
      <c r="L17">
        <f t="shared" si="3"/>
        <v>8206772904</v>
      </c>
      <c r="M17">
        <f t="shared" si="4"/>
        <v>82067729.040000007</v>
      </c>
      <c r="R17">
        <v>104520843</v>
      </c>
      <c r="S17">
        <v>58102</v>
      </c>
      <c r="U17">
        <f t="shared" si="5"/>
        <v>58102000</v>
      </c>
    </row>
    <row r="18" spans="1:21" x14ac:dyDescent="0.3">
      <c r="A18">
        <v>2019</v>
      </c>
      <c r="B18">
        <v>65072</v>
      </c>
      <c r="C18" s="2">
        <v>25.751999999999999</v>
      </c>
      <c r="D18" s="4">
        <v>5791498</v>
      </c>
      <c r="E18" s="1">
        <f t="shared" si="0"/>
        <v>80487400.488000005</v>
      </c>
      <c r="F18" s="1">
        <f t="shared" si="1"/>
        <v>0.61525499942069284</v>
      </c>
      <c r="G18" s="1">
        <f t="shared" si="2"/>
        <v>0.61308492941953019</v>
      </c>
      <c r="J18">
        <v>96.8</v>
      </c>
      <c r="K18">
        <v>83148141</v>
      </c>
      <c r="L18">
        <f t="shared" si="3"/>
        <v>8048740048.8000002</v>
      </c>
      <c r="M18">
        <f t="shared" si="4"/>
        <v>80487400.488000005</v>
      </c>
      <c r="R18">
        <v>106138639</v>
      </c>
      <c r="S18">
        <v>65072</v>
      </c>
      <c r="U18">
        <f t="shared" si="5"/>
        <v>65072000</v>
      </c>
    </row>
    <row r="19" spans="1:21" x14ac:dyDescent="0.3">
      <c r="A19">
        <v>2020</v>
      </c>
      <c r="B19">
        <v>57071</v>
      </c>
      <c r="C19" s="2">
        <v>25.411000000000001</v>
      </c>
      <c r="D19" s="5">
        <v>5709131</v>
      </c>
      <c r="E19" s="1">
        <f t="shared" si="0"/>
        <v>76995984.912</v>
      </c>
      <c r="F19" s="1">
        <f t="shared" si="1"/>
        <v>0.61061220754848666</v>
      </c>
      <c r="G19" s="1">
        <f t="shared" si="2"/>
        <v>0.52444312412435068</v>
      </c>
      <c r="J19">
        <v>92.4</v>
      </c>
      <c r="K19">
        <v>83328988</v>
      </c>
      <c r="L19">
        <f t="shared" si="3"/>
        <v>7699598491.2000008</v>
      </c>
      <c r="M19">
        <f t="shared" si="4"/>
        <v>76995984.912</v>
      </c>
      <c r="R19">
        <v>108822096</v>
      </c>
      <c r="S19">
        <v>57071</v>
      </c>
      <c r="U19">
        <f t="shared" si="5"/>
        <v>57071000</v>
      </c>
    </row>
    <row r="20" spans="1:21" x14ac:dyDescent="0.3">
      <c r="A20">
        <v>2021</v>
      </c>
      <c r="B20">
        <v>54888</v>
      </c>
      <c r="C20" s="2">
        <v>26.140999999999998</v>
      </c>
      <c r="D20" s="4">
        <v>6108717</v>
      </c>
      <c r="E20" s="1">
        <f t="shared" si="0"/>
        <v>74567247.276000008</v>
      </c>
      <c r="F20" s="1">
        <f t="shared" si="1"/>
        <v>0.60127399265714698</v>
      </c>
      <c r="G20" s="1">
        <f t="shared" si="2"/>
        <v>0.49782745587713029</v>
      </c>
      <c r="J20">
        <v>89.4</v>
      </c>
      <c r="K20">
        <v>83408554</v>
      </c>
      <c r="L20">
        <f t="shared" si="3"/>
        <v>7456724727.6000004</v>
      </c>
      <c r="M20">
        <f t="shared" si="4"/>
        <v>74567247.276000008</v>
      </c>
      <c r="R20">
        <v>110255068</v>
      </c>
      <c r="S20">
        <v>54888</v>
      </c>
      <c r="U20">
        <f t="shared" si="5"/>
        <v>54888000</v>
      </c>
    </row>
    <row r="21" spans="1:21" x14ac:dyDescent="0.3">
      <c r="A21">
        <v>2022</v>
      </c>
      <c r="B21">
        <v>53172</v>
      </c>
      <c r="C21" s="2">
        <v>24.818000000000001</v>
      </c>
      <c r="D21" s="6">
        <v>6785852</v>
      </c>
      <c r="E21" s="1">
        <f t="shared" si="0"/>
        <v>76533515.873999998</v>
      </c>
      <c r="F21" s="1">
        <f t="shared" si="1"/>
        <v>0.56880168732268177</v>
      </c>
      <c r="G21" s="1">
        <f t="shared" si="2"/>
        <v>0.48734813643368458</v>
      </c>
      <c r="J21">
        <v>91.8</v>
      </c>
      <c r="K21">
        <v>83369843</v>
      </c>
      <c r="L21">
        <f t="shared" si="3"/>
        <v>7653351587.3999996</v>
      </c>
      <c r="M21">
        <f t="shared" si="4"/>
        <v>76533515.873999998</v>
      </c>
      <c r="R21">
        <v>109104757</v>
      </c>
      <c r="S21">
        <v>53172</v>
      </c>
      <c r="U21">
        <f t="shared" si="5"/>
        <v>53172000</v>
      </c>
    </row>
    <row r="22" spans="1:21" x14ac:dyDescent="0.3">
      <c r="J22" t="s">
        <v>40</v>
      </c>
      <c r="K22" t="s">
        <v>42</v>
      </c>
    </row>
    <row r="23" spans="1:21" x14ac:dyDescent="0.3">
      <c r="B23" t="s">
        <v>37</v>
      </c>
      <c r="C23" t="s">
        <v>38</v>
      </c>
      <c r="D23" t="s">
        <v>36</v>
      </c>
      <c r="E23" t="s">
        <v>39</v>
      </c>
      <c r="F23" t="s">
        <v>46</v>
      </c>
      <c r="G23" t="s">
        <v>60</v>
      </c>
    </row>
    <row r="24" spans="1:21" x14ac:dyDescent="0.3">
      <c r="F24" s="20">
        <f>(MAX(F2:F21))</f>
        <v>1.6040033454283436</v>
      </c>
      <c r="G24" s="88">
        <f>MAX(G2:G21)</f>
        <v>0.61308492941953019</v>
      </c>
      <c r="R24" t="s">
        <v>50</v>
      </c>
    </row>
    <row r="25" spans="1:21" x14ac:dyDescent="0.3">
      <c r="A25" t="s">
        <v>26</v>
      </c>
      <c r="G25" t="s">
        <v>80</v>
      </c>
      <c r="R25">
        <f>AVERAGE(R2:R21)</f>
        <v>100099778.59999999</v>
      </c>
      <c r="T25" s="7">
        <v>100099779</v>
      </c>
    </row>
    <row r="26" spans="1:21" x14ac:dyDescent="0.3">
      <c r="A26" t="s">
        <v>79</v>
      </c>
      <c r="G26" t="s">
        <v>78</v>
      </c>
    </row>
    <row r="28" spans="1:21" x14ac:dyDescent="0.3">
      <c r="A28" t="s">
        <v>62</v>
      </c>
    </row>
    <row r="29" spans="1:21" ht="15" thickBot="1" x14ac:dyDescent="0.35">
      <c r="B29" t="s">
        <v>64</v>
      </c>
      <c r="C29" t="s">
        <v>66</v>
      </c>
      <c r="D29" t="s">
        <v>67</v>
      </c>
      <c r="H29" t="s">
        <v>51</v>
      </c>
      <c r="K29" t="s">
        <v>52</v>
      </c>
      <c r="L29" t="s">
        <v>53</v>
      </c>
      <c r="N29" t="s">
        <v>70</v>
      </c>
      <c r="P29" t="s">
        <v>68</v>
      </c>
      <c r="Q29" t="s">
        <v>69</v>
      </c>
      <c r="R29" t="s">
        <v>54</v>
      </c>
      <c r="S29" s="10" t="s">
        <v>55</v>
      </c>
      <c r="T29" s="11" t="s">
        <v>72</v>
      </c>
    </row>
    <row r="30" spans="1:21" ht="15" thickBot="1" x14ac:dyDescent="0.35">
      <c r="A30">
        <v>2003</v>
      </c>
      <c r="B30" s="17">
        <v>78576</v>
      </c>
      <c r="C30">
        <f>B30*1000</f>
        <v>78576000</v>
      </c>
      <c r="D30" s="21">
        <f>T30/C30</f>
        <v>1.3087952428222358</v>
      </c>
      <c r="H30">
        <v>41.5</v>
      </c>
      <c r="J30">
        <v>2003</v>
      </c>
      <c r="K30" s="12">
        <v>85.1</v>
      </c>
      <c r="L30" s="12">
        <v>41.5</v>
      </c>
      <c r="N30" s="19">
        <v>0.13500000000000001</v>
      </c>
      <c r="O30">
        <v>2003</v>
      </c>
      <c r="P30">
        <v>761777</v>
      </c>
      <c r="Q30">
        <f>P30*1000</f>
        <v>761777000</v>
      </c>
      <c r="R30">
        <f>S30*1000000</f>
        <v>630370370.37037027</v>
      </c>
      <c r="S30">
        <f>K30/N30</f>
        <v>630.37037037037032</v>
      </c>
      <c r="T30" s="13">
        <f>N30*Q30</f>
        <v>102839895</v>
      </c>
    </row>
    <row r="31" spans="1:21" ht="15" thickBot="1" x14ac:dyDescent="0.35">
      <c r="A31">
        <v>2004</v>
      </c>
      <c r="B31" s="17">
        <v>77718</v>
      </c>
      <c r="C31">
        <f t="shared" ref="C31:C49" si="7">B31*1000</f>
        <v>77718000</v>
      </c>
      <c r="D31" s="22">
        <f t="shared" ref="D31:D49" si="8">T31/C31</f>
        <v>1.6040033454283436</v>
      </c>
      <c r="H31">
        <v>34.9</v>
      </c>
      <c r="J31">
        <v>2004</v>
      </c>
      <c r="K31" s="12">
        <v>92.9</v>
      </c>
      <c r="L31" s="12">
        <v>34.9</v>
      </c>
      <c r="N31" s="19">
        <v>0.13400000000000001</v>
      </c>
      <c r="O31">
        <v>2004</v>
      </c>
      <c r="P31">
        <v>930298</v>
      </c>
      <c r="Q31">
        <f t="shared" ref="Q31:Q49" si="9">P31*1000</f>
        <v>930298000</v>
      </c>
      <c r="R31">
        <f t="shared" ref="R31:R49" si="10">S31*1000000</f>
        <v>693283582.08955228</v>
      </c>
      <c r="S31">
        <f t="shared" ref="S31:S48" si="11">K31/N31</f>
        <v>693.28358208955228</v>
      </c>
      <c r="T31" s="13">
        <f t="shared" ref="T31:T49" si="12">N31*Q31</f>
        <v>124659932</v>
      </c>
    </row>
    <row r="32" spans="1:21" ht="15" thickBot="1" x14ac:dyDescent="0.35">
      <c r="A32">
        <v>2005</v>
      </c>
      <c r="B32" s="17">
        <v>128541</v>
      </c>
      <c r="C32">
        <f t="shared" si="7"/>
        <v>128541000</v>
      </c>
      <c r="D32" s="22">
        <f t="shared" si="8"/>
        <v>0.91965046172038489</v>
      </c>
      <c r="H32">
        <v>42.6</v>
      </c>
      <c r="J32">
        <v>2005</v>
      </c>
      <c r="K32" s="12">
        <v>154</v>
      </c>
      <c r="L32" s="12">
        <v>42.6</v>
      </c>
      <c r="N32" s="19">
        <v>0.13400000000000001</v>
      </c>
      <c r="O32">
        <v>2005</v>
      </c>
      <c r="P32">
        <v>882185</v>
      </c>
      <c r="Q32">
        <f t="shared" si="9"/>
        <v>882185000</v>
      </c>
      <c r="R32">
        <f t="shared" si="10"/>
        <v>1149253731.3432837</v>
      </c>
      <c r="S32">
        <f t="shared" si="11"/>
        <v>1149.2537313432836</v>
      </c>
      <c r="T32" s="13">
        <f t="shared" si="12"/>
        <v>118212790</v>
      </c>
    </row>
    <row r="33" spans="1:20" ht="15" thickBot="1" x14ac:dyDescent="0.35">
      <c r="A33">
        <v>2006</v>
      </c>
      <c r="B33" s="17">
        <v>147176</v>
      </c>
      <c r="C33">
        <f t="shared" si="7"/>
        <v>147176000</v>
      </c>
      <c r="D33" s="22">
        <f t="shared" si="8"/>
        <v>0.82432361254552378</v>
      </c>
      <c r="H33">
        <v>41.4</v>
      </c>
      <c r="J33">
        <v>2006</v>
      </c>
      <c r="K33" s="12">
        <v>177</v>
      </c>
      <c r="L33" s="12">
        <v>41.4</v>
      </c>
      <c r="N33" s="19">
        <v>0.13400000000000001</v>
      </c>
      <c r="O33">
        <v>2006</v>
      </c>
      <c r="P33">
        <v>905378</v>
      </c>
      <c r="Q33">
        <f t="shared" si="9"/>
        <v>905378000</v>
      </c>
      <c r="R33">
        <f t="shared" si="10"/>
        <v>1320895522.3880596</v>
      </c>
      <c r="S33">
        <f t="shared" si="11"/>
        <v>1320.8955223880596</v>
      </c>
      <c r="T33" s="13">
        <f t="shared" si="12"/>
        <v>121320652</v>
      </c>
    </row>
    <row r="34" spans="1:20" ht="15" thickBot="1" x14ac:dyDescent="0.35">
      <c r="A34">
        <v>2007</v>
      </c>
      <c r="B34" s="17">
        <v>120269</v>
      </c>
      <c r="C34">
        <f t="shared" si="7"/>
        <v>120269000</v>
      </c>
      <c r="D34" s="22">
        <f t="shared" si="8"/>
        <v>0.82371410754225949</v>
      </c>
      <c r="H34">
        <v>38.200000000000003</v>
      </c>
      <c r="J34">
        <v>2007</v>
      </c>
      <c r="K34" s="12">
        <v>159</v>
      </c>
      <c r="L34" s="12">
        <v>38.200000000000003</v>
      </c>
      <c r="N34" s="19">
        <v>0.13400000000000001</v>
      </c>
      <c r="O34">
        <v>2007</v>
      </c>
      <c r="P34">
        <v>739308</v>
      </c>
      <c r="Q34">
        <f t="shared" si="9"/>
        <v>739308000</v>
      </c>
      <c r="R34">
        <f t="shared" si="10"/>
        <v>1186567164.1791043</v>
      </c>
      <c r="S34">
        <f t="shared" si="11"/>
        <v>1186.5671641791043</v>
      </c>
      <c r="T34" s="13">
        <f t="shared" si="12"/>
        <v>99067272</v>
      </c>
    </row>
    <row r="35" spans="1:20" ht="15" thickBot="1" x14ac:dyDescent="0.35">
      <c r="A35">
        <v>2008</v>
      </c>
      <c r="B35" s="17">
        <v>144338</v>
      </c>
      <c r="C35">
        <f t="shared" si="7"/>
        <v>144338000</v>
      </c>
      <c r="D35" s="22">
        <f t="shared" si="8"/>
        <v>0.80316759966190476</v>
      </c>
      <c r="H35">
        <v>40.700000000000003</v>
      </c>
      <c r="J35">
        <v>2008</v>
      </c>
      <c r="K35" s="12">
        <v>206</v>
      </c>
      <c r="L35" s="12">
        <v>40.700000000000003</v>
      </c>
      <c r="N35" s="19">
        <v>0.13500000000000001</v>
      </c>
      <c r="O35">
        <v>2008</v>
      </c>
      <c r="P35">
        <v>858723</v>
      </c>
      <c r="Q35">
        <f t="shared" si="9"/>
        <v>858723000</v>
      </c>
      <c r="R35">
        <f t="shared" si="10"/>
        <v>1525925925.925926</v>
      </c>
      <c r="S35">
        <f t="shared" si="11"/>
        <v>1525.9259259259259</v>
      </c>
      <c r="T35" s="13">
        <f t="shared" si="12"/>
        <v>115927605.00000001</v>
      </c>
    </row>
    <row r="36" spans="1:20" ht="15" thickBot="1" x14ac:dyDescent="0.35">
      <c r="A36">
        <v>2009</v>
      </c>
      <c r="B36" s="17">
        <v>184395</v>
      </c>
      <c r="C36">
        <f t="shared" si="7"/>
        <v>184395000</v>
      </c>
      <c r="D36" s="22">
        <f t="shared" si="8"/>
        <v>0.58179668646112959</v>
      </c>
      <c r="H36">
        <v>46.3</v>
      </c>
      <c r="J36">
        <v>2009</v>
      </c>
      <c r="K36" s="12">
        <v>246</v>
      </c>
      <c r="L36" s="12">
        <v>46.3</v>
      </c>
      <c r="N36" s="19">
        <v>0.13400000000000001</v>
      </c>
      <c r="O36">
        <v>2009</v>
      </c>
      <c r="P36">
        <v>800600</v>
      </c>
      <c r="Q36">
        <f t="shared" si="9"/>
        <v>800600000</v>
      </c>
      <c r="R36">
        <f t="shared" si="10"/>
        <v>1835820895.522388</v>
      </c>
      <c r="S36">
        <f t="shared" si="11"/>
        <v>1835.8208955223879</v>
      </c>
      <c r="T36" s="13">
        <f t="shared" si="12"/>
        <v>107280400</v>
      </c>
    </row>
    <row r="37" spans="1:20" ht="15" thickBot="1" x14ac:dyDescent="0.35">
      <c r="A37">
        <v>2010</v>
      </c>
      <c r="B37" s="17">
        <v>195554</v>
      </c>
      <c r="C37">
        <f t="shared" si="7"/>
        <v>195554000</v>
      </c>
      <c r="D37" s="22">
        <f t="shared" si="8"/>
        <v>0.58782209517575712</v>
      </c>
      <c r="E37" s="20"/>
      <c r="H37">
        <v>37.4</v>
      </c>
      <c r="J37">
        <v>2010</v>
      </c>
      <c r="K37" s="12">
        <v>184</v>
      </c>
      <c r="L37" s="12">
        <v>37.4</v>
      </c>
      <c r="N37" s="19">
        <v>0.13400000000000001</v>
      </c>
      <c r="O37">
        <v>2010</v>
      </c>
      <c r="P37">
        <v>857843</v>
      </c>
      <c r="Q37">
        <f t="shared" si="9"/>
        <v>857843000</v>
      </c>
      <c r="R37">
        <f t="shared" si="10"/>
        <v>1373134328.3582089</v>
      </c>
      <c r="S37">
        <f t="shared" si="11"/>
        <v>1373.1343283582089</v>
      </c>
      <c r="T37" s="13">
        <f t="shared" si="12"/>
        <v>114950962</v>
      </c>
    </row>
    <row r="38" spans="1:20" ht="15" thickBot="1" x14ac:dyDescent="0.35">
      <c r="A38">
        <v>2011</v>
      </c>
      <c r="B38" s="17">
        <v>197822</v>
      </c>
      <c r="C38">
        <f t="shared" si="7"/>
        <v>197822000</v>
      </c>
      <c r="D38" s="22">
        <f t="shared" si="8"/>
        <v>0.61049855931089569</v>
      </c>
      <c r="E38" s="20"/>
      <c r="H38">
        <v>38</v>
      </c>
      <c r="J38">
        <v>2011</v>
      </c>
      <c r="K38" s="12">
        <v>199</v>
      </c>
      <c r="L38" s="12">
        <v>38</v>
      </c>
      <c r="N38" s="19">
        <v>0.13400000000000001</v>
      </c>
      <c r="O38">
        <v>2011</v>
      </c>
      <c r="P38">
        <v>901269</v>
      </c>
      <c r="Q38">
        <f t="shared" si="9"/>
        <v>901269000</v>
      </c>
      <c r="R38">
        <f t="shared" si="10"/>
        <v>1485074626.8656714</v>
      </c>
      <c r="S38">
        <f t="shared" si="11"/>
        <v>1485.0746268656715</v>
      </c>
      <c r="T38" s="13">
        <f t="shared" si="12"/>
        <v>120770046</v>
      </c>
    </row>
    <row r="39" spans="1:20" ht="15" thickBot="1" x14ac:dyDescent="0.35">
      <c r="A39">
        <v>2012</v>
      </c>
      <c r="B39" s="17">
        <v>204130</v>
      </c>
      <c r="C39">
        <f t="shared" si="7"/>
        <v>204130000</v>
      </c>
      <c r="D39" s="22">
        <f t="shared" si="8"/>
        <v>0.64958788517121446</v>
      </c>
      <c r="E39" s="20"/>
      <c r="H39">
        <v>37.4</v>
      </c>
      <c r="J39">
        <v>2012</v>
      </c>
      <c r="K39" s="12">
        <v>197</v>
      </c>
      <c r="L39" s="12">
        <v>37.4</v>
      </c>
      <c r="N39" s="19">
        <v>0.13500000000000001</v>
      </c>
      <c r="O39">
        <v>2012</v>
      </c>
      <c r="P39">
        <v>982225</v>
      </c>
      <c r="Q39">
        <f t="shared" si="9"/>
        <v>982225000</v>
      </c>
      <c r="R39">
        <f t="shared" si="10"/>
        <v>1459259259.2592592</v>
      </c>
      <c r="S39">
        <f t="shared" si="11"/>
        <v>1459.2592592592591</v>
      </c>
      <c r="T39" s="13">
        <f t="shared" si="12"/>
        <v>132600375.00000001</v>
      </c>
    </row>
    <row r="40" spans="1:20" ht="15" thickBot="1" x14ac:dyDescent="0.35">
      <c r="A40">
        <v>2013</v>
      </c>
      <c r="B40" s="17">
        <v>219029</v>
      </c>
      <c r="C40">
        <f t="shared" si="7"/>
        <v>219029000</v>
      </c>
      <c r="D40" s="22">
        <f t="shared" si="8"/>
        <v>0.62014514059782033</v>
      </c>
      <c r="E40" s="20"/>
      <c r="H40">
        <v>39.1</v>
      </c>
      <c r="J40">
        <v>2013</v>
      </c>
      <c r="K40" s="12">
        <v>213</v>
      </c>
      <c r="L40" s="12">
        <v>39.1</v>
      </c>
      <c r="N40" s="19">
        <v>0.13400000000000001</v>
      </c>
      <c r="O40">
        <v>2013</v>
      </c>
      <c r="P40">
        <v>1013655</v>
      </c>
      <c r="Q40">
        <f t="shared" si="9"/>
        <v>1013655000</v>
      </c>
      <c r="R40">
        <f t="shared" si="10"/>
        <v>1589552238.8059702</v>
      </c>
      <c r="S40">
        <f t="shared" si="11"/>
        <v>1589.5522388059701</v>
      </c>
      <c r="T40" s="13">
        <f t="shared" si="12"/>
        <v>135829770</v>
      </c>
    </row>
    <row r="41" spans="1:20" ht="15" thickBot="1" x14ac:dyDescent="0.35">
      <c r="A41">
        <v>2014</v>
      </c>
      <c r="B41" s="17">
        <v>237941</v>
      </c>
      <c r="C41">
        <f t="shared" si="7"/>
        <v>237941000</v>
      </c>
      <c r="D41" s="22">
        <f t="shared" si="8"/>
        <v>0.58388534132410974</v>
      </c>
      <c r="E41" s="20"/>
      <c r="H41">
        <v>40</v>
      </c>
      <c r="J41">
        <v>2014</v>
      </c>
      <c r="K41" s="12">
        <v>223</v>
      </c>
      <c r="L41" s="12">
        <v>40</v>
      </c>
      <c r="N41" s="19">
        <v>0.13400000000000001</v>
      </c>
      <c r="O41">
        <v>2014</v>
      </c>
      <c r="P41">
        <v>1036793</v>
      </c>
      <c r="Q41">
        <f t="shared" si="9"/>
        <v>1036793000</v>
      </c>
      <c r="R41">
        <f t="shared" si="10"/>
        <v>1664179104.4776118</v>
      </c>
      <c r="S41">
        <f t="shared" si="11"/>
        <v>1664.1791044776119</v>
      </c>
      <c r="T41" s="13">
        <f t="shared" si="12"/>
        <v>138930262</v>
      </c>
    </row>
    <row r="42" spans="1:20" ht="15" thickBot="1" x14ac:dyDescent="0.35">
      <c r="A42">
        <v>2015</v>
      </c>
      <c r="B42" s="17">
        <v>198279</v>
      </c>
      <c r="C42">
        <f t="shared" si="7"/>
        <v>198279000</v>
      </c>
      <c r="D42" s="22">
        <f t="shared" si="8"/>
        <v>0.64690198155124856</v>
      </c>
      <c r="E42" s="20"/>
      <c r="H42">
        <v>35.700000000000003</v>
      </c>
      <c r="J42">
        <v>2015</v>
      </c>
      <c r="K42" s="12">
        <v>165</v>
      </c>
      <c r="L42" s="12">
        <v>35.700000000000003</v>
      </c>
      <c r="N42" s="19">
        <v>0.13400000000000001</v>
      </c>
      <c r="O42">
        <v>2015</v>
      </c>
      <c r="P42">
        <v>957217</v>
      </c>
      <c r="Q42">
        <f t="shared" si="9"/>
        <v>957217000</v>
      </c>
      <c r="R42">
        <f t="shared" si="10"/>
        <v>1231343283.5820894</v>
      </c>
      <c r="S42">
        <f t="shared" si="11"/>
        <v>1231.3432835820895</v>
      </c>
      <c r="T42" s="13">
        <f t="shared" si="12"/>
        <v>128267078.00000001</v>
      </c>
    </row>
    <row r="43" spans="1:20" ht="15" thickBot="1" x14ac:dyDescent="0.35">
      <c r="A43">
        <v>2016</v>
      </c>
      <c r="B43" s="17">
        <v>208045</v>
      </c>
      <c r="C43">
        <f t="shared" si="7"/>
        <v>208045000</v>
      </c>
      <c r="D43" s="22">
        <f t="shared" si="8"/>
        <v>0.60707355620178338</v>
      </c>
      <c r="E43" s="20"/>
      <c r="H43">
        <v>35.299999999999997</v>
      </c>
      <c r="J43">
        <v>2016</v>
      </c>
      <c r="K43" s="12">
        <v>166</v>
      </c>
      <c r="L43">
        <v>35.299999999999997</v>
      </c>
      <c r="N43" s="19">
        <v>0.13400000000000001</v>
      </c>
      <c r="O43">
        <v>2016</v>
      </c>
      <c r="P43">
        <v>942527</v>
      </c>
      <c r="Q43">
        <f t="shared" si="9"/>
        <v>942527000</v>
      </c>
      <c r="R43">
        <f t="shared" si="10"/>
        <v>1238805970.1492536</v>
      </c>
      <c r="S43">
        <f>K43/N43</f>
        <v>1238.8059701492537</v>
      </c>
      <c r="T43" s="13">
        <f t="shared" si="12"/>
        <v>126298618.00000001</v>
      </c>
    </row>
    <row r="44" spans="1:20" ht="15" thickBot="1" x14ac:dyDescent="0.35">
      <c r="A44">
        <v>2017</v>
      </c>
      <c r="B44" s="17">
        <v>197311</v>
      </c>
      <c r="C44">
        <f t="shared" si="7"/>
        <v>197311000</v>
      </c>
      <c r="D44" s="22">
        <f t="shared" si="8"/>
        <v>0.61870273324852654</v>
      </c>
      <c r="E44" s="20"/>
      <c r="H44">
        <v>34.799999999999997</v>
      </c>
      <c r="J44">
        <v>2017</v>
      </c>
      <c r="K44" s="12">
        <v>162</v>
      </c>
      <c r="L44">
        <v>34.799999999999997</v>
      </c>
      <c r="N44" s="19">
        <v>0.13500000000000001</v>
      </c>
      <c r="O44">
        <v>2017</v>
      </c>
      <c r="P44">
        <v>904273</v>
      </c>
      <c r="Q44">
        <f t="shared" si="9"/>
        <v>904273000</v>
      </c>
      <c r="R44">
        <f t="shared" si="10"/>
        <v>1200000000</v>
      </c>
      <c r="S44">
        <f>K44/N44</f>
        <v>1200</v>
      </c>
      <c r="T44" s="13">
        <f t="shared" si="12"/>
        <v>122076855.00000001</v>
      </c>
    </row>
    <row r="45" spans="1:20" ht="15" thickBot="1" x14ac:dyDescent="0.35">
      <c r="A45">
        <v>2018</v>
      </c>
      <c r="B45" s="17">
        <v>177402</v>
      </c>
      <c r="C45">
        <f t="shared" si="7"/>
        <v>177402000</v>
      </c>
      <c r="D45" s="22">
        <f t="shared" si="8"/>
        <v>0.62275382464684725</v>
      </c>
      <c r="E45" s="20"/>
      <c r="H45">
        <v>31.2</v>
      </c>
      <c r="J45">
        <v>2018</v>
      </c>
      <c r="K45" s="12">
        <v>154</v>
      </c>
      <c r="L45" s="12">
        <v>31.2</v>
      </c>
      <c r="N45" s="19">
        <v>0.13400000000000001</v>
      </c>
      <c r="O45">
        <v>2018</v>
      </c>
      <c r="P45">
        <v>824461</v>
      </c>
      <c r="Q45">
        <f t="shared" si="9"/>
        <v>824461000</v>
      </c>
      <c r="R45">
        <f t="shared" si="10"/>
        <v>1149253731.3432837</v>
      </c>
      <c r="S45">
        <f t="shared" si="11"/>
        <v>1149.2537313432836</v>
      </c>
      <c r="T45" s="13">
        <f t="shared" si="12"/>
        <v>110477774</v>
      </c>
    </row>
    <row r="46" spans="1:20" ht="15" thickBot="1" x14ac:dyDescent="0.35">
      <c r="A46">
        <v>2019</v>
      </c>
      <c r="B46" s="17">
        <v>172620</v>
      </c>
      <c r="C46">
        <f t="shared" si="7"/>
        <v>172620000</v>
      </c>
      <c r="D46" s="22">
        <f t="shared" si="8"/>
        <v>0.61525499942069284</v>
      </c>
      <c r="E46" s="20"/>
      <c r="H46">
        <v>31.2</v>
      </c>
      <c r="J46">
        <v>2019</v>
      </c>
      <c r="K46" s="12">
        <v>140</v>
      </c>
      <c r="L46">
        <v>27.4</v>
      </c>
      <c r="N46" s="19">
        <v>0.13400000000000001</v>
      </c>
      <c r="O46">
        <v>2019</v>
      </c>
      <c r="P46">
        <v>792577</v>
      </c>
      <c r="Q46">
        <f t="shared" si="9"/>
        <v>792577000</v>
      </c>
      <c r="R46">
        <f t="shared" si="10"/>
        <v>1044776119.402985</v>
      </c>
      <c r="S46">
        <f t="shared" si="11"/>
        <v>1044.7761194029849</v>
      </c>
      <c r="T46" s="13">
        <f t="shared" si="12"/>
        <v>106205318</v>
      </c>
    </row>
    <row r="47" spans="1:20" ht="15" thickBot="1" x14ac:dyDescent="0.35">
      <c r="A47">
        <v>2020</v>
      </c>
      <c r="B47" s="17">
        <v>128953</v>
      </c>
      <c r="C47">
        <f t="shared" si="7"/>
        <v>128953000</v>
      </c>
      <c r="D47" s="22">
        <f t="shared" si="8"/>
        <v>0.61061220754848666</v>
      </c>
      <c r="E47" s="20"/>
      <c r="H47">
        <v>31.2</v>
      </c>
      <c r="J47">
        <v>2020</v>
      </c>
      <c r="K47" s="12">
        <v>106</v>
      </c>
      <c r="L47">
        <v>24.9</v>
      </c>
      <c r="N47" s="19">
        <v>0.13400000000000001</v>
      </c>
      <c r="O47">
        <v>2020</v>
      </c>
      <c r="P47">
        <v>587614</v>
      </c>
      <c r="Q47">
        <f t="shared" si="9"/>
        <v>587614000</v>
      </c>
      <c r="R47">
        <f t="shared" si="10"/>
        <v>791044776.119403</v>
      </c>
      <c r="S47">
        <f t="shared" si="11"/>
        <v>791.04477611940297</v>
      </c>
      <c r="T47" s="13">
        <f t="shared" si="12"/>
        <v>78740276</v>
      </c>
    </row>
    <row r="48" spans="1:20" ht="15" thickBot="1" x14ac:dyDescent="0.35">
      <c r="A48">
        <v>2021</v>
      </c>
      <c r="B48" s="17">
        <v>130467</v>
      </c>
      <c r="C48">
        <f t="shared" si="7"/>
        <v>130467000</v>
      </c>
      <c r="D48" s="22">
        <f t="shared" si="8"/>
        <v>0.60127399265714698</v>
      </c>
      <c r="E48" s="20"/>
      <c r="H48">
        <v>31.2</v>
      </c>
      <c r="J48">
        <v>2021</v>
      </c>
      <c r="K48" s="12">
        <v>110</v>
      </c>
      <c r="L48">
        <v>25.4</v>
      </c>
      <c r="N48" s="19">
        <v>0.13400000000000001</v>
      </c>
      <c r="O48">
        <v>2021</v>
      </c>
      <c r="P48">
        <v>585421</v>
      </c>
      <c r="Q48">
        <f t="shared" si="9"/>
        <v>585421000</v>
      </c>
      <c r="R48">
        <f t="shared" si="10"/>
        <v>820895522.38805974</v>
      </c>
      <c r="S48">
        <f t="shared" si="11"/>
        <v>820.8955223880597</v>
      </c>
      <c r="T48" s="13">
        <f t="shared" si="12"/>
        <v>78446414</v>
      </c>
    </row>
    <row r="49" spans="1:20" ht="15" thickBot="1" x14ac:dyDescent="0.35">
      <c r="A49">
        <v>2022</v>
      </c>
      <c r="B49" s="17">
        <v>133940</v>
      </c>
      <c r="C49">
        <f t="shared" si="7"/>
        <v>133940000</v>
      </c>
      <c r="D49" s="23">
        <f t="shared" si="8"/>
        <v>0.56880168732268177</v>
      </c>
      <c r="E49" s="20"/>
      <c r="H49">
        <v>31.2</v>
      </c>
      <c r="J49">
        <v>2022</v>
      </c>
      <c r="N49" s="19">
        <v>0.13400000000000001</v>
      </c>
      <c r="O49">
        <v>2022</v>
      </c>
      <c r="P49">
        <v>568547</v>
      </c>
      <c r="Q49">
        <f t="shared" si="9"/>
        <v>568547000</v>
      </c>
      <c r="R49">
        <f t="shared" si="10"/>
        <v>123000000</v>
      </c>
      <c r="S49">
        <v>123</v>
      </c>
      <c r="T49" s="13">
        <f t="shared" si="12"/>
        <v>76185298</v>
      </c>
    </row>
    <row r="50" spans="1:20" ht="15" thickBot="1" x14ac:dyDescent="0.35">
      <c r="K50" t="s">
        <v>56</v>
      </c>
      <c r="S50" s="14" t="s">
        <v>57</v>
      </c>
      <c r="T50" s="15" t="s">
        <v>58</v>
      </c>
    </row>
    <row r="51" spans="1:20" x14ac:dyDescent="0.3">
      <c r="A51" s="18" t="s">
        <v>65</v>
      </c>
    </row>
    <row r="52" spans="1:20" x14ac:dyDescent="0.3">
      <c r="A52" t="s">
        <v>63</v>
      </c>
      <c r="R52" t="s">
        <v>59</v>
      </c>
    </row>
    <row r="53" spans="1:20" x14ac:dyDescent="0.3">
      <c r="R53" s="16">
        <f>AVERAGE(T30:T48)</f>
        <v>114889594.42105263</v>
      </c>
    </row>
    <row r="54" spans="1:20" x14ac:dyDescent="0.3">
      <c r="A54" s="18" t="s">
        <v>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8EB4-E80E-4209-AA80-4EB6E0731CD9}">
  <dimension ref="A1:I22"/>
  <sheetViews>
    <sheetView workbookViewId="0">
      <selection activeCell="I1" sqref="I1:I21"/>
    </sheetView>
  </sheetViews>
  <sheetFormatPr defaultRowHeight="14.4" x14ac:dyDescent="0.3"/>
  <cols>
    <col min="2" max="2" width="14.5546875" customWidth="1"/>
  </cols>
  <sheetData>
    <row r="1" spans="1:9" x14ac:dyDescent="0.3">
      <c r="A1" t="s">
        <v>30</v>
      </c>
      <c r="B1" t="s">
        <v>106</v>
      </c>
      <c r="C1" t="s">
        <v>108</v>
      </c>
      <c r="H1" t="s">
        <v>107</v>
      </c>
      <c r="I1" t="s">
        <v>109</v>
      </c>
    </row>
    <row r="2" spans="1:9" x14ac:dyDescent="0.3">
      <c r="A2">
        <v>2003</v>
      </c>
      <c r="B2">
        <v>2823452</v>
      </c>
      <c r="C2" s="66">
        <v>3.6</v>
      </c>
      <c r="H2">
        <v>100.09</v>
      </c>
      <c r="I2" s="69">
        <v>88665.11744755684</v>
      </c>
    </row>
    <row r="3" spans="1:9" x14ac:dyDescent="0.3">
      <c r="A3">
        <v>2004</v>
      </c>
      <c r="B3" s="65">
        <v>3079207</v>
      </c>
      <c r="C3" s="66">
        <v>4.7999999999999972</v>
      </c>
      <c r="H3">
        <v>119.81</v>
      </c>
      <c r="I3" s="69">
        <v>96514.763039117359</v>
      </c>
    </row>
    <row r="4" spans="1:9" x14ac:dyDescent="0.3">
      <c r="A4">
        <v>2005</v>
      </c>
      <c r="B4" s="65">
        <v>3285601</v>
      </c>
      <c r="C4" s="66">
        <v>6.6</v>
      </c>
      <c r="H4">
        <v>137.13999999999999</v>
      </c>
      <c r="I4" s="69">
        <v>110314.29626645178</v>
      </c>
    </row>
    <row r="5" spans="1:9" x14ac:dyDescent="0.3">
      <c r="A5">
        <v>2006</v>
      </c>
      <c r="B5" s="65">
        <v>3530881</v>
      </c>
      <c r="C5" s="66">
        <v>6.7999999999999972</v>
      </c>
      <c r="H5">
        <v>156.26</v>
      </c>
      <c r="I5" s="69">
        <v>124576.82672970399</v>
      </c>
    </row>
    <row r="6" spans="1:9" x14ac:dyDescent="0.3">
      <c r="A6">
        <v>2007</v>
      </c>
      <c r="B6" s="65">
        <v>3859533</v>
      </c>
      <c r="C6" s="66">
        <v>5.6</v>
      </c>
      <c r="H6">
        <v>190.18</v>
      </c>
      <c r="I6" s="69">
        <v>139022.15258266695</v>
      </c>
    </row>
    <row r="7" spans="1:9" x14ac:dyDescent="0.3">
      <c r="A7">
        <v>2008</v>
      </c>
      <c r="B7" s="65">
        <v>4042860</v>
      </c>
      <c r="C7" s="66">
        <v>2.7000000000000028</v>
      </c>
      <c r="H7">
        <v>236.82</v>
      </c>
      <c r="I7" s="69">
        <v>162090.44984363724</v>
      </c>
    </row>
    <row r="8" spans="1:9" x14ac:dyDescent="0.3">
      <c r="A8">
        <v>2009</v>
      </c>
      <c r="B8" s="65">
        <v>3954320</v>
      </c>
      <c r="C8" s="66">
        <v>-4.7000000000000028</v>
      </c>
      <c r="H8">
        <v>207.43</v>
      </c>
      <c r="I8" s="69">
        <v>149529.96785781812</v>
      </c>
    </row>
    <row r="9" spans="1:9" x14ac:dyDescent="0.3">
      <c r="A9">
        <v>2010</v>
      </c>
      <c r="B9" s="65">
        <v>3992870</v>
      </c>
      <c r="C9" s="66">
        <v>2.4</v>
      </c>
      <c r="H9">
        <v>209.07</v>
      </c>
      <c r="I9" s="69">
        <v>157883.35310399366</v>
      </c>
    </row>
    <row r="10" spans="1:9" x14ac:dyDescent="0.3">
      <c r="A10">
        <v>2011</v>
      </c>
      <c r="B10" s="65">
        <v>4062323</v>
      </c>
      <c r="C10" s="66">
        <v>1.7999999999999972</v>
      </c>
      <c r="H10">
        <v>229.56</v>
      </c>
      <c r="I10" s="69">
        <v>165229.1141299927</v>
      </c>
    </row>
    <row r="11" spans="1:9" x14ac:dyDescent="0.3">
      <c r="A11">
        <v>2012</v>
      </c>
      <c r="B11" s="65">
        <v>4088912</v>
      </c>
      <c r="C11" s="67">
        <v>-0.8</v>
      </c>
      <c r="H11">
        <v>208.86</v>
      </c>
      <c r="I11" s="69">
        <v>162626.25780535338</v>
      </c>
    </row>
    <row r="12" spans="1:9" x14ac:dyDescent="0.3">
      <c r="A12">
        <v>2013</v>
      </c>
      <c r="B12" s="65">
        <v>4142811</v>
      </c>
      <c r="C12" s="67">
        <v>0</v>
      </c>
      <c r="H12">
        <v>211.69</v>
      </c>
      <c r="I12" s="69">
        <v>159498.38299838299</v>
      </c>
    </row>
    <row r="13" spans="1:9" x14ac:dyDescent="0.3">
      <c r="A13">
        <v>2014</v>
      </c>
      <c r="B13" s="65">
        <v>4345766</v>
      </c>
      <c r="C13" s="66">
        <v>2.2999999999999972</v>
      </c>
      <c r="H13">
        <v>209.36</v>
      </c>
      <c r="I13" s="69">
        <v>157838.44840736571</v>
      </c>
    </row>
    <row r="14" spans="1:9" x14ac:dyDescent="0.3">
      <c r="A14">
        <v>2015</v>
      </c>
      <c r="B14" s="65">
        <v>4625378</v>
      </c>
      <c r="C14" s="67">
        <v>5.4</v>
      </c>
      <c r="H14">
        <v>188.03</v>
      </c>
      <c r="I14" s="70">
        <v>169533.33577685736</v>
      </c>
    </row>
    <row r="15" spans="1:9" x14ac:dyDescent="0.3">
      <c r="A15">
        <v>2016</v>
      </c>
      <c r="B15" s="65">
        <v>4796873</v>
      </c>
      <c r="C15" s="67">
        <v>2.5</v>
      </c>
      <c r="H15">
        <v>196.27</v>
      </c>
      <c r="I15" s="70">
        <v>177445.08563607442</v>
      </c>
    </row>
    <row r="16" spans="1:9" x14ac:dyDescent="0.3">
      <c r="A16">
        <v>2017</v>
      </c>
      <c r="B16" s="65">
        <v>5110743</v>
      </c>
      <c r="C16" s="67">
        <v>5.2000000000000028</v>
      </c>
      <c r="H16">
        <v>218.63</v>
      </c>
      <c r="I16" s="70">
        <v>194103.41815419676</v>
      </c>
    </row>
    <row r="17" spans="1:9" x14ac:dyDescent="0.3">
      <c r="A17">
        <v>2018</v>
      </c>
      <c r="B17" s="65">
        <v>5410761</v>
      </c>
      <c r="C17" s="66">
        <v>3.2000000000000028</v>
      </c>
      <c r="H17">
        <v>249</v>
      </c>
      <c r="I17" s="69">
        <v>211003.43173575634</v>
      </c>
    </row>
    <row r="18" spans="1:9" x14ac:dyDescent="0.3">
      <c r="A18">
        <v>2019</v>
      </c>
      <c r="B18" s="65">
        <v>5791498</v>
      </c>
      <c r="C18" s="66">
        <v>3</v>
      </c>
      <c r="H18">
        <v>252.55</v>
      </c>
      <c r="I18" s="69">
        <v>225595.90215020254</v>
      </c>
    </row>
    <row r="19" spans="1:9" x14ac:dyDescent="0.3">
      <c r="A19">
        <v>2020</v>
      </c>
      <c r="B19" s="65">
        <v>5709131</v>
      </c>
      <c r="C19" s="67">
        <v>-5.5</v>
      </c>
      <c r="H19">
        <v>245.97</v>
      </c>
      <c r="I19" s="70">
        <v>215895.13689305703</v>
      </c>
    </row>
    <row r="20" spans="1:9" x14ac:dyDescent="0.3">
      <c r="A20">
        <v>2021</v>
      </c>
      <c r="B20" s="65">
        <v>6108717</v>
      </c>
      <c r="C20" s="66">
        <v>3.5</v>
      </c>
      <c r="H20">
        <v>281.79000000000002</v>
      </c>
      <c r="I20" s="69">
        <v>238203.04152856307</v>
      </c>
    </row>
    <row r="21" spans="1:9" x14ac:dyDescent="0.3">
      <c r="A21">
        <v>2022</v>
      </c>
      <c r="B21" s="65">
        <v>6786742</v>
      </c>
      <c r="C21" s="68">
        <v>2.4</v>
      </c>
      <c r="H21">
        <v>290.92</v>
      </c>
      <c r="I21" s="71">
        <v>276240.66761652759</v>
      </c>
    </row>
    <row r="22" spans="1:9" x14ac:dyDescent="0.3">
      <c r="A22" t="s">
        <v>105</v>
      </c>
      <c r="B22" s="20">
        <f>(AVERAGE(B2:B21))</f>
        <v>4477418.95</v>
      </c>
      <c r="C22" s="20">
        <f>(AVERAGE(C2:C21))</f>
        <v>2.5399999999999996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6977-6227-4BBF-82AF-E77E4C52BC8D}">
  <dimension ref="A1:K66"/>
  <sheetViews>
    <sheetView workbookViewId="0">
      <selection activeCell="C29" sqref="C29"/>
    </sheetView>
  </sheetViews>
  <sheetFormatPr defaultRowHeight="14.4" x14ac:dyDescent="0.3"/>
  <cols>
    <col min="1" max="1" width="6.5546875" customWidth="1"/>
    <col min="2" max="2" width="15.6640625" customWidth="1"/>
    <col min="3" max="3" width="17.6640625" customWidth="1"/>
    <col min="4" max="4" width="16.44140625" customWidth="1"/>
    <col min="5" max="5" width="15.5546875" customWidth="1"/>
  </cols>
  <sheetData>
    <row r="1" spans="1:11" x14ac:dyDescent="0.3">
      <c r="A1" t="s">
        <v>30</v>
      </c>
      <c r="B1" s="20" t="s">
        <v>110</v>
      </c>
      <c r="C1" s="20" t="s">
        <v>112</v>
      </c>
      <c r="D1" s="20" t="s">
        <v>111</v>
      </c>
      <c r="E1" s="20" t="s">
        <v>113</v>
      </c>
    </row>
    <row r="2" spans="1:11" x14ac:dyDescent="0.3">
      <c r="A2" s="73">
        <v>2003</v>
      </c>
      <c r="B2" s="73">
        <f>2211.57*1000</f>
        <v>2211570</v>
      </c>
      <c r="C2">
        <v>-0.7</v>
      </c>
      <c r="D2" s="69">
        <v>88665.11744755684</v>
      </c>
      <c r="E2" s="72">
        <v>3.6</v>
      </c>
      <c r="K2" s="69"/>
    </row>
    <row r="3" spans="1:11" x14ac:dyDescent="0.3">
      <c r="A3" s="73">
        <v>2004</v>
      </c>
      <c r="B3" s="73">
        <f>2262.52*1000</f>
        <v>2262520</v>
      </c>
      <c r="C3">
        <v>1.2</v>
      </c>
      <c r="D3" s="69">
        <v>96514.763039117359</v>
      </c>
      <c r="E3" s="72">
        <v>4.7999999999999972</v>
      </c>
      <c r="K3" s="69"/>
    </row>
    <row r="4" spans="1:11" x14ac:dyDescent="0.3">
      <c r="A4" s="73">
        <v>2005</v>
      </c>
      <c r="B4" s="73">
        <f>2288.31*1000</f>
        <v>2288310</v>
      </c>
      <c r="C4">
        <v>0.7</v>
      </c>
      <c r="D4" s="69">
        <v>110314.29626645178</v>
      </c>
      <c r="E4" s="72">
        <v>6.6</v>
      </c>
      <c r="K4" s="69"/>
    </row>
    <row r="5" spans="1:11" x14ac:dyDescent="0.3">
      <c r="A5" s="73">
        <v>2006</v>
      </c>
      <c r="B5" s="73">
        <f>2385.08*1000</f>
        <v>2385080</v>
      </c>
      <c r="C5">
        <v>3.8</v>
      </c>
      <c r="D5" s="69">
        <v>124576.82672970399</v>
      </c>
      <c r="E5" s="72">
        <v>6.7999999999999972</v>
      </c>
      <c r="K5" s="69"/>
    </row>
    <row r="6" spans="1:11" x14ac:dyDescent="0.3">
      <c r="A6" s="73">
        <v>2007</v>
      </c>
      <c r="B6" s="73">
        <f>2499.55*1000</f>
        <v>2499550</v>
      </c>
      <c r="C6">
        <v>3</v>
      </c>
      <c r="D6" s="69">
        <v>139022.15258266695</v>
      </c>
      <c r="E6" s="72">
        <v>5.6</v>
      </c>
      <c r="K6" s="69"/>
    </row>
    <row r="7" spans="1:11" x14ac:dyDescent="0.3">
      <c r="A7" s="73">
        <v>2008</v>
      </c>
      <c r="B7" s="73">
        <f>2546.49*1000</f>
        <v>2546490</v>
      </c>
      <c r="C7">
        <v>1</v>
      </c>
      <c r="D7" s="69">
        <v>162090.44984363724</v>
      </c>
      <c r="E7" s="72">
        <v>2.7000000000000028</v>
      </c>
      <c r="K7" s="69"/>
    </row>
    <row r="8" spans="1:11" x14ac:dyDescent="0.3">
      <c r="A8" s="73">
        <v>2009</v>
      </c>
      <c r="B8" s="73">
        <f>2445.73*1000</f>
        <v>2445730</v>
      </c>
      <c r="C8">
        <v>-5.7</v>
      </c>
      <c r="D8" s="69">
        <v>149529.96785781812</v>
      </c>
      <c r="E8" s="72">
        <v>-4.7000000000000028</v>
      </c>
      <c r="K8" s="69"/>
    </row>
    <row r="9" spans="1:11" x14ac:dyDescent="0.3">
      <c r="A9" s="73">
        <v>2010</v>
      </c>
      <c r="B9" s="73">
        <f>2564.4*1000</f>
        <v>2564400</v>
      </c>
      <c r="C9">
        <v>4.2</v>
      </c>
      <c r="D9" s="69">
        <v>157883.35310399366</v>
      </c>
      <c r="E9" s="72">
        <v>2.4</v>
      </c>
      <c r="K9" s="69"/>
    </row>
    <row r="10" spans="1:11" x14ac:dyDescent="0.3">
      <c r="A10" s="73">
        <v>2011</v>
      </c>
      <c r="B10" s="73">
        <f>2693.56*1000</f>
        <v>2693560</v>
      </c>
      <c r="C10">
        <v>3.9</v>
      </c>
      <c r="D10" s="69">
        <v>165229.1141299927</v>
      </c>
      <c r="E10" s="72">
        <v>1.7999999999999972</v>
      </c>
      <c r="K10" s="69"/>
    </row>
    <row r="11" spans="1:11" x14ac:dyDescent="0.3">
      <c r="A11" s="73">
        <v>2012</v>
      </c>
      <c r="B11" s="73">
        <f>2745.31*1000</f>
        <v>2745310</v>
      </c>
      <c r="C11">
        <v>0.4</v>
      </c>
      <c r="D11" s="69">
        <v>162626.25780535338</v>
      </c>
      <c r="E11" s="72">
        <v>-0.8</v>
      </c>
      <c r="K11" s="69"/>
    </row>
    <row r="12" spans="1:11" x14ac:dyDescent="0.3">
      <c r="A12" s="73">
        <v>2013</v>
      </c>
      <c r="B12" s="73">
        <f>2811.35*1000</f>
        <v>2811350</v>
      </c>
      <c r="C12">
        <v>0.4</v>
      </c>
      <c r="D12" s="69">
        <v>159498.38299838299</v>
      </c>
      <c r="E12" s="72">
        <v>0</v>
      </c>
      <c r="K12" s="69"/>
    </row>
    <row r="13" spans="1:11" x14ac:dyDescent="0.3">
      <c r="A13" s="73">
        <v>2014</v>
      </c>
      <c r="B13" s="73">
        <f>2927.43*1000</f>
        <v>2927430</v>
      </c>
      <c r="C13">
        <v>2.2000000000000002</v>
      </c>
      <c r="D13" s="69">
        <v>157838.44840736571</v>
      </c>
      <c r="E13" s="72">
        <v>2.2999999999999972</v>
      </c>
      <c r="K13" s="69"/>
    </row>
    <row r="14" spans="1:11" x14ac:dyDescent="0.3">
      <c r="A14" s="73">
        <v>2015</v>
      </c>
      <c r="B14" s="73">
        <f>3026.18*1000</f>
        <v>3026180</v>
      </c>
      <c r="C14">
        <v>1.5</v>
      </c>
      <c r="D14" s="69">
        <v>169533.33577685736</v>
      </c>
      <c r="E14" s="72">
        <v>5.4</v>
      </c>
      <c r="K14" s="70"/>
    </row>
    <row r="15" spans="1:11" x14ac:dyDescent="0.3">
      <c r="A15" s="73">
        <v>2016</v>
      </c>
      <c r="B15" s="73">
        <f>3134.74*1000</f>
        <v>3134740</v>
      </c>
      <c r="C15">
        <v>2.2000000000000002</v>
      </c>
      <c r="D15" s="69">
        <v>177445.08563607442</v>
      </c>
      <c r="E15" s="72">
        <v>2.5</v>
      </c>
      <c r="K15" s="70"/>
    </row>
    <row r="16" spans="1:11" x14ac:dyDescent="0.3">
      <c r="A16" s="73">
        <v>2017</v>
      </c>
      <c r="B16" s="73">
        <f>3267.16*1000</f>
        <v>3267160</v>
      </c>
      <c r="C16">
        <v>2.7</v>
      </c>
      <c r="D16" s="69">
        <v>194103.41815419676</v>
      </c>
      <c r="E16" s="72">
        <v>5.2000000000000028</v>
      </c>
      <c r="K16" s="70"/>
    </row>
    <row r="17" spans="1:11" x14ac:dyDescent="0.3">
      <c r="A17" s="73">
        <v>2018</v>
      </c>
      <c r="B17" s="73">
        <f>3365.45*1000</f>
        <v>3365450</v>
      </c>
      <c r="C17">
        <v>1</v>
      </c>
      <c r="D17" s="69">
        <v>211003.43173575634</v>
      </c>
      <c r="E17" s="72">
        <v>3.2000000000000028</v>
      </c>
      <c r="K17" s="69"/>
    </row>
    <row r="18" spans="1:11" x14ac:dyDescent="0.3">
      <c r="A18" s="73">
        <v>2019</v>
      </c>
      <c r="B18" s="73">
        <f>3474.11*1000</f>
        <v>3474110</v>
      </c>
      <c r="C18">
        <v>1.1000000000000001</v>
      </c>
      <c r="D18" s="69">
        <v>225595.90215020254</v>
      </c>
      <c r="E18" s="72">
        <v>3</v>
      </c>
      <c r="K18" s="69"/>
    </row>
    <row r="19" spans="1:11" x14ac:dyDescent="0.3">
      <c r="A19" s="73">
        <v>2020</v>
      </c>
      <c r="B19" s="73">
        <f>3403.73*1000</f>
        <v>3403730</v>
      </c>
      <c r="C19">
        <v>-3.8</v>
      </c>
      <c r="D19" s="69">
        <v>215895.13689305703</v>
      </c>
      <c r="E19" s="72">
        <v>-5.5</v>
      </c>
      <c r="K19" s="70"/>
    </row>
    <row r="20" spans="1:11" x14ac:dyDescent="0.3">
      <c r="A20" s="73">
        <v>2021</v>
      </c>
      <c r="B20" s="73">
        <f>3617.45*1000</f>
        <v>3617450</v>
      </c>
      <c r="C20">
        <v>3.2</v>
      </c>
      <c r="D20" s="69">
        <v>238203.04152856307</v>
      </c>
      <c r="E20" s="72">
        <v>3.5</v>
      </c>
      <c r="K20" s="69"/>
    </row>
    <row r="21" spans="1:11" x14ac:dyDescent="0.3">
      <c r="A21" s="73">
        <v>2022</v>
      </c>
      <c r="B21" s="73">
        <f>3876.8*1000</f>
        <v>3876800</v>
      </c>
      <c r="C21">
        <v>1.8</v>
      </c>
      <c r="D21" s="69">
        <v>276240.66761652759</v>
      </c>
      <c r="E21" s="72">
        <v>2.4</v>
      </c>
      <c r="K21" s="71"/>
    </row>
    <row r="22" spans="1:11" x14ac:dyDescent="0.3">
      <c r="A22" s="20" t="s">
        <v>105</v>
      </c>
      <c r="B22" s="20">
        <f>(AVERAGE(B2:B21))</f>
        <v>2877346</v>
      </c>
      <c r="C22" s="20">
        <f>(AVERAGE(C2:C21))</f>
        <v>1.2050000000000001</v>
      </c>
      <c r="D22" s="20">
        <f>(AVERAGE(D2:D21))</f>
        <v>169090.45748516376</v>
      </c>
      <c r="E22" s="20">
        <f>(AVERAGE(E2:E21))</f>
        <v>2.5399999999999996</v>
      </c>
      <c r="F22" s="20"/>
      <c r="G22" s="20"/>
      <c r="H22" s="20"/>
      <c r="I22" s="20"/>
    </row>
    <row r="24" spans="1:11" x14ac:dyDescent="0.3">
      <c r="B24" s="20" t="s">
        <v>112</v>
      </c>
      <c r="C24" s="20" t="s">
        <v>113</v>
      </c>
    </row>
    <row r="25" spans="1:11" x14ac:dyDescent="0.3">
      <c r="A25" s="73">
        <v>2003</v>
      </c>
      <c r="B25">
        <v>-0.7</v>
      </c>
      <c r="C25" s="72">
        <v>3.6</v>
      </c>
    </row>
    <row r="26" spans="1:11" x14ac:dyDescent="0.3">
      <c r="A26" s="73">
        <v>2004</v>
      </c>
      <c r="B26">
        <v>1.2</v>
      </c>
      <c r="C26" s="72">
        <v>4.7999999999999972</v>
      </c>
    </row>
    <row r="27" spans="1:11" x14ac:dyDescent="0.3">
      <c r="A27" s="73">
        <v>2005</v>
      </c>
      <c r="B27">
        <v>0.7</v>
      </c>
      <c r="C27" s="72">
        <v>6.6</v>
      </c>
    </row>
    <row r="28" spans="1:11" x14ac:dyDescent="0.3">
      <c r="A28" s="73">
        <v>2006</v>
      </c>
      <c r="B28">
        <v>3.8</v>
      </c>
      <c r="C28" s="72">
        <v>6.7999999999999972</v>
      </c>
    </row>
    <row r="29" spans="1:11" x14ac:dyDescent="0.3">
      <c r="A29" s="73">
        <v>2007</v>
      </c>
      <c r="B29">
        <v>3</v>
      </c>
      <c r="C29" s="72">
        <v>5.6</v>
      </c>
    </row>
    <row r="30" spans="1:11" x14ac:dyDescent="0.3">
      <c r="A30" s="73">
        <v>2008</v>
      </c>
      <c r="B30">
        <v>1</v>
      </c>
      <c r="C30" s="72">
        <v>2.7000000000000028</v>
      </c>
    </row>
    <row r="31" spans="1:11" x14ac:dyDescent="0.3">
      <c r="A31" s="73">
        <v>2009</v>
      </c>
      <c r="B31">
        <v>-5.7</v>
      </c>
      <c r="C31" s="72">
        <v>-4.7000000000000028</v>
      </c>
    </row>
    <row r="32" spans="1:11" x14ac:dyDescent="0.3">
      <c r="A32" s="73">
        <v>2010</v>
      </c>
      <c r="B32">
        <v>4.2</v>
      </c>
      <c r="C32" s="72">
        <v>2.4</v>
      </c>
    </row>
    <row r="33" spans="1:3" x14ac:dyDescent="0.3">
      <c r="A33" s="73">
        <v>2011</v>
      </c>
      <c r="B33">
        <v>3.9</v>
      </c>
      <c r="C33" s="72">
        <v>1.7999999999999972</v>
      </c>
    </row>
    <row r="34" spans="1:3" x14ac:dyDescent="0.3">
      <c r="A34" s="73">
        <v>2012</v>
      </c>
      <c r="B34">
        <v>0.4</v>
      </c>
      <c r="C34" s="72">
        <v>-0.8</v>
      </c>
    </row>
    <row r="35" spans="1:3" x14ac:dyDescent="0.3">
      <c r="A35" s="73">
        <v>2013</v>
      </c>
      <c r="B35">
        <v>0.4</v>
      </c>
      <c r="C35" s="72">
        <v>0</v>
      </c>
    </row>
    <row r="36" spans="1:3" x14ac:dyDescent="0.3">
      <c r="A36" s="73">
        <v>2014</v>
      </c>
      <c r="B36">
        <v>2.2000000000000002</v>
      </c>
      <c r="C36" s="72">
        <v>2.2999999999999972</v>
      </c>
    </row>
    <row r="37" spans="1:3" x14ac:dyDescent="0.3">
      <c r="A37" s="73">
        <v>2015</v>
      </c>
      <c r="B37">
        <v>1.5</v>
      </c>
      <c r="C37" s="72">
        <v>5.4</v>
      </c>
    </row>
    <row r="38" spans="1:3" x14ac:dyDescent="0.3">
      <c r="A38" s="73">
        <v>2016</v>
      </c>
      <c r="B38">
        <v>2.2000000000000002</v>
      </c>
      <c r="C38" s="72">
        <v>2.5</v>
      </c>
    </row>
    <row r="39" spans="1:3" x14ac:dyDescent="0.3">
      <c r="A39" s="73">
        <v>2017</v>
      </c>
      <c r="B39">
        <v>2.7</v>
      </c>
      <c r="C39" s="72">
        <v>5.2000000000000028</v>
      </c>
    </row>
    <row r="40" spans="1:3" x14ac:dyDescent="0.3">
      <c r="A40" s="73">
        <v>2018</v>
      </c>
      <c r="B40">
        <v>1</v>
      </c>
      <c r="C40" s="72">
        <v>3.2000000000000028</v>
      </c>
    </row>
    <row r="41" spans="1:3" x14ac:dyDescent="0.3">
      <c r="A41" s="73">
        <v>2019</v>
      </c>
      <c r="B41">
        <v>1.1000000000000001</v>
      </c>
      <c r="C41" s="72">
        <v>3</v>
      </c>
    </row>
    <row r="42" spans="1:3" x14ac:dyDescent="0.3">
      <c r="A42" s="73">
        <v>2020</v>
      </c>
      <c r="B42">
        <v>-3.8</v>
      </c>
      <c r="C42" s="72">
        <v>-5.5</v>
      </c>
    </row>
    <row r="43" spans="1:3" x14ac:dyDescent="0.3">
      <c r="A43" s="73">
        <v>2021</v>
      </c>
      <c r="B43">
        <v>3.2</v>
      </c>
      <c r="C43" s="72">
        <v>3.5</v>
      </c>
    </row>
    <row r="44" spans="1:3" x14ac:dyDescent="0.3">
      <c r="A44" s="73">
        <v>2022</v>
      </c>
      <c r="B44">
        <v>1.8</v>
      </c>
      <c r="C44" s="72">
        <v>2.4</v>
      </c>
    </row>
    <row r="46" spans="1:3" x14ac:dyDescent="0.3">
      <c r="A46" t="s">
        <v>30</v>
      </c>
      <c r="B46" s="20" t="s">
        <v>110</v>
      </c>
      <c r="C46" s="20" t="s">
        <v>111</v>
      </c>
    </row>
    <row r="47" spans="1:3" x14ac:dyDescent="0.3">
      <c r="A47" s="73">
        <v>2003</v>
      </c>
      <c r="B47" s="73">
        <f>2211.57*1000</f>
        <v>2211570</v>
      </c>
      <c r="C47" s="69">
        <v>88665.11744755684</v>
      </c>
    </row>
    <row r="48" spans="1:3" x14ac:dyDescent="0.3">
      <c r="A48" s="73">
        <v>2004</v>
      </c>
      <c r="B48" s="73">
        <f>2262.52*1000</f>
        <v>2262520</v>
      </c>
      <c r="C48" s="69">
        <v>96514.763039117359</v>
      </c>
    </row>
    <row r="49" spans="1:3" x14ac:dyDescent="0.3">
      <c r="A49" s="73">
        <v>2005</v>
      </c>
      <c r="B49" s="73">
        <f>2288.31*1000</f>
        <v>2288310</v>
      </c>
      <c r="C49" s="69">
        <v>110314.29626645178</v>
      </c>
    </row>
    <row r="50" spans="1:3" x14ac:dyDescent="0.3">
      <c r="A50" s="73">
        <v>2006</v>
      </c>
      <c r="B50" s="73">
        <f>2385.08*1000</f>
        <v>2385080</v>
      </c>
      <c r="C50" s="69">
        <v>124576.82672970399</v>
      </c>
    </row>
    <row r="51" spans="1:3" x14ac:dyDescent="0.3">
      <c r="A51" s="73">
        <v>2007</v>
      </c>
      <c r="B51" s="73">
        <f>2499.55*1000</f>
        <v>2499550</v>
      </c>
      <c r="C51" s="69">
        <v>139022.15258266695</v>
      </c>
    </row>
    <row r="52" spans="1:3" x14ac:dyDescent="0.3">
      <c r="A52" s="73">
        <v>2008</v>
      </c>
      <c r="B52" s="73">
        <f>2546.49*1000</f>
        <v>2546490</v>
      </c>
      <c r="C52" s="69">
        <v>162090.44984363724</v>
      </c>
    </row>
    <row r="53" spans="1:3" x14ac:dyDescent="0.3">
      <c r="A53" s="73">
        <v>2009</v>
      </c>
      <c r="B53" s="73">
        <f>2445.73*1000</f>
        <v>2445730</v>
      </c>
      <c r="C53" s="69">
        <v>149529.96785781812</v>
      </c>
    </row>
    <row r="54" spans="1:3" x14ac:dyDescent="0.3">
      <c r="A54" s="73">
        <v>2010</v>
      </c>
      <c r="B54" s="73">
        <f>2564.4*1000</f>
        <v>2564400</v>
      </c>
      <c r="C54" s="69">
        <v>157883.35310399366</v>
      </c>
    </row>
    <row r="55" spans="1:3" x14ac:dyDescent="0.3">
      <c r="A55" s="73">
        <v>2011</v>
      </c>
      <c r="B55" s="73">
        <f>2693.56*1000</f>
        <v>2693560</v>
      </c>
      <c r="C55" s="69">
        <v>165229.1141299927</v>
      </c>
    </row>
    <row r="56" spans="1:3" x14ac:dyDescent="0.3">
      <c r="A56" s="73">
        <v>2012</v>
      </c>
      <c r="B56" s="73">
        <f>2745.31*1000</f>
        <v>2745310</v>
      </c>
      <c r="C56" s="69">
        <v>162626.25780535338</v>
      </c>
    </row>
    <row r="57" spans="1:3" x14ac:dyDescent="0.3">
      <c r="A57" s="73">
        <v>2013</v>
      </c>
      <c r="B57" s="73">
        <f>2811.35*1000</f>
        <v>2811350</v>
      </c>
      <c r="C57" s="69">
        <v>159498.38299838299</v>
      </c>
    </row>
    <row r="58" spans="1:3" x14ac:dyDescent="0.3">
      <c r="A58" s="73">
        <v>2014</v>
      </c>
      <c r="B58" s="73">
        <f>2927.43*1000</f>
        <v>2927430</v>
      </c>
      <c r="C58" s="69">
        <v>157838.44840736571</v>
      </c>
    </row>
    <row r="59" spans="1:3" x14ac:dyDescent="0.3">
      <c r="A59" s="73">
        <v>2015</v>
      </c>
      <c r="B59" s="73">
        <f>3026.18*1000</f>
        <v>3026180</v>
      </c>
      <c r="C59" s="69">
        <v>169533.33577685736</v>
      </c>
    </row>
    <row r="60" spans="1:3" x14ac:dyDescent="0.3">
      <c r="A60" s="73">
        <v>2016</v>
      </c>
      <c r="B60" s="73">
        <f>3134.74*1000</f>
        <v>3134740</v>
      </c>
      <c r="C60" s="69">
        <v>177445.08563607442</v>
      </c>
    </row>
    <row r="61" spans="1:3" x14ac:dyDescent="0.3">
      <c r="A61" s="73">
        <v>2017</v>
      </c>
      <c r="B61" s="73">
        <f>3267.16*1000</f>
        <v>3267160</v>
      </c>
      <c r="C61" s="69">
        <v>194103.41815419676</v>
      </c>
    </row>
    <row r="62" spans="1:3" x14ac:dyDescent="0.3">
      <c r="A62" s="73">
        <v>2018</v>
      </c>
      <c r="B62" s="73">
        <f>3365.45*1000</f>
        <v>3365450</v>
      </c>
      <c r="C62" s="69">
        <v>211003.43173575634</v>
      </c>
    </row>
    <row r="63" spans="1:3" x14ac:dyDescent="0.3">
      <c r="A63" s="73">
        <v>2019</v>
      </c>
      <c r="B63" s="73">
        <f>3474.11*1000</f>
        <v>3474110</v>
      </c>
      <c r="C63" s="69">
        <v>225595.90215020254</v>
      </c>
    </row>
    <row r="64" spans="1:3" x14ac:dyDescent="0.3">
      <c r="A64" s="73">
        <v>2020</v>
      </c>
      <c r="B64" s="73">
        <f>3403.73*1000</f>
        <v>3403730</v>
      </c>
      <c r="C64" s="69">
        <v>215895.13689305703</v>
      </c>
    </row>
    <row r="65" spans="1:3" x14ac:dyDescent="0.3">
      <c r="A65" s="73">
        <v>2021</v>
      </c>
      <c r="B65" s="73">
        <f>3617.45*1000</f>
        <v>3617450</v>
      </c>
      <c r="C65" s="69">
        <v>238203.04152856307</v>
      </c>
    </row>
    <row r="66" spans="1:3" x14ac:dyDescent="0.3">
      <c r="A66" s="73">
        <v>2022</v>
      </c>
      <c r="B66" s="73">
        <f>3876.8*1000</f>
        <v>3876800</v>
      </c>
      <c r="C66" s="69">
        <v>276240.66761652759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39CB-B58B-46AE-AC42-BCE89AFCEF0C}">
  <dimension ref="J8:R22"/>
  <sheetViews>
    <sheetView workbookViewId="0">
      <selection activeCell="R23" sqref="R23"/>
    </sheetView>
  </sheetViews>
  <sheetFormatPr defaultRowHeight="14.4" x14ac:dyDescent="0.3"/>
  <cols>
    <col min="10" max="10" width="22.6640625" bestFit="1" customWidth="1"/>
    <col min="11" max="11" width="13.21875" bestFit="1" customWidth="1"/>
    <col min="16" max="16" width="22.5546875" bestFit="1" customWidth="1"/>
    <col min="18" max="18" width="13.21875" bestFit="1" customWidth="1"/>
  </cols>
  <sheetData>
    <row r="8" spans="10:18" x14ac:dyDescent="0.3">
      <c r="P8" s="63" t="s">
        <v>28</v>
      </c>
      <c r="Q8" s="63"/>
      <c r="R8" s="63"/>
    </row>
    <row r="9" spans="10:18" x14ac:dyDescent="0.3">
      <c r="J9" s="63" t="s">
        <v>101</v>
      </c>
      <c r="K9" s="63" t="s">
        <v>97</v>
      </c>
      <c r="P9" s="63"/>
      <c r="Q9" s="63" t="s">
        <v>3</v>
      </c>
      <c r="R9" s="63" t="s">
        <v>97</v>
      </c>
    </row>
    <row r="10" spans="10:18" x14ac:dyDescent="0.3">
      <c r="J10" s="63" t="s">
        <v>102</v>
      </c>
      <c r="K10" s="64">
        <f>R11</f>
        <v>0.78562836340614128</v>
      </c>
      <c r="P10" s="63" t="s">
        <v>98</v>
      </c>
      <c r="Q10" s="63">
        <f>'GER-CZ GDP correlation'!B21/'GER-CZ GDP correlation'!B2</f>
        <v>1.7529628273127236</v>
      </c>
      <c r="R10" s="63">
        <f>'GER-CZ GDP correlation'!D21/'GER-CZ GDP correlation'!D2</f>
        <v>3.1155506874495136</v>
      </c>
    </row>
    <row r="11" spans="10:18" x14ac:dyDescent="0.3">
      <c r="J11" s="63" t="s">
        <v>103</v>
      </c>
      <c r="K11" s="64">
        <f>R17</f>
        <v>0.94938984736620646</v>
      </c>
      <c r="P11" s="63" t="s">
        <v>99</v>
      </c>
      <c r="Q11" s="63"/>
      <c r="R11" s="63">
        <f>'ekon kalkulace'!C21/'ekon kalkulace'!C2</f>
        <v>0.78562836340614128</v>
      </c>
    </row>
    <row r="12" spans="10:18" x14ac:dyDescent="0.3">
      <c r="J12" s="63" t="s">
        <v>104</v>
      </c>
      <c r="K12" s="64">
        <f>R22</f>
        <v>1.0718581829692937E-2</v>
      </c>
      <c r="R12">
        <f>1-R11</f>
        <v>0.21437163659385872</v>
      </c>
    </row>
    <row r="14" spans="10:18" x14ac:dyDescent="0.3">
      <c r="P14" t="s">
        <v>100</v>
      </c>
    </row>
    <row r="15" spans="10:18" x14ac:dyDescent="0.3">
      <c r="P15" s="63" t="s">
        <v>101</v>
      </c>
      <c r="Q15" s="63" t="s">
        <v>3</v>
      </c>
      <c r="R15" s="63" t="s">
        <v>97</v>
      </c>
    </row>
    <row r="16" spans="10:18" x14ac:dyDescent="0.3">
      <c r="P16" s="63" t="s">
        <v>98</v>
      </c>
      <c r="Q16" s="63">
        <f>'GER-CZ GDP correlation'!B21/'GER-CZ GDP correlation'!B20</f>
        <v>1.0716941491934926</v>
      </c>
      <c r="R16" s="63">
        <f>'GER-CZ GDP correlation'!D21/'GER-CZ GDP correlation'!D20</f>
        <v>1.1596857279565986</v>
      </c>
    </row>
    <row r="17" spans="16:18" x14ac:dyDescent="0.3">
      <c r="P17" s="63" t="s">
        <v>99</v>
      </c>
      <c r="Q17" s="63"/>
      <c r="R17" s="63">
        <f>'ekon kalkulace'!C21/'ekon kalkulace'!C20</f>
        <v>0.94938984736620646</v>
      </c>
    </row>
    <row r="19" spans="16:18" x14ac:dyDescent="0.3">
      <c r="P19" s="63" t="s">
        <v>29</v>
      </c>
      <c r="Q19" s="63"/>
      <c r="R19" s="63"/>
    </row>
    <row r="20" spans="16:18" x14ac:dyDescent="0.3">
      <c r="P20" s="63"/>
      <c r="Q20" s="63" t="s">
        <v>3</v>
      </c>
      <c r="R20" s="63" t="s">
        <v>97</v>
      </c>
    </row>
    <row r="21" spans="16:18" x14ac:dyDescent="0.3">
      <c r="P21" s="63" t="s">
        <v>98</v>
      </c>
      <c r="Q21" s="63">
        <f>Q10*(1/20)</f>
        <v>8.7648141365636187E-2</v>
      </c>
      <c r="R21" s="63">
        <f>R10*(1/20)</f>
        <v>0.15577753437247568</v>
      </c>
    </row>
    <row r="22" spans="16:18" x14ac:dyDescent="0.3">
      <c r="P22" s="63" t="s">
        <v>99</v>
      </c>
      <c r="Q22" s="63"/>
      <c r="R22" s="63">
        <f>R12*(1/20)</f>
        <v>1.0718581829692937E-2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FENG</vt:lpstr>
      <vt:lpstr>FINALNI</vt:lpstr>
      <vt:lpstr>greta</vt:lpstr>
      <vt:lpstr>greta + ma</vt:lpstr>
      <vt:lpstr>ma only</vt:lpstr>
      <vt:lpstr>ekon kalkulace</vt:lpstr>
      <vt:lpstr>CZ GDP </vt:lpstr>
      <vt:lpstr>GER-CZ GDP correlation</vt:lpstr>
      <vt:lpstr>Time series data analysis</vt:lpstr>
      <vt:lpstr>beer consumption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Čeplová Aneta (S-PEF)</dc:creator>
  <cp:lastModifiedBy>Čeplová Aneta (S-PEF)</cp:lastModifiedBy>
  <dcterms:created xsi:type="dcterms:W3CDTF">2024-02-08T16:50:56Z</dcterms:created>
  <dcterms:modified xsi:type="dcterms:W3CDTF">2024-03-17T16:46:03Z</dcterms:modified>
</cp:coreProperties>
</file>